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ytonmack/Documents/GitHub/kickstarter-analysis/"/>
    </mc:Choice>
  </mc:AlternateContent>
  <xr:revisionPtr revIDLastSave="0" documentId="13_ncr:1_{B1D80909-EDFC-0D40-A798-5E986A6ABE90}" xr6:coauthVersionLast="46" xr6:coauthVersionMax="46" xr10:uidLastSave="{00000000-0000-0000-0000-000000000000}"/>
  <bookViews>
    <workbookView xWindow="0" yWindow="0" windowWidth="19080" windowHeight="21600" xr2:uid="{00000000-000D-0000-FFFF-FFFF00000000}"/>
  </bookViews>
  <sheets>
    <sheet name="Theater Outcomes by Launch Date" sheetId="20" r:id="rId1"/>
    <sheet name="Outcomes Based on Goals" sheetId="21" r:id="rId2"/>
    <sheet name="Kickstarter" sheetId="1" r:id="rId3"/>
    <sheet name="Descriptive Statistics" sheetId="17" r:id="rId4"/>
    <sheet name="Edinburgh Research" sheetId="12" r:id="rId5"/>
    <sheet name="Outcomes Based on Launch Date" sheetId="10" r:id="rId6"/>
    <sheet name="Catagories Statistics" sheetId="9" r:id="rId7"/>
    <sheet name="Subcatagories Statistics" sheetId="11" r:id="rId8"/>
  </sheets>
  <definedNames>
    <definedName name="_xlnm._FilterDatabase" localSheetId="2" hidden="1">Kickstarter!$A$1:$U$4115</definedName>
  </definedNames>
  <calcPr calcId="191029"/>
  <pivotCaches>
    <pivotCache cacheId="55" r:id="rId9"/>
    <pivotCache cacheId="5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1" l="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4" i="21"/>
  <c r="B3" i="21"/>
  <c r="B2" i="21"/>
  <c r="B5" i="21"/>
  <c r="C14" i="17"/>
  <c r="C13" i="17"/>
  <c r="C12" i="17"/>
  <c r="B14" i="17"/>
  <c r="B13" i="17"/>
  <c r="B12" i="17"/>
  <c r="C4" i="17"/>
  <c r="B4" i="17"/>
  <c r="C6" i="17"/>
  <c r="C5" i="17"/>
  <c r="C7" i="17" s="1"/>
  <c r="B5" i="17"/>
  <c r="B6" i="17"/>
  <c r="B3" i="17"/>
  <c r="C11" i="17"/>
  <c r="B11" i="17"/>
  <c r="C10" i="17"/>
  <c r="B10" i="17"/>
  <c r="C3" i="17"/>
  <c r="C2" i="17"/>
  <c r="B2" i="17"/>
  <c r="F3" i="12"/>
  <c r="F4" i="12"/>
  <c r="F5" i="12"/>
  <c r="F6" i="12"/>
  <c r="F2" i="12"/>
  <c r="D3" i="12"/>
  <c r="D4" i="12"/>
  <c r="D5" i="12"/>
  <c r="D6" i="12"/>
  <c r="D2" i="12"/>
  <c r="C2" i="12"/>
  <c r="C3" i="12"/>
  <c r="C4" i="12"/>
  <c r="C5" i="12"/>
  <c r="C6" i="12"/>
  <c r="B3" i="12"/>
  <c r="B4" i="12"/>
  <c r="B5" i="12"/>
  <c r="B6" i="12"/>
  <c r="B2" i="12"/>
  <c r="B7" i="17" l="1"/>
  <c r="B15" i="17"/>
  <c r="E13" i="21"/>
  <c r="E12" i="21"/>
  <c r="G12" i="21" s="1"/>
  <c r="E11" i="21"/>
  <c r="F11" i="21" s="1"/>
  <c r="E7" i="21"/>
  <c r="G7" i="21" s="1"/>
  <c r="E6" i="21"/>
  <c r="F6" i="21" s="1"/>
  <c r="E5" i="21"/>
  <c r="H5" i="21" s="1"/>
  <c r="E3" i="21"/>
  <c r="H3" i="21" s="1"/>
  <c r="E4" i="21"/>
  <c r="F4" i="21" s="1"/>
  <c r="E2" i="21"/>
  <c r="F2" i="21" s="1"/>
  <c r="H12" i="21"/>
  <c r="F12" i="21"/>
  <c r="H11" i="21"/>
  <c r="E10" i="21"/>
  <c r="E9" i="21"/>
  <c r="E8" i="21"/>
  <c r="C15" i="1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6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13" i="21" l="1"/>
  <c r="H13" i="21"/>
  <c r="F13" i="21"/>
  <c r="H7" i="21"/>
  <c r="F7" i="21"/>
  <c r="G6" i="21"/>
  <c r="H6" i="21"/>
  <c r="G3" i="21"/>
  <c r="F3" i="21"/>
  <c r="G11" i="21"/>
  <c r="F5" i="21"/>
  <c r="G5" i="21"/>
  <c r="H4" i="21"/>
  <c r="G4" i="21"/>
  <c r="H2" i="21"/>
  <c r="G2" i="21"/>
  <c r="H10" i="21"/>
  <c r="G10" i="21"/>
  <c r="F10" i="21"/>
  <c r="H9" i="21"/>
  <c r="G9" i="21"/>
  <c r="F9" i="21"/>
  <c r="G8" i="21"/>
  <c r="H8" i="21"/>
  <c r="F8" i="2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<sst xmlns="http://schemas.openxmlformats.org/spreadsheetml/2006/main" count="33050" uniqueCount="8419">
  <si>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</si>
  <si>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</si>
  <si>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</si>
  <si>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</si>
  <si>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</si>
  <si>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</si>
  <si>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</si>
  <si>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</si>
  <si>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</si>
  <si>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</si>
  <si>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</si>
  <si>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</si>
  <si>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</si>
  <si>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</si>
  <si>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</si>
  <si>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</si>
  <si>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</si>
  <si>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</si>
  <si>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</si>
  <si>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</si>
  <si>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</si>
  <si>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</si>
  <si>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</si>
  <si>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</si>
  <si>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</si>
  <si>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</si>
  <si>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</si>
  <si>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</si>
  <si>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</si>
  <si>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</si>
  <si>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</si>
  <si>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</si>
  <si>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</si>
  <si>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</si>
  <si>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</si>
  <si>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</si>
  <si>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</si>
  <si>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</si>
  <si>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</si>
  <si>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</si>
  <si>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</si>
  <si>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</si>
  <si>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</si>
  <si>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</si>
  <si>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</si>
  <si>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</si>
  <si>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</si>
  <si>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</si>
  <si>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</si>
  <si>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</si>
  <si>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</si>
  <si>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</si>
  <si>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</si>
  <si>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</si>
  <si>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</si>
  <si>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</si>
  <si>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</si>
  <si>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</si>
  <si>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</si>
  <si>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</si>
  <si>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</si>
  <si>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</si>
  <si>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</si>
  <si>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</si>
  <si>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</si>
  <si>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</si>
  <si>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</si>
  <si>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</si>
  <si>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</si>
  <si>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</si>
  <si>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</si>
  <si>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</si>
  <si>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</si>
  <si>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</si>
  <si>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</si>
  <si>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</si>
  <si>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</si>
  <si>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</si>
  <si>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</si>
  <si>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</si>
  <si>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</si>
  <si>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</si>
  <si>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</si>
  <si>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</si>
  <si>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</si>
  <si>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</si>
  <si>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</si>
  <si>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</si>
  <si>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</si>
  <si>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</si>
  <si>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</si>
  <si>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</si>
  <si>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</si>
  <si>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</si>
  <si>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</si>
  <si>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</si>
  <si>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</si>
  <si>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</si>
  <si>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</si>
  <si>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</si>
  <si>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</si>
  <si>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</si>
  <si>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</si>
  <si>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</si>
  <si>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</si>
  <si>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</si>
  <si>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</si>
  <si>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</si>
  <si>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</si>
  <si>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</si>
  <si>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</si>
  <si>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</si>
  <si>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</si>
  <si>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</si>
  <si>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</si>
  <si>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</si>
  <si>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</si>
  <si>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</si>
  <si>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</si>
  <si>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</si>
  <si>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</si>
  <si>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</si>
  <si>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</si>
  <si>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</si>
  <si>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</si>
  <si>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</si>
  <si>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</si>
  <si>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</si>
  <si>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</si>
  <si>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</si>
  <si>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</si>
  <si>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</si>
  <si>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</si>
  <si>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</si>
  <si>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</si>
  <si>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</si>
  <si>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</si>
  <si>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</si>
  <si>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</si>
  <si>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</si>
  <si>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</si>
  <si>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</si>
  <si>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</si>
  <si>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</si>
  <si>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</si>
  <si>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</si>
  <si>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</si>
  <si>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</si>
  <si>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</si>
  <si>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</si>
  <si>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</si>
  <si>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</si>
  <si>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</si>
  <si>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</si>
  <si>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</si>
  <si>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</si>
  <si>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</si>
  <si>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</si>
  <si>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</si>
  <si>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</si>
  <si>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</si>
  <si>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</si>
  <si>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</si>
  <si>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</si>
  <si>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</si>
  <si>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</si>
  <si>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</si>
  <si>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</si>
  <si>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</si>
  <si>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</si>
  <si>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</si>
  <si>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</si>
  <si>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</si>
  <si>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</si>
  <si>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</si>
  <si>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</si>
  <si>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</si>
  <si>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</si>
  <si>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</si>
  <si>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</si>
  <si>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</si>
  <si>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</si>
  <si>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</si>
  <si>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</si>
  <si>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</si>
  <si>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</si>
  <si>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</si>
  <si>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</si>
  <si>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</si>
  <si>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</si>
  <si>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</si>
  <si>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</si>
  <si>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</si>
  <si>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</si>
  <si>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</si>
  <si>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</si>
  <si>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</si>
  <si>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</si>
  <si>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</si>
  <si>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</si>
  <si>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</si>
  <si>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</si>
  <si>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</si>
  <si>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</si>
  <si>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</si>
  <si>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</si>
  <si>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</si>
  <si>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</si>
  <si>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</si>
  <si>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</si>
  <si>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</si>
  <si>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</si>
  <si>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</si>
  <si>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</si>
  <si>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</si>
  <si>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</si>
  <si>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</si>
  <si>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</si>
  <si>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</si>
  <si>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</si>
  <si>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</si>
  <si>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</si>
  <si>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</si>
  <si>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</si>
  <si>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</si>
  <si>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</si>
  <si>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</si>
  <si>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</si>
  <si>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</si>
  <si>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</si>
  <si>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</si>
  <si>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</si>
  <si>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</si>
  <si>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</si>
  <si>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</si>
  <si>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</si>
  <si>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</si>
  <si>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</si>
  <si>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</si>
  <si>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</si>
  <si>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</si>
  <si>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</si>
  <si>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</si>
  <si>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</si>
  <si>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</si>
  <si>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</si>
  <si>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</si>
  <si>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</si>
  <si>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</si>
  <si>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</si>
  <si>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</si>
  <si>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</si>
  <si>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</si>
  <si>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</si>
  <si>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</si>
  <si>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</si>
  <si>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</si>
  <si>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</si>
  <si>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</si>
  <si>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</si>
  <si>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</si>
  <si>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</si>
  <si>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</si>
  <si>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</si>
  <si>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</si>
  <si>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</si>
  <si>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</si>
  <si>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</si>
  <si>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</si>
  <si>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</si>
  <si>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</si>
  <si>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</si>
  <si>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</si>
  <si>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</si>
  <si>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</si>
  <si>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</si>
  <si>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</si>
  <si>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</si>
  <si>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</si>
  <si>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</si>
  <si>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</si>
  <si>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</si>
  <si>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</si>
  <si>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</si>
  <si>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</si>
  <si>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</si>
  <si>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</si>
  <si>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</si>
  <si>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</si>
  <si>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</si>
  <si>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</si>
  <si>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</si>
  <si>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</si>
  <si>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</si>
  <si>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</si>
  <si>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</si>
  <si>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</si>
  <si>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</si>
  <si>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</si>
  <si>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</si>
  <si>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</si>
  <si>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</si>
  <si>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</si>
  <si>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</si>
  <si>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</si>
  <si>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</si>
  <si>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</si>
  <si>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</si>
  <si>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</si>
  <si>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</si>
  <si>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</si>
  <si>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</si>
  <si>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</si>
  <si>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</si>
  <si>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</si>
  <si>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</si>
  <si>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</si>
  <si>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</si>
  <si>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</si>
  <si>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</si>
  <si>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</si>
  <si>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</si>
  <si>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</si>
  <si>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</si>
  <si>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</si>
  <si>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</si>
  <si>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</si>
  <si>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</si>
  <si>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</si>
  <si>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</si>
  <si>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</si>
  <si>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</si>
  <si>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</si>
  <si>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</si>
  <si>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</si>
  <si>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</si>
  <si>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</si>
  <si>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</si>
  <si>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</si>
  <si>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</si>
  <si>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</si>
  <si>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</si>
  <si>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</si>
  <si>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</si>
  <si>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</si>
  <si>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</si>
  <si>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</si>
  <si>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</si>
  <si>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</si>
  <si>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</si>
  <si>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</si>
  <si>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</si>
  <si>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</si>
  <si>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</si>
  <si>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</si>
  <si>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</si>
  <si>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</si>
  <si>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</si>
  <si>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</si>
  <si>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</si>
  <si>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</si>
  <si>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</si>
  <si>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</si>
  <si>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</si>
  <si>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</si>
  <si>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</si>
  <si>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</si>
  <si>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</si>
  <si>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</si>
  <si>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</si>
  <si>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</si>
  <si>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</si>
  <si>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</si>
  <si>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</si>
  <si>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</si>
  <si>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</si>
  <si>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</si>
  <si>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</si>
  <si>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</si>
  <si>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</si>
  <si>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</si>
  <si>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</si>
  <si>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</si>
  <si>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</si>
  <si>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</si>
  <si>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</si>
  <si>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</si>
  <si>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</si>
  <si>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</si>
  <si>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</si>
  <si>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</si>
  <si>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</si>
  <si>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</si>
  <si>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</si>
  <si>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</si>
  <si>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</si>
  <si>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</si>
  <si>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</si>
  <si>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</si>
  <si>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</si>
  <si>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</si>
  <si>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</si>
  <si>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</si>
  <si>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</si>
  <si>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</si>
  <si>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</si>
  <si>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</si>
  <si>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</si>
  <si>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</si>
  <si>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</si>
  <si>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</si>
  <si>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</si>
  <si>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</si>
  <si>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</si>
  <si>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</si>
  <si>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</si>
  <si>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</si>
  <si>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</si>
  <si>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</si>
  <si>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</si>
  <si>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</si>
  <si>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</si>
  <si>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</si>
  <si>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</si>
  <si>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</si>
  <si>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</si>
  <si>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</si>
  <si>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</si>
  <si>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</si>
  <si>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</si>
  <si>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</si>
  <si>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</si>
  <si>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</si>
  <si>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</si>
  <si>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</si>
  <si>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</si>
  <si>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</si>
  <si>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</si>
  <si>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</si>
  <si>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</si>
  <si>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</si>
  <si>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</si>
  <si>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</si>
  <si>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</si>
  <si>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</si>
  <si>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</si>
  <si>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</si>
  <si>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</si>
  <si>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</si>
  <si>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</si>
  <si>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</si>
  <si>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</si>
  <si>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</si>
  <si>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</si>
  <si>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</si>
  <si>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</si>
  <si>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</si>
  <si>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</si>
  <si>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</si>
  <si>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</si>
  <si>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</si>
  <si>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</si>
  <si>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</si>
  <si>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</si>
  <si>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</si>
  <si>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</si>
  <si>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</si>
  <si>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</si>
  <si>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</si>
  <si>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</si>
  <si>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</si>
  <si>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</si>
  <si>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</si>
  <si>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</si>
  <si>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</si>
  <si>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</si>
  <si>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</si>
  <si>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</si>
  <si>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</si>
  <si>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</si>
  <si>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</si>
  <si>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</si>
  <si>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</si>
  <si>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</si>
  <si>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</si>
  <si>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</si>
  <si>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</si>
  <si>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</si>
  <si>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</si>
  <si>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</si>
  <si>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</si>
  <si>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</si>
  <si>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</si>
  <si>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</si>
  <si>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</si>
  <si>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</si>
  <si>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</si>
  <si>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</si>
  <si>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</si>
  <si>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</si>
  <si>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</si>
  <si>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</si>
  <si>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</si>
  <si>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</si>
  <si>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</si>
  <si>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</si>
  <si>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</si>
  <si>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</si>
  <si>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</si>
  <si>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</si>
  <si>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</si>
  <si>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</si>
  <si>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</si>
  <si>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</si>
  <si>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</si>
  <si>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</si>
  <si>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</si>
  <si>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</si>
  <si>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</si>
  <si>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</si>
  <si>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</si>
  <si>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</si>
  <si>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</si>
  <si>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</si>
  <si>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</si>
  <si>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</si>
  <si>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</si>
  <si>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</si>
  <si>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</si>
  <si>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</si>
  <si>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</si>
  <si>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</si>
  <si>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</si>
  <si>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</si>
  <si>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</si>
  <si>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</si>
  <si>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</si>
  <si>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</si>
  <si>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</si>
  <si>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</si>
  <si>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</si>
  <si>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</si>
  <si>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</si>
  <si>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</si>
  <si>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</si>
  <si>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</si>
  <si>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</si>
  <si>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</si>
  <si>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</si>
  <si>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</si>
  <si>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</si>
  <si>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</si>
  <si>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</si>
  <si>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</si>
  <si>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</si>
  <si>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</si>
  <si>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</si>
  <si>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</si>
  <si>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</si>
  <si>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</si>
  <si>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</si>
  <si>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</si>
  <si>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</si>
  <si>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</si>
  <si>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</si>
  <si>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</si>
  <si>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</si>
  <si>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</si>
  <si>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</si>
  <si>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</si>
  <si>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</si>
  <si>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</si>
  <si>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</si>
  <si>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</si>
  <si>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</si>
  <si>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</si>
  <si>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</si>
  <si>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</si>
  <si>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</si>
  <si>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</si>
  <si>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</si>
  <si>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</si>
  <si>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</si>
  <si>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</si>
  <si>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</si>
  <si>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</si>
  <si>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</si>
  <si>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</si>
  <si>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</si>
  <si>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</si>
  <si>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</si>
  <si>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</si>
  <si>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</si>
  <si>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</si>
  <si>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</si>
  <si>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</si>
  <si>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</si>
  <si>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</si>
  <si>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</si>
  <si>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</si>
  <si>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</si>
  <si>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</si>
  <si>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</si>
  <si>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</si>
  <si>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</si>
  <si>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</si>
  <si>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</si>
  <si>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</si>
  <si>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</si>
  <si>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</si>
  <si>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</si>
  <si>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</si>
  <si>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</si>
  <si>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</si>
  <si>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</si>
  <si>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</si>
  <si>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</si>
  <si>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</si>
  <si>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</si>
  <si>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</si>
  <si>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</si>
  <si>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</si>
  <si>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</si>
  <si>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</si>
  <si>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</si>
  <si>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</si>
  <si>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</si>
  <si>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</si>
  <si>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</si>
  <si>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</si>
  <si>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</si>
  <si>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</si>
  <si>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</si>
  <si>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</si>
  <si>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</si>
  <si>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</si>
  <si>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</si>
  <si>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</si>
  <si>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</si>
  <si>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</si>
  <si>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</si>
  <si>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</si>
  <si>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</si>
  <si>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</si>
  <si>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</si>
  <si>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</si>
  <si>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</si>
  <si>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</si>
  <si>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</si>
  <si>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</si>
  <si>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</si>
  <si>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</si>
  <si>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</si>
  <si>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</si>
  <si>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</si>
  <si>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</si>
  <si>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</si>
  <si>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</si>
  <si>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</si>
  <si>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</si>
  <si>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</si>
  <si>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</si>
  <si>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</si>
  <si>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</si>
  <si>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</si>
  <si>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</si>
  <si>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</si>
  <si>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</si>
  <si>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</si>
  <si>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</si>
  <si>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</si>
  <si>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</si>
  <si>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</si>
  <si>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</si>
  <si>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</si>
  <si>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</si>
  <si>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</si>
  <si>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</si>
  <si>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</si>
  <si>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</si>
  <si>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</si>
  <si>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</si>
  <si>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</si>
  <si>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</si>
  <si>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</si>
  <si>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</si>
  <si>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</si>
  <si>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</si>
  <si>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</si>
  <si>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</si>
  <si>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</si>
  <si>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</si>
  <si>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</si>
  <si>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</si>
  <si>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</si>
  <si>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</si>
  <si>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</si>
  <si>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</si>
  <si>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</si>
  <si>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</si>
  <si>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</si>
  <si>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</si>
  <si>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</si>
  <si>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</si>
  <si>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</si>
  <si>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</si>
  <si>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</si>
  <si>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</si>
  <si>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</si>
  <si>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</si>
  <si>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</si>
  <si>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</si>
  <si>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</si>
  <si>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</si>
  <si>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</si>
  <si>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</si>
  <si>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</si>
  <si>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</si>
  <si>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</si>
  <si>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</si>
  <si>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</si>
  <si>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</si>
  <si>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</si>
  <si>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</si>
  <si>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</si>
  <si>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</si>
  <si>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</si>
  <si>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</si>
  <si>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</si>
  <si>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</si>
  <si>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</si>
  <si>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</si>
  <si>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</si>
  <si>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</si>
  <si>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</si>
  <si>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</si>
  <si>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</si>
  <si>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</si>
  <si>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</si>
  <si>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</si>
  <si>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</si>
  <si>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</si>
  <si>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</si>
  <si>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</si>
  <si>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</si>
  <si>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</si>
  <si>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</si>
  <si>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</si>
  <si>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</si>
  <si>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</si>
  <si>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</si>
  <si>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</si>
  <si>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</si>
  <si>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</si>
  <si>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</si>
  <si>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</si>
  <si>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</si>
  <si>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</si>
  <si>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</si>
  <si>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</si>
  <si>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</si>
  <si>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</si>
  <si>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</si>
  <si>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</si>
  <si>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</si>
  <si>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</si>
  <si>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</si>
  <si>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</si>
  <si>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</si>
  <si>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</si>
  <si>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</si>
  <si>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</si>
  <si>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</si>
  <si>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</si>
  <si>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</si>
  <si>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</si>
  <si>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</si>
  <si>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</si>
  <si>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</si>
  <si>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</si>
  <si>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</si>
  <si>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</si>
  <si>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</si>
  <si>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</si>
  <si>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</si>
  <si>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</si>
  <si>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</si>
  <si>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</si>
  <si>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</si>
  <si>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</si>
  <si>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</si>
  <si>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</si>
  <si>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</si>
  <si>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</si>
  <si>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</si>
  <si>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</si>
  <si>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</si>
  <si>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</si>
  <si>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</si>
  <si>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</si>
  <si>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</si>
  <si>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</si>
  <si>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</si>
  <si>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</si>
  <si>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</si>
  <si>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</si>
  <si>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</si>
  <si>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</si>
  <si>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</si>
  <si>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</si>
  <si>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</si>
  <si>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</si>
  <si>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</si>
  <si>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</si>
  <si>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</si>
  <si>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</si>
  <si>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</si>
  <si>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</si>
  <si>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</si>
  <si>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</si>
  <si>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</si>
  <si>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</si>
  <si>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</si>
  <si>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</si>
  <si>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</si>
  <si>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</si>
  <si>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</si>
  <si>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</si>
  <si>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</si>
  <si>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</si>
  <si>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</si>
  <si>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</si>
  <si>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</si>
  <si>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</si>
  <si>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</si>
  <si>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</si>
  <si>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</si>
  <si>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</si>
  <si>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</si>
  <si>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</si>
  <si>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</si>
  <si>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</si>
  <si>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</si>
  <si>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</si>
  <si>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</si>
  <si>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</si>
  <si>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</si>
  <si>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</si>
  <si>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</si>
  <si>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</si>
  <si>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</si>
  <si>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</si>
  <si>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</si>
  <si>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</si>
  <si>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</si>
  <si>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</si>
  <si>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</si>
  <si>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</si>
  <si>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</si>
  <si>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</si>
  <si>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</si>
  <si>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</si>
  <si>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</si>
  <si>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</si>
  <si>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</si>
  <si>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</si>
  <si>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</si>
  <si>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</si>
  <si>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</si>
  <si>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</si>
  <si>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</si>
  <si>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</si>
  <si>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</si>
  <si>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</si>
  <si>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</si>
  <si>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</si>
  <si>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</si>
  <si>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</si>
  <si>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</si>
  <si>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</si>
  <si>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</si>
  <si>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</si>
  <si>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</si>
  <si>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</si>
  <si>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</si>
  <si>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</si>
  <si>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</si>
  <si>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</si>
  <si>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</si>
  <si>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</si>
  <si>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</si>
  <si>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</si>
  <si>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</si>
  <si>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</si>
  <si>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</si>
  <si>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</si>
  <si>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</si>
  <si>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</si>
  <si>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</si>
  <si>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</si>
  <si>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</si>
  <si>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</si>
  <si>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</si>
  <si>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</si>
  <si>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</si>
  <si>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</si>
  <si>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</si>
  <si>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</si>
  <si>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</si>
  <si>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</si>
  <si>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</si>
  <si>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</si>
  <si>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</si>
  <si>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</si>
  <si>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</si>
  <si>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</si>
  <si>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</si>
  <si>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</si>
  <si>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</si>
  <si>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</si>
  <si>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</si>
  <si>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</si>
  <si>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</si>
  <si>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</si>
  <si>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</si>
  <si>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</si>
  <si>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</si>
  <si>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</si>
  <si>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</si>
  <si>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</si>
  <si>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</si>
  <si>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</si>
  <si>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</si>
  <si>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</si>
  <si>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</si>
  <si>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</si>
  <si>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</si>
  <si>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</si>
  <si>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</si>
  <si>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</si>
  <si>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</si>
  <si>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</si>
  <si>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</si>
  <si>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</si>
  <si>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</si>
  <si>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</si>
  <si>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</si>
  <si>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</si>
  <si>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</si>
  <si>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</si>
  <si>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</si>
  <si>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</si>
  <si>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</si>
  <si>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</si>
  <si>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</si>
  <si>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</si>
  <si>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</si>
  <si>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</si>
  <si>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</si>
  <si>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</si>
  <si>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</si>
  <si>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</si>
  <si>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</si>
  <si>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</si>
  <si>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</si>
  <si>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</si>
  <si>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</si>
  <si>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</si>
  <si>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</si>
  <si>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</si>
  <si>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</si>
  <si>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</si>
  <si>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</si>
  <si>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</si>
  <si>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</si>
  <si>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</si>
  <si>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</si>
  <si>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</si>
  <si>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</si>
  <si>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</si>
  <si>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</si>
  <si>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</si>
  <si>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</si>
  <si>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</si>
  <si>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</si>
  <si>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</si>
  <si>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</si>
  <si>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</si>
  <si>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</si>
  <si>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</si>
  <si>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</si>
  <si>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</si>
  <si>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</si>
  <si>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</si>
  <si>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</si>
  <si>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</si>
  <si>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</si>
  <si>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</si>
  <si>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</si>
  <si>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</si>
  <si>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</si>
  <si>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</si>
  <si>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</si>
  <si>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</si>
  <si>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</si>
  <si>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</si>
  <si>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</si>
  <si>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</si>
  <si>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</si>
  <si>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</si>
  <si>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</si>
  <si>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</si>
  <si>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</si>
  <si>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</si>
  <si>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</si>
  <si>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</si>
  <si>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</si>
  <si>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</si>
  <si>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</si>
  <si>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</si>
  <si>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</si>
  <si>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</si>
  <si>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</si>
  <si>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</si>
  <si>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</si>
  <si>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</si>
  <si>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</si>
  <si>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</si>
  <si>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</si>
  <si>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</si>
  <si>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</si>
  <si>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</si>
  <si>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</si>
  <si>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</si>
  <si>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</si>
  <si>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</si>
  <si>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</si>
  <si>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</si>
  <si>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</si>
  <si>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</si>
  <si>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</si>
  <si>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</si>
  <si>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</si>
  <si>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</si>
  <si>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</si>
  <si>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</si>
  <si>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</si>
  <si>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</si>
  <si>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</si>
  <si>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</si>
  <si>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</si>
  <si>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</si>
  <si>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</si>
  <si>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</si>
  <si>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</si>
  <si>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</si>
  <si>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</si>
  <si>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</si>
  <si>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</si>
  <si>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</si>
  <si>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</si>
  <si>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</si>
  <si>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</si>
  <si>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</si>
  <si>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</si>
  <si>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</si>
  <si>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</si>
  <si>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</si>
  <si>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</si>
  <si>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</si>
  <si>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</si>
  <si>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</si>
  <si>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</si>
  <si>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</si>
  <si>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</si>
  <si>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</si>
  <si>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</si>
  <si>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</si>
  <si>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</si>
  <si>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</si>
  <si>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</si>
  <si>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</si>
  <si>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</si>
  <si>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</si>
  <si>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</si>
  <si>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</si>
  <si>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</si>
  <si>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</si>
  <si>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</si>
  <si>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</si>
  <si>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</si>
  <si>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</si>
  <si>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</si>
  <si>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</si>
  <si>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</si>
  <si>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</si>
  <si>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</si>
  <si>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</si>
  <si>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</si>
  <si>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</si>
  <si>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</si>
  <si>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</si>
  <si>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</si>
  <si>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</si>
  <si>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</si>
  <si>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</si>
  <si>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</si>
  <si>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</si>
  <si>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</si>
  <si>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</si>
  <si>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</si>
  <si>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</si>
  <si>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</si>
  <si>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</si>
  <si>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</si>
  <si>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</si>
  <si>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</si>
  <si>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</si>
  <si>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</si>
  <si>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</si>
  <si>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</si>
  <si>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</si>
  <si>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</si>
  <si>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</si>
  <si>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</si>
  <si>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</si>
  <si>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</si>
  <si>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</si>
  <si>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</si>
  <si>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</si>
  <si>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</si>
  <si>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</si>
  <si>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</si>
  <si>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</si>
  <si>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</si>
  <si>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</si>
  <si>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</si>
  <si>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</si>
  <si>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</si>
  <si>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</si>
  <si>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</si>
  <si>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</si>
  <si>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</si>
  <si>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</si>
  <si>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</si>
  <si>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</si>
  <si>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</si>
  <si>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</si>
  <si>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</si>
  <si>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</si>
  <si>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</si>
  <si>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</si>
  <si>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</si>
  <si>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</si>
  <si>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</si>
  <si>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</si>
  <si>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</si>
  <si>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</si>
  <si>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</si>
  <si>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</si>
  <si>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</si>
  <si>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</si>
  <si>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</si>
  <si>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</si>
  <si>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</si>
  <si>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</si>
  <si>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</si>
  <si>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</si>
  <si>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</si>
  <si>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</si>
  <si>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</si>
  <si>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</si>
  <si>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</si>
  <si>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</si>
  <si>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</si>
  <si>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</si>
  <si>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</si>
  <si>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</si>
  <si>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</si>
  <si>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</si>
  <si>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</si>
  <si>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</si>
  <si>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</si>
  <si>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</si>
  <si>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</si>
  <si>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</si>
  <si>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</si>
  <si>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</si>
  <si>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</si>
  <si>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</si>
  <si>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</si>
  <si>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</si>
  <si>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</si>
  <si>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</si>
  <si>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</si>
  <si>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</si>
  <si>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</si>
  <si>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</si>
  <si>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</si>
  <si>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</si>
  <si>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</si>
  <si>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</si>
  <si>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</si>
  <si>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</si>
  <si>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</si>
  <si>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</si>
  <si>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</si>
  <si>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</si>
  <si>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</si>
  <si>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</si>
  <si>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</si>
  <si>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</si>
  <si>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</si>
  <si>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</si>
  <si>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</si>
  <si>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</si>
  <si>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</si>
  <si>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</si>
  <si>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</si>
  <si>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</si>
  <si>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</si>
  <si>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</si>
  <si>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</si>
  <si>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</si>
  <si>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</si>
  <si>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</si>
  <si>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</si>
  <si>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</si>
  <si>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</si>
  <si>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</si>
  <si>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</si>
  <si>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</si>
  <si>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</si>
  <si>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</si>
  <si>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</si>
  <si>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</si>
  <si>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</si>
  <si>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</si>
  <si>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</si>
  <si>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</si>
  <si>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</si>
  <si>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</si>
  <si>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</si>
  <si>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</si>
  <si>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</si>
  <si>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</si>
  <si>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</si>
  <si>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</si>
  <si>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</si>
  <si>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</si>
  <si>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</si>
  <si>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</si>
  <si>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</si>
  <si>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</si>
  <si>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</si>
  <si>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</si>
  <si>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</si>
  <si>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</si>
  <si>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</si>
  <si>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</si>
  <si>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</si>
  <si>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</si>
  <si>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</si>
  <si>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</si>
  <si>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</si>
  <si>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</si>
  <si>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</si>
  <si>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</si>
  <si>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</si>
  <si>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</si>
  <si>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</si>
  <si>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</si>
  <si>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</si>
  <si>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</si>
  <si>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</si>
  <si>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</si>
  <si>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</si>
  <si>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</si>
  <si>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</si>
  <si>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</si>
  <si>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</si>
  <si>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</si>
  <si>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</si>
  <si>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</si>
  <si>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</si>
  <si>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</si>
  <si>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</si>
  <si>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</si>
  <si>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</si>
  <si>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</si>
  <si>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</si>
  <si>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</si>
  <si>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</si>
  <si>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</si>
  <si>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</si>
  <si>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</si>
  <si>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</si>
  <si>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</si>
  <si>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</si>
  <si>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</si>
  <si>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</si>
  <si>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</si>
  <si>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</si>
  <si>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</si>
  <si>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</si>
  <si>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</si>
  <si>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</si>
  <si>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</si>
  <si>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</si>
  <si>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</si>
  <si>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</si>
  <si>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</si>
  <si>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</si>
  <si>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</si>
  <si>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</si>
  <si>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</si>
  <si>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</si>
  <si>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</si>
  <si>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</si>
  <si>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</si>
  <si>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</si>
  <si>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</si>
  <si>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</si>
  <si>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</si>
  <si>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</si>
  <si>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</si>
  <si>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</si>
  <si>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</si>
  <si>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</si>
  <si>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</si>
  <si>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</si>
  <si>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</si>
  <si>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</si>
  <si>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</si>
  <si>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</si>
  <si>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</si>
  <si>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</si>
  <si>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</si>
  <si>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</si>
  <si>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</si>
  <si>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</si>
  <si>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</si>
  <si>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</si>
  <si>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</si>
  <si>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</si>
  <si>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</si>
  <si>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</si>
  <si>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</si>
  <si>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</si>
  <si>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</si>
  <si>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</si>
  <si>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</si>
  <si>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</si>
  <si>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</si>
  <si>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</si>
  <si>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</si>
  <si>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</si>
  <si>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</si>
  <si>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</si>
  <si>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</si>
  <si>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</si>
  <si>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</si>
  <si>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</si>
  <si>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</si>
  <si>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</si>
  <si>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</si>
  <si>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</si>
  <si>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</si>
  <si>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</si>
  <si>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</si>
  <si>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</si>
  <si>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</si>
  <si>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</si>
  <si>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</si>
  <si>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</si>
  <si>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</si>
  <si>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</si>
  <si>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</si>
  <si>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</si>
  <si>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</si>
  <si>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</si>
  <si>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</si>
  <si>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</si>
  <si>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</si>
  <si>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</si>
  <si>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</si>
  <si>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</si>
  <si>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</si>
  <si>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</si>
  <si>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</si>
  <si>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</si>
  <si>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</si>
  <si>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</si>
  <si>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</si>
  <si>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</si>
  <si>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</si>
  <si>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</si>
  <si>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</si>
  <si>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</si>
  <si>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</si>
  <si>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</si>
  <si>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</si>
  <si>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</si>
  <si>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</si>
  <si>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</si>
  <si>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</si>
  <si>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</si>
  <si>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</si>
  <si>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</si>
  <si>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</si>
  <si>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</si>
  <si>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</si>
  <si>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</si>
  <si>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</si>
  <si>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</si>
  <si>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</si>
  <si>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</si>
  <si>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</si>
  <si>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</si>
  <si>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</si>
  <si>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</si>
  <si>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</si>
  <si>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</si>
  <si>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</si>
  <si>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</si>
  <si>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</si>
  <si>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</si>
  <si>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</si>
  <si>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</si>
  <si>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</si>
  <si>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</si>
  <si>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</si>
  <si>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</si>
  <si>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</si>
  <si>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</si>
  <si>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</si>
  <si>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</si>
  <si>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</si>
  <si>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</si>
  <si>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</si>
  <si>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</si>
  <si>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</si>
  <si>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</si>
  <si>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</si>
  <si>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</si>
  <si>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</si>
  <si>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</si>
  <si>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</si>
  <si>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</si>
  <si>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</si>
  <si>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</si>
  <si>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</si>
  <si>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</si>
  <si>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</si>
  <si>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</si>
  <si>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</si>
  <si>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</si>
  <si>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</si>
  <si>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</si>
  <si>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</si>
  <si>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</si>
  <si>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</si>
  <si>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</si>
  <si>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</si>
  <si>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</si>
  <si>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</si>
  <si>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</si>
  <si>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</si>
  <si>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</si>
  <si>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</si>
  <si>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</si>
  <si>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</si>
  <si>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</si>
  <si>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</si>
  <si>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</si>
  <si>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</si>
  <si>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</si>
  <si>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</si>
  <si>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</si>
  <si>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</si>
  <si>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</si>
  <si>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</si>
  <si>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</si>
  <si>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</si>
  <si>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</si>
  <si>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</si>
  <si>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</si>
  <si>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</si>
  <si>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</si>
  <si>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</si>
  <si>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</si>
  <si>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</si>
  <si>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</si>
  <si>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</si>
  <si>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</si>
  <si>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</si>
  <si>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</si>
  <si>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</si>
  <si>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</si>
  <si>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</si>
  <si>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</si>
  <si>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</si>
  <si>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</si>
  <si>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</si>
  <si>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</si>
  <si>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</si>
  <si>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</si>
  <si>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</si>
  <si>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</si>
  <si>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</si>
  <si>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</si>
  <si>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</si>
  <si>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</si>
  <si>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</si>
  <si>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</si>
  <si>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</si>
  <si>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</si>
  <si>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</si>
  <si>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</si>
  <si>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</si>
  <si>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</si>
  <si>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</si>
  <si>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</si>
  <si>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</si>
  <si>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</si>
  <si>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</si>
  <si>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</si>
  <si>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</si>
  <si>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</si>
  <si>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</si>
  <si>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</si>
  <si>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</si>
  <si>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</si>
  <si>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</si>
  <si>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</si>
  <si>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</si>
  <si>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</si>
  <si>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</si>
  <si>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</si>
  <si>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</si>
  <si>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</si>
  <si>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</si>
  <si>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</si>
  <si>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</si>
  <si>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</si>
  <si>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</si>
  <si>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</si>
  <si>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</si>
  <si>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</si>
  <si>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</si>
  <si>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</si>
  <si>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</si>
  <si>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</si>
  <si>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</si>
  <si>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</si>
  <si>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</si>
  <si>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</si>
  <si>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</si>
  <si>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</si>
  <si>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</si>
  <si>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</si>
  <si>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</si>
  <si>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</si>
  <si>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</si>
  <si>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</si>
  <si>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</si>
  <si>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</si>
  <si>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</si>
  <si>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</si>
  <si>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</si>
  <si>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</si>
  <si>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</si>
  <si>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</si>
  <si>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</si>
  <si>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</si>
  <si>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</si>
  <si>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</si>
  <si>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</si>
  <si>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</si>
  <si>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</si>
  <si>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</si>
  <si>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</si>
  <si>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</si>
  <si>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</si>
  <si>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</si>
  <si>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</si>
  <si>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</si>
  <si>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</si>
  <si>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</si>
  <si>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</si>
  <si>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</si>
  <si>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</si>
  <si>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</si>
  <si>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</si>
  <si>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</si>
  <si>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</si>
  <si>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</si>
  <si>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</si>
  <si>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</si>
  <si>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</si>
  <si>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</si>
  <si>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</si>
  <si>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</si>
  <si>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</si>
  <si>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</si>
  <si>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</si>
  <si>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</si>
  <si>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</si>
  <si>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</si>
  <si>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</si>
  <si>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</si>
  <si>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</si>
  <si>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</si>
  <si>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</si>
  <si>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</si>
  <si>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</si>
  <si>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</si>
  <si>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</si>
  <si>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</si>
  <si>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</si>
  <si>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</si>
  <si>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</si>
  <si>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</si>
  <si>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</si>
  <si>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</si>
  <si>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</si>
  <si>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</si>
  <si>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</si>
  <si>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</si>
  <si>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</si>
  <si>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</si>
  <si>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</si>
  <si>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</si>
  <si>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</si>
  <si>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</si>
  <si>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</si>
  <si>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</si>
  <si>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</si>
  <si>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</si>
  <si>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</si>
  <si>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</si>
  <si>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</si>
  <si>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</si>
  <si>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</si>
  <si>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</si>
  <si>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</si>
  <si>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</si>
  <si>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</si>
  <si>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</si>
  <si>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</si>
  <si>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</si>
  <si>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</si>
  <si>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</si>
  <si>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</si>
  <si>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</si>
  <si>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</si>
  <si>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</si>
  <si>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</si>
  <si>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</si>
  <si>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</si>
  <si>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</si>
  <si>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</si>
  <si>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</si>
  <si>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</si>
  <si>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</si>
  <si>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</si>
  <si>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</si>
  <si>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</si>
  <si>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</si>
  <si>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</si>
  <si>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</si>
  <si>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</si>
  <si>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</si>
  <si>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</si>
  <si>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</si>
  <si>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</si>
  <si>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</si>
  <si>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</si>
  <si>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</si>
  <si>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</si>
  <si>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</si>
  <si>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</si>
  <si>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</si>
  <si>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</si>
  <si>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</si>
  <si>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</si>
  <si>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</si>
  <si>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</si>
  <si>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</si>
  <si>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</si>
  <si>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</si>
  <si>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</si>
  <si>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</si>
  <si>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</si>
  <si>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</si>
  <si>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</si>
  <si>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</si>
  <si>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</si>
  <si>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</si>
  <si>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</si>
  <si>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</si>
  <si>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</si>
  <si>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</si>
  <si>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</si>
  <si>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</si>
  <si>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</si>
  <si>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</si>
  <si>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</si>
  <si>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</si>
  <si>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</si>
  <si>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</si>
  <si>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</si>
  <si>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</si>
  <si>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</si>
  <si>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</si>
  <si>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</si>
  <si>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</si>
  <si>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</si>
  <si>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</si>
  <si>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</si>
  <si>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</si>
  <si>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</si>
  <si>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</si>
  <si>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</si>
  <si>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</si>
  <si>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</si>
  <si>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</si>
  <si>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</si>
  <si>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</si>
  <si>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</si>
  <si>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</si>
  <si>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</si>
  <si>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</si>
  <si>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</si>
  <si>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</si>
  <si>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</si>
  <si>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</si>
  <si>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</si>
  <si>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</si>
  <si>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</si>
  <si>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</si>
  <si>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</si>
  <si>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</si>
  <si>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</si>
  <si>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</si>
  <si>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</si>
  <si>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</si>
  <si>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</si>
  <si>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</si>
  <si>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</si>
  <si>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</si>
  <si>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</si>
  <si>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</si>
  <si>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</si>
  <si>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</si>
  <si>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</si>
  <si>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</si>
  <si>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</si>
  <si>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</si>
  <si>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</si>
  <si>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</si>
  <si>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</si>
  <si>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</si>
  <si>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</si>
  <si>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</si>
  <si>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</si>
  <si>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</si>
  <si>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</si>
  <si>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</si>
  <si>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</si>
  <si>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</si>
  <si>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</si>
  <si>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</si>
  <si>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</si>
  <si>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</si>
  <si>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</si>
  <si>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</si>
  <si>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</si>
  <si>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</si>
  <si>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</si>
  <si>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</si>
  <si>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</si>
  <si>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</si>
  <si>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</si>
  <si>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</si>
  <si>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</si>
  <si>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</si>
  <si>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</si>
  <si>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</si>
  <si>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</si>
  <si>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</si>
  <si>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</si>
  <si>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</si>
  <si>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</si>
  <si>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</si>
  <si>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</si>
  <si>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</si>
  <si>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</si>
  <si>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</si>
  <si>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</si>
  <si>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</si>
  <si>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</si>
  <si>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</si>
  <si>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</si>
  <si>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</si>
  <si>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</si>
  <si>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</si>
  <si>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</si>
  <si>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</si>
  <si>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</si>
  <si>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</si>
  <si>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</si>
  <si>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</si>
  <si>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</si>
  <si>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</si>
  <si>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</si>
  <si>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</si>
  <si>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</si>
  <si>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</si>
  <si>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</si>
  <si>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</si>
  <si>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</si>
  <si>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</si>
  <si>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</si>
  <si>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</si>
  <si>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</si>
  <si>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</si>
  <si>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</si>
  <si>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</si>
  <si>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</si>
  <si>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</si>
  <si>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</si>
  <si>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</si>
  <si>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</si>
  <si>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</si>
  <si>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</si>
  <si>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</si>
  <si>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</si>
  <si>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</si>
  <si>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</si>
  <si>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</si>
  <si>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</si>
  <si>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</si>
  <si>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</si>
  <si>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</si>
  <si>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</si>
  <si>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</si>
  <si>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</si>
  <si>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</si>
  <si>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</si>
  <si>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</si>
  <si>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</si>
  <si>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</si>
  <si>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</si>
  <si>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</si>
  <si>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</si>
  <si>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</si>
  <si>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</si>
  <si>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</si>
  <si>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</si>
  <si>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</si>
  <si>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</si>
  <si>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</si>
  <si>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</si>
  <si>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</si>
  <si>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</si>
  <si>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</si>
  <si>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</si>
  <si>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</si>
  <si>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</si>
  <si>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</si>
  <si>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</si>
  <si>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</si>
  <si>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</si>
  <si>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</si>
  <si>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</si>
  <si>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</si>
  <si>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</si>
  <si>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</si>
  <si>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</si>
  <si>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</si>
  <si>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</si>
  <si>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</si>
  <si>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</si>
  <si>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</si>
  <si>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</si>
  <si>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</si>
  <si>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</si>
  <si>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</si>
  <si>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</si>
  <si>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</si>
  <si>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</si>
  <si>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</si>
  <si>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</si>
  <si>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</si>
  <si>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</si>
  <si>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</si>
  <si>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</si>
  <si>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</si>
  <si>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</si>
  <si>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</si>
  <si>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</si>
  <si>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</si>
  <si>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</si>
  <si>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</si>
  <si>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</si>
  <si>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</si>
  <si>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</si>
  <si>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</si>
  <si>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</si>
  <si>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</si>
  <si>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</si>
  <si>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</si>
  <si>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</si>
  <si>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</si>
  <si>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</si>
  <si>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</si>
  <si>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</si>
  <si>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</si>
  <si>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</si>
  <si>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</si>
  <si>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</si>
  <si>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</si>
  <si>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</si>
  <si>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</si>
  <si>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</si>
  <si>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</si>
  <si>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</si>
  <si>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</si>
  <si>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</si>
  <si>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</si>
  <si>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</si>
  <si>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</si>
  <si>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</si>
  <si>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</si>
  <si>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</si>
  <si>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</si>
  <si>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</si>
  <si>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</si>
  <si>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</si>
  <si>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</si>
  <si>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</si>
  <si>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</si>
  <si>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</si>
  <si>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</si>
  <si>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</si>
  <si>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</si>
  <si>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</si>
  <si>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</si>
  <si>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</si>
  <si>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</si>
  <si>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</si>
  <si>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</si>
  <si>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</si>
  <si>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</si>
  <si>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</si>
  <si>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</si>
  <si>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</si>
  <si>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</si>
  <si>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</si>
  <si>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</si>
  <si>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</si>
  <si>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</si>
  <si>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</si>
  <si>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</si>
  <si>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</si>
  <si>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</si>
  <si>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</si>
  <si>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</si>
  <si>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</si>
  <si>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</si>
  <si>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</si>
  <si>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</si>
  <si>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</si>
  <si>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</si>
  <si>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</si>
  <si>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</si>
  <si>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</si>
  <si>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</si>
  <si>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</si>
  <si>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</si>
  <si>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</si>
  <si>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</si>
  <si>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</si>
  <si>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</si>
  <si>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</si>
  <si>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</si>
  <si>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</si>
  <si>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</si>
  <si>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</si>
  <si>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</si>
  <si>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</si>
  <si>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</si>
  <si>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</si>
  <si>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</si>
  <si>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</si>
  <si>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</si>
  <si>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</si>
  <si>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</si>
  <si>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</si>
  <si>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</si>
  <si>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</si>
  <si>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</si>
  <si>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</si>
  <si>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</si>
  <si>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</si>
  <si>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</si>
  <si>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</si>
  <si>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</si>
  <si>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</si>
  <si>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</si>
  <si>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</si>
  <si>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</si>
  <si>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</si>
  <si>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</si>
  <si>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</si>
  <si>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</si>
  <si>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</si>
  <si>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</si>
  <si>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</si>
  <si>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</si>
  <si>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</si>
  <si>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</si>
  <si>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</si>
  <si>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</si>
  <si>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</si>
  <si>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</si>
  <si>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</si>
  <si>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</si>
  <si>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</si>
  <si>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</si>
  <si>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</si>
  <si>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</si>
  <si>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</si>
  <si>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</si>
  <si>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</si>
  <si>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</si>
  <si>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</si>
  <si>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</si>
  <si>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</si>
  <si>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</si>
  <si>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</si>
  <si>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</si>
  <si>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</si>
  <si>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</si>
  <si>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</si>
  <si>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</si>
  <si>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</si>
  <si>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</si>
  <si>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</si>
  <si>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</si>
  <si>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</si>
  <si>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</si>
  <si>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</si>
  <si>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</si>
  <si>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</si>
  <si>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</si>
  <si>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</si>
  <si>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</si>
  <si>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</si>
  <si>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</si>
  <si>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</si>
  <si>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</si>
  <si>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</si>
  <si>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</si>
  <si>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</si>
  <si>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</si>
  <si>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</si>
  <si>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</si>
  <si>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</si>
  <si>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</si>
  <si>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</si>
  <si>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</si>
  <si>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</si>
  <si>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</si>
  <si>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</si>
  <si>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</si>
  <si>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</si>
  <si>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</si>
  <si>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</si>
  <si>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</si>
  <si>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</si>
  <si>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</si>
  <si>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</si>
  <si>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</si>
  <si>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</si>
  <si>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</si>
  <si>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</si>
  <si>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</si>
  <si>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</si>
  <si>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</si>
  <si>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</si>
  <si>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</si>
  <si>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</si>
  <si>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</si>
  <si>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</si>
  <si>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</si>
  <si>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</si>
  <si>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</si>
  <si>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</si>
  <si>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</si>
  <si>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</si>
  <si>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</si>
  <si>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</si>
  <si>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</si>
  <si>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</si>
  <si>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</si>
  <si>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</si>
  <si>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</si>
  <si>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</si>
  <si>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</si>
  <si>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</si>
  <si>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</si>
  <si>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</si>
  <si>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</si>
  <si>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</si>
  <si>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</si>
  <si>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</si>
  <si>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</si>
  <si>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</si>
  <si>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</si>
  <si>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</si>
  <si>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</si>
  <si>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</si>
  <si>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</si>
  <si>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</si>
  <si>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</si>
  <si>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</si>
  <si>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</si>
  <si>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</si>
  <si>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</si>
  <si>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</si>
  <si>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</si>
  <si>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</si>
  <si>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</si>
  <si>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</si>
  <si>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</si>
  <si>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</si>
  <si>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</si>
  <si>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</si>
  <si>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</si>
  <si>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</si>
  <si>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</si>
  <si>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</si>
  <si>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</si>
  <si>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</si>
  <si>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</si>
  <si>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</si>
  <si>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</si>
  <si>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</si>
  <si>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</si>
  <si>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</si>
  <si>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</si>
  <si>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</si>
  <si>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</si>
  <si>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</si>
  <si>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</si>
  <si>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</si>
  <si>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</si>
  <si>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</si>
  <si>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</si>
  <si>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</si>
  <si>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</si>
  <si>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</si>
  <si>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</si>
  <si>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</si>
  <si>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</si>
  <si>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</si>
  <si>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</si>
  <si>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</si>
  <si>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</si>
  <si>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</si>
  <si>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</si>
  <si>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</si>
  <si>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</si>
  <si>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</si>
  <si>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</si>
  <si>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</si>
  <si>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</si>
  <si>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</si>
  <si>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</si>
  <si>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</si>
  <si>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</si>
  <si>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</si>
  <si>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</si>
  <si>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</si>
  <si>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</si>
  <si>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</si>
  <si>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</si>
  <si>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</si>
  <si>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</si>
  <si>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</si>
  <si>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</si>
  <si>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</si>
  <si>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</si>
  <si>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</si>
  <si>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</si>
  <si>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</si>
  <si>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</si>
  <si>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</si>
  <si>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</si>
  <si>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</si>
  <si>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</si>
  <si>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</si>
  <si>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</si>
  <si>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</si>
  <si>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</si>
  <si>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</si>
  <si>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</si>
  <si>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</si>
  <si>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</si>
  <si>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</si>
  <si>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</si>
  <si>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</si>
  <si>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</si>
  <si>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</si>
  <si>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</si>
  <si>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</si>
  <si>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</si>
  <si>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</si>
  <si>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</si>
  <si>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</si>
  <si>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</si>
  <si>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</si>
  <si>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</si>
  <si>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</si>
  <si>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</si>
  <si>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</si>
  <si>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</si>
  <si>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</si>
  <si>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</si>
  <si>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</si>
  <si>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</si>
  <si>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</si>
  <si>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</si>
  <si>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</si>
  <si>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</si>
  <si>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</si>
  <si>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</si>
  <si>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</si>
  <si>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</si>
  <si>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</si>
  <si>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</si>
  <si>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</si>
  <si>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</si>
  <si>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</si>
  <si>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</si>
  <si>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</si>
  <si>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</si>
  <si>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</si>
  <si>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</si>
  <si>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</si>
  <si>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</si>
  <si>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</si>
  <si>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</si>
  <si>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</si>
  <si>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</si>
  <si>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</si>
  <si>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</si>
  <si>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</si>
  <si>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</si>
  <si>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</si>
  <si>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</si>
  <si>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</si>
  <si>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</si>
  <si>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</si>
  <si>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</si>
  <si>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</si>
  <si>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</si>
  <si>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</si>
  <si>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</si>
  <si>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</si>
  <si>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</si>
  <si>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</si>
  <si>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</si>
  <si>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</si>
  <si>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</si>
  <si>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</si>
  <si>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</si>
  <si>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</si>
  <si>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</si>
  <si>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</si>
  <si>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</si>
  <si>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</si>
  <si>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</si>
  <si>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</si>
  <si>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</si>
  <si>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</si>
  <si>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</si>
  <si>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</si>
  <si>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</si>
  <si>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</si>
  <si>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</si>
  <si>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</si>
  <si>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</si>
  <si>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</si>
  <si>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</si>
  <si>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</si>
  <si>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</si>
  <si>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</si>
  <si>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</si>
  <si>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</si>
  <si>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</si>
  <si>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</si>
  <si>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</si>
  <si>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</si>
  <si>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</si>
  <si>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</si>
  <si>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</si>
  <si>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</si>
  <si>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</si>
  <si>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</si>
  <si>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</si>
  <si>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</si>
  <si>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</si>
  <si>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</si>
  <si>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</si>
  <si>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</si>
  <si>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</si>
  <si>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</si>
  <si>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</si>
  <si>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</si>
  <si>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</si>
  <si>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</si>
  <si>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</si>
  <si>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</si>
  <si>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</si>
  <si>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</si>
  <si>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</si>
  <si>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</si>
  <si>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</si>
  <si>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</si>
  <si>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</si>
  <si>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</si>
  <si>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</si>
  <si>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</si>
  <si>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</si>
  <si>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</si>
  <si>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</si>
  <si>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</si>
  <si>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</si>
  <si>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</si>
  <si>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</si>
  <si>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</si>
  <si>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</si>
  <si>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</si>
  <si>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</si>
  <si>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</si>
  <si>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</si>
  <si>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</si>
  <si>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</si>
  <si>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</si>
  <si>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</si>
  <si>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</si>
  <si>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</si>
  <si>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</si>
  <si>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</si>
  <si>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</si>
  <si>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</si>
  <si>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</si>
  <si>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</si>
  <si>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</si>
  <si>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</si>
  <si>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</si>
  <si>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</si>
  <si>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</si>
  <si>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</si>
  <si>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</si>
  <si>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</si>
  <si>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</si>
  <si>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</si>
  <si>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</si>
  <si>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</si>
  <si>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</si>
  <si>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</si>
  <si>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</si>
  <si>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</si>
  <si>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</si>
  <si>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</si>
  <si>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</si>
  <si>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</si>
  <si>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</si>
  <si>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</si>
  <si>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</si>
  <si>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</si>
  <si>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</si>
  <si>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</si>
  <si>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</si>
  <si>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</si>
  <si>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</si>
  <si>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</si>
  <si>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</si>
  <si>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</si>
  <si>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</si>
  <si>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</si>
  <si>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</si>
  <si>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</si>
  <si>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</si>
  <si>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</si>
  <si>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</si>
  <si>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</si>
  <si>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</si>
  <si>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</si>
  <si>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</si>
  <si>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</si>
  <si>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</si>
  <si>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</si>
  <si>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</si>
  <si>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</si>
  <si>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</si>
  <si>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</si>
  <si>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</si>
  <si>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</si>
  <si>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</si>
  <si>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</si>
  <si>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</si>
  <si>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</si>
  <si>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</si>
  <si>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</si>
  <si>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</si>
  <si>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</si>
  <si>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</si>
  <si>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</si>
  <si>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</si>
  <si>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</si>
  <si>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</si>
  <si>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</si>
  <si>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</si>
  <si>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</si>
  <si>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</si>
  <si>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</si>
  <si>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</si>
  <si>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</si>
  <si>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</si>
  <si>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</si>
  <si>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</si>
  <si>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</si>
  <si>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</si>
  <si>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</si>
  <si>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</si>
  <si>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</si>
  <si>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</si>
  <si>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</si>
  <si>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</si>
  <si>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</si>
  <si>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</si>
  <si>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</si>
  <si>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</si>
  <si>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</si>
  <si>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</si>
  <si>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</si>
  <si>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</si>
  <si>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</si>
  <si>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</si>
  <si>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</si>
  <si>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</si>
  <si>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</si>
  <si>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</si>
  <si>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</si>
  <si>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</si>
  <si>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</si>
  <si>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</si>
  <si>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</si>
  <si>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</si>
  <si>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</si>
  <si>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</si>
  <si>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</si>
  <si>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</si>
  <si>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</si>
  <si>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</si>
  <si>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</si>
  <si>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</si>
  <si>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</si>
  <si>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</si>
  <si>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</si>
  <si>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</si>
  <si>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</si>
  <si>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</si>
  <si>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</si>
  <si>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</si>
  <si>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</si>
  <si>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</si>
  <si>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</si>
  <si>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</si>
  <si>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</si>
  <si>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</si>
  <si>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</si>
  <si>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</si>
  <si>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</si>
  <si>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</si>
  <si>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</si>
  <si>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</si>
  <si>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</si>
  <si>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</si>
  <si>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</si>
  <si>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</si>
  <si>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</si>
  <si>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</si>
  <si>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</si>
  <si>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</si>
  <si>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</si>
  <si>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</si>
  <si>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</si>
  <si>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</si>
  <si>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</si>
  <si>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</si>
  <si>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</si>
  <si>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</si>
  <si>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</si>
  <si>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</si>
  <si>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</si>
  <si>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</si>
  <si>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</si>
  <si>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</si>
  <si>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</si>
  <si>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</si>
  <si>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</si>
  <si>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</si>
  <si>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</si>
  <si>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</si>
  <si>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</si>
  <si>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</si>
  <si>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</si>
  <si>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</si>
  <si>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</si>
  <si>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</si>
  <si>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</si>
  <si>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</si>
  <si>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</si>
  <si>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</si>
  <si>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</si>
  <si>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</si>
  <si>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</si>
  <si>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</si>
  <si>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</si>
  <si>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</si>
  <si>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</si>
  <si>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</si>
  <si>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</si>
  <si>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</si>
  <si>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</si>
  <si>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</si>
  <si>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</si>
  <si>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</si>
  <si>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</si>
  <si>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</si>
  <si>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</si>
  <si>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</si>
  <si>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</si>
  <si>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</si>
  <si>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</si>
  <si>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</si>
  <si>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</si>
  <si>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</si>
  <si>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</si>
  <si>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</si>
  <si>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</si>
  <si>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</si>
  <si>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</si>
  <si>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</si>
  <si>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</si>
  <si>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</si>
  <si>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</si>
  <si>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</si>
  <si>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</si>
  <si>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</si>
  <si>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</si>
  <si>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</si>
  <si>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</si>
  <si>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</si>
  <si>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</si>
  <si>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</si>
  <si>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</si>
  <si>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</si>
  <si>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</si>
  <si>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</si>
  <si>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</si>
  <si>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</si>
  <si>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</si>
  <si>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</si>
  <si>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</si>
  <si>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</si>
  <si>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</si>
  <si>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</si>
  <si>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</si>
  <si>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</si>
  <si>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</si>
  <si>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</si>
  <si>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</si>
  <si>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</si>
  <si>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</si>
  <si>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</si>
  <si>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</si>
  <si>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</si>
  <si>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</si>
  <si>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</si>
  <si>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</si>
  <si>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</si>
  <si>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</si>
  <si>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</si>
  <si>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</si>
  <si>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</si>
  <si>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</si>
  <si>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</si>
  <si>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</si>
  <si>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</si>
  <si>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</si>
  <si>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</si>
  <si>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</si>
  <si>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</si>
  <si>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</si>
  <si>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</si>
  <si>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</si>
  <si>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</si>
  <si>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</si>
  <si>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</si>
  <si>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</si>
  <si>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</si>
  <si>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</si>
  <si>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</si>
  <si>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</si>
  <si>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</si>
  <si>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</si>
  <si>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</si>
  <si>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</si>
  <si>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</si>
  <si>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</si>
  <si>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</si>
  <si>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</si>
  <si>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</si>
  <si>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</si>
  <si>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</si>
  <si>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</si>
  <si>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</si>
  <si>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</si>
  <si>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</si>
  <si>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</si>
  <si>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</si>
  <si>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</si>
  <si>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</si>
  <si>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</si>
  <si>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</si>
  <si>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</si>
  <si>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</si>
  <si>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</si>
  <si>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</si>
  <si>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</si>
  <si>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</si>
  <si>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</si>
  <si>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</si>
  <si>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</si>
  <si>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</si>
  <si>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</si>
  <si>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</si>
  <si>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</si>
  <si>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</si>
  <si>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</si>
  <si>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</si>
  <si>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</si>
  <si>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</si>
  <si>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</si>
  <si>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</si>
  <si>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</si>
  <si>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</si>
  <si>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</si>
  <si>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</si>
  <si>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</si>
  <si>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</si>
  <si>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</si>
  <si>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</si>
  <si>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</si>
  <si>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</si>
  <si>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</si>
  <si>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</si>
  <si>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</si>
  <si>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</si>
  <si>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</si>
  <si>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</si>
  <si>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</si>
  <si>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</si>
  <si>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</si>
  <si>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</si>
  <si>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</si>
  <si>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</si>
  <si>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</si>
  <si>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</si>
  <si>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</si>
  <si>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</si>
  <si>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</si>
  <si>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</si>
  <si>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</si>
  <si>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</si>
  <si>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</si>
  <si>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</si>
  <si>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</si>
  <si>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</si>
  <si>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</si>
  <si>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</si>
  <si>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</si>
  <si>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</si>
  <si>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</si>
  <si>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</si>
  <si>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</si>
  <si>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</si>
  <si>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</si>
  <si>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</si>
  <si>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</si>
  <si>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</si>
  <si>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</si>
  <si>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</si>
  <si>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</si>
  <si>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</si>
  <si>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</si>
  <si>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</si>
  <si>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</si>
  <si>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</si>
  <si>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</si>
  <si>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</si>
  <si>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</si>
  <si>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</si>
  <si>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</si>
  <si>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</si>
  <si>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</si>
  <si>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</si>
  <si>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</si>
  <si>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</si>
  <si>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</si>
  <si>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</si>
  <si>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</si>
  <si>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</si>
  <si>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</si>
  <si>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</si>
  <si>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</si>
  <si>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</si>
  <si>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</si>
  <si>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</si>
  <si>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</si>
  <si>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</si>
  <si>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</si>
  <si>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</si>
  <si>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</si>
  <si>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</si>
  <si>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</si>
  <si>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</si>
  <si>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</si>
  <si>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</si>
  <si>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</si>
  <si>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</si>
  <si>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</si>
  <si>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</si>
  <si>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</si>
  <si>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</si>
  <si>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</si>
  <si>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</si>
  <si>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</si>
  <si>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</si>
  <si>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</si>
  <si>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</si>
  <si>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</si>
  <si>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</si>
  <si>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</si>
  <si>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</si>
  <si>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</si>
  <si>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</si>
  <si>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</si>
  <si>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</si>
  <si>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</si>
  <si>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</si>
  <si>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</si>
  <si>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</si>
  <si>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</si>
  <si>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</si>
  <si>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</si>
  <si>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</si>
  <si>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</si>
  <si>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</si>
  <si>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</si>
  <si>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</si>
  <si>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</si>
  <si>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</si>
  <si>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</si>
  <si>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</si>
  <si>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</si>
  <si>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</si>
  <si>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</si>
  <si>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</si>
  <si>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</si>
  <si>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</si>
  <si>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</si>
  <si>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</si>
  <si>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</si>
  <si>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</si>
  <si>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</si>
  <si>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</si>
  <si>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</si>
  <si>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</si>
  <si>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</si>
  <si>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</si>
  <si>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</si>
  <si>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</si>
  <si>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</si>
  <si>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</si>
  <si>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</si>
  <si>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</si>
  <si>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</si>
  <si>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</si>
  <si>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</si>
  <si>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</si>
  <si>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</si>
  <si>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</si>
  <si>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</si>
  <si>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</si>
  <si>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</si>
  <si>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</si>
  <si>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</si>
  <si>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</si>
  <si>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</si>
  <si>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</si>
  <si>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</si>
  <si>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</si>
  <si>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</si>
  <si>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</si>
  <si>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</si>
  <si>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</si>
  <si>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</si>
  <si>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</si>
  <si>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</si>
  <si>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</si>
  <si>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</si>
  <si>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</si>
  <si>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</si>
  <si>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</si>
  <si>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</si>
  <si>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</si>
  <si>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</si>
  <si>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</si>
  <si>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</si>
  <si>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</si>
  <si>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</si>
  <si>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</si>
  <si>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</si>
  <si>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</si>
  <si>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</si>
  <si>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</si>
  <si>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</si>
  <si>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</si>
  <si>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</si>
  <si>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</si>
  <si>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</si>
  <si>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</si>
  <si>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</si>
  <si>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</si>
  <si>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</si>
  <si>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</si>
  <si>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</si>
  <si>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</si>
  <si>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</si>
  <si>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</si>
  <si>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</si>
  <si>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</si>
  <si>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</si>
  <si>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</si>
  <si>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</si>
  <si>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</si>
  <si>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</si>
  <si>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</si>
  <si>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</si>
  <si>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</si>
  <si>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</si>
  <si>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</si>
  <si>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</si>
  <si>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</si>
  <si>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</si>
  <si>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</si>
  <si>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</si>
  <si>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</si>
  <si>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</si>
  <si>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</si>
  <si>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</si>
  <si>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</si>
  <si>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</si>
  <si>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</si>
  <si>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</si>
  <si>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</si>
  <si>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</si>
  <si>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</si>
  <si>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</si>
  <si>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</si>
  <si>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</si>
  <si>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</si>
  <si>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</si>
  <si>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</si>
  <si>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</si>
  <si>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</si>
  <si>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</si>
  <si>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</si>
  <si>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</si>
  <si>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</si>
  <si>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</si>
  <si>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</si>
  <si>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</si>
  <si>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</si>
  <si>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</si>
  <si>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</si>
  <si>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</si>
  <si>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</si>
  <si>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</si>
  <si>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</si>
  <si>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</si>
  <si>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</si>
  <si>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</si>
  <si>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</si>
  <si>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</si>
  <si>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</si>
  <si>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</si>
  <si>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</si>
  <si>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</si>
  <si>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</si>
  <si>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</si>
  <si>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</si>
  <si>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</si>
  <si>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</si>
  <si>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</si>
  <si>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</si>
  <si>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</si>
  <si>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</si>
  <si>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</si>
  <si>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</si>
  <si>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</si>
  <si>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</si>
  <si>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</si>
  <si>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</si>
  <si>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</si>
  <si>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</si>
  <si>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</si>
  <si>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</si>
  <si>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</si>
  <si>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</si>
  <si>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</si>
  <si>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</si>
  <si>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</si>
  <si>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</si>
  <si>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</si>
  <si>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</si>
  <si>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</si>
  <si>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</si>
  <si>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</si>
  <si>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</si>
  <si>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</si>
  <si>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</si>
  <si>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</si>
  <si>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</si>
  <si>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</si>
  <si>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</si>
  <si>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</si>
  <si>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</si>
  <si>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</si>
  <si>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</si>
  <si>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</si>
  <si>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</si>
  <si>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</si>
  <si>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</si>
  <si>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</si>
  <si>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</si>
  <si>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</si>
  <si>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</si>
  <si>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</si>
  <si>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</si>
  <si>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</si>
  <si>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</si>
  <si>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</si>
  <si>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</si>
  <si>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</si>
  <si>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</si>
  <si>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</si>
  <si>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</si>
  <si>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</si>
  <si>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</si>
  <si>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</si>
  <si>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</si>
  <si>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</si>
  <si>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</si>
  <si>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</si>
  <si>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</si>
  <si>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</si>
  <si>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</si>
  <si>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</si>
  <si>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</si>
  <si>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</si>
  <si>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</si>
  <si>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</si>
  <si>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</si>
  <si>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</si>
  <si>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</si>
  <si>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</si>
  <si>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</si>
  <si>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</si>
  <si>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</si>
  <si>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</si>
  <si>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</si>
  <si>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</si>
  <si>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</si>
  <si>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</si>
  <si>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</si>
  <si>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</si>
  <si>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</si>
  <si>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</si>
  <si>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</si>
  <si>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</si>
  <si>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</si>
  <si>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</si>
  <si>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</si>
  <si>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</si>
  <si>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</si>
  <si>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</si>
  <si>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</si>
  <si>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</si>
  <si>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</si>
  <si>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</si>
  <si>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</si>
  <si>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</si>
  <si>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</si>
  <si>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</si>
  <si>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</si>
  <si>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</si>
  <si>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</si>
  <si>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</si>
  <si>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</si>
  <si>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</si>
  <si>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</si>
  <si>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</si>
  <si>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</si>
  <si>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</si>
  <si>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</si>
  <si>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</si>
  <si>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</si>
  <si>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</si>
  <si>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</si>
  <si>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</si>
  <si>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</si>
  <si>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</si>
  <si>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</si>
  <si>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</si>
  <si>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</si>
  <si>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</si>
  <si>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</si>
  <si>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</si>
  <si>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</si>
  <si>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</si>
  <si>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</si>
  <si>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</si>
  <si>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</si>
  <si>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</si>
  <si>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</si>
  <si>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</si>
  <si>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</si>
  <si>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</si>
  <si>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</si>
  <si>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</si>
  <si>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</si>
  <si>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</si>
  <si>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</si>
  <si>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</si>
  <si>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</si>
  <si>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</si>
  <si>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</si>
  <si>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</si>
  <si>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</si>
  <si>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</si>
  <si>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</si>
  <si>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</si>
  <si>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</si>
  <si>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</si>
  <si>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</si>
  <si>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</si>
  <si>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</si>
  <si>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</si>
  <si>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</si>
  <si>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</si>
  <si>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</si>
  <si>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</si>
  <si>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</si>
  <si>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</si>
  <si>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</si>
  <si>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</si>
  <si>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</si>
  <si>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</si>
  <si>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</si>
  <si>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</si>
  <si>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</si>
  <si>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</si>
  <si>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</si>
  <si>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</si>
  <si>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</si>
  <si>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</si>
  <si>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</si>
  <si>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</si>
  <si>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</si>
  <si>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</si>
  <si>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</si>
  <si>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</si>
  <si>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</si>
  <si>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</si>
  <si>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</si>
  <si>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</si>
  <si>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</si>
  <si>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</si>
  <si>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</si>
  <si>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</si>
  <si>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</si>
  <si>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</si>
  <si>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</si>
  <si>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</si>
  <si>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</si>
  <si>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</si>
  <si>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</si>
  <si>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</si>
  <si>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</si>
  <si>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</si>
  <si>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</si>
  <si>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</si>
  <si>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</si>
  <si>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</si>
  <si>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</si>
  <si>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</si>
  <si>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</si>
  <si>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</si>
  <si>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</si>
  <si>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</si>
  <si>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</si>
  <si>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</si>
  <si>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</si>
  <si>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</si>
  <si>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</si>
  <si>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</si>
  <si>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</si>
  <si>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</si>
  <si>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</si>
  <si>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</si>
  <si>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</si>
  <si>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</si>
  <si>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</si>
  <si>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</si>
  <si>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</si>
  <si>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</si>
  <si>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</si>
  <si>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</si>
  <si>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</si>
  <si>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</si>
  <si>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</si>
  <si>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</si>
  <si>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</si>
  <si>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</si>
  <si>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</si>
  <si>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</si>
  <si>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</si>
  <si>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</si>
  <si>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</si>
  <si>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</si>
  <si>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</si>
  <si>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</si>
  <si>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</si>
  <si>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</si>
  <si>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</si>
  <si>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</si>
  <si>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</si>
  <si>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</si>
  <si>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</si>
  <si>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</si>
  <si>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</si>
  <si>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</si>
  <si>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</si>
  <si>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</si>
  <si>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</si>
  <si>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</si>
  <si>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</si>
  <si>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</si>
  <si>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</si>
  <si>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</si>
  <si>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</si>
  <si>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</si>
  <si>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</si>
  <si>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</si>
  <si>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</si>
  <si>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</si>
  <si>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</si>
  <si>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</si>
  <si>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</si>
  <si>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</si>
  <si>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</si>
  <si>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</si>
  <si>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</si>
  <si>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</si>
  <si>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</si>
  <si>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</si>
  <si>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</si>
  <si>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</si>
  <si>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</si>
  <si>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</si>
  <si>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</si>
  <si>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</si>
  <si>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</si>
  <si>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</si>
  <si>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</si>
  <si>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</si>
  <si>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</si>
  <si>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</si>
  <si>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</si>
  <si>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</si>
  <si>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</si>
  <si>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</si>
  <si>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</si>
  <si>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</si>
  <si>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</si>
  <si>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</si>
  <si>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</si>
  <si>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</si>
  <si>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</si>
  <si>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</si>
  <si>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</si>
  <si>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</si>
  <si>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</si>
  <si>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</si>
  <si>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</si>
  <si>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</si>
  <si>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</si>
  <si>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</si>
  <si>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</si>
  <si>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</si>
  <si>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</si>
  <si>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</si>
  <si>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</si>
  <si>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</si>
  <si>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</si>
  <si>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</si>
  <si>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</si>
  <si>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</si>
  <si>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</si>
  <si>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</si>
  <si>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</si>
  <si>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</si>
  <si>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</si>
  <si>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</si>
  <si>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</si>
  <si>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</si>
  <si>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</si>
  <si>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</si>
  <si>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</si>
  <si>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</si>
  <si>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</si>
  <si>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</si>
  <si>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</si>
  <si>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</si>
  <si>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</si>
  <si>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</si>
  <si>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</si>
  <si>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</si>
  <si>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</si>
  <si>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</si>
  <si>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</si>
  <si>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</si>
  <si>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</si>
  <si>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</si>
  <si>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</si>
  <si>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</si>
  <si>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</si>
  <si>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</si>
  <si>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</si>
  <si>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</si>
  <si>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</si>
  <si>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</si>
  <si>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</si>
  <si>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</si>
  <si>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</si>
  <si>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</si>
  <si>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</si>
  <si>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</si>
  <si>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</si>
  <si>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</si>
  <si>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</si>
  <si>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</si>
  <si>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</si>
  <si>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</si>
  <si>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</si>
  <si>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</si>
  <si>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</si>
  <si>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</si>
  <si>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</si>
  <si>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</si>
  <si>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</si>
  <si>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</si>
  <si>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</si>
  <si>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</si>
  <si>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</si>
  <si>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</si>
  <si>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</si>
  <si>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</si>
  <si>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</si>
  <si>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</si>
  <si>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</si>
  <si>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</si>
  <si>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</si>
  <si>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</si>
  <si>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</si>
  <si>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</si>
  <si>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</si>
  <si>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</si>
  <si>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</si>
  <si>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</si>
  <si>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</si>
  <si>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</si>
  <si>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</si>
  <si>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</si>
  <si>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</si>
  <si>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</si>
  <si>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</si>
  <si>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</si>
  <si>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</si>
  <si>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</si>
  <si>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</si>
  <si>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</si>
  <si>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</si>
  <si>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</si>
  <si>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</si>
  <si>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</si>
  <si>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</si>
  <si>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</si>
  <si>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</si>
  <si>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</si>
  <si>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</si>
  <si>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</si>
  <si>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</si>
  <si>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</si>
  <si>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</si>
  <si>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</si>
  <si>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</si>
  <si>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</si>
  <si>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</si>
  <si>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</si>
  <si>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</si>
  <si>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</si>
  <si>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</si>
  <si>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</si>
  <si>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</si>
  <si>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</si>
  <si>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</si>
  <si>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</si>
  <si>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</si>
  <si>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</si>
  <si>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</si>
  <si>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</si>
  <si>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</si>
  <si>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</si>
  <si>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</si>
  <si>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</si>
  <si>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</si>
  <si>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</si>
  <si>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</si>
  <si>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</si>
  <si>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</si>
  <si>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</si>
  <si>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</si>
  <si>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</si>
  <si>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</si>
  <si>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</si>
  <si>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</si>
  <si>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</si>
  <si>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</si>
  <si>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</si>
  <si>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</si>
  <si>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</si>
  <si>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</si>
  <si>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</si>
  <si>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</si>
  <si>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</si>
  <si>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</si>
  <si>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</si>
  <si>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</si>
  <si>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</si>
  <si>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</si>
  <si>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</si>
  <si>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</si>
  <si>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</si>
  <si>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</si>
  <si>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</si>
  <si>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</si>
  <si>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</si>
  <si>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</si>
  <si>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</si>
  <si>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</si>
  <si>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</si>
  <si>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</si>
  <si>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</si>
  <si>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</si>
  <si>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</si>
  <si>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</si>
  <si>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</si>
  <si>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</si>
  <si>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</si>
  <si>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</si>
  <si>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</si>
  <si>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</si>
  <si>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</si>
  <si>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</si>
  <si>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</si>
  <si>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</si>
  <si>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</si>
  <si>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</si>
  <si>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</si>
  <si>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</si>
  <si>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</si>
  <si>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</si>
  <si>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</si>
  <si>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</si>
  <si>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</si>
  <si>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</si>
  <si>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</si>
  <si>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</si>
  <si>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</si>
  <si>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</si>
  <si>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</si>
  <si>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</si>
  <si>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</si>
  <si>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</si>
  <si>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</si>
  <si>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</si>
  <si>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</si>
  <si>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</si>
  <si>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</si>
  <si>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</si>
  <si>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</si>
  <si>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</si>
  <si>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</si>
  <si>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</si>
  <si>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</si>
  <si>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</si>
  <si>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</si>
  <si>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</si>
  <si>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</si>
  <si>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</si>
  <si>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</si>
  <si>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</si>
  <si>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</si>
  <si>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</si>
  <si>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</si>
  <si>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</si>
  <si>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</si>
  <si>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</si>
  <si>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</si>
  <si>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</si>
  <si>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</si>
  <si>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</si>
  <si>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</si>
  <si>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</si>
  <si>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</si>
  <si>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</si>
  <si>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</si>
  <si>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</si>
  <si>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</si>
  <si>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</si>
  <si>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</si>
  <si>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</si>
  <si>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</si>
  <si>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</si>
  <si>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</si>
  <si>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</si>
  <si>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</si>
  <si>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</si>
  <si>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</si>
  <si>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</si>
  <si>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</si>
  <si>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</si>
  <si>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</si>
  <si>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</si>
  <si>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</si>
  <si>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</si>
  <si>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</si>
  <si>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</si>
  <si>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</si>
  <si>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</si>
  <si>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</si>
  <si>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</si>
  <si>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</si>
  <si>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</si>
  <si>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</si>
  <si>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</si>
  <si>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</si>
  <si>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</si>
  <si>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</si>
  <si>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</si>
  <si>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</si>
  <si>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</si>
  <si>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</si>
  <si>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</si>
  <si>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</si>
  <si>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</si>
  <si>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</si>
  <si>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</si>
  <si>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</si>
  <si>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</si>
  <si>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</si>
  <si>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</si>
  <si>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</si>
  <si>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</si>
  <si>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</si>
  <si>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</si>
  <si>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</si>
  <si>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</si>
  <si>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</si>
  <si>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</si>
  <si>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</si>
  <si>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</si>
  <si>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</si>
  <si>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</si>
  <si>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</si>
  <si>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</si>
  <si>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</si>
  <si>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</si>
  <si>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</si>
  <si>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</si>
  <si>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</si>
  <si>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</si>
  <si>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</si>
  <si>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</si>
  <si>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</si>
  <si>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</si>
  <si>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</si>
  <si>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</si>
  <si>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</si>
  <si>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</si>
  <si>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</si>
  <si>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</si>
  <si>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</si>
  <si>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</si>
  <si>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</si>
  <si>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</si>
  <si>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</si>
  <si>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</si>
  <si>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</si>
  <si>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</si>
  <si>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</si>
  <si>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</si>
  <si>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</si>
  <si>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</si>
  <si>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</si>
  <si>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</si>
  <si>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</si>
  <si>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</si>
  <si>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</si>
  <si>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</si>
  <si>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</si>
  <si>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</si>
  <si>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</si>
  <si>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</si>
  <si>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</si>
  <si>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</si>
  <si>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</si>
  <si>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</si>
  <si>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</si>
  <si>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</si>
  <si>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</si>
  <si>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</si>
  <si>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</si>
  <si>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</si>
  <si>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</si>
  <si>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</si>
  <si>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</si>
  <si>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</si>
  <si>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</si>
  <si>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</si>
  <si>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</si>
  <si>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</si>
  <si>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</si>
  <si>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</si>
  <si>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</si>
  <si>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</si>
  <si>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</si>
  <si>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</si>
  <si>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</si>
  <si>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</si>
  <si>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</si>
  <si>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</si>
  <si>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</si>
  <si>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</si>
  <si>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</si>
  <si>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</si>
  <si>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</si>
  <si>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</si>
  <si>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</si>
  <si>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</si>
  <si>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</si>
  <si>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</si>
  <si>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</si>
  <si>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</si>
  <si>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</si>
  <si>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</si>
  <si>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</si>
  <si>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</si>
  <si>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</si>
  <si>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</si>
  <si>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</si>
  <si>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</si>
  <si>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</si>
  <si>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</si>
  <si>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</si>
  <si>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</si>
  <si>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</si>
  <si>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</si>
  <si>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</si>
  <si>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</si>
  <si>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</si>
  <si>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</si>
  <si>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</si>
  <si>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</si>
  <si>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</si>
  <si>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</si>
  <si>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</si>
  <si>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</si>
  <si>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</si>
  <si>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</si>
  <si>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</si>
  <si>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</si>
  <si>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</si>
  <si>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</si>
  <si>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</si>
  <si>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</si>
  <si>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</si>
  <si>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</si>
  <si>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</si>
  <si>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</si>
  <si>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</si>
  <si>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</si>
  <si>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</si>
  <si>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</si>
  <si>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</si>
  <si>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</si>
  <si>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</si>
  <si>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</si>
  <si>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</si>
  <si>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</si>
  <si>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</si>
  <si>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</si>
  <si>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</si>
  <si>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</si>
  <si>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</si>
  <si>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</si>
  <si>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</si>
  <si>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</si>
  <si>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</si>
  <si>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</si>
  <si>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</si>
  <si>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</si>
  <si>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</si>
  <si>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</si>
  <si>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</si>
  <si>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</si>
  <si>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</si>
  <si>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</si>
  <si>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</si>
  <si>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</si>
  <si>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</si>
  <si>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</si>
  <si>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</si>
  <si>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</si>
  <si>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</si>
  <si>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</si>
  <si>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</si>
  <si>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</si>
  <si>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</si>
  <si>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</si>
  <si>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</si>
  <si>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</si>
  <si>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</si>
  <si>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</si>
  <si>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</si>
  <si>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</si>
  <si>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</si>
  <si>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</si>
  <si>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</si>
  <si>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</si>
  <si>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</si>
  <si>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</si>
  <si>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</si>
  <si>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</si>
  <si>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</si>
  <si>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</si>
  <si>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</si>
  <si>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</si>
  <si>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</si>
  <si>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</si>
  <si>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</si>
  <si>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</si>
  <si>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</si>
  <si>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</si>
  <si>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</si>
  <si>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</si>
  <si>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</si>
  <si>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</si>
  <si>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</si>
  <si>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</si>
  <si>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</si>
  <si>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</si>
  <si>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</si>
  <si>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</si>
  <si>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</si>
  <si>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</si>
  <si>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</si>
  <si>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</si>
  <si>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</si>
  <si>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</si>
  <si>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</si>
  <si>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</si>
  <si>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</si>
  <si>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</si>
  <si>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</si>
  <si>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</si>
  <si>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</si>
  <si>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</si>
  <si>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</si>
  <si>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</si>
  <si>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</si>
  <si>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</si>
  <si>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</si>
  <si>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</si>
  <si>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</si>
  <si>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</si>
  <si>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</si>
  <si>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</si>
  <si>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</si>
  <si>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</si>
  <si>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</si>
  <si>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</si>
  <si>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</si>
  <si>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</si>
  <si>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</si>
  <si>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</si>
  <si>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</si>
  <si>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</si>
  <si>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</si>
  <si>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</si>
  <si>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</si>
  <si>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</si>
  <si>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</si>
  <si>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</si>
  <si>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</si>
  <si>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</si>
  <si>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</si>
  <si>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</si>
  <si>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</si>
  <si>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</si>
  <si>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</si>
  <si>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</si>
  <si>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</si>
  <si>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</si>
  <si>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</si>
  <si>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</si>
  <si>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</si>
  <si>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</si>
  <si>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</si>
  <si>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</si>
  <si>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</si>
  <si>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</si>
  <si>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</si>
  <si>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</si>
  <si>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</si>
  <si>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</si>
  <si>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</si>
  <si>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</si>
  <si>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</si>
  <si>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</si>
  <si>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</si>
  <si>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</si>
  <si>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</si>
  <si>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</si>
  <si>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</si>
  <si>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</si>
  <si>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</si>
  <si>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</si>
  <si>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</si>
  <si>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</si>
  <si>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</si>
  <si>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</si>
  <si>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</si>
  <si>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</si>
  <si>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</si>
  <si>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</si>
  <si>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</si>
  <si>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</si>
  <si>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</si>
  <si>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</si>
  <si>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</si>
  <si>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</si>
  <si>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</si>
  <si>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</si>
  <si>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</si>
  <si>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</si>
  <si>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</si>
  <si>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</si>
  <si>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</si>
  <si>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</si>
  <si>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</si>
  <si>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</si>
  <si>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</si>
  <si>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</si>
  <si>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</si>
  <si>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</si>
  <si>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</si>
  <si>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</si>
  <si>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</si>
  <si>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</si>
  <si>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</si>
  <si>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</si>
  <si>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</si>
  <si>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</si>
  <si>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</si>
  <si>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</si>
  <si>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</si>
  <si>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</si>
  <si>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</si>
  <si>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</si>
  <si>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</si>
  <si>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</si>
  <si>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</si>
  <si>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</si>
  <si>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</si>
  <si>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</si>
  <si>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</si>
  <si>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</si>
  <si>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</si>
  <si>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</si>
  <si>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</si>
  <si>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</si>
  <si>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</si>
  <si>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</si>
  <si>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</si>
  <si>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</si>
  <si>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</si>
  <si>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</si>
  <si>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</si>
  <si>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</si>
  <si>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</si>
  <si>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</si>
  <si>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</si>
  <si>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</si>
  <si>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</si>
  <si>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</si>
  <si>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</si>
  <si>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</si>
  <si>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</si>
  <si>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</si>
  <si>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</si>
  <si>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</si>
  <si>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</si>
  <si>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</si>
  <si>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</si>
  <si>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</si>
  <si>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</si>
  <si>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</si>
  <si>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</si>
  <si>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</si>
  <si>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</si>
  <si>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</si>
  <si>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</si>
  <si>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</si>
  <si>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</si>
  <si>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</si>
  <si>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</si>
  <si>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</si>
  <si>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</si>
  <si>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</si>
  <si>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</si>
  <si>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</si>
  <si>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</si>
  <si>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</si>
  <si>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</si>
  <si>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</si>
  <si>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</si>
  <si>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</si>
  <si>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</si>
  <si>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</si>
  <si>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</si>
  <si>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</si>
  <si>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</si>
  <si>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</si>
  <si>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</si>
  <si>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</si>
  <si>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</si>
  <si>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</si>
  <si>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</si>
  <si>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</si>
  <si>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</si>
  <si>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</si>
  <si>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</si>
  <si>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</si>
  <si>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</si>
  <si>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</si>
  <si>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</si>
  <si>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</si>
  <si>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</si>
  <si>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</si>
  <si>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</si>
  <si>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</si>
  <si>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</si>
  <si>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</si>
  <si>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</si>
  <si>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</si>
  <si>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</si>
  <si>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</si>
  <si>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</si>
  <si>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</si>
  <si>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</si>
  <si>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</si>
  <si>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</si>
  <si>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</si>
  <si>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</si>
  <si>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</si>
  <si>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</si>
  <si>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</si>
  <si>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</si>
  <si>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</si>
  <si>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</si>
  <si>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</si>
  <si>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</si>
  <si>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</si>
  <si>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</si>
  <si>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</si>
  <si>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</si>
  <si>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</si>
  <si>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</si>
  <si>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</si>
  <si>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</si>
  <si>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</si>
  <si>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</si>
  <si>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</si>
  <si>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</si>
  <si>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</si>
  <si>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</si>
  <si>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</si>
  <si>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</si>
  <si>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</si>
  <si>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</si>
  <si>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</si>
  <si>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</si>
  <si>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</si>
  <si>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</si>
  <si>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</si>
  <si>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</si>
  <si>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</si>
  <si>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</si>
  <si>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</si>
  <si>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</si>
  <si>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</si>
  <si>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</si>
  <si>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</si>
  <si>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</si>
  <si>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</si>
  <si>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</si>
  <si>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</si>
  <si>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</si>
  <si>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</si>
  <si>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</si>
  <si>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</si>
  <si>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</si>
  <si>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</si>
  <si>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</si>
  <si>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</si>
  <si>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</si>
  <si>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</si>
  <si>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</si>
  <si>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</si>
  <si>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</si>
  <si>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</si>
  <si>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</si>
  <si>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</si>
  <si>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</si>
  <si>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</si>
  <si>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</si>
  <si>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</si>
  <si>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</si>
  <si>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</si>
  <si>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</si>
  <si>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</si>
  <si>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</si>
  <si>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</si>
  <si>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</si>
  <si>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</si>
  <si>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</si>
  <si>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</si>
  <si>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</si>
  <si>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</si>
  <si>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</si>
  <si>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</si>
  <si>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</si>
  <si>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</si>
  <si>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</si>
  <si>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</si>
  <si>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</si>
  <si>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</si>
  <si>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</si>
  <si>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</si>
  <si>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</si>
  <si>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</si>
  <si>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</si>
  <si>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</si>
  <si>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</si>
  <si>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</si>
  <si>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</si>
  <si>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</si>
  <si>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</si>
  <si>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</si>
  <si>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</si>
  <si>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</si>
  <si>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</si>
  <si>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</si>
  <si>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</si>
  <si>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</si>
  <si>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</si>
  <si>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</si>
  <si>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</si>
  <si>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</si>
  <si>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</si>
  <si>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</si>
  <si>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</si>
  <si>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</si>
  <si>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</si>
  <si>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</si>
  <si>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</si>
  <si>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</si>
  <si>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</si>
  <si>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</si>
  <si>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</si>
  <si>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</si>
  <si>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</si>
  <si>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</si>
  <si>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</si>
  <si>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</si>
  <si>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</si>
  <si>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</si>
  <si>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</si>
  <si>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</si>
  <si>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</si>
  <si>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</si>
  <si>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</si>
  <si>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</si>
  <si>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</si>
  <si>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</si>
  <si>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</si>
  <si>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</si>
  <si>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</si>
  <si>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</si>
  <si>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</si>
  <si>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</si>
  <si>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</si>
  <si>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</si>
  <si>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</si>
  <si>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</si>
  <si>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</si>
  <si>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</si>
  <si>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</si>
  <si>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</si>
  <si>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</si>
  <si>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</si>
  <si>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</si>
  <si>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</si>
  <si>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</si>
  <si>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</si>
  <si>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</si>
  <si>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</si>
  <si>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</si>
  <si>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</si>
  <si>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</si>
  <si>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</si>
  <si>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</si>
  <si>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</si>
  <si>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</si>
  <si>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</si>
  <si>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</si>
  <si>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</si>
  <si>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</si>
  <si>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</si>
  <si>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</si>
  <si>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</si>
  <si>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</si>
  <si>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</si>
  <si>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</si>
  <si>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</si>
  <si>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</si>
  <si>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</si>
  <si>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</si>
  <si>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</si>
  <si>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</si>
  <si>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</si>
  <si>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</si>
  <si>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</si>
  <si>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</si>
  <si>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</si>
  <si>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</si>
  <si>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</si>
  <si>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</si>
  <si>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</si>
  <si>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</si>
  <si>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</si>
  <si>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</si>
  <si>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</si>
  <si>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</si>
  <si>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</si>
  <si>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</si>
  <si>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</si>
  <si>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</si>
  <si>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</si>
  <si>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</si>
  <si>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</si>
  <si>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</si>
  <si>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</si>
  <si>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</si>
  <si>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</si>
  <si>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</si>
  <si>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</si>
  <si>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</si>
  <si>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</si>
  <si>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</si>
  <si>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</si>
  <si>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</si>
  <si>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</si>
  <si>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</si>
  <si>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</si>
  <si>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</si>
  <si>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</si>
  <si>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</si>
  <si>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</si>
  <si>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</si>
  <si>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</si>
  <si>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</si>
  <si>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</si>
  <si>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</si>
  <si>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</si>
  <si>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</si>
  <si>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</si>
  <si>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</si>
  <si>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</si>
  <si>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</si>
  <si>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</si>
  <si>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</si>
  <si>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</si>
  <si>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</si>
  <si>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</si>
  <si>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</si>
  <si>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</si>
  <si>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</si>
  <si>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</si>
  <si>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</si>
  <si>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</si>
  <si>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</si>
  <si>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</si>
  <si>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</si>
  <si>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</si>
  <si>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</si>
  <si>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</si>
  <si>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</si>
  <si>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</si>
  <si>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</si>
  <si>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</si>
  <si>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</si>
  <si>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</si>
  <si>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</si>
  <si>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</si>
  <si>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</si>
  <si>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</si>
  <si>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</si>
  <si>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</si>
  <si>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</si>
  <si>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</si>
  <si>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</si>
  <si>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</si>
  <si>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</si>
  <si>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</si>
  <si>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</si>
  <si>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</si>
  <si>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</si>
  <si>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</si>
  <si>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</si>
  <si>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</si>
  <si>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</si>
  <si>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</si>
  <si>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</si>
  <si>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</si>
  <si>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</si>
  <si>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</si>
  <si>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</si>
  <si>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</si>
  <si>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</si>
  <si>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</si>
  <si>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</si>
  <si>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</si>
  <si>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</si>
  <si>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</si>
  <si>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</si>
  <si>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</si>
  <si>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</si>
  <si>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</si>
  <si>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</si>
  <si>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</si>
  <si>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</si>
  <si>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</si>
  <si>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</si>
  <si>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</si>
  <si>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</si>
  <si>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</si>
  <si>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</si>
  <si>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</si>
  <si>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</si>
  <si>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</si>
  <si>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</si>
  <si>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</si>
  <si>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</si>
  <si>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</si>
  <si>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</si>
  <si>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</si>
  <si>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</si>
  <si>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</si>
  <si>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</si>
  <si>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</si>
  <si>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</si>
  <si>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</si>
  <si>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</si>
  <si>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</si>
  <si>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</si>
  <si>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</si>
  <si>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</si>
  <si>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</si>
  <si>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</si>
  <si>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</si>
  <si>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</si>
  <si>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</si>
  <si>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</si>
  <si>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</si>
  <si>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</si>
  <si>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</si>
  <si>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</si>
  <si>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</si>
  <si>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</si>
  <si>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</si>
  <si>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</si>
  <si>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</si>
  <si>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</si>
  <si>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</si>
  <si>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</si>
  <si>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</si>
  <si>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</si>
  <si>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</si>
  <si>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</si>
  <si>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</si>
  <si>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</si>
  <si>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</si>
  <si>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</si>
  <si>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</si>
  <si>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</si>
  <si>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</si>
  <si>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</si>
  <si>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</si>
  <si>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</si>
  <si>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</si>
  <si>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</si>
  <si>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</si>
  <si>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</si>
  <si>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</si>
  <si>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</si>
  <si>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</si>
  <si>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</si>
  <si>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</si>
  <si>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</si>
  <si>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</si>
  <si>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</si>
  <si>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</si>
  <si>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</si>
  <si>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</si>
  <si>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</si>
  <si>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</si>
  <si>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</si>
  <si>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</si>
  <si>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</si>
  <si>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</si>
  <si>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</si>
  <si>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</si>
  <si>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</si>
  <si>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</si>
  <si>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</si>
  <si>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</si>
  <si>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</si>
  <si>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</si>
  <si>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</si>
  <si>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</si>
  <si>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</si>
  <si>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</si>
  <si>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</si>
  <si>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</si>
  <si>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</si>
  <si>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</si>
  <si>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</si>
  <si>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</si>
  <si>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</si>
  <si>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</si>
  <si>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</si>
  <si>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</si>
  <si>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</si>
  <si>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</si>
  <si>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</si>
  <si>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</si>
  <si>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</si>
  <si>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</si>
  <si>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</si>
  <si>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</si>
  <si>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</si>
  <si>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</si>
  <si>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</si>
  <si>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</si>
  <si>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</si>
  <si>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</si>
  <si>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</si>
  <si>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</si>
  <si>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</si>
  <si>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</si>
  <si>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</si>
  <si>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</si>
  <si>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</si>
  <si>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</si>
  <si>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</si>
  <si>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</si>
  <si>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</si>
  <si>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</si>
  <si>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</si>
  <si>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</si>
  <si>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</si>
  <si>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</si>
  <si>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</si>
  <si>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</si>
  <si>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</si>
  <si>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</si>
  <si>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</si>
  <si>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</si>
  <si>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</si>
  <si>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</si>
  <si>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</si>
  <si>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</si>
  <si>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</si>
  <si>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</si>
  <si>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</si>
  <si>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</si>
  <si>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</si>
  <si>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</si>
  <si>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</si>
  <si>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</si>
  <si>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</si>
  <si>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</si>
  <si>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</si>
  <si>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</si>
  <si>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</si>
  <si>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</si>
  <si>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</si>
  <si>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</si>
  <si>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</si>
  <si>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</si>
  <si>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</si>
  <si>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</si>
  <si>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</si>
  <si>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</si>
  <si>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</si>
  <si>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</si>
  <si>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</si>
  <si>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</si>
  <si>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</si>
  <si>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</si>
  <si>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</si>
  <si>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</si>
  <si>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</si>
  <si>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</si>
  <si>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</si>
  <si>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</si>
  <si>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</si>
  <si>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</si>
  <si>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</si>
  <si>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</si>
  <si>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</si>
  <si>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</si>
  <si>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</si>
  <si>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</si>
  <si>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</si>
  <si>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</si>
  <si>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</si>
  <si>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</si>
  <si>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</si>
  <si>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</si>
  <si>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</si>
  <si>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</si>
  <si>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</si>
  <si>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</si>
  <si>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</si>
  <si>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</si>
  <si>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</si>
  <si>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</si>
  <si>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</si>
  <si>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</si>
  <si>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</si>
  <si>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</si>
  <si>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</si>
  <si>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</si>
  <si>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</si>
  <si>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</si>
  <si>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</si>
  <si>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</si>
  <si>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</si>
  <si>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</si>
  <si>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</si>
  <si>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</si>
  <si>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</si>
  <si>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</si>
  <si>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</si>
  <si>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</si>
  <si>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</si>
  <si>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</si>
  <si>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</si>
  <si>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</si>
  <si>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</si>
  <si>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</si>
  <si>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</si>
  <si>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</si>
  <si>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</si>
  <si>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</si>
  <si>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</si>
  <si>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</si>
  <si>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</si>
  <si>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</si>
  <si>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</si>
  <si>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</si>
  <si>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</si>
  <si>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</si>
  <si>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</si>
  <si>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</si>
  <si>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</si>
  <si>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</si>
  <si>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</si>
  <si>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</si>
  <si>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</si>
  <si>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</si>
  <si>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</si>
  <si>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</si>
  <si>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</si>
  <si>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</si>
  <si>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</si>
  <si>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</si>
  <si>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</si>
  <si>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</si>
  <si>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</si>
  <si>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</si>
  <si>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</si>
  <si>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</si>
  <si>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</si>
  <si>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</si>
  <si>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</si>
  <si>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</si>
  <si>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</si>
  <si>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</si>
  <si>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</si>
  <si>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</si>
  <si>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</si>
  <si>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</si>
  <si>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</si>
  <si>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</si>
  <si>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</si>
  <si>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</si>
  <si>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</si>
  <si>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</si>
  <si>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</si>
  <si>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</si>
  <si>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</si>
  <si>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</si>
  <si>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</si>
  <si>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</si>
  <si>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</si>
  <si>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</si>
  <si>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</si>
  <si>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</si>
  <si>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</si>
  <si>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</si>
  <si>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</si>
  <si>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</si>
  <si>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</si>
  <si>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</si>
  <si>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</si>
  <si>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</si>
  <si>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</si>
  <si>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</si>
  <si>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</si>
  <si>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</si>
  <si>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</si>
  <si>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</si>
  <si>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</si>
  <si>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</si>
  <si>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</si>
  <si>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</si>
  <si>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</si>
  <si>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</si>
  <si>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</si>
  <si>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</si>
  <si>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</si>
  <si>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</si>
  <si>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</si>
  <si>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</si>
  <si>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</si>
  <si>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</si>
  <si>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</si>
  <si>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</si>
  <si>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</si>
  <si>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</si>
  <si>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</si>
  <si>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</si>
  <si>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</si>
  <si>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</si>
  <si>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</si>
  <si>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</si>
  <si>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</si>
  <si>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</si>
  <si>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</si>
  <si>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</si>
  <si>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</si>
  <si>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</si>
  <si>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</si>
  <si>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</si>
  <si>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</si>
  <si>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</si>
  <si>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</si>
  <si>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</si>
  <si>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</si>
  <si>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</si>
  <si>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</si>
  <si>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</si>
  <si>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</si>
  <si>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</si>
  <si>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</si>
  <si>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</si>
  <si>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</si>
  <si>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</si>
  <si>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</si>
  <si>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</si>
  <si>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</si>
  <si>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</si>
  <si>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</si>
  <si>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</si>
  <si>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</si>
  <si>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</si>
  <si>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</si>
  <si>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</si>
  <si>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</si>
  <si>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</si>
  <si>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</si>
  <si>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</si>
  <si>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</si>
  <si>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</si>
  <si>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</si>
  <si>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</si>
  <si>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</si>
  <si>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</si>
  <si>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</si>
  <si>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</si>
  <si>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</si>
  <si>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</si>
  <si>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</si>
  <si>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</si>
  <si>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</si>
  <si>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</si>
  <si>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</si>
  <si>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</si>
  <si>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</si>
  <si>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</si>
  <si>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</si>
  <si>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</si>
  <si>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</si>
  <si>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</si>
  <si>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</si>
  <si>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</si>
  <si>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</si>
  <si>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</si>
  <si>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</si>
  <si>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</si>
  <si>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</si>
  <si>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</si>
  <si>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</si>
  <si>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</si>
  <si>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</si>
  <si>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</si>
  <si>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</si>
  <si>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</si>
  <si>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</si>
  <si>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</si>
  <si>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</si>
  <si>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</si>
  <si>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</si>
  <si>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</si>
  <si>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</si>
  <si>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</si>
  <si>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</si>
  <si>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</si>
  <si>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</si>
  <si>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</si>
  <si>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</si>
  <si>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</si>
  <si>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</si>
  <si>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</si>
  <si>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</si>
  <si>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</si>
  <si>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</si>
  <si>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</si>
  <si>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</si>
  <si>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</si>
  <si>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</si>
  <si>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</si>
  <si>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</si>
  <si>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</si>
  <si>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</si>
  <si>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</si>
  <si>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</si>
  <si>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</si>
  <si>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</si>
  <si>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</si>
  <si>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</si>
  <si>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</si>
  <si>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</si>
  <si>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</si>
  <si>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</si>
  <si>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</si>
  <si>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</si>
  <si>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</si>
  <si>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</si>
  <si>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</si>
  <si>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</si>
  <si>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</si>
  <si>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</si>
  <si>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</si>
  <si>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</si>
  <si>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</si>
  <si>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</si>
  <si>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</si>
  <si>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</si>
  <si>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</si>
  <si>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</si>
  <si>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</si>
  <si>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</si>
  <si>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</si>
  <si>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</si>
  <si>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</si>
  <si>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</si>
  <si>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</si>
  <si>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</si>
  <si>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</si>
  <si>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</si>
  <si>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</si>
  <si>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</si>
  <si>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</si>
  <si>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</si>
  <si>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</si>
  <si>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</si>
  <si>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</si>
  <si>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</si>
  <si>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</si>
  <si>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</si>
  <si>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</si>
  <si>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</si>
  <si>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</si>
  <si>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</si>
  <si>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</si>
  <si>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</si>
  <si>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</si>
  <si>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</si>
  <si>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</si>
  <si>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</si>
  <si>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</si>
  <si>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</si>
  <si>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</si>
  <si>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</si>
  <si>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</si>
  <si>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</si>
  <si>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</si>
  <si>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</si>
  <si>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</si>
  <si>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</si>
  <si>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</si>
  <si>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</si>
  <si>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</si>
  <si>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</si>
  <si>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</si>
  <si>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</si>
  <si>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</si>
  <si>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</si>
  <si>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</si>
  <si>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</si>
  <si>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</si>
  <si>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</si>
  <si>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</si>
  <si>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</si>
  <si>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</si>
  <si>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</si>
  <si>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</si>
  <si>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</si>
  <si>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</si>
  <si>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</si>
  <si>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</si>
  <si>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</si>
  <si>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</si>
  <si>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</si>
  <si>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</si>
  <si>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</si>
  <si>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</si>
  <si>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</si>
  <si>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</si>
  <si>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</si>
  <si>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</si>
  <si>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</si>
  <si>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</si>
  <si>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</si>
  <si>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</si>
  <si>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</si>
  <si>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</si>
  <si>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</si>
  <si>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</si>
  <si>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</si>
  <si>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</si>
  <si>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</si>
  <si>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</si>
  <si>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</si>
  <si>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</si>
  <si>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</si>
  <si>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</si>
  <si>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</si>
  <si>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</si>
  <si>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</si>
  <si>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</si>
  <si>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</si>
  <si>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</si>
  <si>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</si>
  <si>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</si>
  <si>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</si>
  <si>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</si>
  <si>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</si>
  <si>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</si>
  <si>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</si>
  <si>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</si>
  <si>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</si>
  <si>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</si>
  <si>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</si>
  <si>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</si>
  <si>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</si>
  <si>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</si>
  <si>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</si>
  <si>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</si>
  <si>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</si>
  <si>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</si>
  <si>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</si>
  <si>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</si>
  <si>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</si>
  <si>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</si>
  <si>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</si>
  <si>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</si>
  <si>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</si>
  <si>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</si>
  <si>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</si>
  <si>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</si>
  <si>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</si>
  <si>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</si>
  <si>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</si>
  <si>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</si>
  <si>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</si>
  <si>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</si>
  <si>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</si>
  <si>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</si>
  <si>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</si>
  <si>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</si>
  <si>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</si>
  <si>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</si>
  <si>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</si>
  <si>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</si>
  <si>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</si>
  <si>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</si>
  <si>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</si>
  <si>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</si>
  <si>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</si>
  <si>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</si>
  <si>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</si>
  <si>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</si>
  <si>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</si>
  <si>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</si>
  <si>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</si>
  <si>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</si>
  <si>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</si>
  <si>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</si>
  <si>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</si>
  <si>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</si>
  <si>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</si>
  <si>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</si>
  <si>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</si>
  <si>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</si>
  <si>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</si>
  <si>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</si>
  <si>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</si>
  <si>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</si>
  <si>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</si>
  <si>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</si>
  <si>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</si>
  <si>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</si>
  <si>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</si>
  <si>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</si>
  <si>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</si>
  <si>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</si>
  <si>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</si>
  <si>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</si>
  <si>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</si>
  <si>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</si>
  <si>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</si>
  <si>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</si>
  <si>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</si>
  <si>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</si>
  <si>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</si>
  <si>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</si>
  <si>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</si>
  <si>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</si>
  <si>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</si>
  <si>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</si>
  <si>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</si>
  <si>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</si>
  <si>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</si>
  <si>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</si>
  <si>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</si>
  <si>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</si>
  <si>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</si>
  <si>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</si>
  <si>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</si>
  <si>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</si>
  <si>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</si>
  <si>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</si>
  <si>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</si>
  <si>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</si>
  <si>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</si>
  <si>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</si>
  <si>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</si>
  <si>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</si>
  <si>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</si>
  <si>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</si>
  <si>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</si>
  <si>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</si>
  <si>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</si>
  <si>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</si>
  <si>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</si>
  <si>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</si>
  <si>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</si>
  <si>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</si>
  <si>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</si>
  <si>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</si>
  <si>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</si>
  <si>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</si>
  <si>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</si>
  <si>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</si>
  <si>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</si>
  <si>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</si>
  <si>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</si>
  <si>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</si>
  <si>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</si>
  <si>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</si>
  <si>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</si>
  <si>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</si>
  <si>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</si>
  <si>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</si>
  <si>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</si>
  <si>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</si>
  <si>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</si>
  <si>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</si>
  <si>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</si>
  <si>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</si>
  <si>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</si>
  <si>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</si>
  <si>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</si>
  <si>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</si>
  <si>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</si>
  <si>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</si>
  <si>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</si>
  <si>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</si>
  <si>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</si>
  <si>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</si>
  <si>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</si>
  <si>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</si>
  <si>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</si>
  <si>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</si>
  <si>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</si>
  <si>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</si>
  <si>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</si>
  <si>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</si>
  <si>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</si>
  <si>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</si>
  <si>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</si>
  <si>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</si>
  <si>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</si>
  <si>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</si>
  <si>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</si>
  <si>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</si>
  <si>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</si>
  <si>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</si>
  <si>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</si>
  <si>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</si>
  <si>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</si>
  <si>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</si>
  <si>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</si>
  <si>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</si>
  <si>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</si>
  <si>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</si>
  <si>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</si>
  <si>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</si>
  <si>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</si>
  <si>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</si>
  <si>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</si>
  <si>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</si>
  <si>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</si>
  <si>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</si>
  <si>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</si>
  <si>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</si>
  <si>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</si>
  <si>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</si>
  <si>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</si>
  <si>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</si>
  <si>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</si>
  <si>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</si>
  <si>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</si>
  <si>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</si>
  <si>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</si>
  <si>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</si>
  <si>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</si>
  <si>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</si>
  <si>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</si>
  <si>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</si>
  <si>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</si>
  <si>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</si>
  <si>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</si>
  <si>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</si>
  <si>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</si>
  <si>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</si>
  <si>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</si>
  <si>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</si>
  <si>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</si>
  <si>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</si>
  <si>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</si>
  <si>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</si>
  <si>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</si>
  <si>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</si>
  <si>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</si>
  <si>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</si>
  <si>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</si>
  <si>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</si>
  <si>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</si>
  <si>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</si>
  <si>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</si>
  <si>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</si>
  <si>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</si>
  <si>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</si>
  <si>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</si>
  <si>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</si>
  <si>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</si>
  <si>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</si>
  <si>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</si>
  <si>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</si>
  <si>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</si>
  <si>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</si>
  <si>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</si>
  <si>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</si>
  <si>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</si>
  <si>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</si>
  <si>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</si>
  <si>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</si>
  <si>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</si>
  <si>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</si>
  <si>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</si>
  <si>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</si>
  <si>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</si>
  <si>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</si>
  <si>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</si>
  <si>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</si>
  <si>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</si>
  <si>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</si>
  <si>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</si>
  <si>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</si>
  <si>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</si>
  <si>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</si>
  <si>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</si>
  <si>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</si>
  <si>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</si>
  <si>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</si>
  <si>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</si>
  <si>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</si>
  <si>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</si>
  <si>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</si>
  <si>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</si>
  <si>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</si>
  <si>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</si>
  <si>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</si>
  <si>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</si>
  <si>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</si>
  <si>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</si>
  <si>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</si>
  <si>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</si>
  <si>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</si>
  <si>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</si>
  <si>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</si>
  <si>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</si>
  <si>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</si>
  <si>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</si>
  <si>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</si>
  <si>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</si>
  <si>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</si>
  <si>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</si>
  <si>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</si>
  <si>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</si>
  <si>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</si>
  <si>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</si>
  <si>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</si>
  <si>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</si>
  <si>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</si>
  <si>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</si>
  <si>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</si>
  <si>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</si>
  <si>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</si>
  <si>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</si>
  <si>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</si>
  <si>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</si>
  <si>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</si>
  <si>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</si>
  <si>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</si>
  <si>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</si>
  <si>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</si>
  <si>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</si>
  <si>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</si>
  <si>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</si>
  <si>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</si>
  <si>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</si>
  <si>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</si>
  <si>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</si>
  <si>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</si>
  <si>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</si>
  <si>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</si>
  <si>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</si>
  <si>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</si>
  <si>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</si>
  <si>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</si>
  <si>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</si>
  <si>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</si>
  <si>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</si>
  <si>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</si>
  <si>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</si>
  <si>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</si>
  <si>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</si>
  <si>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</si>
  <si>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</si>
  <si>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</si>
  <si>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</si>
  <si>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</si>
  <si>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</si>
  <si>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</si>
  <si>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</si>
  <si>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</si>
  <si>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</si>
  <si>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</si>
  <si>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</si>
  <si>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</si>
  <si>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</si>
  <si>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</si>
  <si>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</si>
  <si>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</si>
  <si>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</si>
  <si>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</si>
  <si>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</si>
  <si>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</si>
  <si>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</si>
  <si>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</si>
  <si>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</si>
  <si>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</si>
  <si>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</si>
  <si>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</si>
  <si>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</si>
  <si>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</si>
  <si>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</si>
  <si>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</si>
  <si>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</si>
  <si>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</si>
  <si>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</si>
  <si>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</si>
  <si>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</si>
  <si>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</si>
  <si>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</si>
  <si>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</si>
  <si>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</si>
  <si>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</si>
  <si>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</si>
  <si>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</si>
  <si>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</si>
  <si>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</si>
  <si>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</si>
  <si>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</si>
  <si>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</si>
  <si>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</si>
  <si>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</si>
  <si>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</si>
  <si>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</si>
  <si>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</si>
  <si>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</si>
  <si>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</si>
  <si>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</si>
  <si>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</si>
  <si>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</si>
  <si>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</si>
  <si>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</si>
  <si>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</si>
  <si>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</si>
  <si>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</si>
  <si>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</si>
  <si>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</si>
  <si>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</si>
  <si>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</si>
  <si>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</si>
  <si>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</si>
  <si>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</si>
  <si>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</si>
  <si>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</si>
  <si>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</si>
  <si>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</si>
  <si>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</si>
  <si>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</si>
  <si>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</si>
  <si>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</si>
  <si>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</si>
  <si>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</si>
  <si>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</si>
  <si>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</si>
  <si>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</si>
  <si>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</si>
  <si>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</si>
  <si>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</si>
  <si>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</si>
  <si>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</si>
  <si>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</si>
  <si>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</si>
  <si>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</si>
  <si>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</si>
  <si>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</si>
  <si>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</si>
  <si>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</si>
  <si>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</si>
  <si>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</si>
  <si>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</si>
  <si>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</si>
  <si>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</si>
  <si>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</si>
  <si>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</si>
  <si>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</si>
  <si>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</si>
  <si>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</si>
  <si>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</si>
  <si>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</si>
  <si>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</si>
  <si>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</si>
  <si>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</si>
  <si>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</si>
  <si>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</si>
  <si>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</si>
  <si>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</si>
  <si>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</si>
  <si>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</si>
  <si>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</si>
  <si>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</si>
  <si>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</si>
  <si>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</si>
  <si>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</si>
  <si>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</si>
  <si>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</si>
  <si>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</si>
  <si>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</si>
  <si>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</si>
  <si>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</si>
  <si>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</si>
  <si>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</si>
  <si>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</si>
  <si>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</si>
  <si>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</si>
  <si>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</si>
  <si>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</si>
  <si>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</si>
  <si>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</si>
  <si>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</si>
  <si>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</si>
  <si>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</si>
  <si>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</si>
  <si>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</si>
  <si>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</si>
  <si>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</si>
  <si>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</si>
  <si>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</si>
  <si>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</si>
  <si>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</si>
  <si>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</si>
  <si>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</si>
  <si>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</si>
  <si>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</si>
  <si>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</si>
  <si>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</si>
  <si>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</si>
  <si>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</si>
  <si>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</si>
  <si>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</si>
  <si>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</si>
  <si>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</si>
  <si>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</si>
  <si>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</si>
  <si>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</si>
  <si>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</si>
  <si>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</si>
  <si>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</si>
  <si>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</si>
  <si>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</si>
  <si>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</si>
  <si>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</si>
  <si>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</si>
  <si>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</si>
  <si>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</si>
  <si>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</si>
  <si>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</si>
  <si>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</si>
  <si>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</si>
  <si>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</si>
  <si>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</si>
  <si>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</si>
  <si>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</si>
  <si>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</si>
  <si>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</si>
  <si>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</si>
  <si>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</si>
  <si>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</si>
  <si>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</si>
  <si>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</si>
  <si>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</si>
  <si>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</si>
  <si>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</si>
  <si>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</si>
  <si>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</si>
  <si>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</si>
  <si>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</si>
  <si>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</si>
  <si>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</si>
  <si>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</si>
  <si>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</si>
  <si>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</si>
  <si>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</si>
  <si>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</si>
  <si>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</si>
  <si>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</si>
  <si>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</si>
  <si>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</si>
  <si>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</si>
  <si>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</si>
  <si>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</si>
  <si>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</si>
  <si>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</si>
  <si>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</si>
  <si>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</si>
  <si>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</si>
  <si>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</si>
  <si>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</si>
  <si>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</si>
  <si>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</si>
  <si>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</si>
  <si>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</si>
  <si>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</si>
  <si>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</si>
  <si>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</si>
  <si>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</si>
  <si>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</si>
  <si>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</si>
  <si>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</si>
  <si>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</si>
  <si>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</si>
  <si>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</si>
  <si>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</si>
  <si>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</si>
  <si>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</si>
  <si>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</si>
  <si>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</si>
  <si>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</si>
  <si>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</si>
  <si>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</si>
  <si>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</si>
  <si>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</si>
  <si>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</si>
  <si>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</si>
  <si>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</si>
  <si>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</si>
  <si>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</si>
  <si>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</si>
  <si>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</si>
  <si>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</si>
  <si>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</si>
  <si>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</si>
  <si>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</si>
  <si>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</si>
  <si>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</si>
  <si>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</si>
  <si>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</si>
  <si>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</si>
  <si>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</si>
  <si>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</si>
  <si>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</si>
  <si>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</si>
  <si>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</si>
  <si>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</si>
  <si>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</si>
  <si>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</si>
  <si>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</si>
  <si>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</si>
  <si>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</si>
  <si>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</si>
  <si>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</si>
  <si>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</si>
  <si>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</si>
  <si>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</si>
  <si>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</si>
  <si>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</si>
  <si>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</si>
  <si>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</si>
  <si>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</si>
  <si>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</si>
  <si>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</si>
  <si>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</si>
  <si>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</si>
  <si>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</si>
  <si>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</si>
  <si>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</si>
  <si>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</si>
  <si>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</si>
  <si>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</si>
  <si>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</si>
  <si>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</si>
  <si>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</si>
  <si>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</si>
  <si>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</si>
  <si>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</si>
  <si>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</si>
  <si>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</si>
  <si>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</si>
  <si>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</si>
  <si>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</si>
  <si>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</si>
  <si>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</si>
  <si>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</si>
  <si>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</si>
  <si>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</si>
  <si>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</si>
  <si>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</si>
  <si>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</si>
  <si>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</si>
  <si>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</si>
  <si>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</si>
  <si>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</si>
  <si>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</si>
  <si>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</si>
  <si>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</si>
  <si>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</si>
  <si>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</si>
  <si>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</si>
  <si>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</si>
  <si>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</si>
  <si>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</si>
  <si>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</si>
  <si>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</si>
  <si>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</si>
  <si>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</si>
  <si>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</si>
  <si>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</si>
  <si>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</si>
  <si>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</si>
  <si>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</si>
  <si>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</si>
  <si>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</si>
  <si>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</si>
  <si>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</si>
  <si>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</si>
  <si>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</si>
  <si>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</si>
  <si>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</si>
  <si>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</si>
  <si>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</si>
  <si>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</si>
  <si>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</si>
  <si>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</si>
  <si>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</si>
  <si>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</si>
  <si>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</si>
  <si>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</si>
  <si>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</si>
  <si>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</si>
  <si>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</si>
  <si>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</si>
  <si>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</si>
  <si>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</si>
  <si>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</si>
  <si>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</si>
  <si>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</si>
  <si>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</si>
  <si>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</si>
  <si>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</si>
  <si>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</si>
  <si>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</si>
  <si>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</si>
  <si>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</si>
  <si>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</si>
  <si>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</si>
  <si>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</si>
  <si>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</si>
  <si>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</si>
  <si>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</si>
  <si>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</si>
  <si>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</si>
  <si>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</si>
  <si>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</si>
  <si>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</si>
  <si>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</si>
  <si>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</si>
  <si>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</si>
  <si>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</si>
  <si>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</si>
  <si>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</si>
  <si>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</si>
  <si>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</si>
  <si>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</si>
  <si>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</si>
  <si>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</si>
  <si>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</si>
  <si>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</si>
  <si>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</si>
  <si>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</si>
  <si>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</si>
  <si>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</si>
  <si>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</si>
  <si>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</si>
  <si>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</si>
  <si>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</si>
  <si>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</si>
  <si>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</si>
  <si>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</si>
  <si>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</si>
  <si>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</si>
  <si>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</si>
  <si>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</si>
  <si>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</si>
  <si>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</si>
  <si>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</si>
  <si>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</si>
  <si>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</si>
  <si>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</si>
  <si>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</si>
  <si>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</si>
  <si>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</si>
  <si>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</si>
  <si>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</si>
  <si>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</si>
  <si>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</si>
  <si>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</si>
  <si>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</si>
  <si>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</si>
  <si>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</si>
  <si>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</si>
  <si>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</si>
  <si>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</si>
  <si>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</si>
  <si>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</si>
  <si>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</si>
  <si>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</si>
  <si>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</si>
  <si>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</si>
  <si>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</si>
  <si>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</si>
  <si>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</si>
  <si>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</si>
  <si>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</si>
  <si>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</si>
  <si>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</si>
  <si>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</si>
  <si>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</si>
  <si>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</si>
  <si>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</si>
  <si>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</si>
  <si>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</si>
  <si>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</si>
  <si>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</si>
  <si>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</si>
  <si>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</si>
  <si>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</si>
  <si>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</si>
  <si>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</si>
  <si>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</si>
  <si>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</si>
  <si>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</si>
  <si>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</si>
  <si>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</si>
  <si>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</si>
  <si>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</si>
  <si>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</si>
  <si>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</si>
  <si>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</si>
  <si>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</si>
  <si>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</si>
  <si>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</si>
  <si>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</si>
  <si>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</si>
  <si>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</si>
  <si>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</si>
  <si>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</si>
  <si>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</si>
  <si>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</si>
  <si>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</si>
  <si>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</si>
  <si>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</si>
  <si>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</si>
  <si>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</si>
  <si>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</si>
  <si>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</si>
  <si>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</si>
  <si>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</si>
  <si>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</si>
  <si>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</si>
  <si>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</si>
  <si>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</si>
  <si>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</si>
  <si>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</si>
  <si>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</si>
  <si>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</si>
  <si>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</si>
  <si>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</si>
  <si>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</si>
  <si>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</si>
  <si>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</si>
  <si>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</si>
  <si>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</si>
  <si>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</si>
  <si>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</si>
  <si>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</si>
  <si>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</si>
  <si>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</si>
  <si>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</si>
  <si>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</si>
  <si>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</si>
  <si>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</si>
  <si>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</si>
  <si>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</si>
  <si>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</si>
  <si>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</si>
  <si>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</si>
  <si>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</si>
  <si>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</si>
  <si>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</si>
  <si>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</si>
  <si>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</si>
  <si>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</si>
  <si>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</si>
  <si>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</si>
  <si>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</si>
  <si>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</si>
  <si>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</si>
  <si>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</si>
  <si>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</si>
  <si>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</si>
  <si>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</si>
  <si>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</si>
  <si>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</si>
  <si>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</si>
  <si>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</si>
  <si>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</si>
  <si>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</si>
  <si>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</si>
  <si>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</si>
  <si>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</si>
  <si>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</si>
  <si>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</si>
  <si>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</si>
  <si>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</si>
  <si>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</si>
  <si>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</si>
  <si>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</si>
  <si>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</si>
  <si>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</si>
  <si>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</si>
  <si>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</si>
  <si>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</si>
  <si>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</si>
  <si>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</si>
  <si>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</si>
  <si>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</si>
  <si>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</si>
  <si>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</si>
  <si>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</si>
  <si>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</si>
  <si>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</si>
  <si>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</si>
  <si>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</si>
  <si>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</si>
  <si>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</si>
  <si>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</si>
  <si>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</si>
  <si>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</si>
  <si>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</si>
  <si>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</si>
  <si>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</si>
  <si>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</si>
  <si>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</si>
  <si>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</si>
  <si>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</si>
  <si>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</si>
  <si>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</si>
  <si>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</si>
  <si>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</si>
  <si>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</si>
  <si>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</si>
  <si>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</si>
  <si>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</si>
  <si>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</si>
  <si>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</si>
  <si>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</si>
  <si>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</si>
  <si>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</si>
  <si>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</si>
  <si>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</si>
  <si>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</si>
  <si>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</si>
  <si>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</si>
  <si>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</si>
  <si>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</si>
  <si>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</si>
  <si>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</si>
  <si>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</si>
  <si>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</si>
  <si>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</si>
  <si>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</si>
  <si>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</si>
  <si>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</si>
  <si>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</si>
  <si>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</si>
  <si>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</si>
  <si>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</si>
  <si>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</si>
  <si>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</si>
  <si>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</si>
  <si>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</si>
  <si>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</si>
  <si>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</si>
  <si>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</si>
  <si>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</si>
  <si>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</si>
  <si>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</si>
  <si>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</si>
  <si>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</si>
  <si>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</si>
  <si>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</si>
  <si>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</si>
  <si>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</si>
  <si>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</si>
  <si>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</si>
  <si>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</si>
  <si>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</si>
  <si>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</si>
  <si>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</si>
  <si>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</si>
  <si>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</si>
  <si>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</si>
  <si>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</si>
  <si>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</si>
  <si>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</si>
  <si>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</si>
  <si>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</si>
  <si>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</si>
  <si>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</si>
  <si>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</si>
  <si>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</si>
  <si>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</si>
  <si>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</si>
  <si>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</si>
  <si>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</si>
  <si>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</si>
  <si>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</si>
  <si>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</si>
  <si>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</si>
  <si>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</si>
  <si>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</si>
  <si>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</si>
  <si>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</si>
  <si>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</si>
  <si>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</si>
  <si>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</si>
  <si>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</si>
  <si>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</si>
  <si>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</si>
  <si>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</si>
  <si>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</si>
  <si>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</si>
  <si>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</si>
  <si>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</si>
  <si>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</si>
  <si>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</si>
  <si>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</si>
  <si>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</si>
  <si>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</si>
  <si>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</si>
  <si>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</si>
  <si>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</si>
  <si>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</si>
  <si>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</si>
  <si>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</si>
  <si>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</si>
  <si>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</si>
  <si>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</si>
  <si>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</si>
  <si>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</si>
  <si>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</si>
  <si>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</si>
  <si>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</si>
  <si>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</si>
  <si>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</si>
  <si>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</si>
  <si>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</si>
  <si>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</si>
  <si>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</si>
  <si>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</si>
  <si>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</si>
  <si>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</si>
  <si>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</si>
  <si>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</si>
  <si>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</si>
  <si>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</si>
  <si>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</si>
  <si>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</si>
  <si>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</si>
  <si>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</si>
  <si>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</si>
  <si>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</si>
  <si>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</si>
  <si>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</si>
  <si>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</si>
  <si>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</si>
  <si>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</si>
  <si>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</si>
  <si>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</si>
  <si>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</si>
  <si>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</si>
  <si>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</si>
  <si>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</si>
  <si>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</si>
  <si>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</si>
  <si>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</si>
  <si>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</si>
  <si>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</si>
  <si>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</si>
  <si>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</si>
  <si>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</si>
  <si>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</si>
  <si>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</si>
  <si>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</si>
  <si>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</si>
  <si>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</si>
  <si>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</si>
  <si>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</si>
  <si>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</si>
  <si>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</si>
  <si>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</si>
  <si>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</si>
  <si>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</si>
  <si>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</si>
  <si>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</si>
  <si>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</si>
  <si>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</si>
  <si>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</si>
  <si>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</si>
  <si>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</si>
  <si>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</si>
  <si>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</si>
  <si>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</si>
  <si>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</si>
  <si>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</si>
  <si>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</si>
  <si>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</si>
  <si>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</si>
  <si>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</si>
  <si>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</si>
  <si>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</si>
  <si>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</si>
  <si>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</si>
  <si>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</si>
  <si>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</si>
  <si>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</si>
  <si>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</si>
  <si>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</si>
  <si>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</si>
  <si>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</si>
  <si>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</si>
  <si>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</si>
  <si>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</si>
  <si>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</si>
  <si>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</si>
  <si>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</si>
  <si>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</si>
  <si>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</si>
  <si>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</si>
  <si>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</si>
  <si>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</si>
  <si>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</si>
  <si>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</si>
  <si>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</si>
  <si>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</si>
  <si>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</si>
  <si>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</si>
  <si>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</si>
  <si>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</si>
  <si>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</si>
  <si>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</si>
  <si>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</si>
  <si>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</si>
  <si>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</si>
  <si>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</si>
  <si>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</si>
  <si>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</si>
  <si>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</si>
  <si>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</si>
  <si>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</si>
  <si>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</si>
  <si>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</si>
  <si>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</si>
  <si>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</si>
  <si>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</si>
  <si>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</si>
  <si>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</si>
  <si>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</si>
  <si>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</si>
  <si>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</si>
  <si>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</si>
  <si>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</si>
  <si>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</si>
  <si>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</si>
  <si>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</si>
  <si>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</si>
  <si>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</si>
  <si>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</si>
  <si>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</si>
  <si>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</si>
  <si>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</si>
  <si>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</si>
  <si>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</si>
  <si>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</si>
  <si>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</si>
  <si>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</si>
  <si>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</si>
  <si>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</si>
  <si>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</si>
  <si>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</si>
  <si>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</si>
  <si>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</si>
  <si>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</si>
  <si>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</si>
  <si>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</si>
  <si>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</si>
  <si>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</si>
  <si>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</si>
  <si>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</si>
  <si>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</si>
  <si>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</si>
  <si>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</si>
  <si>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</si>
  <si>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</si>
  <si>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</si>
  <si>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</si>
  <si>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</si>
  <si>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</si>
  <si>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</si>
  <si>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</si>
  <si>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</si>
  <si>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</si>
  <si>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</si>
  <si>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</si>
  <si>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</si>
  <si>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</si>
  <si>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</si>
  <si>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</si>
  <si>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</si>
  <si>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</si>
  <si>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</si>
  <si>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</si>
  <si>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</si>
  <si>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</si>
  <si>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</si>
  <si>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</si>
  <si>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</si>
  <si>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</si>
  <si>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</si>
  <si>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</si>
  <si>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</si>
  <si>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</si>
  <si>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</si>
  <si>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</si>
  <si>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</si>
  <si>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</si>
  <si>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</si>
  <si>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</si>
  <si>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</si>
  <si>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</si>
  <si>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</si>
  <si>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</si>
  <si>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</si>
  <si>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</si>
  <si>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</si>
  <si>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</si>
  <si>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</si>
  <si>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</si>
  <si>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</si>
  <si>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</si>
  <si>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</si>
  <si>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</si>
  <si>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</si>
  <si>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</si>
  <si>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</si>
  <si>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</si>
  <si>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</si>
  <si>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</si>
  <si>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</si>
  <si>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</si>
  <si>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</si>
  <si>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</si>
  <si>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</si>
  <si>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</si>
  <si>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</si>
  <si>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</si>
  <si>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</si>
  <si>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</si>
  <si>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</si>
  <si>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</si>
  <si>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</si>
  <si>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</si>
  <si>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</si>
  <si>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</si>
  <si>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</si>
  <si>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</si>
  <si>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</si>
  <si>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</si>
  <si>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</si>
  <si>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</si>
  <si>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</si>
  <si>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</si>
  <si>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</si>
  <si>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</si>
  <si>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</si>
  <si>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</si>
  <si>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</si>
  <si>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</si>
  <si>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</si>
  <si>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</si>
  <si>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</si>
  <si>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</si>
  <si>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</si>
  <si>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</si>
  <si>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</si>
  <si>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</si>
  <si>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</si>
  <si>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</si>
  <si>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</si>
  <si>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</si>
  <si>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</si>
  <si>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</si>
  <si>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</si>
  <si>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</si>
  <si>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</si>
  <si>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</si>
  <si>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</si>
  <si>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</si>
  <si>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</si>
  <si>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</si>
  <si>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</si>
  <si>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</si>
  <si>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</si>
  <si>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</si>
  <si>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</si>
  <si>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</si>
  <si>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</si>
  <si>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</si>
  <si>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</si>
  <si>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</si>
  <si>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</si>
  <si>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</si>
  <si>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</si>
  <si>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</si>
  <si>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</si>
  <si>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</si>
  <si>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</si>
  <si>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</si>
  <si>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</si>
  <si>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</si>
  <si>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</si>
  <si>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</si>
  <si>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</si>
  <si>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</si>
  <si>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</si>
  <si>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</si>
  <si>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</si>
  <si>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</si>
  <si>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</si>
  <si>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</si>
  <si>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</si>
  <si>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</si>
  <si>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</si>
  <si>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</si>
  <si>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</si>
  <si>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</si>
  <si>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</si>
  <si>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</si>
  <si>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</si>
  <si>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</si>
  <si>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</si>
  <si>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</si>
  <si>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</si>
  <si>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</si>
  <si>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</si>
  <si>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</si>
  <si>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</si>
  <si>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</si>
  <si>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</si>
  <si>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</si>
  <si>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</si>
  <si>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</si>
  <si>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</si>
  <si>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</si>
  <si>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</si>
  <si>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</si>
  <si>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</si>
  <si>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</si>
  <si>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</si>
  <si>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</si>
  <si>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</si>
  <si>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</si>
  <si>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</si>
  <si>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</si>
  <si>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</si>
  <si>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</si>
  <si>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</si>
  <si>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</si>
  <si>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</si>
  <si>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</si>
  <si>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</si>
  <si>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</si>
  <si>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</si>
  <si>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</si>
  <si>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</si>
  <si>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</si>
  <si>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</si>
  <si>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</si>
  <si>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</si>
  <si>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</si>
  <si>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</si>
  <si>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</si>
  <si>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</si>
  <si>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</si>
  <si>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</si>
  <si>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</si>
  <si>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</si>
  <si>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</si>
  <si>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</si>
  <si>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</si>
  <si>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</si>
  <si>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</si>
  <si>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</si>
  <si>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</si>
  <si>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</si>
  <si>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</si>
  <si>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</si>
  <si>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</si>
  <si>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</si>
  <si>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</si>
  <si>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</si>
  <si>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</si>
  <si>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</si>
  <si>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</si>
  <si>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</si>
  <si>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</si>
  <si>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</si>
  <si>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</si>
  <si>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</si>
  <si>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</si>
  <si>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</si>
  <si>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</si>
  <si>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</si>
  <si>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</si>
  <si>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</si>
  <si>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</si>
  <si>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</si>
  <si>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</si>
  <si>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</si>
  <si>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</si>
  <si>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</si>
  <si>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</si>
  <si>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</si>
  <si>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</si>
  <si>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</si>
  <si>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</si>
  <si>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</si>
  <si>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</si>
  <si>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</si>
  <si>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</si>
  <si>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</si>
  <si>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</si>
  <si>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</si>
  <si>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</si>
  <si>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</si>
  <si>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</si>
  <si>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</si>
  <si>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</si>
  <si>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</si>
  <si>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</si>
  <si>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</si>
  <si>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</si>
  <si>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</si>
  <si>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</si>
  <si>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</si>
  <si>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</si>
  <si>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</si>
  <si>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</si>
  <si>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</si>
  <si>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</si>
  <si>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</si>
  <si>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</si>
  <si>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</si>
  <si>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</si>
  <si>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</si>
  <si>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</si>
  <si>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</si>
  <si>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</si>
  <si>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</si>
  <si>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</si>
  <si>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</si>
  <si>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</si>
  <si>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</si>
  <si>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</si>
  <si>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</si>
  <si>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</si>
  <si>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</si>
  <si>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</si>
  <si>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</si>
  <si>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</si>
  <si>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</si>
  <si>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</si>
  <si>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</si>
  <si>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</si>
  <si>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</si>
  <si>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</si>
  <si>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</si>
  <si>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</si>
  <si>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</si>
  <si>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</si>
  <si>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</si>
  <si>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</si>
  <si>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</si>
  <si>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</si>
  <si>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</si>
  <si>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</si>
  <si>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</si>
  <si>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</si>
  <si>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</si>
  <si>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</si>
  <si>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</si>
  <si>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</si>
  <si>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</si>
  <si>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</si>
  <si>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</si>
  <si>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</si>
  <si>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</si>
  <si>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</si>
  <si>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</si>
  <si>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</si>
  <si>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</si>
  <si>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</si>
  <si>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</si>
  <si>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</si>
  <si>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</si>
  <si>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</si>
  <si>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</si>
  <si>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</si>
  <si>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</si>
  <si>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</si>
  <si>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</si>
  <si>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</si>
  <si>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</si>
  <si>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</si>
  <si>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</si>
  <si>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</si>
  <si>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</si>
  <si>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</si>
  <si>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</si>
  <si>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</si>
  <si>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</si>
  <si>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</si>
  <si>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</si>
  <si>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</si>
  <si>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</si>
  <si>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</si>
  <si>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</si>
  <si>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</si>
  <si>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</si>
  <si>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</si>
  <si>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</si>
  <si>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</si>
  <si>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</si>
  <si>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</si>
  <si>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</si>
  <si>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</si>
  <si>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</si>
  <si>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</si>
  <si>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</si>
  <si>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</si>
  <si>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</si>
  <si>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</si>
  <si>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</si>
  <si>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</si>
  <si>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</si>
  <si>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</si>
  <si>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</si>
  <si>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</si>
  <si>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</si>
  <si>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</si>
  <si>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</si>
  <si>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</si>
  <si>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</si>
  <si>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</si>
  <si>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</si>
  <si>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</si>
  <si>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</si>
  <si>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</si>
  <si>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</si>
  <si>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</si>
  <si>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</si>
  <si>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</si>
  <si>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</si>
  <si>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</si>
  <si>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</si>
  <si>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</si>
  <si>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</si>
  <si>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</si>
  <si>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</si>
  <si>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</si>
  <si>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</si>
  <si>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</si>
  <si>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</si>
  <si>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</si>
  <si>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</si>
  <si>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</si>
  <si>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</si>
  <si>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</si>
  <si>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</si>
  <si>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</si>
  <si>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</si>
  <si>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</si>
  <si>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</si>
  <si>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</si>
  <si>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</si>
  <si>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</si>
  <si>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</si>
  <si>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</si>
  <si>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</si>
  <si>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</si>
  <si>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</si>
  <si>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</si>
  <si>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</si>
  <si>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</si>
  <si>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</si>
  <si>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</si>
  <si>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</si>
  <si>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</si>
  <si>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</si>
  <si>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</si>
  <si>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</si>
  <si>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</si>
  <si>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</si>
  <si>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</si>
  <si>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</si>
  <si>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</si>
  <si>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</si>
  <si>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</si>
  <si>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</si>
  <si>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</si>
  <si>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</si>
  <si>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</si>
  <si>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</si>
  <si>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</si>
  <si>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</si>
  <si>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</si>
  <si>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</si>
  <si>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</si>
  <si>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</si>
  <si>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</si>
  <si>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</si>
  <si>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</si>
  <si>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</si>
  <si>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</si>
  <si>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</si>
  <si>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</si>
  <si>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</si>
  <si>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</si>
  <si>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</si>
  <si>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</si>
  <si>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</si>
  <si>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</si>
  <si>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</si>
  <si>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</si>
  <si>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</si>
  <si>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</si>
  <si>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</si>
  <si>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</si>
  <si>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</si>
  <si>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</si>
  <si>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</si>
  <si>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</si>
  <si>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</si>
  <si>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</si>
  <si>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</si>
  <si>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</si>
  <si>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</si>
  <si>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</si>
  <si>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</si>
  <si>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</si>
  <si>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</si>
  <si>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</si>
  <si>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</si>
  <si>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</si>
  <si>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</si>
  <si>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</si>
  <si>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</si>
  <si>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</si>
  <si>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</si>
  <si>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</si>
  <si>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</si>
  <si>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</si>
  <si>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</si>
  <si>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</si>
  <si>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</si>
  <si>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</si>
  <si>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</si>
  <si>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</si>
  <si>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</si>
  <si>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</si>
  <si>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</si>
  <si>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</si>
  <si>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</si>
  <si>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</si>
  <si>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</si>
  <si>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</si>
  <si>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</si>
  <si>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</si>
  <si>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</si>
  <si>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</si>
  <si>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</si>
  <si>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</si>
  <si>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</si>
  <si>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</si>
  <si>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</si>
  <si>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</si>
  <si>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</si>
  <si>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</si>
  <si>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</si>
  <si>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</si>
  <si>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</si>
  <si>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</si>
  <si>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</si>
  <si>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</si>
  <si>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</si>
  <si>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</si>
  <si>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</si>
  <si>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</si>
  <si>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</si>
  <si>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</si>
  <si>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</si>
  <si>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</si>
  <si>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</si>
  <si>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</si>
  <si>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</si>
  <si>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</si>
  <si>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</si>
  <si>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</si>
  <si>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</si>
  <si>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</si>
  <si>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</si>
  <si>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</si>
  <si>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</si>
  <si>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</si>
  <si>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</si>
  <si>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</si>
  <si>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</si>
  <si>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</si>
  <si>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</si>
  <si>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</si>
  <si>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</si>
  <si>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</si>
  <si>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</si>
  <si>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</si>
  <si>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</si>
  <si>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</si>
  <si>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</si>
  <si>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</si>
  <si>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</si>
  <si>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</si>
  <si>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</si>
  <si>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</si>
  <si>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</si>
  <si>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</si>
  <si>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</si>
  <si>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</si>
  <si>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</si>
  <si>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</si>
  <si>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</si>
  <si>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</si>
  <si>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</si>
  <si>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</si>
  <si>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</si>
  <si>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</si>
  <si>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</si>
  <si>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</si>
  <si>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</si>
  <si>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</si>
  <si>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</si>
  <si>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</si>
  <si>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</si>
  <si>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</si>
  <si>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</si>
  <si>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</si>
  <si>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</si>
  <si>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</si>
  <si>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</si>
  <si>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</si>
  <si>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</si>
  <si>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</si>
  <si>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</si>
  <si>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</si>
  <si>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</si>
  <si>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</si>
  <si>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</si>
  <si>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</si>
  <si>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</si>
  <si>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</si>
  <si>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</si>
  <si>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</si>
  <si>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</si>
  <si>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</si>
  <si>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</si>
  <si>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</si>
  <si>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</si>
  <si>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</si>
  <si>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</si>
  <si>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</si>
  <si>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</si>
  <si>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</si>
  <si>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</si>
  <si>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</si>
  <si>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</si>
  <si>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</si>
  <si>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</si>
  <si>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</si>
  <si>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</si>
  <si>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</si>
  <si>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</si>
  <si>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</si>
  <si>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</si>
  <si>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</si>
  <si>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</si>
  <si>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</si>
  <si>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</si>
  <si>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</si>
  <si>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</si>
  <si>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</si>
  <si>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</si>
  <si>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</si>
  <si>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</si>
  <si>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</si>
  <si>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</si>
  <si>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</si>
  <si>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</si>
  <si>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</si>
  <si>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</si>
  <si>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</si>
  <si>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</si>
  <si>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</si>
  <si>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</si>
  <si>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</si>
  <si>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</si>
  <si>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</si>
  <si>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</si>
  <si>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</si>
  <si>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</si>
  <si>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</si>
  <si>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</si>
  <si>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</si>
  <si>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</si>
  <si>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</si>
  <si>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</si>
  <si>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</si>
  <si>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</si>
  <si>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</si>
  <si>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</si>
  <si>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</si>
  <si>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</si>
  <si>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</si>
  <si>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</si>
  <si>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</si>
  <si>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</si>
  <si>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</si>
  <si>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</si>
  <si>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</si>
  <si>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</si>
  <si>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</si>
  <si>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</si>
  <si>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</si>
  <si>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</si>
  <si>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</si>
  <si>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</si>
  <si>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</si>
  <si>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</si>
  <si>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</si>
  <si>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</si>
  <si>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</si>
  <si>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</si>
  <si>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</si>
  <si>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</si>
  <si>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</si>
  <si>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</si>
  <si>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</si>
  <si>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</si>
  <si>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</si>
  <si>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</si>
  <si>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</si>
  <si>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</si>
  <si>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</si>
  <si>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</si>
  <si>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</si>
  <si>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</si>
  <si>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</si>
  <si>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</si>
  <si>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</si>
  <si>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</si>
  <si>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</si>
  <si>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</si>
  <si>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</si>
  <si>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</si>
  <si>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</si>
  <si>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</si>
  <si>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</si>
  <si>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</si>
  <si>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</si>
  <si>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</si>
  <si>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</si>
  <si>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</si>
  <si>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</si>
  <si>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</si>
  <si>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</si>
  <si>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</si>
  <si>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</si>
  <si>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</si>
  <si>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</si>
  <si>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</si>
  <si>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</si>
  <si>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</si>
  <si>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</si>
  <si>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</si>
  <si>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</si>
  <si>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</si>
  <si>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</si>
  <si>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</si>
  <si>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</si>
  <si>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</si>
  <si>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</si>
  <si>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</si>
  <si>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</si>
  <si>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</si>
  <si>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</si>
  <si>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</si>
  <si>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</si>
  <si>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</si>
  <si>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</si>
  <si>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</si>
  <si>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</si>
  <si>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</si>
  <si>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</si>
  <si>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</si>
  <si>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</si>
  <si>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</si>
  <si>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</si>
  <si>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</si>
  <si>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</si>
  <si>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</si>
  <si>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</si>
  <si>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</si>
  <si>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</si>
  <si>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</si>
  <si>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</si>
  <si>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</si>
  <si>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</si>
  <si>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</si>
  <si>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</si>
  <si>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</si>
  <si>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</si>
  <si>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</si>
  <si>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</si>
  <si>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</si>
  <si>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</si>
  <si>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</si>
  <si>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</si>
  <si>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</si>
  <si>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</si>
  <si>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</si>
  <si>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</si>
  <si>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</si>
  <si>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</si>
  <si>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</si>
  <si>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</si>
  <si>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</si>
  <si>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</si>
  <si>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</si>
  <si>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</si>
  <si>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</si>
  <si>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</si>
  <si>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</si>
  <si>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</si>
  <si>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</si>
  <si>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</si>
  <si>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</si>
  <si>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</si>
  <si>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</si>
  <si>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</si>
  <si>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</si>
  <si>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</si>
  <si>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</si>
  <si>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</si>
  <si>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</si>
  <si>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</si>
  <si>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</si>
  <si>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</si>
  <si>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</si>
  <si>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</si>
  <si>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</si>
  <si>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</si>
  <si>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</si>
  <si>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</si>
  <si>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</si>
  <si>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</si>
  <si>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</si>
  <si>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</si>
  <si>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</si>
  <si>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</si>
  <si>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</si>
  <si>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</si>
  <si>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</si>
  <si>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</si>
  <si>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</si>
  <si>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</si>
  <si>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</si>
  <si>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</si>
  <si>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</si>
  <si>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</si>
  <si>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</si>
  <si>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</si>
  <si>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</si>
  <si>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</si>
  <si>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</si>
  <si>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</si>
  <si>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</si>
  <si>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</si>
  <si>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</si>
  <si>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</si>
  <si>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</si>
  <si>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</si>
  <si>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</si>
  <si>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</si>
  <si>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</si>
  <si>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</si>
  <si>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</si>
  <si>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</si>
  <si>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</si>
  <si>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</si>
  <si>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</si>
  <si>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</si>
  <si>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</si>
  <si>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</si>
  <si>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</si>
  <si>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</si>
  <si>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</si>
  <si>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</si>
  <si>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</si>
  <si>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</si>
  <si>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</si>
  <si>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</si>
  <si>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</si>
  <si>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</si>
  <si>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</si>
  <si>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</si>
  <si>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</si>
  <si>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</si>
  <si>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</si>
  <si>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</si>
  <si>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</si>
  <si>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</si>
  <si>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</si>
  <si>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</si>
  <si>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</si>
  <si>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</si>
  <si>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</si>
  <si>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</si>
  <si>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</si>
  <si>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</si>
  <si>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</si>
  <si>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</si>
  <si>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</si>
  <si>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</si>
  <si>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</si>
  <si>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</si>
  <si>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</si>
  <si>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</si>
  <si>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</si>
  <si>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</si>
  <si>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</si>
  <si>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</si>
  <si>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</si>
  <si>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</si>
  <si>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</si>
  <si>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</si>
  <si>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</si>
  <si>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</si>
  <si>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</si>
  <si>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</si>
  <si>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</si>
  <si>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</si>
  <si>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</si>
  <si>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</si>
  <si>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</si>
  <si>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</si>
  <si>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</si>
  <si>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</si>
  <si>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</si>
  <si>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</si>
  <si>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</si>
  <si>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</si>
  <si>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</si>
  <si>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</si>
  <si>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</si>
  <si>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</si>
  <si>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</si>
  <si>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</si>
  <si>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</si>
  <si>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</si>
  <si>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</si>
  <si>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</si>
  <si>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</si>
  <si>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</si>
  <si>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</si>
  <si>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</si>
  <si>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</si>
  <si>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</si>
  <si>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</si>
  <si>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</si>
  <si>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</si>
  <si>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</si>
  <si>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</si>
  <si>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</si>
  <si>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</si>
  <si>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</si>
  <si>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</si>
  <si>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</si>
  <si>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</si>
  <si>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</si>
  <si>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</si>
  <si>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</si>
  <si>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</si>
  <si>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</si>
  <si>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</si>
  <si>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</si>
  <si>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</si>
  <si>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</si>
  <si>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</si>
  <si>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</si>
  <si>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</si>
  <si>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</si>
  <si>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</si>
  <si>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</si>
  <si>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</si>
  <si>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</si>
  <si>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</si>
  <si>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</si>
  <si>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</si>
  <si>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</si>
  <si>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</si>
  <si>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</si>
  <si>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</si>
  <si>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</si>
  <si>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</si>
  <si>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</si>
  <si>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</si>
  <si>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</si>
  <si>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</si>
  <si>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</si>
  <si>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</si>
  <si>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</si>
  <si>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</si>
  <si>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</si>
  <si>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</si>
  <si>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</si>
  <si>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</si>
  <si>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</si>
  <si>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</si>
  <si>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</si>
  <si>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</si>
  <si>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</si>
  <si>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</si>
  <si>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</si>
  <si>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</si>
  <si>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</si>
  <si>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</si>
  <si>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</si>
  <si>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</si>
  <si>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</si>
  <si>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</si>
  <si>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</si>
  <si>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</si>
  <si>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</si>
  <si>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</si>
  <si>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</si>
  <si>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</si>
  <si>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</si>
  <si>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</si>
  <si>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</si>
  <si>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</si>
  <si>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</si>
  <si>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</si>
  <si>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</si>
  <si>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</si>
  <si>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</si>
  <si>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</si>
  <si>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</si>
  <si>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</si>
  <si>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</si>
  <si>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</si>
  <si>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</si>
  <si>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</si>
  <si>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</si>
  <si>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</si>
  <si>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</si>
  <si>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</si>
  <si>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</si>
  <si>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</si>
  <si>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</si>
  <si>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</si>
  <si>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</si>
  <si>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</si>
  <si>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</si>
  <si>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</si>
  <si>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</si>
  <si>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</si>
  <si>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</si>
  <si>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</si>
  <si>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</si>
  <si>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</si>
  <si>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</si>
  <si>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</si>
  <si>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</si>
  <si>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</si>
  <si>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</si>
  <si>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</si>
  <si>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</si>
  <si>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</si>
  <si>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</si>
  <si>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</si>
  <si>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</si>
  <si>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</si>
  <si>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</si>
  <si>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</si>
  <si>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</si>
  <si>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</si>
  <si>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</si>
  <si>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</si>
  <si>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</si>
  <si>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</si>
  <si>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</si>
  <si>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</si>
  <si>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</si>
  <si>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</si>
  <si>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</si>
  <si>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</si>
  <si>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</si>
  <si>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</si>
  <si>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</si>
  <si>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</si>
  <si>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</si>
  <si>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</si>
  <si>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</si>
  <si>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</si>
  <si>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</si>
  <si>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</si>
  <si>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</si>
  <si>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</si>
  <si>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</si>
  <si>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</si>
  <si>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</si>
  <si>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</si>
  <si>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</si>
  <si>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</si>
  <si>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</si>
  <si>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</si>
  <si>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</si>
  <si>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</si>
  <si>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</si>
  <si>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</si>
  <si>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</si>
  <si>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</si>
  <si>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</si>
  <si>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</si>
  <si>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</si>
  <si>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</si>
  <si>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</si>
  <si>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</si>
  <si>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</si>
  <si>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</si>
  <si>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</si>
  <si>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</si>
  <si>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</si>
  <si>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</si>
  <si>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</si>
  <si>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</si>
  <si>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</si>
  <si>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</si>
  <si>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</si>
  <si>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</si>
  <si>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</si>
  <si>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</si>
  <si>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</si>
  <si>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</si>
  <si>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</si>
  <si>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</si>
  <si>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</si>
  <si>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</si>
  <si>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</si>
  <si>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</si>
  <si>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</si>
  <si>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</si>
  <si>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</si>
  <si>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</si>
  <si>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</si>
  <si>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</si>
  <si>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</si>
  <si>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</si>
  <si>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</si>
  <si>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</si>
  <si>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</si>
  <si>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</si>
  <si>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</si>
  <si>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</si>
  <si>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</si>
  <si>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</si>
  <si>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</si>
  <si>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</si>
  <si>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</si>
  <si>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</si>
  <si>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</si>
  <si>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</si>
  <si>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</si>
  <si>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</si>
  <si>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</si>
  <si>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</si>
  <si>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</si>
  <si>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</si>
  <si>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</si>
  <si>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</si>
  <si>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</si>
  <si>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</si>
  <si>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</si>
  <si>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</si>
  <si>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</si>
  <si>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</si>
  <si>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</si>
  <si>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</si>
  <si>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</si>
  <si>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</si>
  <si>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</si>
  <si>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</si>
  <si>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</si>
  <si>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</si>
  <si>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</si>
  <si>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</si>
  <si>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</si>
  <si>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</si>
  <si>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</si>
  <si>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</si>
  <si>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</si>
  <si>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</si>
  <si>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</si>
  <si>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</si>
  <si>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</si>
  <si>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</si>
  <si>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</si>
  <si>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</si>
  <si>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</si>
  <si>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</si>
  <si>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</si>
  <si>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</si>
  <si>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</si>
  <si>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</si>
  <si>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</si>
  <si>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</si>
  <si>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</si>
  <si>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</si>
  <si>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</si>
  <si>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</si>
  <si>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</si>
  <si>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</si>
  <si>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</si>
  <si>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</si>
  <si>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</si>
  <si>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</si>
  <si>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</si>
  <si>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</si>
  <si>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</si>
  <si>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</si>
  <si>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</si>
  <si>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</si>
  <si>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</si>
  <si>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</si>
  <si>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</si>
  <si>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</si>
  <si>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</si>
  <si>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</si>
  <si>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</si>
  <si>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</si>
  <si>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</si>
  <si>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</si>
  <si>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</si>
  <si>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</si>
  <si>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</si>
  <si>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</si>
  <si>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</si>
  <si>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</si>
  <si>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</si>
  <si>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</si>
  <si>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</si>
  <si>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</si>
  <si>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</si>
  <si>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</si>
  <si>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</si>
  <si>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</si>
  <si>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</si>
  <si>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</si>
  <si>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</si>
  <si>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</si>
  <si>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</si>
  <si>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</si>
  <si>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</si>
  <si>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</si>
  <si>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</si>
  <si>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</si>
  <si>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</si>
  <si>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</si>
  <si>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</si>
  <si>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</si>
  <si>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</si>
  <si>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</si>
  <si>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</si>
  <si>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</si>
  <si>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</si>
  <si>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</si>
  <si>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</si>
  <si>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</si>
  <si>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</si>
  <si>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</si>
  <si>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</si>
  <si>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</si>
  <si>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</si>
  <si>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</si>
  <si>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</si>
  <si>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</si>
  <si>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</si>
  <si>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</si>
  <si>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</si>
  <si>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</si>
  <si>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</si>
  <si>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</si>
  <si>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</si>
  <si>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</si>
  <si>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</si>
  <si>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</si>
  <si>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</si>
  <si>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</si>
  <si>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</si>
  <si>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</si>
  <si>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</si>
  <si>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</si>
  <si>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</si>
  <si>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</si>
  <si>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</si>
  <si>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</si>
  <si>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</si>
  <si>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</si>
  <si>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</si>
  <si>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</si>
  <si>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</si>
  <si>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</si>
  <si>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</si>
  <si>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</si>
  <si>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</si>
  <si>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</si>
  <si>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</si>
  <si>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</si>
  <si>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</si>
  <si>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</si>
  <si>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</si>
  <si>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</si>
  <si>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</si>
  <si>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</si>
  <si>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</si>
  <si>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</si>
  <si>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</si>
  <si>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</si>
  <si>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</si>
  <si>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</si>
  <si>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</si>
  <si>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</si>
  <si>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</si>
  <si>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</si>
  <si>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</si>
  <si>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</si>
  <si>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</si>
  <si>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</si>
  <si>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</si>
  <si>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</si>
  <si>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</si>
  <si>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</si>
  <si>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</si>
  <si>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</si>
  <si>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</si>
  <si>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</si>
  <si>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</si>
  <si>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</si>
  <si>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</si>
  <si>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</si>
  <si>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</si>
  <si>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</si>
  <si>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</si>
  <si>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</si>
  <si>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</si>
  <si>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</si>
  <si>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</si>
  <si>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</si>
  <si>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</si>
  <si>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</si>
  <si>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</si>
  <si>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</si>
  <si>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</si>
  <si>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</si>
  <si>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</si>
  <si>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</si>
  <si>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</si>
  <si>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</si>
  <si>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</si>
  <si>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</si>
  <si>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</si>
  <si>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</si>
  <si>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</si>
  <si>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</si>
  <si>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</si>
  <si>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</si>
  <si>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</si>
  <si>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</si>
  <si>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</si>
  <si>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</si>
  <si>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</si>
  <si>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</si>
  <si>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</si>
  <si>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</si>
  <si>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</si>
  <si>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</si>
  <si>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</si>
  <si>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</si>
  <si>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</si>
  <si>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</si>
  <si>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</si>
  <si>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</si>
  <si>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</si>
  <si>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</si>
  <si>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</si>
  <si>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</si>
  <si>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</si>
  <si>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</si>
  <si>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</si>
  <si>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</si>
  <si>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</si>
  <si>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</si>
  <si>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</si>
  <si>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</si>
  <si>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</si>
  <si>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</si>
  <si>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</si>
  <si>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</si>
  <si>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</si>
  <si>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</si>
  <si>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</si>
  <si>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</si>
  <si>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</si>
  <si>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</si>
  <si>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</si>
  <si>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</si>
  <si>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</si>
  <si>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</si>
  <si>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</si>
  <si>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</si>
  <si>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</si>
  <si>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</si>
  <si>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</si>
  <si>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</si>
  <si>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</si>
  <si>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</si>
  <si>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</si>
  <si>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</si>
  <si>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</si>
  <si>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</si>
  <si>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</si>
  <si>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</si>
  <si>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</si>
  <si>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</si>
  <si>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</si>
  <si>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</si>
  <si>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</si>
  <si>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</si>
  <si>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</si>
  <si>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</si>
  <si>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</si>
  <si>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</si>
  <si>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</si>
  <si>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</si>
  <si>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</si>
  <si>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</si>
  <si>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</si>
  <si>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</si>
  <si>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</si>
  <si>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</si>
  <si>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</si>
  <si>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</si>
  <si>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</si>
  <si>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</si>
  <si>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</si>
  <si>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</si>
  <si>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</si>
  <si>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</si>
  <si>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</si>
  <si>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</si>
  <si>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</si>
  <si>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</si>
  <si>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</si>
  <si>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</si>
  <si>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</si>
  <si>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</si>
  <si>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</si>
  <si>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</si>
  <si>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</si>
  <si>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</si>
  <si>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</si>
  <si>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</si>
  <si>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</si>
  <si>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</si>
  <si>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</si>
  <si>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</si>
  <si>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</si>
  <si>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</si>
  <si>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</si>
  <si>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</si>
  <si>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</si>
  <si>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</si>
  <si>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</si>
  <si>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</si>
  <si>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</si>
  <si>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</si>
  <si>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</si>
  <si>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</si>
  <si>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</si>
  <si>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</si>
  <si>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</si>
  <si>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</si>
  <si>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</si>
  <si>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</si>
  <si>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</si>
  <si>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</si>
  <si>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</si>
  <si>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</si>
  <si>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</si>
  <si>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</si>
  <si>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</si>
  <si>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</si>
  <si>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</si>
  <si>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</si>
  <si>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</si>
  <si>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</si>
  <si>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</si>
  <si>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</si>
  <si>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</si>
  <si>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</si>
  <si>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</si>
  <si>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</si>
  <si>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</si>
  <si>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</si>
  <si>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</si>
  <si>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</si>
  <si>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</si>
  <si>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</si>
  <si>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</si>
  <si>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</si>
  <si>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</si>
  <si>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</si>
  <si>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</si>
  <si>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</si>
  <si>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</si>
  <si>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</si>
  <si>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</si>
  <si>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</si>
  <si>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</si>
  <si>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</si>
  <si>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</si>
  <si>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</si>
  <si>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</si>
  <si>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</si>
  <si>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</si>
  <si>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</si>
  <si>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</si>
  <si>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</si>
  <si>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</si>
  <si>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</si>
  <si>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</si>
  <si>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</si>
  <si>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</si>
  <si>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</si>
  <si>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</si>
  <si>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</si>
  <si>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</si>
  <si>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</si>
  <si>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</si>
  <si>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</si>
  <si>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</si>
  <si>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</si>
  <si>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</si>
  <si>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</si>
  <si>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</si>
  <si>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</si>
  <si>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</si>
  <si>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</si>
  <si>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</si>
  <si>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</si>
  <si>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</si>
  <si>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</si>
  <si>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</si>
  <si>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</si>
  <si>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</si>
  <si>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</si>
  <si>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</si>
  <si>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</si>
  <si>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</si>
  <si>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</si>
  <si>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</si>
  <si>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</si>
  <si>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</si>
  <si>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</si>
  <si>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</si>
  <si>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</si>
  <si>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</si>
  <si>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</si>
  <si>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</si>
  <si>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</si>
  <si>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</si>
  <si>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</si>
  <si>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</si>
  <si>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</si>
  <si>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</si>
  <si>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</si>
  <si>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</si>
  <si>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</si>
  <si>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</si>
  <si>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</si>
  <si>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</si>
  <si>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</si>
  <si>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</si>
  <si>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</si>
  <si>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</si>
  <si>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</si>
  <si>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</si>
  <si>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</si>
  <si>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</si>
  <si>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</si>
  <si>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</si>
  <si>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</si>
  <si>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</si>
  <si>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</si>
  <si>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</si>
  <si>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</si>
  <si>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</si>
  <si>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</si>
  <si>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</si>
  <si>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</si>
  <si>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</si>
  <si>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</si>
  <si>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</si>
  <si>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</si>
  <si>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</si>
  <si>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</si>
  <si>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</si>
  <si>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</si>
  <si>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</si>
  <si>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</si>
  <si>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</si>
  <si>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</si>
  <si>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</si>
  <si>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</si>
  <si>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</si>
  <si>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</si>
  <si>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</si>
  <si>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</si>
  <si>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</si>
  <si>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</si>
  <si>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</si>
  <si>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</si>
  <si>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</si>
  <si>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</si>
  <si>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</si>
  <si>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</si>
  <si>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</si>
  <si>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</si>
  <si>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</si>
  <si>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</si>
  <si>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</si>
  <si>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</si>
  <si>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</si>
  <si>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</si>
  <si>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</si>
  <si>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</si>
  <si>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</si>
  <si>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</si>
  <si>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</si>
  <si>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</si>
  <si>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</si>
  <si>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</si>
  <si>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</si>
  <si>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</si>
  <si>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</si>
  <si>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</si>
  <si>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</si>
  <si>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</si>
  <si>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</si>
  <si>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</si>
  <si>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</si>
  <si>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</si>
  <si>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</si>
  <si>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</si>
  <si>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</si>
  <si>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</si>
  <si>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</si>
  <si>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</si>
  <si>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</si>
  <si>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</si>
  <si>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</si>
  <si>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</si>
  <si>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</si>
  <si>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</si>
  <si>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</si>
  <si>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</si>
  <si>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</si>
  <si>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</si>
  <si>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</si>
  <si>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</si>
  <si>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</si>
  <si>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</si>
  <si>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</si>
  <si>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</si>
  <si>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</si>
  <si>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</si>
  <si>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</si>
  <si>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</si>
  <si>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</si>
  <si>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</si>
  <si>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</si>
  <si>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</si>
  <si>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</si>
  <si>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</si>
  <si>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</si>
  <si>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</si>
  <si>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</si>
  <si>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</si>
  <si>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</si>
  <si>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</si>
  <si>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</si>
  <si>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</si>
  <si>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</si>
  <si>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</si>
  <si>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</si>
  <si>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</si>
  <si>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</si>
  <si>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</si>
  <si>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</si>
  <si>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</si>
  <si>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</si>
  <si>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</si>
  <si>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</si>
  <si>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</si>
  <si>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</si>
  <si>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</si>
  <si>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</si>
  <si>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</si>
  <si>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</si>
  <si>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</si>
  <si>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</si>
  <si>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</si>
  <si>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</si>
  <si>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</si>
  <si>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</si>
  <si>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</si>
  <si>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</si>
  <si>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</si>
  <si>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</si>
  <si>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</si>
  <si>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</si>
  <si>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</si>
  <si>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</si>
  <si>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</si>
  <si>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</si>
  <si>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</si>
  <si>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</si>
  <si>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</si>
  <si>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</si>
  <si>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</si>
  <si>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</si>
  <si>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</si>
  <si>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</si>
  <si>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</si>
  <si>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</si>
  <si>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</si>
  <si>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</si>
  <si>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</si>
  <si>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</si>
  <si>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</si>
  <si>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</si>
  <si>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</si>
  <si>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</si>
  <si>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</si>
  <si>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</si>
  <si>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</si>
  <si>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</si>
  <si>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</si>
  <si>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</si>
  <si>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</si>
  <si>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</si>
  <si>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</si>
  <si>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</si>
  <si>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</si>
  <si>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</si>
  <si>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</si>
  <si>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</si>
  <si>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</si>
  <si>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</si>
  <si>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</si>
  <si>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</si>
  <si>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</si>
  <si>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</si>
  <si>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</si>
  <si>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</si>
  <si>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</si>
  <si>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</si>
  <si>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</si>
  <si>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</si>
  <si>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</si>
  <si>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</si>
  <si>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</si>
  <si>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</si>
  <si>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</si>
  <si>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</si>
  <si>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</si>
  <si>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</si>
  <si>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</si>
  <si>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</si>
  <si>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</si>
  <si>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</si>
  <si>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</si>
  <si>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</si>
  <si>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</si>
  <si>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</si>
  <si>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</si>
  <si>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</si>
  <si>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</si>
  <si>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</si>
  <si>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</si>
  <si>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</si>
  <si>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</si>
  <si>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</si>
  <si>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</si>
  <si>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</si>
  <si>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</si>
  <si>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</si>
  <si>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</si>
  <si>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</si>
  <si>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</si>
  <si>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</si>
  <si>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</si>
  <si>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</si>
  <si>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</si>
  <si>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</si>
  <si>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</si>
  <si>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</si>
  <si>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</si>
  <si>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</si>
  <si>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</si>
  <si>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</si>
  <si>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</si>
  <si>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</si>
  <si>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</si>
  <si>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</si>
  <si>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</si>
  <si>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</si>
  <si>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</si>
  <si>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</si>
  <si>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</si>
  <si>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</si>
  <si>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</si>
  <si>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</si>
  <si>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</si>
  <si>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</si>
  <si>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</si>
  <si>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</si>
  <si>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</si>
  <si>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</si>
  <si>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</si>
  <si>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</si>
  <si>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</si>
  <si>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</si>
  <si>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</si>
  <si>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</si>
  <si>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</si>
  <si>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</si>
  <si>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</si>
  <si>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</si>
  <si>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</si>
  <si>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</si>
  <si>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</si>
  <si>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</si>
  <si>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</si>
  <si>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</si>
  <si>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</si>
  <si>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</si>
  <si>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</si>
  <si>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</si>
  <si>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</si>
  <si>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</si>
  <si>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</si>
  <si>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</si>
  <si>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</si>
  <si>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</si>
  <si>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</si>
  <si>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</si>
  <si>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</si>
  <si>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</si>
  <si>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</si>
  <si>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</si>
  <si>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</si>
  <si>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</si>
  <si>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</si>
  <si>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</si>
  <si>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</si>
  <si>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</si>
  <si>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</si>
  <si>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</si>
  <si>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</si>
  <si>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</si>
  <si>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</si>
  <si>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</si>
  <si>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</si>
  <si>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</si>
  <si>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</si>
  <si>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</si>
  <si>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</si>
  <si>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</si>
  <si>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</si>
  <si>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</si>
  <si>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</si>
  <si>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</si>
  <si>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</si>
  <si>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</si>
  <si>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</si>
  <si>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</si>
  <si>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</si>
  <si>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</si>
  <si>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</si>
  <si>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</si>
  <si>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</si>
  <si>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</si>
  <si>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</si>
  <si>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</si>
  <si>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</si>
  <si>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</si>
  <si>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</si>
  <si>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</si>
  <si>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</si>
  <si>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</si>
  <si>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</si>
  <si>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</si>
  <si>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</si>
  <si>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</si>
  <si>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</si>
  <si>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</si>
  <si>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</si>
  <si>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</si>
  <si>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</si>
  <si>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</si>
  <si>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</si>
  <si>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</si>
  <si>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</si>
  <si>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</si>
  <si>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</si>
  <si>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</si>
  <si>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</si>
  <si>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</si>
  <si>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</si>
  <si>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</si>
  <si>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</si>
  <si>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</si>
  <si>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</si>
  <si>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</si>
  <si>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</si>
  <si>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</si>
  <si>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</si>
  <si>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</si>
  <si>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</si>
  <si>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</si>
  <si>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</si>
  <si>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</si>
  <si>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</si>
  <si>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</si>
  <si>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</si>
  <si>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</si>
  <si>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</si>
  <si>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</si>
  <si>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</si>
  <si>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</si>
  <si>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</si>
  <si>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</si>
  <si>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</si>
  <si>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</si>
  <si>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</si>
  <si>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</si>
  <si>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</si>
  <si>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</si>
  <si>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</si>
  <si>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</si>
  <si>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</si>
  <si>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</si>
  <si>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</si>
  <si>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</si>
  <si>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</si>
  <si>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</si>
  <si>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</si>
  <si>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</si>
  <si>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</si>
  <si>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</si>
  <si>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</si>
  <si>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</si>
  <si>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</si>
  <si>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</si>
  <si>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</si>
  <si>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</si>
  <si>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</si>
  <si>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</si>
  <si>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</si>
  <si>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</si>
  <si>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</si>
  <si>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</si>
  <si>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</si>
  <si>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</si>
  <si>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</si>
  <si>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</si>
  <si>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</si>
  <si>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</si>
  <si>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</si>
  <si>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</si>
  <si>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</si>
  <si>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</si>
  <si>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</si>
  <si>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</si>
  <si>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</si>
  <si>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</si>
  <si>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</si>
  <si>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</si>
  <si>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</si>
  <si>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</si>
  <si>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</si>
  <si>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</si>
  <si>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</si>
  <si>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</si>
  <si>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</si>
  <si>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</si>
  <si>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</si>
  <si>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</si>
  <si>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</si>
  <si>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</si>
  <si>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</si>
  <si>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</si>
  <si>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</si>
  <si>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</si>
  <si>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</si>
  <si>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</si>
  <si>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</si>
  <si>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</si>
  <si>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</si>
  <si>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</si>
  <si>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</si>
  <si>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</si>
  <si>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</si>
  <si>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</si>
  <si>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</si>
  <si>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</si>
  <si>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</si>
  <si>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</si>
  <si>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</si>
  <si>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</si>
  <si>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</si>
  <si>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</si>
  <si>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</si>
  <si>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</si>
  <si>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</si>
  <si>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</si>
  <si>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</si>
  <si>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</si>
  <si>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</si>
  <si>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</si>
  <si>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</si>
  <si>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</si>
  <si>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</si>
  <si>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</si>
  <si>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</si>
  <si>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</si>
  <si>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</si>
  <si>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</si>
  <si>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</si>
  <si>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</si>
  <si>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</si>
  <si>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</si>
  <si>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</si>
  <si>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</si>
  <si>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</si>
  <si>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</si>
  <si>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</si>
  <si>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</si>
  <si>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</si>
  <si>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</si>
  <si>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</si>
  <si>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</si>
  <si>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</si>
  <si>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</si>
  <si>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</si>
  <si>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</si>
  <si>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</si>
  <si>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</si>
  <si>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</si>
  <si>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</si>
  <si>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</si>
  <si>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</si>
  <si>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</si>
  <si>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</si>
  <si>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</si>
  <si>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</si>
  <si>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</si>
  <si>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</si>
  <si>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</si>
  <si>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</si>
  <si>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</si>
  <si>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</si>
  <si>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</si>
  <si>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</si>
  <si>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</si>
  <si>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</si>
  <si>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</si>
  <si>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</si>
  <si>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</si>
  <si>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</si>
  <si>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</si>
  <si>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</si>
  <si>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</si>
  <si>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</si>
  <si>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</si>
  <si>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</si>
  <si>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</si>
  <si>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</si>
  <si>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</si>
  <si>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</si>
  <si>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</si>
  <si>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</si>
  <si>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</si>
  <si>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</si>
  <si>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</si>
  <si>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</si>
  <si>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</si>
  <si>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</si>
  <si>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</si>
  <si>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</si>
  <si>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</si>
  <si>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</si>
  <si>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</si>
  <si>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</si>
  <si>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</si>
  <si>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</si>
  <si>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</si>
  <si>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</si>
  <si>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</si>
  <si>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</si>
  <si>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</si>
  <si>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</si>
  <si>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</si>
  <si>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</si>
  <si>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</si>
  <si>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</si>
  <si>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</si>
  <si>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</si>
  <si>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</si>
  <si>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</si>
  <si>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</si>
  <si>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</si>
  <si>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</si>
  <si>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</si>
  <si>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</si>
  <si>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</si>
  <si>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</si>
  <si>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</si>
  <si>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</si>
  <si>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</si>
  <si>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</si>
  <si>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</si>
  <si>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</si>
  <si>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</si>
  <si>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</si>
  <si>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</si>
  <si>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</si>
  <si>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</si>
  <si>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</si>
  <si>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</si>
  <si>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</si>
  <si>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</si>
  <si>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</si>
  <si>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</si>
  <si>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</si>
  <si>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</si>
  <si>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</si>
  <si>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</si>
  <si>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</si>
  <si>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</si>
  <si>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</si>
  <si>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</si>
  <si>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</si>
  <si>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</si>
  <si>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</si>
  <si>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</si>
  <si>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</si>
  <si>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</si>
  <si>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</si>
  <si>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</si>
  <si>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</si>
  <si>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</si>
  <si>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</si>
  <si>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</si>
  <si>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</si>
  <si>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</si>
  <si>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</si>
  <si>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</si>
  <si>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</si>
  <si>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</si>
  <si>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</si>
  <si>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</si>
  <si>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</si>
  <si>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</si>
  <si>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</si>
  <si>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</si>
  <si>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</si>
  <si>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</si>
  <si>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</si>
  <si>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</si>
  <si>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</si>
  <si>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</si>
  <si>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</si>
  <si>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</si>
  <si>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</si>
  <si>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</si>
  <si>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</si>
  <si>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</si>
  <si>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</si>
  <si>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</si>
  <si>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</si>
  <si>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</si>
  <si>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</si>
  <si>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</si>
  <si>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</si>
  <si>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</si>
  <si>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</si>
  <si>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</si>
  <si>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</si>
  <si>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</si>
  <si>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</si>
  <si>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</si>
  <si>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</si>
  <si>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</si>
  <si>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</si>
  <si>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</si>
  <si>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</si>
  <si>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</si>
  <si>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</si>
  <si>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</si>
  <si>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</si>
  <si>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</si>
  <si>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</si>
  <si>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</si>
  <si>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</si>
  <si>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</si>
  <si>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</si>
  <si>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</si>
  <si>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</si>
  <si>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</si>
  <si>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</si>
  <si>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</si>
  <si>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</si>
  <si>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</si>
  <si>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</si>
  <si>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</si>
  <si>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</si>
  <si>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</si>
  <si>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</si>
  <si>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</si>
  <si>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</si>
  <si>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</si>
  <si>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</si>
  <si>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</si>
  <si>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</si>
  <si>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</si>
  <si>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</si>
  <si>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</si>
  <si>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</si>
  <si>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</si>
  <si>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</si>
  <si>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</si>
  <si>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</si>
  <si>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</si>
  <si>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</si>
  <si>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</si>
  <si>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</si>
  <si>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</si>
  <si>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</si>
  <si>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</si>
  <si>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</si>
  <si>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</si>
  <si>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</si>
  <si>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</si>
  <si>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</si>
  <si>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</si>
  <si>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</si>
  <si>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</si>
  <si>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</si>
  <si>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</si>
  <si>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</si>
  <si>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</si>
  <si>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</si>
  <si>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</si>
  <si>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</si>
  <si>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</si>
  <si>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</si>
  <si>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</si>
  <si>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</si>
  <si>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</si>
  <si>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</si>
  <si>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</si>
  <si>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</si>
  <si>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</si>
  <si>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</si>
  <si>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</si>
  <si>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</si>
  <si>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</si>
  <si>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</si>
  <si>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</si>
  <si>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</si>
  <si>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</si>
  <si>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</si>
  <si>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</si>
  <si>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</si>
  <si>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</si>
  <si>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</si>
  <si>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</si>
  <si>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</si>
  <si>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</si>
  <si>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</si>
  <si>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</si>
  <si>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</si>
  <si>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</si>
  <si>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</si>
  <si>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</si>
  <si>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</si>
  <si>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</si>
  <si>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</si>
  <si>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</si>
  <si>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</si>
  <si>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</si>
  <si>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</si>
  <si>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</si>
  <si>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</si>
  <si>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</si>
  <si>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</si>
  <si>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</si>
  <si>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</si>
  <si>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</si>
  <si>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</si>
  <si>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</si>
  <si>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</si>
  <si>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</si>
  <si>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</si>
  <si>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</si>
  <si>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</si>
  <si>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</si>
  <si>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</si>
  <si>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</si>
  <si>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</si>
  <si>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</si>
  <si>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</si>
  <si>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</si>
  <si>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</si>
  <si>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</si>
  <si>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</si>
  <si>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</si>
  <si>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</si>
  <si>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</si>
  <si>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</si>
  <si>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</si>
  <si>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</si>
  <si>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</si>
  <si>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</si>
  <si>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</si>
  <si>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</si>
  <si>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</si>
  <si>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</si>
  <si>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</si>
  <si>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</si>
  <si>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</si>
  <si>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</si>
  <si>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</si>
  <si>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</si>
  <si>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</si>
  <si>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</si>
  <si>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</si>
  <si>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</si>
  <si>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</si>
  <si>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</si>
  <si>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</si>
  <si>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</si>
  <si>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</si>
  <si>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</si>
  <si>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</si>
  <si>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</si>
  <si>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</si>
  <si>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</si>
  <si>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</si>
  <si>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</si>
  <si>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</si>
  <si>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</si>
  <si>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</si>
  <si>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</si>
  <si>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</si>
  <si>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</si>
  <si>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</si>
  <si>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</si>
  <si>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</si>
  <si>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</si>
  <si>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</si>
  <si>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</si>
  <si>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</si>
  <si>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</si>
  <si>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</si>
  <si>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</si>
  <si>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</si>
  <si>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</si>
  <si>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</si>
  <si>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</si>
  <si>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</si>
  <si>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</si>
  <si>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</si>
  <si>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</si>
  <si>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</si>
  <si>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</si>
  <si>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</si>
  <si>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</si>
  <si>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</si>
  <si>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</si>
  <si>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</si>
  <si>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</si>
  <si>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</si>
  <si>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</si>
  <si>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</si>
  <si>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</si>
  <si>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</si>
  <si>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</si>
  <si>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</si>
  <si>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</si>
  <si>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</si>
  <si>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</si>
  <si>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</si>
  <si>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</si>
  <si>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</si>
  <si>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</si>
  <si>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</si>
  <si>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</si>
  <si>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</si>
  <si>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</si>
  <si>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</si>
  <si>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</si>
  <si>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</si>
  <si>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</si>
  <si>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</si>
  <si>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</si>
  <si>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</si>
  <si>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</si>
  <si>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</si>
  <si>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</si>
  <si>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</si>
  <si>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</si>
  <si>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</si>
  <si>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</si>
  <si>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</si>
  <si>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</si>
  <si>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</si>
  <si>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</si>
  <si>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</si>
  <si>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</si>
  <si>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</si>
  <si>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</si>
  <si>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</si>
  <si>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</si>
  <si>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</si>
  <si>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</si>
  <si>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</si>
  <si>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</si>
  <si>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</si>
  <si>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</si>
  <si>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</si>
  <si>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</si>
  <si>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</si>
  <si>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</si>
  <si>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</si>
  <si>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</si>
  <si>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</si>
  <si>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</si>
  <si>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</si>
  <si>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</si>
  <si>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</si>
  <si>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</si>
  <si>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</si>
  <si>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</si>
  <si>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</si>
  <si>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</si>
  <si>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</si>
  <si>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</si>
  <si>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</si>
  <si>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</si>
  <si>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</si>
  <si>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</si>
  <si>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</si>
  <si>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</si>
  <si>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</si>
  <si>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</si>
  <si>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</si>
  <si>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</si>
  <si>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</si>
  <si>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</si>
  <si>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</si>
  <si>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</si>
  <si>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</si>
  <si>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</si>
  <si>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</si>
  <si>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</si>
  <si>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</si>
  <si>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</si>
  <si>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</si>
  <si>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</si>
  <si>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</si>
  <si>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</si>
  <si>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</si>
  <si>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</si>
  <si>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</si>
  <si>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</si>
  <si>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</si>
  <si>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</si>
  <si>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</si>
  <si>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</si>
  <si>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</si>
  <si>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</si>
  <si>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</si>
  <si>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</si>
  <si>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</si>
  <si>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</si>
  <si>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</si>
  <si>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</si>
  <si>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</si>
  <si>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</si>
  <si>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</si>
  <si>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</si>
  <si>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</si>
  <si>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</si>
  <si>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</si>
  <si>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</si>
  <si>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</si>
  <si>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</si>
  <si>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</si>
  <si>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</si>
  <si>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</si>
  <si>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</si>
  <si>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</si>
  <si>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</si>
  <si>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</si>
  <si>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</si>
  <si>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</si>
  <si>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</si>
  <si>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</si>
  <si>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</si>
  <si>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</si>
  <si>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</si>
  <si>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</si>
  <si>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</si>
  <si>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</si>
  <si>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</si>
  <si>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</si>
  <si>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</si>
  <si>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</si>
  <si>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</si>
  <si>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</si>
  <si>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</si>
  <si>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</si>
  <si>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</si>
  <si>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</si>
  <si>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</si>
  <si>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</si>
  <si>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</si>
  <si>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</si>
  <si>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</si>
  <si>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</si>
  <si>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</si>
  <si>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</si>
  <si>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</si>
  <si>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</si>
  <si>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</si>
  <si>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</si>
  <si>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</si>
  <si>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</si>
  <si>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</si>
  <si>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Parent Category</t>
  </si>
  <si>
    <t>Row Labels</t>
  </si>
  <si>
    <t>(All)</t>
  </si>
  <si>
    <t>Count of outcomes</t>
  </si>
  <si>
    <t>Date Created Conversion</t>
  </si>
  <si>
    <t>Date Ended Conversion</t>
  </si>
  <si>
    <t>Nov</t>
  </si>
  <si>
    <t>Feb</t>
  </si>
  <si>
    <t>Apr</t>
  </si>
  <si>
    <t>May</t>
  </si>
  <si>
    <t>Sep</t>
  </si>
  <si>
    <t>Oct</t>
  </si>
  <si>
    <t>Jul</t>
  </si>
  <si>
    <t>Dec</t>
  </si>
  <si>
    <t>Mar</t>
  </si>
  <si>
    <t>Jun</t>
  </si>
  <si>
    <t>Jan</t>
  </si>
  <si>
    <t>Aug</t>
  </si>
  <si>
    <t>Years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</si>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</sst>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/>
    </xf>
    <xf numFmtId="166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" fillId="0" borderId="0" xfId="0" applyFont="1"/>
    <xf numFmtId="9" fontId="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EFFA8"/>
        </patternFill>
      </fill>
    </dxf>
    <dxf>
      <fill>
        <patternFill>
          <bgColor rgb="FFFFA299"/>
        </patternFill>
      </fill>
    </dxf>
  </dxfs>
  <tableStyles count="0" defaultTableStyle="TableStyleMedium2" defaultPivotStyle="PivotStyleLight16"/>
  <colors>
    <mruColors>
      <color rgb="FFFFA299"/>
      <color rgb="FFFEFF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E-3C46-B7D0-071DA1999A5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E-3C46-B7D0-071DA1999A5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E-3C46-B7D0-071DA1999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198112"/>
        <c:axId val="543199760"/>
      </c:lineChart>
      <c:catAx>
        <c:axId val="5431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99760"/>
        <c:crosses val="autoZero"/>
        <c:auto val="1"/>
        <c:lblAlgn val="ctr"/>
        <c:lblOffset val="100"/>
        <c:noMultiLvlLbl val="0"/>
      </c:catAx>
      <c:valAx>
        <c:axId val="5431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9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8-4F4B-97E6-86111D1FC4E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8-4F4B-97E6-86111D1FC4E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8-4F4B-97E6-86111D1FC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628528"/>
        <c:axId val="778630176"/>
      </c:lineChart>
      <c:catAx>
        <c:axId val="778628528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30176"/>
        <c:crosses val="autoZero"/>
        <c:auto val="1"/>
        <c:lblAlgn val="ctr"/>
        <c:lblOffset val="100"/>
        <c:noMultiLvlLbl val="0"/>
      </c:catAx>
      <c:valAx>
        <c:axId val="7786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E-1E4A-859E-A5700AE57E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2E-1E4A-859E-A5700AE57E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2E-1E4A-859E-A5700AE57E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2E-1E4A-859E-A5700AE57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842783"/>
        <c:axId val="1512748207"/>
      </c:lineChart>
      <c:catAx>
        <c:axId val="151284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48207"/>
        <c:crosses val="autoZero"/>
        <c:auto val="1"/>
        <c:lblAlgn val="ctr"/>
        <c:lblOffset val="100"/>
        <c:noMultiLvlLbl val="0"/>
      </c:catAx>
      <c:valAx>
        <c:axId val="151274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copy.xlsx]Catagories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'Catagories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'Catagories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6-034D-A805-F6C3592EB838}"/>
            </c:ext>
          </c:extLst>
        </c:ser>
        <c:ser>
          <c:idx val="1"/>
          <c:order val="1"/>
          <c:tx>
            <c:strRef>
              <c:f>'Catagories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'Catagories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16-034D-A805-F6C3592EB838}"/>
            </c:ext>
          </c:extLst>
        </c:ser>
        <c:ser>
          <c:idx val="2"/>
          <c:order val="2"/>
          <c:tx>
            <c:strRef>
              <c:f>'Catagories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'Catagories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16-034D-A805-F6C3592EB838}"/>
            </c:ext>
          </c:extLst>
        </c:ser>
        <c:ser>
          <c:idx val="3"/>
          <c:order val="3"/>
          <c:tx>
            <c:strRef>
              <c:f>'Catagories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'Catagories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'Catagories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E16-034D-A805-F6C3592EB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5978495"/>
        <c:axId val="1292192175"/>
      </c:barChart>
      <c:catAx>
        <c:axId val="122597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192175"/>
        <c:crosses val="autoZero"/>
        <c:auto val="1"/>
        <c:lblAlgn val="ctr"/>
        <c:lblOffset val="100"/>
        <c:noMultiLvlLbl val="0"/>
      </c:catAx>
      <c:valAx>
        <c:axId val="12921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7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copy.xlsx]Subcatagories Statistics!PivotTable7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'Subcatagories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'Subcatagories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E-5B45-B6C5-C0F43FF9A508}"/>
            </c:ext>
          </c:extLst>
        </c:ser>
        <c:ser>
          <c:idx val="1"/>
          <c:order val="1"/>
          <c:tx>
            <c:strRef>
              <c:f>'Subcatagories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'Subcatagories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5E-5B45-B6C5-C0F43FF9A508}"/>
            </c:ext>
          </c:extLst>
        </c:ser>
        <c:ser>
          <c:idx val="2"/>
          <c:order val="2"/>
          <c:tx>
            <c:strRef>
              <c:f>'Subcatagories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'Subcatagories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'Subcatagories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5E-5B45-B6C5-C0F43FF9A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25978495"/>
        <c:axId val="1292192175"/>
      </c:barChart>
      <c:catAx>
        <c:axId val="122597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192175"/>
        <c:crosses val="autoZero"/>
        <c:auto val="1"/>
        <c:lblAlgn val="ctr"/>
        <c:lblOffset val="100"/>
        <c:noMultiLvlLbl val="0"/>
      </c:catAx>
      <c:valAx>
        <c:axId val="12921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7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18</xdr:row>
      <xdr:rowOff>139700</xdr:rowOff>
    </xdr:from>
    <xdr:to>
      <xdr:col>7</xdr:col>
      <xdr:colOff>393700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713F0-5BED-D441-A7A3-521034928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17</xdr:row>
      <xdr:rowOff>120650</xdr:rowOff>
    </xdr:from>
    <xdr:to>
      <xdr:col>10</xdr:col>
      <xdr:colOff>736600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48B68-2F5E-CD46-9D99-2D3FD77E2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18</xdr:col>
      <xdr:colOff>533400</xdr:colOff>
      <xdr:row>44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4ABD7B-425A-5C4F-B5CD-8B90F42C6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579BB-87F3-2247-A634-8875E387C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92968-420E-9446-ADFF-ED235902B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473137037035" createdVersion="7" refreshedVersion="7" minRefreshableVersion="3" recordCount="4114" xr:uid="{1E0F4CCF-DE5C-2744-9DDA-809DD4A7D7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8.520433680555" createdVersion="7" refreshedVersion="7" minRefreshableVersion="3" recordCount="4114" xr:uid="{CADC889D-26F3-F145-B2AF-8D300257700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96F0F-2EBB-E742-B51E-7410AD68DB01}" name="PivotTable10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7B124-53F2-454E-9945-D42621E26AE8}" name="PivotTable8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EE8CC-F720-8143-942C-998DA575319A}" name="PivotTable7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890A2-242E-E644-ACB5-E6CEF6D7B559}" name="PivotTable7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EB786-357F-2742-B18E-A19BF20C7369}">
  <dimension ref="A1:E18"/>
  <sheetViews>
    <sheetView tabSelected="1" workbookViewId="0">
      <selection activeCell="I50" sqref="I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8361</v>
      </c>
      <c r="B1" t="s">
        <v>8315</v>
      </c>
    </row>
    <row r="2" spans="1:5" x14ac:dyDescent="0.2">
      <c r="A2" s="10" t="s">
        <v>8399</v>
      </c>
      <c r="B2" t="s">
        <v>8363</v>
      </c>
    </row>
    <row r="4" spans="1:5" x14ac:dyDescent="0.2">
      <c r="A4" s="10" t="s">
        <v>8364</v>
      </c>
      <c r="B4" s="10" t="s">
        <v>8359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8368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8369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8370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8373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8378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8367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8374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6E6D3-EEBA-044C-AB4F-BCB4C409A848}">
  <dimension ref="A1:H13"/>
  <sheetViews>
    <sheetView topLeftCell="A2" workbookViewId="0">
      <selection activeCell="M27" sqref="M27"/>
    </sheetView>
  </sheetViews>
  <sheetFormatPr baseColWidth="10" defaultRowHeight="15" x14ac:dyDescent="0.2"/>
  <cols>
    <col min="1" max="8" width="18" style="21" customWidth="1"/>
    <col min="9" max="16384" width="10.83203125" style="22"/>
  </cols>
  <sheetData>
    <row r="1" spans="1:8" s="23" customFormat="1" x14ac:dyDescent="0.2">
      <c r="A1" s="20" t="s">
        <v>8382</v>
      </c>
      <c r="B1" s="20" t="s">
        <v>8400</v>
      </c>
      <c r="C1" s="20" t="s">
        <v>8401</v>
      </c>
      <c r="D1" s="20" t="s">
        <v>8402</v>
      </c>
      <c r="E1" s="20" t="s">
        <v>8403</v>
      </c>
      <c r="F1" s="20" t="s">
        <v>8404</v>
      </c>
      <c r="G1" s="20" t="s">
        <v>8405</v>
      </c>
      <c r="H1" s="20" t="s">
        <v>8406</v>
      </c>
    </row>
    <row r="2" spans="1:8" x14ac:dyDescent="0.2">
      <c r="A2" s="21" t="s">
        <v>8407</v>
      </c>
      <c r="B2" s="21">
        <f>COUNTIFS(Kickstarter!$D:$D, "&lt;1000", Kickstarter!$F:$F, "successful",Kickstarter!$R:$R, "plays")</f>
        <v>141</v>
      </c>
      <c r="C2" s="21">
        <f>COUNTIFS(Kickstarter!$D:$D, "&lt;1000", Kickstarter!$F:$F, "failed",Kickstarter!$R:$R, "plays")</f>
        <v>45</v>
      </c>
      <c r="D2" s="21">
        <f>COUNTIFS(Kickstarter!$D:$D, "&lt;1000", Kickstarter!$F:$F, "canceled",Kickstarter!$R:$R, "plays")</f>
        <v>0</v>
      </c>
      <c r="E2" s="21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s="21" t="s">
        <v>8408</v>
      </c>
      <c r="B3" s="21">
        <f>COUNTIFS(Kickstarter!$D:$D, "&gt;=1000", Kickstarter!$F:$F, "successful", Kickstarter!$D:$D, "&lt;=4999",Kickstarter!$R:$R, "plays")</f>
        <v>388</v>
      </c>
      <c r="C3" s="21">
        <f>COUNTIFS(Kickstarter!$D:$D, "&gt;=1000", Kickstarter!$F:$F, "failed", Kickstarter!$D:$D, "&lt;=4999",Kickstarter!$R:$R, "plays")</f>
        <v>146</v>
      </c>
      <c r="D3" s="21">
        <f>COUNTIFS(Kickstarter!$D:$D, "&gt;=1000", Kickstarter!$F:$F, "canceled", Kickstarter!$D:$D, "&lt;=4999",Kickstarter!$R:$R, "plays")</f>
        <v>0</v>
      </c>
      <c r="E3" s="21">
        <f t="shared" ref="E3:E13" si="0">SUM(B3:D3)</f>
        <v>534</v>
      </c>
      <c r="F3" s="24">
        <f>B3/E3</f>
        <v>0.72659176029962547</v>
      </c>
      <c r="G3" s="24">
        <f t="shared" ref="G3:G13" si="1">C3/E3</f>
        <v>0.27340823970037453</v>
      </c>
      <c r="H3" s="24">
        <f t="shared" ref="H3:H13" si="2">D3/E3</f>
        <v>0</v>
      </c>
    </row>
    <row r="4" spans="1:8" x14ac:dyDescent="0.2">
      <c r="A4" s="21" t="s">
        <v>8409</v>
      </c>
      <c r="B4" s="21">
        <f>COUNTIFS(Kickstarter!$D:$D, "&gt;=5000", Kickstarter!$F:$F, "successful", Kickstarter!$D:$D, "&lt;=9999",Kickstarter!$R:$R, "plays")</f>
        <v>93</v>
      </c>
      <c r="C4" s="21">
        <f>COUNTIFS(Kickstarter!$D:$D, "&gt;=5000", Kickstarter!$F:$F, "failed", Kickstarter!$D:$D, "&lt;=9999",Kickstarter!$R:$R, "plays")</f>
        <v>76</v>
      </c>
      <c r="D4" s="21">
        <f>COUNTIFS(Kickstarter!$D:$D, "&gt;=5000", Kickstarter!$F:$F, "canceled", Kickstarter!$D:$D, "&lt;=9999",Kickstarter!$R:$R, "plays")</f>
        <v>0</v>
      </c>
      <c r="E4" s="21">
        <f t="shared" si="0"/>
        <v>169</v>
      </c>
      <c r="F4" s="24">
        <f>B4/E4</f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">
      <c r="A5" s="21" t="s">
        <v>8410</v>
      </c>
      <c r="B5" s="21">
        <f>COUNTIFS(Kickstarter!$D:$D, "&gt;=10000", Kickstarter!$F:$F, "successful", Kickstarter!$D:$D, "&lt;=14999",Kickstarter!$R:$R, "plays")</f>
        <v>39</v>
      </c>
      <c r="C5" s="21">
        <f>COUNTIFS(Kickstarter!$D:$D, "&gt;=10000", Kickstarter!$F:$F, "failed", Kickstarter!$D:$D, "&lt;=14999",Kickstarter!$R:$R, "plays")</f>
        <v>33</v>
      </c>
      <c r="D5" s="21">
        <f>COUNTIFS(Kickstarter!$D:$D, "&gt;=10000", Kickstarter!$F:$F, "canceled", Kickstarter!$D:$D, "&lt;=14999",Kickstarter!$R:$R, "plays")</f>
        <v>0</v>
      </c>
      <c r="E5" s="21">
        <f t="shared" si="0"/>
        <v>72</v>
      </c>
      <c r="F5" s="24">
        <f t="shared" ref="F5:F13" si="3">B5/E5</f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">
      <c r="A6" s="21" t="s">
        <v>8411</v>
      </c>
      <c r="B6" s="21">
        <f>COUNTIFS(Kickstarter!$D:$D, "&gt;=15000", Kickstarter!$F:$F, "successful", Kickstarter!$D:$D, "&lt;=19999",Kickstarter!$R:$R, "plays")</f>
        <v>12</v>
      </c>
      <c r="C6" s="21">
        <f>COUNTIFS(Kickstarter!$D:$D, "&gt;=15000", Kickstarter!$F:$F, "failed", Kickstarter!$D:$D, "&lt;=19999",Kickstarter!$R:$R, "plays")</f>
        <v>12</v>
      </c>
      <c r="D6" s="21">
        <f>COUNTIFS(Kickstarter!$D:$D, "&gt;=15000", Kickstarter!$F:$F, "canceled", Kickstarter!$D:$D, "&lt;=19999",Kickstarter!$R:$R, "plays")</f>
        <v>0</v>
      </c>
      <c r="E6" s="21">
        <f t="shared" si="0"/>
        <v>24</v>
      </c>
      <c r="F6" s="24">
        <f t="shared" si="3"/>
        <v>0.5</v>
      </c>
      <c r="G6" s="24">
        <f t="shared" si="1"/>
        <v>0.5</v>
      </c>
      <c r="H6" s="24">
        <f t="shared" si="2"/>
        <v>0</v>
      </c>
    </row>
    <row r="7" spans="1:8" x14ac:dyDescent="0.2">
      <c r="A7" s="21" t="s">
        <v>8412</v>
      </c>
      <c r="B7" s="21">
        <f>COUNTIFS(Kickstarter!$D:$D, "&gt;=20000", Kickstarter!$F:$F, "successful", Kickstarter!$D:$D, "&lt;=24999",Kickstarter!$R:$R, "plays")</f>
        <v>9</v>
      </c>
      <c r="C7" s="21">
        <f>COUNTIFS(Kickstarter!$D:$D, "&gt;=20000", Kickstarter!$F:$F, "failed", Kickstarter!$D:$D, "&lt;=24999",Kickstarter!$R:$R, "plays")</f>
        <v>11</v>
      </c>
      <c r="D7" s="21">
        <f>COUNTIFS(Kickstarter!$D:$D, "&gt;=20000", Kickstarter!$F:$F, "canceled", Kickstarter!$D:$D, "&lt;=24999",Kickstarter!$R:$R, "plays")</f>
        <v>0</v>
      </c>
      <c r="E7" s="21">
        <f t="shared" si="0"/>
        <v>20</v>
      </c>
      <c r="F7" s="24">
        <f t="shared" si="3"/>
        <v>0.45</v>
      </c>
      <c r="G7" s="24">
        <f t="shared" si="1"/>
        <v>0.55000000000000004</v>
      </c>
      <c r="H7" s="24">
        <f t="shared" si="2"/>
        <v>0</v>
      </c>
    </row>
    <row r="8" spans="1:8" x14ac:dyDescent="0.2">
      <c r="A8" s="21" t="s">
        <v>8413</v>
      </c>
      <c r="B8" s="21">
        <f>COUNTIFS(Kickstarter!$D:$D, "&gt;=25000", Kickstarter!$F:$F, "successful", Kickstarter!$D:$D, "&lt;=29999",Kickstarter!$R:$R, "plays")</f>
        <v>1</v>
      </c>
      <c r="C8" s="21">
        <f>COUNTIFS(Kickstarter!$D:$D, "&gt;=25000", Kickstarter!$F:$F, "failed", Kickstarter!$D:$D, "&lt;=29999",Kickstarter!$R:$R, "plays")</f>
        <v>4</v>
      </c>
      <c r="D8" s="21">
        <f>COUNTIFS(Kickstarter!$D:$D, "&gt;=25000", Kickstarter!$F:$F, "canceled", Kickstarter!$D:$D, "&lt;=29999",Kickstarter!$R:$R, "plays")</f>
        <v>0</v>
      </c>
      <c r="E8" s="21">
        <f t="shared" si="0"/>
        <v>5</v>
      </c>
      <c r="F8" s="24">
        <f t="shared" si="3"/>
        <v>0.2</v>
      </c>
      <c r="G8" s="24">
        <f t="shared" si="1"/>
        <v>0.8</v>
      </c>
      <c r="H8" s="24">
        <f t="shared" si="2"/>
        <v>0</v>
      </c>
    </row>
    <row r="9" spans="1:8" x14ac:dyDescent="0.2">
      <c r="A9" s="21" t="s">
        <v>8414</v>
      </c>
      <c r="B9" s="21">
        <f>COUNTIFS(Kickstarter!$D:$D, "&gt;=30000", Kickstarter!$F:$F, "successful", Kickstarter!$D:$D, "&lt;=34999",Kickstarter!$R:$R, "plays")</f>
        <v>3</v>
      </c>
      <c r="C9" s="21">
        <f>COUNTIFS(Kickstarter!$D:$D, "&gt;=30000", Kickstarter!$F:$F, "failed", Kickstarter!$D:$D, "&lt;=34999",Kickstarter!$R:$R, "plays")</f>
        <v>8</v>
      </c>
      <c r="D9" s="21">
        <f>COUNTIFS(Kickstarter!$D:$D, "&gt;=30000", Kickstarter!$F:$F, "canceled", Kickstarter!$D:$D, "&lt;=34999",Kickstarter!$R:$R, "plays")</f>
        <v>0</v>
      </c>
      <c r="E9" s="21">
        <f t="shared" si="0"/>
        <v>11</v>
      </c>
      <c r="F9" s="24">
        <f t="shared" si="3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">
      <c r="A10" s="21" t="s">
        <v>8415</v>
      </c>
      <c r="B10" s="21">
        <f>COUNTIFS(Kickstarter!$D:$D, "&gt;=35000", Kickstarter!$F:$F, "successful", Kickstarter!$D:$D, "&lt;=39999",Kickstarter!$R:$R, "plays")</f>
        <v>4</v>
      </c>
      <c r="C10" s="21">
        <f>COUNTIFS(Kickstarter!$D:$D, "&gt;=35000", Kickstarter!$F:$F, "failed", Kickstarter!$D:$D, "&lt;=39999",Kickstarter!$R:$R, "plays")</f>
        <v>2</v>
      </c>
      <c r="D10" s="21">
        <f>COUNTIFS(Kickstarter!$D:$D, "&gt;=35000", Kickstarter!$F:$F, "canceled", Kickstarter!$D:$D, "&lt;=39999",Kickstarter!$R:$R, "plays")</f>
        <v>0</v>
      </c>
      <c r="E10" s="21">
        <f t="shared" si="0"/>
        <v>6</v>
      </c>
      <c r="F10" s="24">
        <f t="shared" si="3"/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">
      <c r="A11" s="21" t="s">
        <v>8416</v>
      </c>
      <c r="B11" s="21">
        <f>COUNTIFS(Kickstarter!$D:$D, "&gt;=40000", Kickstarter!$F:$F, "successful", Kickstarter!$D:$D, "&lt;=44999",Kickstarter!$R:$R, "plays")</f>
        <v>2</v>
      </c>
      <c r="C11" s="21">
        <f>COUNTIFS(Kickstarter!$D:$D, "&gt;=40000", Kickstarter!$F:$F, "failed", Kickstarter!$D:$D, "&lt;=44999",Kickstarter!$R:$R, "plays")</f>
        <v>1</v>
      </c>
      <c r="D11" s="21">
        <f>COUNTIFS(Kickstarter!$D:$D, "&gt;=40000", Kickstarter!$F:$F, "canceled", Kickstarter!$D:$D, "&lt;=44999",Kickstarter!$R:$R, "plays")</f>
        <v>0</v>
      </c>
      <c r="E11" s="21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">
      <c r="A12" s="21" t="s">
        <v>8417</v>
      </c>
      <c r="B12" s="21">
        <f>COUNTIFS(Kickstarter!$D:$D, "&gt;=45000", Kickstarter!$F:$F, "successful", Kickstarter!$D:$D, "&lt;=49999",Kickstarter!$R:$R, "plays")</f>
        <v>0</v>
      </c>
      <c r="C12" s="21">
        <f>COUNTIFS(Kickstarter!$D:$D, "&gt;=45000", Kickstarter!$F:$F, "failed", Kickstarter!$D:$D, "&lt;=49999",Kickstarter!$R:$R, "plays")</f>
        <v>1</v>
      </c>
      <c r="D12" s="21">
        <f>COUNTIFS(Kickstarter!$D:$D, "&gt;=45000", Kickstarter!$F:$F, "canceled", Kickstarter!$D:$D, "&lt;=49999",Kickstarter!$R:$R, "plays")</f>
        <v>0</v>
      </c>
      <c r="E12" s="21">
        <f t="shared" si="0"/>
        <v>1</v>
      </c>
      <c r="F12" s="24">
        <f t="shared" si="3"/>
        <v>0</v>
      </c>
      <c r="G12" s="24">
        <f t="shared" si="1"/>
        <v>1</v>
      </c>
      <c r="H12" s="24">
        <f t="shared" si="2"/>
        <v>0</v>
      </c>
    </row>
    <row r="13" spans="1:8" x14ac:dyDescent="0.2">
      <c r="A13" s="21" t="s">
        <v>8418</v>
      </c>
      <c r="B13" s="21">
        <f>COUNTIFS(Kickstarter!$D:$D, "&gt;=50000", Kickstarter!$F:$F, "successful",Kickstarter!$R:$R, "plays")</f>
        <v>2</v>
      </c>
      <c r="C13" s="21">
        <f>COUNTIFS(Kickstarter!$D:$D, "&gt;=50000", Kickstarter!$F:$F, "failed",Kickstarter!$R:$R, "plays")</f>
        <v>14</v>
      </c>
      <c r="D13" s="21">
        <f>COUNTIFS(Kickstarter!$D:$D, "&gt;=50000", Kickstarter!$F:$F, "canceled",Kickstarter!$R:$R, "plays")</f>
        <v>0</v>
      </c>
      <c r="E13" s="21">
        <f t="shared" si="0"/>
        <v>16</v>
      </c>
      <c r="F13" s="24">
        <f t="shared" si="3"/>
        <v>0.125</v>
      </c>
      <c r="G13" s="24">
        <f t="shared" si="1"/>
        <v>0.875</v>
      </c>
      <c r="H13" s="24">
        <f t="shared" si="2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85" zoomScaleNormal="130" workbookViewId="0">
      <pane ySplit="1" topLeftCell="A2756" activePane="bottomLeft" state="frozen"/>
      <selection activeCell="F1" sqref="F1"/>
      <selection pane="bottomLeft" activeCell="F2128" sqref="F21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83203125" customWidth="1"/>
    <col min="16" max="16" width="1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8361</v>
      </c>
      <c r="R1" s="1" t="s">
        <v>8358</v>
      </c>
      <c r="S1" s="1" t="s">
        <v>8365</v>
      </c>
      <c r="T1" s="1" t="s">
        <v>8366</v>
      </c>
      <c r="U1" s="1" t="s">
        <v>8399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8315</v>
      </c>
      <c r="R3010" t="s">
        <v>8355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3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8315</v>
      </c>
      <c r="R3074" t="s">
        <v>8355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3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8315</v>
      </c>
      <c r="R3202" t="s">
        <v>8357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3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9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9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9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9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9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2" si="295">ROUND(E3778/D3778*100,0)</f>
        <v>107</v>
      </c>
      <c r="P3778">
        <f t="shared" ref="P3778:P3842" si="296">IFERROR(ROUND(E3778/L3778,2),0)</f>
        <v>90.82</v>
      </c>
      <c r="Q3778" s="9" t="s">
        <v>8315</v>
      </c>
      <c r="R3778" t="s">
        <v>8357</v>
      </c>
      <c r="S3778" s="13">
        <f t="shared" ref="S3778:S3842" si="297">(((J3778/60)/60)/24)+DATE(1970,1,1)</f>
        <v>41814.367800925924</v>
      </c>
      <c r="T3778" s="13">
        <f t="shared" ref="T3778:T3842" si="298">(((I3778/60)/60)/24)+DATE(1970,1,1)</f>
        <v>41852.041666666664</v>
      </c>
      <c r="U3778">
        <f t="shared" ref="U3778:U3842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3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0">ROUND(E3843/D3843*100,0)</f>
        <v>9</v>
      </c>
      <c r="P3843">
        <f t="shared" ref="P3843:P3905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7">
    <sortCondition ref="A2:A4117"/>
  </sortState>
  <conditionalFormatting sqref="F1:F1048576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4">
      <colorScale>
        <cfvo type="min"/>
        <cfvo type="percentile" val="90"/>
        <color rgb="FFFFA299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0A74-F635-0040-ADB8-AF326211C797}">
  <dimension ref="A1:C18"/>
  <sheetViews>
    <sheetView workbookViewId="0">
      <selection activeCell="H17" sqref="H17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8392</v>
      </c>
      <c r="B5" s="19" t="e">
        <f>QUARTILE(#REF!,3)</f>
        <v>#REF!</v>
      </c>
      <c r="C5" s="19" t="e">
        <f>QUARTILE(#REF!, 3)</f>
        <v>#REF!</v>
      </c>
    </row>
    <row r="6" spans="1:3" x14ac:dyDescent="0.2">
      <c r="A6" t="s">
        <v>8393</v>
      </c>
      <c r="B6" s="19" t="e">
        <f>QUARTILE(#REF!,1)</f>
        <v>#REF!</v>
      </c>
      <c r="C6" s="19" t="e">
        <f>QUARTILE(#REF!, 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B9" s="19"/>
      <c r="C9" s="19"/>
    </row>
    <row r="10" spans="1:3" x14ac:dyDescent="0.2">
      <c r="A10" t="s">
        <v>8389</v>
      </c>
      <c r="B10" s="19" t="e">
        <f>AVERAGE(#REF!)</f>
        <v>#REF!</v>
      </c>
      <c r="C10" s="19" t="e">
        <f>AVERAGE(#REF!)</f>
        <v>#REF!</v>
      </c>
    </row>
    <row r="11" spans="1:3" x14ac:dyDescent="0.2">
      <c r="A11" t="s">
        <v>8390</v>
      </c>
      <c r="B11" s="19" t="e">
        <f>MEDIAN(#REF!)</f>
        <v>#REF!</v>
      </c>
      <c r="C11" s="19" t="e">
        <f>MEDIAN((#REF!))</f>
        <v>#REF!</v>
      </c>
    </row>
    <row r="12" spans="1:3" x14ac:dyDescent="0.2">
      <c r="A12" t="s">
        <v>8395</v>
      </c>
      <c r="B12" s="19" t="e">
        <f>_xlfn.STDEV.P(#REF!)</f>
        <v>#REF!</v>
      </c>
      <c r="C12" s="19" t="e">
        <f>_xlfn.STDEV.P((#REF!))</f>
        <v>#REF!</v>
      </c>
    </row>
    <row r="13" spans="1:3" x14ac:dyDescent="0.2">
      <c r="A13" t="s">
        <v>8396</v>
      </c>
      <c r="B13" s="19" t="e">
        <f>QUARTILE(#REF!, 3)</f>
        <v>#REF!</v>
      </c>
      <c r="C13" s="19" t="e">
        <f>QUARTILE((#REF!), 3)</f>
        <v>#REF!</v>
      </c>
    </row>
    <row r="14" spans="1:3" x14ac:dyDescent="0.2">
      <c r="A14" t="s">
        <v>8397</v>
      </c>
      <c r="B14" s="19" t="e">
        <f>QUARTILE(#REF!, 1)</f>
        <v>#REF!</v>
      </c>
      <c r="C14" s="19" t="e">
        <f>QUARTILE((#REF!), 1)</f>
        <v>#REF!</v>
      </c>
    </row>
    <row r="15" spans="1:3" x14ac:dyDescent="0.2">
      <c r="A15" t="s">
        <v>8398</v>
      </c>
      <c r="B15" s="19" t="e">
        <f>B13-B14</f>
        <v>#REF!</v>
      </c>
      <c r="C15" s="19" t="e">
        <f>C13-C14</f>
        <v>#REF!</v>
      </c>
    </row>
    <row r="16" spans="1:3" x14ac:dyDescent="0.2">
      <c r="B16" s="19"/>
      <c r="C16" s="19"/>
    </row>
    <row r="17" spans="2:3" x14ac:dyDescent="0.2">
      <c r="B17" s="19"/>
      <c r="C17" s="19"/>
    </row>
    <row r="18" spans="2:3" x14ac:dyDescent="0.2">
      <c r="B18" s="19"/>
      <c r="C18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3381-43DB-9B42-8DBC-ED5F7DA4CC85}">
  <dimension ref="A1:F6"/>
  <sheetViews>
    <sheetView workbookViewId="0">
      <selection activeCell="E4" sqref="E4"/>
    </sheetView>
  </sheetViews>
  <sheetFormatPr baseColWidth="10" defaultRowHeight="15" x14ac:dyDescent="0.2"/>
  <cols>
    <col min="1" max="1" width="28.6640625" style="15" bestFit="1" customWidth="1"/>
    <col min="2" max="2" width="39.5" style="17" customWidth="1"/>
    <col min="5" max="5" width="15" bestFit="1" customWidth="1"/>
    <col min="6" max="6" width="15.5" bestFit="1" customWidth="1"/>
  </cols>
  <sheetData>
    <row r="1" spans="1:6" ht="16" x14ac:dyDescent="0.2">
      <c r="A1" s="1" t="s">
        <v>8380</v>
      </c>
      <c r="B1" s="2" t="s">
        <v>8381</v>
      </c>
      <c r="C1" s="2" t="s">
        <v>8382</v>
      </c>
      <c r="D1" s="2" t="s">
        <v>8383</v>
      </c>
      <c r="E1" s="2" t="s">
        <v>8307</v>
      </c>
      <c r="F1" s="2" t="s">
        <v>8384</v>
      </c>
    </row>
    <row r="2" spans="1:6" ht="48" x14ac:dyDescent="0.2">
      <c r="A2" s="18" t="s">
        <v>3473</v>
      </c>
      <c r="B2" s="16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8" x14ac:dyDescent="0.2">
      <c r="A3" s="18" t="s">
        <v>3616</v>
      </c>
      <c r="B3" s="16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8" x14ac:dyDescent="0.2">
      <c r="A4" s="18" t="s">
        <v>3178</v>
      </c>
      <c r="B4" s="16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8" x14ac:dyDescent="0.2">
      <c r="A5" s="18" t="s">
        <v>3329</v>
      </c>
      <c r="B5" s="16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8" x14ac:dyDescent="0.2">
      <c r="A6" s="18" t="s">
        <v>3221</v>
      </c>
      <c r="B6" s="1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4CE50-30C9-DC4F-A343-922418887015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8361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8364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8377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8368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8369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8370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8373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8378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8367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8374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4584-A900-4A4D-9D89-8C2BBA01E630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8364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8360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B6C7-F68C-354F-BAB3-096BBD45116B}">
  <dimension ref="A1:E7"/>
  <sheetViews>
    <sheetView workbookViewId="0">
      <selection activeCell="R29" sqref="R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8361</v>
      </c>
      <c r="B2" t="s">
        <v>8363</v>
      </c>
    </row>
    <row r="4" spans="1:5" x14ac:dyDescent="0.2">
      <c r="A4" s="10" t="s">
        <v>8364</v>
      </c>
      <c r="B4" s="10" t="s">
        <v>8359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1" t="s">
        <v>8360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Outcomes Based on Launch Date</vt:lpstr>
      <vt:lpstr>Catagories Statistics</vt:lpstr>
      <vt:lpstr>Subcatagories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2021-04-26T14:37:41Z</dcterms:modified>
</cp:coreProperties>
</file>