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20" windowWidth="15135" windowHeight="9000"/>
  </bookViews>
  <sheets>
    <sheet name="Cover" sheetId="2" r:id="rId1"/>
    <sheet name="Calculations" sheetId="1" r:id="rId2"/>
    <sheet name="Equipment error comparison" sheetId="3" r:id="rId3"/>
  </sheets>
  <calcPr calcId="145621"/>
</workbook>
</file>

<file path=xl/calcChain.xml><?xml version="1.0" encoding="utf-8"?>
<calcChain xmlns="http://schemas.openxmlformats.org/spreadsheetml/2006/main">
  <c r="G63" i="3" l="1"/>
  <c r="G62" i="3"/>
  <c r="G61" i="3"/>
  <c r="G60" i="3"/>
  <c r="G59" i="3"/>
  <c r="E59" i="3"/>
  <c r="G58" i="3"/>
  <c r="E58" i="3"/>
  <c r="G57" i="3"/>
  <c r="E57" i="3"/>
  <c r="G56" i="3"/>
  <c r="E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B47" i="3"/>
  <c r="B46" i="3"/>
  <c r="B45" i="3"/>
  <c r="K40" i="3"/>
  <c r="K39" i="3"/>
  <c r="K38" i="3"/>
  <c r="K37" i="3"/>
  <c r="K36" i="3"/>
  <c r="K35" i="3"/>
  <c r="K34" i="3"/>
  <c r="K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J40" i="3"/>
  <c r="J39" i="3"/>
  <c r="J38" i="3"/>
  <c r="J37" i="3"/>
  <c r="J36" i="3"/>
  <c r="J35" i="3"/>
  <c r="J34" i="3"/>
  <c r="J33" i="3"/>
  <c r="J32" i="3"/>
  <c r="J31" i="3"/>
  <c r="G31" i="3"/>
  <c r="J30" i="3"/>
  <c r="G30" i="3"/>
  <c r="J29" i="3"/>
  <c r="G29" i="3"/>
  <c r="J28" i="3"/>
  <c r="G28" i="3"/>
  <c r="J27" i="3"/>
  <c r="G27" i="3"/>
  <c r="J26" i="3"/>
  <c r="G26" i="3"/>
  <c r="F26" i="3"/>
  <c r="J25" i="3"/>
  <c r="G25" i="3"/>
  <c r="F25" i="3"/>
  <c r="J24" i="3"/>
  <c r="G24" i="3"/>
  <c r="F24" i="3"/>
  <c r="J23" i="3"/>
  <c r="G23" i="3"/>
  <c r="F23" i="3"/>
  <c r="J22" i="3"/>
  <c r="G22" i="3"/>
  <c r="F22" i="3"/>
  <c r="E22" i="3"/>
  <c r="J21" i="3"/>
  <c r="G21" i="3"/>
  <c r="F21" i="3"/>
  <c r="E21" i="3"/>
  <c r="J20" i="3"/>
  <c r="G20" i="3"/>
  <c r="F20" i="3"/>
  <c r="E20" i="3"/>
  <c r="J19" i="3"/>
  <c r="G19" i="3"/>
  <c r="F19" i="3"/>
  <c r="E19" i="3"/>
  <c r="J18" i="3"/>
  <c r="G18" i="3"/>
  <c r="F18" i="3"/>
  <c r="E18" i="3"/>
  <c r="J17" i="3"/>
  <c r="G17" i="3"/>
  <c r="F17" i="3"/>
  <c r="E17" i="3"/>
  <c r="J16" i="3"/>
  <c r="G16" i="3"/>
  <c r="F16" i="3"/>
  <c r="E16" i="3"/>
  <c r="J15" i="3"/>
  <c r="G15" i="3"/>
  <c r="F15" i="3"/>
  <c r="E15" i="3"/>
  <c r="J14" i="3"/>
  <c r="G14" i="3"/>
  <c r="F14" i="3"/>
  <c r="E14" i="3"/>
  <c r="J13" i="3"/>
  <c r="G13" i="3"/>
  <c r="F13" i="3"/>
  <c r="E13" i="3"/>
  <c r="J12" i="3"/>
  <c r="G12" i="3"/>
  <c r="F12" i="3"/>
  <c r="E12" i="3"/>
  <c r="J11" i="3"/>
  <c r="G11" i="3"/>
  <c r="F11" i="3"/>
  <c r="E11" i="3"/>
  <c r="J10" i="3"/>
  <c r="G10" i="3"/>
  <c r="F10" i="3"/>
  <c r="E10" i="3"/>
  <c r="J9" i="3"/>
  <c r="G9" i="3"/>
  <c r="F9" i="3"/>
  <c r="E9" i="3"/>
  <c r="J8" i="3"/>
  <c r="G8" i="3"/>
  <c r="F8" i="3"/>
  <c r="E8" i="3"/>
  <c r="J7" i="3"/>
  <c r="G7" i="3"/>
  <c r="F7" i="3"/>
  <c r="E7" i="3"/>
  <c r="J6" i="3"/>
  <c r="G6" i="3"/>
  <c r="F6" i="3"/>
  <c r="E6" i="3"/>
  <c r="J5" i="3"/>
  <c r="G5" i="3"/>
  <c r="F5" i="3"/>
  <c r="E5" i="3"/>
  <c r="J4" i="3"/>
  <c r="G4" i="3"/>
  <c r="F4" i="3"/>
  <c r="E4" i="3"/>
  <c r="D55" i="3"/>
  <c r="D54" i="3"/>
  <c r="D53" i="3"/>
  <c r="D52" i="3"/>
  <c r="D51" i="3"/>
  <c r="D50" i="3"/>
  <c r="D49" i="3"/>
  <c r="D48" i="3"/>
  <c r="D47" i="3"/>
  <c r="D46" i="3"/>
  <c r="D45" i="3"/>
  <c r="D17" i="3"/>
  <c r="D16" i="3"/>
  <c r="D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B33" i="3"/>
  <c r="B32" i="3"/>
  <c r="B31" i="3"/>
  <c r="B30" i="3"/>
  <c r="B29" i="3"/>
  <c r="B28" i="3"/>
  <c r="B27" i="3"/>
  <c r="B26" i="3"/>
  <c r="B25" i="3"/>
  <c r="B24" i="3"/>
  <c r="C17" i="1" l="1"/>
  <c r="G2" i="1"/>
  <c r="C16" i="1"/>
  <c r="E29" i="1" s="1"/>
  <c r="G3" i="1"/>
  <c r="G4" i="1"/>
  <c r="L2" i="1"/>
  <c r="L3" i="1"/>
  <c r="Q2" i="1"/>
  <c r="Q3" i="1"/>
  <c r="C18" i="1"/>
  <c r="O15" i="1" l="1"/>
  <c r="P15" i="1" s="1"/>
  <c r="R15" i="1" s="1"/>
  <c r="E15" i="1"/>
  <c r="G15" i="1" s="1"/>
  <c r="J15" i="1"/>
  <c r="L15" i="1" s="1"/>
  <c r="O29" i="1"/>
  <c r="Q29" i="1" s="1"/>
  <c r="A29" i="1"/>
  <c r="A28" i="1" s="1"/>
  <c r="F29" i="1"/>
  <c r="H29" i="1" s="1"/>
  <c r="J29" i="1"/>
  <c r="J28" i="1" s="1"/>
  <c r="E28" i="1"/>
  <c r="G29" i="1"/>
  <c r="F15" i="1" l="1"/>
  <c r="H15" i="1" s="1"/>
  <c r="Q15" i="1"/>
  <c r="O14" i="1"/>
  <c r="O13" i="1" s="1"/>
  <c r="E14" i="1"/>
  <c r="F14" i="1" s="1"/>
  <c r="H14" i="1" s="1"/>
  <c r="J14" i="1"/>
  <c r="L14" i="1" s="1"/>
  <c r="K15" i="1"/>
  <c r="M15" i="1" s="1"/>
  <c r="P29" i="1"/>
  <c r="R29" i="1" s="1"/>
  <c r="O28" i="1"/>
  <c r="Q28" i="1" s="1"/>
  <c r="A27" i="1"/>
  <c r="B28" i="1"/>
  <c r="C28" i="1" s="1"/>
  <c r="L29" i="1"/>
  <c r="B29" i="1"/>
  <c r="C29" i="1" s="1"/>
  <c r="I29" i="1" s="1"/>
  <c r="K29" i="1"/>
  <c r="M29" i="1" s="1"/>
  <c r="G28" i="1"/>
  <c r="E27" i="1"/>
  <c r="F28" i="1"/>
  <c r="H28" i="1" s="1"/>
  <c r="K28" i="1"/>
  <c r="M28" i="1" s="1"/>
  <c r="J27" i="1"/>
  <c r="L28" i="1"/>
  <c r="E13" i="1" l="1"/>
  <c r="E12" i="1" s="1"/>
  <c r="P14" i="1"/>
  <c r="R14" i="1" s="1"/>
  <c r="Q14" i="1"/>
  <c r="G14" i="1"/>
  <c r="N29" i="1"/>
  <c r="N28" i="1"/>
  <c r="S29" i="1"/>
  <c r="I28" i="1"/>
  <c r="K14" i="1"/>
  <c r="M14" i="1" s="1"/>
  <c r="J13" i="1"/>
  <c r="K13" i="1" s="1"/>
  <c r="M13" i="1" s="1"/>
  <c r="P28" i="1"/>
  <c r="R28" i="1" s="1"/>
  <c r="S28" i="1" s="1"/>
  <c r="O27" i="1"/>
  <c r="Q27" i="1" s="1"/>
  <c r="B27" i="1"/>
  <c r="C27" i="1" s="1"/>
  <c r="A26" i="1"/>
  <c r="O12" i="1"/>
  <c r="P13" i="1"/>
  <c r="R13" i="1" s="1"/>
  <c r="Q13" i="1"/>
  <c r="J26" i="1"/>
  <c r="K27" i="1"/>
  <c r="M27" i="1" s="1"/>
  <c r="L27" i="1"/>
  <c r="E26" i="1"/>
  <c r="G27" i="1"/>
  <c r="F27" i="1"/>
  <c r="H27" i="1" s="1"/>
  <c r="F13" i="1" l="1"/>
  <c r="H13" i="1" s="1"/>
  <c r="G13" i="1"/>
  <c r="I27" i="1"/>
  <c r="N27" i="1"/>
  <c r="J12" i="1"/>
  <c r="J11" i="1" s="1"/>
  <c r="L13" i="1"/>
  <c r="P27" i="1"/>
  <c r="R27" i="1" s="1"/>
  <c r="S27" i="1" s="1"/>
  <c r="O26" i="1"/>
  <c r="Q26" i="1" s="1"/>
  <c r="A25" i="1"/>
  <c r="B26" i="1"/>
  <c r="C26" i="1" s="1"/>
  <c r="E25" i="1"/>
  <c r="F26" i="1"/>
  <c r="H26" i="1" s="1"/>
  <c r="G26" i="1"/>
  <c r="K26" i="1"/>
  <c r="M26" i="1" s="1"/>
  <c r="J25" i="1"/>
  <c r="L26" i="1"/>
  <c r="P12" i="1"/>
  <c r="R12" i="1" s="1"/>
  <c r="O11" i="1"/>
  <c r="Q12" i="1"/>
  <c r="E11" i="1"/>
  <c r="F12" i="1"/>
  <c r="H12" i="1" s="1"/>
  <c r="G12" i="1"/>
  <c r="N26" i="1" l="1"/>
  <c r="I26" i="1"/>
  <c r="K12" i="1"/>
  <c r="M12" i="1" s="1"/>
  <c r="L12" i="1"/>
  <c r="P26" i="1"/>
  <c r="R26" i="1" s="1"/>
  <c r="S26" i="1" s="1"/>
  <c r="O25" i="1"/>
  <c r="P25" i="1" s="1"/>
  <c r="R25" i="1" s="1"/>
  <c r="A24" i="1"/>
  <c r="B25" i="1"/>
  <c r="C25" i="1" s="1"/>
  <c r="O10" i="1"/>
  <c r="P11" i="1"/>
  <c r="R11" i="1" s="1"/>
  <c r="Q11" i="1"/>
  <c r="J10" i="1"/>
  <c r="K11" i="1"/>
  <c r="M11" i="1" s="1"/>
  <c r="L11" i="1"/>
  <c r="E24" i="1"/>
  <c r="G25" i="1"/>
  <c r="F25" i="1"/>
  <c r="H25" i="1" s="1"/>
  <c r="E10" i="1"/>
  <c r="F11" i="1"/>
  <c r="H11" i="1" s="1"/>
  <c r="G11" i="1"/>
  <c r="J24" i="1"/>
  <c r="K25" i="1"/>
  <c r="M25" i="1" s="1"/>
  <c r="L25" i="1"/>
  <c r="N25" i="1" l="1"/>
  <c r="S25" i="1"/>
  <c r="I25" i="1"/>
  <c r="O24" i="1"/>
  <c r="P24" i="1" s="1"/>
  <c r="R24" i="1" s="1"/>
  <c r="Q25" i="1"/>
  <c r="A23" i="1"/>
  <c r="B24" i="1"/>
  <c r="C24" i="1" s="1"/>
  <c r="K24" i="1"/>
  <c r="M24" i="1" s="1"/>
  <c r="J23" i="1"/>
  <c r="L24" i="1"/>
  <c r="E9" i="1"/>
  <c r="F10" i="1"/>
  <c r="H10" i="1" s="1"/>
  <c r="G10" i="1"/>
  <c r="G24" i="1"/>
  <c r="F24" i="1"/>
  <c r="H24" i="1" s="1"/>
  <c r="E23" i="1"/>
  <c r="K10" i="1"/>
  <c r="M10" i="1" s="1"/>
  <c r="J9" i="1"/>
  <c r="L10" i="1"/>
  <c r="P10" i="1"/>
  <c r="R10" i="1" s="1"/>
  <c r="O9" i="1"/>
  <c r="Q10" i="1"/>
  <c r="N24" i="1" l="1"/>
  <c r="I24" i="1"/>
  <c r="S24" i="1"/>
  <c r="Q24" i="1"/>
  <c r="O23" i="1"/>
  <c r="Q23" i="1" s="1"/>
  <c r="A22" i="1"/>
  <c r="B23" i="1"/>
  <c r="C23" i="1" s="1"/>
  <c r="O8" i="1"/>
  <c r="P9" i="1"/>
  <c r="R9" i="1" s="1"/>
  <c r="Q9" i="1"/>
  <c r="E8" i="1"/>
  <c r="G9" i="1"/>
  <c r="F9" i="1"/>
  <c r="H9" i="1" s="1"/>
  <c r="J8" i="1"/>
  <c r="K9" i="1"/>
  <c r="M9" i="1" s="1"/>
  <c r="L9" i="1"/>
  <c r="E22" i="1"/>
  <c r="G23" i="1"/>
  <c r="F23" i="1"/>
  <c r="H23" i="1" s="1"/>
  <c r="J22" i="1"/>
  <c r="K23" i="1"/>
  <c r="M23" i="1" s="1"/>
  <c r="L23" i="1"/>
  <c r="I23" i="1" l="1"/>
  <c r="O22" i="1"/>
  <c r="O21" i="1" s="1"/>
  <c r="N23" i="1"/>
  <c r="P23" i="1"/>
  <c r="R23" i="1" s="1"/>
  <c r="S23" i="1" s="1"/>
  <c r="A21" i="1"/>
  <c r="B22" i="1"/>
  <c r="C22" i="1" s="1"/>
  <c r="K22" i="1"/>
  <c r="M22" i="1" s="1"/>
  <c r="J21" i="1"/>
  <c r="L22" i="1"/>
  <c r="E21" i="1"/>
  <c r="G22" i="1"/>
  <c r="F22" i="1"/>
  <c r="H22" i="1" s="1"/>
  <c r="K8" i="1"/>
  <c r="M8" i="1" s="1"/>
  <c r="L8" i="1"/>
  <c r="J7" i="1"/>
  <c r="E7" i="1"/>
  <c r="F8" i="1"/>
  <c r="H8" i="1" s="1"/>
  <c r="G8" i="1"/>
  <c r="P8" i="1"/>
  <c r="R8" i="1" s="1"/>
  <c r="O7" i="1"/>
  <c r="Q8" i="1"/>
  <c r="N22" i="1" l="1"/>
  <c r="I22" i="1"/>
  <c r="P22" i="1"/>
  <c r="R22" i="1" s="1"/>
  <c r="S22" i="1" s="1"/>
  <c r="Q22" i="1"/>
  <c r="A20" i="1"/>
  <c r="B20" i="1" s="1"/>
  <c r="C20" i="1" s="1"/>
  <c r="B21" i="1"/>
  <c r="C21" i="1" s="1"/>
  <c r="O20" i="1"/>
  <c r="P21" i="1"/>
  <c r="R21" i="1" s="1"/>
  <c r="Q21" i="1"/>
  <c r="E20" i="1"/>
  <c r="G21" i="1"/>
  <c r="F21" i="1"/>
  <c r="H21" i="1" s="1"/>
  <c r="O6" i="1"/>
  <c r="P7" i="1"/>
  <c r="R7" i="1" s="1"/>
  <c r="Q7" i="1"/>
  <c r="E6" i="1"/>
  <c r="F7" i="1"/>
  <c r="H7" i="1" s="1"/>
  <c r="G7" i="1"/>
  <c r="J6" i="1"/>
  <c r="K7" i="1"/>
  <c r="M7" i="1" s="1"/>
  <c r="L7" i="1"/>
  <c r="J20" i="1"/>
  <c r="K21" i="1"/>
  <c r="M21" i="1" s="1"/>
  <c r="L21" i="1"/>
  <c r="C30" i="1" l="1"/>
  <c r="I21" i="1"/>
  <c r="N21" i="1"/>
  <c r="S21" i="1"/>
  <c r="K20" i="1"/>
  <c r="M20" i="1" s="1"/>
  <c r="M30" i="1" s="1"/>
  <c r="L20" i="1"/>
  <c r="K6" i="1"/>
  <c r="M6" i="1" s="1"/>
  <c r="L6" i="1"/>
  <c r="F6" i="1"/>
  <c r="H6" i="1" s="1"/>
  <c r="G6" i="1"/>
  <c r="P6" i="1"/>
  <c r="R6" i="1" s="1"/>
  <c r="Q6" i="1"/>
  <c r="G20" i="1"/>
  <c r="F20" i="1"/>
  <c r="H20" i="1" s="1"/>
  <c r="H30" i="1" s="1"/>
  <c r="Q20" i="1"/>
  <c r="P20" i="1"/>
  <c r="R20" i="1" s="1"/>
  <c r="R30" i="1" s="1"/>
  <c r="I20" i="1" l="1"/>
  <c r="N20" i="1"/>
  <c r="S20" i="1"/>
  <c r="I30" i="1" l="1"/>
  <c r="D29" i="2" s="1"/>
  <c r="N30" i="1"/>
  <c r="D30" i="2" s="1"/>
  <c r="S30" i="1"/>
  <c r="A33" i="1" l="1"/>
  <c r="A34" i="1"/>
  <c r="A32" i="1"/>
  <c r="D31" i="2"/>
</calcChain>
</file>

<file path=xl/sharedStrings.xml><?xml version="1.0" encoding="utf-8"?>
<sst xmlns="http://schemas.openxmlformats.org/spreadsheetml/2006/main" count="432" uniqueCount="218">
  <si>
    <t>Max low</t>
  </si>
  <si>
    <t>Max high</t>
  </si>
  <si>
    <t>Pressure</t>
  </si>
  <si>
    <t>Pace6000</t>
  </si>
  <si>
    <t>Type in range</t>
  </si>
  <si>
    <t>Total RD+FS error</t>
  </si>
  <si>
    <t>% of reading error</t>
  </si>
  <si>
    <t>% full scale error</t>
  </si>
  <si>
    <t>Pace module range</t>
  </si>
  <si>
    <t>Range of DUT</t>
  </si>
  <si>
    <t>% FS error</t>
  </si>
  <si>
    <t>% RD error</t>
  </si>
  <si>
    <t>MC6 or % full scale standard</t>
  </si>
  <si>
    <t>% FS error of DUT</t>
  </si>
  <si>
    <t>Deadweight tester or % reading standard</t>
  </si>
  <si>
    <t xml:space="preserve"> </t>
  </si>
  <si>
    <t>Device under test range</t>
  </si>
  <si>
    <t>PACE6000 module range</t>
  </si>
  <si>
    <t>Enter below *</t>
  </si>
  <si>
    <t>.01% FS</t>
  </si>
  <si>
    <t>300 PSI</t>
  </si>
  <si>
    <t>1000 PSI</t>
  </si>
  <si>
    <t>10000 PSI</t>
  </si>
  <si>
    <t>.005% RD + .005% FS</t>
  </si>
  <si>
    <t>Mensor 15000</t>
  </si>
  <si>
    <t>TSI</t>
  </si>
  <si>
    <t>2% RD + .5% FS</t>
  </si>
  <si>
    <t>Azonix</t>
  </si>
  <si>
    <t>-328 +/- .4F</t>
  </si>
  <si>
    <t>32 +/- .09F</t>
  </si>
  <si>
    <t>212 +/- .4F</t>
  </si>
  <si>
    <t>392 +/- .7F</t>
  </si>
  <si>
    <t>-323 +/- .029F</t>
  </si>
  <si>
    <t>32 +/- .031F</t>
  </si>
  <si>
    <t>392 +/- .043F</t>
  </si>
  <si>
    <t>788 +/- .083F</t>
  </si>
  <si>
    <t>Deadweight</t>
  </si>
  <si>
    <t>3000 PSI</t>
  </si>
  <si>
    <t>TEMPERATURE</t>
  </si>
  <si>
    <t>VELOCITY</t>
  </si>
  <si>
    <t>PRESSURE</t>
  </si>
  <si>
    <t>HUMIDITY</t>
  </si>
  <si>
    <t>MC6 Module</t>
  </si>
  <si>
    <t>.07% FS</t>
  </si>
  <si>
    <t>.05% FS</t>
  </si>
  <si>
    <t>5 - 300 PSI</t>
  </si>
  <si>
    <t>10 PSI</t>
  </si>
  <si>
    <t>1.7% RH @ 72 Deg. F</t>
  </si>
  <si>
    <t>10 - 95%</t>
  </si>
  <si>
    <t>1.2% RH</t>
  </si>
  <si>
    <t>100 PSI</t>
  </si>
  <si>
    <t>1 PSI</t>
  </si>
  <si>
    <t>.03% FS</t>
  </si>
  <si>
    <t>MC6 module or Mensor range</t>
  </si>
  <si>
    <t>Deadweight tester or Ruska range</t>
  </si>
  <si>
    <t>% RD error of DUT</t>
  </si>
  <si>
    <t>Mixed % RD + % FS standard</t>
  </si>
  <si>
    <t>% full scale standard</t>
  </si>
  <si>
    <t>% of reading standard</t>
  </si>
  <si>
    <t>Device under test</t>
  </si>
  <si>
    <t>B7 or B8 must be 0</t>
  </si>
  <si>
    <t>Mixed % RD + %FS standard - Pace6000</t>
  </si>
  <si>
    <t>Ruska 7250LP</t>
  </si>
  <si>
    <t>% of reading standard - Deadweight tester, Ruska 7250LP</t>
  </si>
  <si>
    <t>% of full scale standard - MC6, Mensor 15000, Druck</t>
  </si>
  <si>
    <t>1.0% RH @ 72 Deg. F</t>
  </si>
  <si>
    <t>General Eastern</t>
  </si>
  <si>
    <t>Mensor CPC3000</t>
  </si>
  <si>
    <t>Controller</t>
  </si>
  <si>
    <t>Yes</t>
  </si>
  <si>
    <t>.025% FS</t>
  </si>
  <si>
    <t>600 PSI</t>
  </si>
  <si>
    <t>Dual 10" / 30"</t>
  </si>
  <si>
    <t>Note</t>
  </si>
  <si>
    <t>Should use 300 PSI Pace or Mensor instead</t>
  </si>
  <si>
    <t>Hart 9122 drywell 35 to 600C (95 to 1700F)</t>
  </si>
  <si>
    <t>Viasala PTU300</t>
  </si>
  <si>
    <t xml:space="preserve">0 - 90%          </t>
  </si>
  <si>
    <t>Viasala HMT330</t>
  </si>
  <si>
    <t>Hart 1502A w/5616</t>
  </si>
  <si>
    <t>ACCURACY</t>
  </si>
  <si>
    <t>15 PSI</t>
  </si>
  <si>
    <t>Thunder Scientific</t>
  </si>
  <si>
    <t>.5% RH</t>
  </si>
  <si>
    <t>.4"</t>
  </si>
  <si>
    <t>Mensor CPC2000</t>
  </si>
  <si>
    <t>.3% FS</t>
  </si>
  <si>
    <t>Can monitor with MC6 for higher accuracy</t>
  </si>
  <si>
    <t>DUT allowable % error</t>
  </si>
  <si>
    <t>Total % RD+FS error</t>
  </si>
  <si>
    <t>Has barometric sensor for absolute readings</t>
  </si>
  <si>
    <t>300 PSI + ABS</t>
  </si>
  <si>
    <t>PACE</t>
  </si>
  <si>
    <t>.05% RD + .05% FS</t>
  </si>
  <si>
    <t>.025% RD + .025% FS</t>
  </si>
  <si>
    <t>Accuracy %RD + %FS</t>
  </si>
  <si>
    <t>Must be greater than 4**</t>
  </si>
  <si>
    <t>3 - 500 PSI</t>
  </si>
  <si>
    <t>70 BAR / 1015 PSI</t>
  </si>
  <si>
    <t>10 BAR / 145 PSI</t>
  </si>
  <si>
    <t>90 - 100%</t>
  </si>
  <si>
    <t>3-30" .009% RD, 0-3" .009% FS (.00027")</t>
  </si>
  <si>
    <t>1 - 200"</t>
  </si>
  <si>
    <t>.06% FS typical, some .1% FS</t>
  </si>
  <si>
    <t>Ratio at point</t>
  </si>
  <si>
    <t>50-500 PSI .015% RD, 0-50 .015% FS (.0075 PSI)</t>
  </si>
  <si>
    <t>.025% and .05% FS</t>
  </si>
  <si>
    <t>.05% FS typical, some .025% and .1% FS</t>
  </si>
  <si>
    <t>.02% FS</t>
  </si>
  <si>
    <t>5 PSI</t>
  </si>
  <si>
    <t xml:space="preserve">Glycol bath -20 to +74C (-4 to 162F) </t>
  </si>
  <si>
    <t>The best standard to use is highlighted</t>
  </si>
  <si>
    <t>* values must be in the same units for all fields, DO NOT type W.C., PSI, or % in any field</t>
  </si>
  <si>
    <t>Device under test % of reading accuracy</t>
  </si>
  <si>
    <t>Device under test % of full scale accuracy</t>
  </si>
  <si>
    <t>PACE6000 % of reading accuracy</t>
  </si>
  <si>
    <t>PACE6000 % of full scale accuracy</t>
  </si>
  <si>
    <t>MC6 module or Mensor accuracy</t>
  </si>
  <si>
    <t>Deadweight tester or Ruska accuracy</t>
  </si>
  <si>
    <t>Druck DPI-515</t>
  </si>
  <si>
    <t>.008% RD only when using the Fluke software</t>
  </si>
  <si>
    <t>1000 - 5000 FPM</t>
  </si>
  <si>
    <t>7500 and 10000 FPM</t>
  </si>
  <si>
    <t>200 - 750 FPM</t>
  </si>
  <si>
    <t>Espec low temp  -85 to 180C (-120 to 354F)</t>
  </si>
  <si>
    <t xml:space="preserve">.02% RD + .02% FS, R54 has a .005% + .005% </t>
  </si>
  <si>
    <t>CM0 is low accuracy CM2 is high accuracy</t>
  </si>
  <si>
    <t>7500 PSI</t>
  </si>
  <si>
    <t>Thermotrons small -50 to 190C (-65 to 375F)</t>
  </si>
  <si>
    <t>Thermotrons big -70 to 170C (-100 to 350F)</t>
  </si>
  <si>
    <t>Espec high temp  20 to 300C (70 to 570F)</t>
  </si>
  <si>
    <t>TEMPERATURE SOURCES</t>
  </si>
  <si>
    <t>RANGES</t>
  </si>
  <si>
    <t>150 PSI</t>
  </si>
  <si>
    <t>(2) 10"</t>
  </si>
  <si>
    <t>7 BAR / 101 PSI</t>
  </si>
  <si>
    <t>290 PSI</t>
  </si>
  <si>
    <t>.02% RD + .02% FS</t>
  </si>
  <si>
    <t>(2) 1000 PSI</t>
  </si>
  <si>
    <t>Should use 1000 PSI Pace or Mensor instead</t>
  </si>
  <si>
    <t>Fluke 2465/8A</t>
  </si>
  <si>
    <t>15-0 PSI</t>
  </si>
  <si>
    <t>0-50 PSI</t>
  </si>
  <si>
    <t>Barometric sensor failed CAN'T USE FOR CERTS</t>
  </si>
  <si>
    <t>500 PSI + ABS</t>
  </si>
  <si>
    <t>50-1000 PSI</t>
  </si>
  <si>
    <t>.0033% RD + .00010 PSI</t>
  </si>
  <si>
    <t>.71 Pa = .00010 PSI</t>
  </si>
  <si>
    <t>Derated from .015% last time it was certified</t>
  </si>
  <si>
    <t>Worst case point</t>
  </si>
  <si>
    <t>** If none of the master gage options provide a 4 to 1 test ratio or greater review with Robert</t>
  </si>
  <si>
    <t>Spreadsheet to determine the best reference</t>
  </si>
  <si>
    <t>standard to perform a calibration</t>
  </si>
  <si>
    <t>Reference Standards List</t>
  </si>
  <si>
    <t>DO NOT SAVE AS A GOOGLE SHEET, GOOGLE STRIPS OUT CONDITIONAL FORMATTING WHICH HIGHLIGHTS THE BEST REFERENCE STANDARD IN CELLS A29:D31</t>
  </si>
  <si>
    <t>EE75</t>
  </si>
  <si>
    <t>1% RD + .5% FS</t>
  </si>
  <si>
    <t>40 - 8000 FPM</t>
  </si>
  <si>
    <t>.01 Pa = .00000145 PSI</t>
  </si>
  <si>
    <t>.0018% RD + .00000145 PSI</t>
  </si>
  <si>
    <t>Test Accuracy Ratio</t>
  </si>
  <si>
    <t>TUR</t>
  </si>
  <si>
    <t>+/-.25"</t>
  </si>
  <si>
    <t>+/-0.125"</t>
  </si>
  <si>
    <t>.00021"H2O</t>
  </si>
  <si>
    <t>.00038"H2O</t>
  </si>
  <si>
    <t>.5"</t>
  </si>
  <si>
    <t>1"</t>
  </si>
  <si>
    <t>.06% FS</t>
  </si>
  <si>
    <t>.0006"H2O</t>
  </si>
  <si>
    <t>+/-2.5"</t>
  </si>
  <si>
    <t>.0031"H2O</t>
  </si>
  <si>
    <t>+/-5"</t>
  </si>
  <si>
    <t>.0062"H2O</t>
  </si>
  <si>
    <t>10"</t>
  </si>
  <si>
    <t>.016"H2O</t>
  </si>
  <si>
    <t>+/-12.5"</t>
  </si>
  <si>
    <t>+/-25"</t>
  </si>
  <si>
    <t>.038"H2O</t>
  </si>
  <si>
    <t>.0018% RD+.01 Pa</t>
  </si>
  <si>
    <t>.0068% RD+.00076 "H2O</t>
  </si>
  <si>
    <t>.0033% RD+.27 Pa</t>
  </si>
  <si>
    <t>Minerva 700-VLP</t>
  </si>
  <si>
    <t>1.6" / 8" / 100"</t>
  </si>
  <si>
    <t>8-100" .01% RD, 1.6-8" .02% RD, 0-1.6" .0004"</t>
  </si>
  <si>
    <t>"W.C.</t>
  </si>
  <si>
    <t>Ashcroft .25"</t>
  </si>
  <si>
    <t>Ashcroft .5"</t>
  </si>
  <si>
    <t>Ashcroft 1"</t>
  </si>
  <si>
    <t>Ashcroft 5"</t>
  </si>
  <si>
    <t>Ashcroft 10"</t>
  </si>
  <si>
    <t>PACE 10"</t>
  </si>
  <si>
    <t>PACE 1 PSI</t>
  </si>
  <si>
    <t>Ashcroft 100"</t>
  </si>
  <si>
    <t>Ashcroft 5 PSI</t>
  </si>
  <si>
    <t>PACE 5 PSI</t>
  </si>
  <si>
    <t>Minerva</t>
  </si>
  <si>
    <t>Equipment</t>
  </si>
  <si>
    <t>Accuracy</t>
  </si>
  <si>
    <t>0-3" .009%FS, 3-30" .009%RD</t>
  </si>
  <si>
    <t>.07%FS</t>
  </si>
  <si>
    <t>.06%FS</t>
  </si>
  <si>
    <t>.05%RD + .05%FS</t>
  </si>
  <si>
    <t>.025%FS</t>
  </si>
  <si>
    <t>0-1.6" .0004", 1.6-8" .02%RD, 8-100" .01%RD</t>
  </si>
  <si>
    <t>PACE 15 PSI</t>
  </si>
  <si>
    <t>PACE 100 PSI</t>
  </si>
  <si>
    <t>Ashcroft 100 PSI</t>
  </si>
  <si>
    <t>PACE 300 PSI</t>
  </si>
  <si>
    <t>Fluke Deadweight</t>
  </si>
  <si>
    <t>PACE 500 PSI</t>
  </si>
  <si>
    <t>.005%RD + .005%FS</t>
  </si>
  <si>
    <t>PACE 300PSI</t>
  </si>
  <si>
    <t>PACE 500PSI</t>
  </si>
  <si>
    <t>Error at a specific test point</t>
  </si>
  <si>
    <t xml:space="preserve">  </t>
  </si>
  <si>
    <t>Limit maximum for certs at 40 - 130F</t>
  </si>
  <si>
    <t>0 - 70C, 32 - 158F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</si>
</sst>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0"/>
    <numFmt numFmtId="167" formatCode="0.000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9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left"/>
    </xf>
    <xf numFmtId="2" fontId="1" fillId="0" borderId="5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0" fillId="0" borderId="0" xfId="0" applyAlignment="1"/>
    <xf numFmtId="0" fontId="0" fillId="0" borderId="0" xfId="0" quotePrefix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/>
    <xf numFmtId="165" fontId="1" fillId="0" borderId="0" xfId="0" applyNumberFormat="1" applyFont="1" applyAlignment="1">
      <alignment horizontal="center"/>
    </xf>
    <xf numFmtId="0" fontId="0" fillId="0" borderId="0" xfId="0" applyFill="1"/>
    <xf numFmtId="166" fontId="1" fillId="0" borderId="5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center" vertical="top" wrapText="1"/>
    </xf>
    <xf numFmtId="166" fontId="1" fillId="0" borderId="6" xfId="0" applyNumberFormat="1" applyFont="1" applyBorder="1" applyAlignment="1">
      <alignment horizontal="center" vertical="top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0" borderId="0" xfId="0" applyFont="1" applyAlignment="1"/>
    <xf numFmtId="0" fontId="3" fillId="0" borderId="0" xfId="0" quotePrefix="1" applyFont="1"/>
    <xf numFmtId="0" fontId="6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1" fillId="0" borderId="0" xfId="0" applyFont="1" applyFill="1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/>
    <xf numFmtId="167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Border="1" applyAlignment="1"/>
    <xf numFmtId="166" fontId="1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CC00FF"/>
        </patternFill>
      </fill>
    </dxf>
    <dxf>
      <fill>
        <patternFill>
          <bgColor rgb="FFFF00FF"/>
        </patternFill>
      </fill>
    </dxf>
    <dxf>
      <fill>
        <patternFill>
          <bgColor rgb="FFCC0099"/>
        </patternFill>
      </fill>
    </dxf>
  </dxfs>
  <tableStyles count="0" defaultTableStyle="TableStyleMedium2" defaultPivotStyle="PivotStyleLight16"/>
  <colors>
    <mruColors>
      <color rgb="FFCC00FF"/>
      <color rgb="FFFF00FF"/>
      <color rgb="FFCC0099"/>
      <color rgb="FF9900CC"/>
      <color rgb="FF990099"/>
      <color rgb="FF99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34" zoomScale="130" zoomScaleNormal="130" workbookViewId="0">
      <selection activeCell="G69" sqref="G69"/>
    </sheetView>
  </sheetViews>
  <sheetFormatPr defaultRowHeight="12.75" x14ac:dyDescent="0.2"/>
  <cols>
    <col min="1" max="1" width="35" customWidth="1"/>
    <col min="2" max="2" width="12.140625" style="14" customWidth="1"/>
    <col min="3" max="3" width="7" bestFit="1" customWidth="1"/>
    <col min="4" max="4" width="23" customWidth="1"/>
    <col min="5" max="5" width="5.7109375" customWidth="1"/>
    <col min="6" max="6" width="16.85546875" bestFit="1" customWidth="1"/>
    <col min="7" max="7" width="19" bestFit="1" customWidth="1"/>
    <col min="8" max="8" width="42.85546875" customWidth="1"/>
    <col min="9" max="9" width="21.42578125" bestFit="1" customWidth="1"/>
    <col min="11" max="11" width="40.85546875" bestFit="1" customWidth="1"/>
  </cols>
  <sheetData>
    <row r="1" spans="1:11" ht="18" x14ac:dyDescent="0.25">
      <c r="A1" s="65" t="s">
        <v>154</v>
      </c>
      <c r="B1" s="66"/>
      <c r="C1" s="67"/>
      <c r="D1" s="67"/>
      <c r="E1" s="67"/>
      <c r="F1" s="67"/>
      <c r="G1" s="67"/>
      <c r="H1" s="67"/>
      <c r="I1" s="67"/>
      <c r="J1" s="67"/>
      <c r="K1" s="67"/>
    </row>
    <row r="2" spans="1:11" ht="20.25" x14ac:dyDescent="0.3">
      <c r="A2" s="83" t="s">
        <v>151</v>
      </c>
      <c r="B2" s="83"/>
      <c r="C2" s="83"/>
      <c r="D2" s="83"/>
      <c r="F2" s="47" t="s">
        <v>153</v>
      </c>
    </row>
    <row r="3" spans="1:11" ht="20.25" x14ac:dyDescent="0.3">
      <c r="A3" s="83" t="s">
        <v>152</v>
      </c>
      <c r="B3" s="83"/>
      <c r="C3" s="83"/>
      <c r="D3" s="83"/>
      <c r="F3" s="44" t="s">
        <v>40</v>
      </c>
      <c r="G3" s="44" t="s">
        <v>132</v>
      </c>
      <c r="H3" s="44" t="s">
        <v>80</v>
      </c>
      <c r="I3" s="44" t="s">
        <v>161</v>
      </c>
      <c r="J3" s="44" t="s">
        <v>68</v>
      </c>
      <c r="K3" s="44" t="s">
        <v>73</v>
      </c>
    </row>
    <row r="4" spans="1:11" x14ac:dyDescent="0.2">
      <c r="F4" s="1" t="s">
        <v>140</v>
      </c>
      <c r="G4" s="1" t="s">
        <v>141</v>
      </c>
      <c r="H4" t="s">
        <v>159</v>
      </c>
      <c r="I4" t="s">
        <v>179</v>
      </c>
      <c r="J4" t="s">
        <v>69</v>
      </c>
      <c r="K4" t="s">
        <v>158</v>
      </c>
    </row>
    <row r="5" spans="1:11" x14ac:dyDescent="0.2">
      <c r="F5" t="s">
        <v>85</v>
      </c>
      <c r="G5" t="s">
        <v>84</v>
      </c>
      <c r="H5" t="s">
        <v>86</v>
      </c>
      <c r="J5" t="s">
        <v>69</v>
      </c>
      <c r="K5" t="s">
        <v>87</v>
      </c>
    </row>
    <row r="6" spans="1:11" ht="13.5" thickBot="1" x14ac:dyDescent="0.25">
      <c r="A6" s="62" t="s">
        <v>59</v>
      </c>
      <c r="B6" s="2" t="s">
        <v>18</v>
      </c>
      <c r="F6" t="s">
        <v>42</v>
      </c>
      <c r="G6" s="43" t="s">
        <v>163</v>
      </c>
      <c r="H6" t="s">
        <v>43</v>
      </c>
      <c r="I6" t="s">
        <v>164</v>
      </c>
    </row>
    <row r="7" spans="1:11" ht="13.5" thickBot="1" x14ac:dyDescent="0.25">
      <c r="A7" t="s">
        <v>16</v>
      </c>
      <c r="B7" s="15" t="s">
        <v>15</v>
      </c>
      <c r="C7" t="s">
        <v>15</v>
      </c>
      <c r="F7" t="s">
        <v>42</v>
      </c>
      <c r="G7" s="43" t="s">
        <v>162</v>
      </c>
      <c r="H7" t="s">
        <v>43</v>
      </c>
      <c r="I7" t="s">
        <v>165</v>
      </c>
    </row>
    <row r="8" spans="1:11" ht="13.5" thickBot="1" x14ac:dyDescent="0.25">
      <c r="A8" t="s">
        <v>113</v>
      </c>
      <c r="B8" s="15" t="s">
        <v>15</v>
      </c>
      <c r="C8" t="s">
        <v>60</v>
      </c>
      <c r="F8" t="s">
        <v>42</v>
      </c>
      <c r="G8" s="43" t="s">
        <v>166</v>
      </c>
      <c r="H8" t="s">
        <v>43</v>
      </c>
      <c r="I8" t="s">
        <v>165</v>
      </c>
    </row>
    <row r="9" spans="1:11" ht="13.5" thickBot="1" x14ac:dyDescent="0.25">
      <c r="A9" t="s">
        <v>114</v>
      </c>
      <c r="B9" s="15" t="s">
        <v>15</v>
      </c>
      <c r="C9" t="s">
        <v>60</v>
      </c>
      <c r="F9" t="s">
        <v>42</v>
      </c>
      <c r="G9" s="43" t="s">
        <v>167</v>
      </c>
      <c r="H9" t="s">
        <v>168</v>
      </c>
      <c r="I9" t="s">
        <v>169</v>
      </c>
    </row>
    <row r="10" spans="1:11" x14ac:dyDescent="0.2">
      <c r="B10" s="45"/>
      <c r="F10" t="s">
        <v>42</v>
      </c>
      <c r="G10" s="43" t="s">
        <v>170</v>
      </c>
      <c r="H10" t="s">
        <v>168</v>
      </c>
      <c r="I10" t="s">
        <v>171</v>
      </c>
    </row>
    <row r="11" spans="1:11" ht="13.5" thickBot="1" x14ac:dyDescent="0.25">
      <c r="A11" s="56" t="s">
        <v>56</v>
      </c>
      <c r="B11" s="56"/>
      <c r="F11" t="s">
        <v>42</v>
      </c>
      <c r="G11" s="43" t="s">
        <v>172</v>
      </c>
      <c r="H11" t="s">
        <v>168</v>
      </c>
      <c r="I11" t="s">
        <v>173</v>
      </c>
    </row>
    <row r="12" spans="1:11" ht="13.5" thickBot="1" x14ac:dyDescent="0.25">
      <c r="A12" t="s">
        <v>17</v>
      </c>
      <c r="B12" s="59" t="s">
        <v>15</v>
      </c>
      <c r="C12" t="s">
        <v>15</v>
      </c>
      <c r="F12" t="s">
        <v>42</v>
      </c>
      <c r="G12" s="43" t="s">
        <v>174</v>
      </c>
      <c r="H12" t="s">
        <v>168</v>
      </c>
      <c r="I12" t="s">
        <v>173</v>
      </c>
    </row>
    <row r="13" spans="1:11" ht="13.5" thickBot="1" x14ac:dyDescent="0.25">
      <c r="A13" t="s">
        <v>115</v>
      </c>
      <c r="B13" s="59" t="s">
        <v>15</v>
      </c>
      <c r="C13" t="s">
        <v>15</v>
      </c>
      <c r="F13" t="s">
        <v>42</v>
      </c>
      <c r="G13" s="43" t="s">
        <v>176</v>
      </c>
      <c r="H13" t="s">
        <v>168</v>
      </c>
      <c r="I13" t="s">
        <v>175</v>
      </c>
    </row>
    <row r="14" spans="1:11" ht="13.5" thickBot="1" x14ac:dyDescent="0.25">
      <c r="A14" t="s">
        <v>116</v>
      </c>
      <c r="B14" s="59" t="s">
        <v>15</v>
      </c>
      <c r="C14" t="s">
        <v>15</v>
      </c>
      <c r="F14" t="s">
        <v>42</v>
      </c>
      <c r="G14" s="43" t="s">
        <v>177</v>
      </c>
      <c r="H14" t="s">
        <v>168</v>
      </c>
      <c r="I14" t="s">
        <v>178</v>
      </c>
    </row>
    <row r="15" spans="1:11" x14ac:dyDescent="0.2">
      <c r="B15" s="45"/>
      <c r="F15" t="s">
        <v>42</v>
      </c>
      <c r="G15" t="s">
        <v>102</v>
      </c>
      <c r="H15" s="49" t="s">
        <v>103</v>
      </c>
      <c r="I15" s="49"/>
    </row>
    <row r="16" spans="1:11" ht="13.5" thickBot="1" x14ac:dyDescent="0.25">
      <c r="A16" s="57" t="s">
        <v>57</v>
      </c>
      <c r="B16" s="57"/>
      <c r="F16" t="s">
        <v>92</v>
      </c>
      <c r="G16" t="s">
        <v>134</v>
      </c>
      <c r="H16" t="s">
        <v>93</v>
      </c>
      <c r="J16" t="s">
        <v>69</v>
      </c>
    </row>
    <row r="17" spans="1:11" ht="13.5" thickBot="1" x14ac:dyDescent="0.25">
      <c r="A17" s="13" t="s">
        <v>53</v>
      </c>
      <c r="B17" s="60" t="s">
        <v>15</v>
      </c>
      <c r="C17" t="s">
        <v>15</v>
      </c>
      <c r="F17" s="1" t="s">
        <v>62</v>
      </c>
      <c r="G17" t="s">
        <v>72</v>
      </c>
      <c r="H17" t="s">
        <v>101</v>
      </c>
      <c r="I17" t="s">
        <v>180</v>
      </c>
      <c r="J17" t="s">
        <v>69</v>
      </c>
    </row>
    <row r="18" spans="1:11" ht="13.5" thickBot="1" x14ac:dyDescent="0.25">
      <c r="A18" s="13" t="s">
        <v>117</v>
      </c>
      <c r="B18" s="60" t="s">
        <v>15</v>
      </c>
      <c r="C18" t="s">
        <v>15</v>
      </c>
      <c r="F18" s="1" t="s">
        <v>182</v>
      </c>
      <c r="G18" s="68" t="s">
        <v>183</v>
      </c>
      <c r="H18" t="s">
        <v>184</v>
      </c>
      <c r="J18" t="s">
        <v>69</v>
      </c>
    </row>
    <row r="19" spans="1:11" x14ac:dyDescent="0.2">
      <c r="A19" s="13"/>
      <c r="B19" s="45"/>
      <c r="C19" t="s">
        <v>15</v>
      </c>
      <c r="F19" t="s">
        <v>119</v>
      </c>
      <c r="G19" t="s">
        <v>51</v>
      </c>
      <c r="H19" s="49" t="s">
        <v>52</v>
      </c>
      <c r="I19" s="49"/>
      <c r="J19" t="s">
        <v>69</v>
      </c>
    </row>
    <row r="20" spans="1:11" ht="13.5" thickBot="1" x14ac:dyDescent="0.25">
      <c r="A20" s="58" t="s">
        <v>58</v>
      </c>
      <c r="B20" s="58"/>
      <c r="F20" t="s">
        <v>92</v>
      </c>
      <c r="G20" t="s">
        <v>51</v>
      </c>
      <c r="H20" t="s">
        <v>94</v>
      </c>
      <c r="J20" t="s">
        <v>69</v>
      </c>
    </row>
    <row r="21" spans="1:11" ht="13.5" thickBot="1" x14ac:dyDescent="0.25">
      <c r="A21" s="13" t="s">
        <v>54</v>
      </c>
      <c r="B21" s="61" t="s">
        <v>15</v>
      </c>
      <c r="C21" t="s">
        <v>15</v>
      </c>
      <c r="F21" t="s">
        <v>42</v>
      </c>
      <c r="G21" t="s">
        <v>45</v>
      </c>
      <c r="H21" t="s">
        <v>107</v>
      </c>
      <c r="J21" t="s">
        <v>15</v>
      </c>
    </row>
    <row r="22" spans="1:11" ht="13.5" thickBot="1" x14ac:dyDescent="0.25">
      <c r="A22" s="13" t="s">
        <v>118</v>
      </c>
      <c r="B22" s="61" t="s">
        <v>215</v>
      </c>
      <c r="C22" t="s">
        <v>15</v>
      </c>
      <c r="F22" t="s">
        <v>92</v>
      </c>
      <c r="G22" t="s">
        <v>109</v>
      </c>
      <c r="H22" t="s">
        <v>137</v>
      </c>
      <c r="J22" t="s">
        <v>69</v>
      </c>
    </row>
    <row r="23" spans="1:11" x14ac:dyDescent="0.2">
      <c r="A23" s="13"/>
      <c r="C23" s="14"/>
      <c r="F23" t="s">
        <v>92</v>
      </c>
      <c r="G23" t="s">
        <v>46</v>
      </c>
      <c r="H23" t="s">
        <v>23</v>
      </c>
      <c r="J23" t="s">
        <v>69</v>
      </c>
    </row>
    <row r="24" spans="1:11" x14ac:dyDescent="0.2">
      <c r="A24" s="1" t="s">
        <v>112</v>
      </c>
      <c r="C24" s="14"/>
      <c r="F24" t="s">
        <v>92</v>
      </c>
      <c r="G24" t="s">
        <v>81</v>
      </c>
      <c r="H24" t="s">
        <v>125</v>
      </c>
      <c r="J24" t="s">
        <v>69</v>
      </c>
      <c r="K24" t="s">
        <v>126</v>
      </c>
    </row>
    <row r="25" spans="1:11" x14ac:dyDescent="0.2">
      <c r="A25" s="13"/>
      <c r="C25" s="14"/>
      <c r="F25" t="s">
        <v>140</v>
      </c>
      <c r="G25" t="s">
        <v>142</v>
      </c>
      <c r="H25" t="s">
        <v>159</v>
      </c>
      <c r="I25" t="s">
        <v>179</v>
      </c>
      <c r="J25" t="s">
        <v>69</v>
      </c>
      <c r="K25" t="s">
        <v>158</v>
      </c>
    </row>
    <row r="26" spans="1:11" x14ac:dyDescent="0.2">
      <c r="C26" s="14"/>
      <c r="F26" s="1" t="s">
        <v>92</v>
      </c>
      <c r="G26" t="s">
        <v>50</v>
      </c>
      <c r="H26" t="s">
        <v>23</v>
      </c>
      <c r="J26" t="s">
        <v>69</v>
      </c>
      <c r="K26" t="s">
        <v>15</v>
      </c>
    </row>
    <row r="27" spans="1:11" x14ac:dyDescent="0.2">
      <c r="A27" s="82" t="s">
        <v>111</v>
      </c>
      <c r="B27" s="82"/>
      <c r="C27" s="82"/>
      <c r="D27" s="17" t="s">
        <v>160</v>
      </c>
      <c r="F27" t="s">
        <v>119</v>
      </c>
      <c r="G27" t="s">
        <v>50</v>
      </c>
      <c r="H27" t="s">
        <v>19</v>
      </c>
      <c r="J27" t="s">
        <v>69</v>
      </c>
    </row>
    <row r="28" spans="1:11" x14ac:dyDescent="0.2">
      <c r="A28" s="17"/>
      <c r="B28" s="17"/>
      <c r="C28" s="17"/>
      <c r="D28" s="2" t="s">
        <v>96</v>
      </c>
      <c r="F28" t="s">
        <v>92</v>
      </c>
      <c r="G28" t="s">
        <v>135</v>
      </c>
      <c r="H28" t="s">
        <v>137</v>
      </c>
      <c r="J28" t="s">
        <v>69</v>
      </c>
      <c r="K28" t="s">
        <v>15</v>
      </c>
    </row>
    <row r="29" spans="1:11" x14ac:dyDescent="0.2">
      <c r="A29" s="80" t="s">
        <v>61</v>
      </c>
      <c r="B29" s="80"/>
      <c r="C29" s="80"/>
      <c r="D29" s="16">
        <f>ROUND(Calculations!I30,1)</f>
        <v>0</v>
      </c>
      <c r="F29" t="s">
        <v>92</v>
      </c>
      <c r="G29" t="s">
        <v>133</v>
      </c>
      <c r="H29" t="s">
        <v>23</v>
      </c>
      <c r="J29" t="s">
        <v>69</v>
      </c>
    </row>
    <row r="30" spans="1:11" x14ac:dyDescent="0.2">
      <c r="A30" s="80" t="s">
        <v>64</v>
      </c>
      <c r="B30" s="80"/>
      <c r="C30" s="80"/>
      <c r="D30" s="16">
        <f>ROUND(Calculations!N30,1)</f>
        <v>0</v>
      </c>
      <c r="F30" t="s">
        <v>92</v>
      </c>
      <c r="G30" t="s">
        <v>99</v>
      </c>
      <c r="H30" t="s">
        <v>23</v>
      </c>
      <c r="J30" t="s">
        <v>69</v>
      </c>
    </row>
    <row r="31" spans="1:11" x14ac:dyDescent="0.2">
      <c r="A31" s="81" t="s">
        <v>63</v>
      </c>
      <c r="B31" s="80"/>
      <c r="C31" s="80"/>
      <c r="D31" s="16">
        <f>ROUND(Calculations!S30,1)</f>
        <v>0</v>
      </c>
      <c r="F31" t="s">
        <v>92</v>
      </c>
      <c r="G31" t="s">
        <v>136</v>
      </c>
      <c r="H31" t="s">
        <v>23</v>
      </c>
      <c r="J31" t="s">
        <v>69</v>
      </c>
    </row>
    <row r="32" spans="1:11" x14ac:dyDescent="0.2">
      <c r="A32" s="1" t="s">
        <v>150</v>
      </c>
      <c r="F32" t="s">
        <v>42</v>
      </c>
      <c r="G32" t="s">
        <v>20</v>
      </c>
      <c r="H32" t="s">
        <v>44</v>
      </c>
      <c r="K32" t="s">
        <v>74</v>
      </c>
    </row>
    <row r="33" spans="1:11" x14ac:dyDescent="0.2">
      <c r="F33" t="s">
        <v>24</v>
      </c>
      <c r="G33" t="s">
        <v>20</v>
      </c>
      <c r="H33" t="s">
        <v>19</v>
      </c>
    </row>
    <row r="34" spans="1:11" x14ac:dyDescent="0.2">
      <c r="F34" t="s">
        <v>92</v>
      </c>
      <c r="G34" t="s">
        <v>20</v>
      </c>
      <c r="H34" t="s">
        <v>23</v>
      </c>
      <c r="J34" t="s">
        <v>69</v>
      </c>
    </row>
    <row r="35" spans="1:11" x14ac:dyDescent="0.2">
      <c r="F35" t="s">
        <v>92</v>
      </c>
      <c r="G35" t="s">
        <v>91</v>
      </c>
      <c r="H35" s="1" t="s">
        <v>23</v>
      </c>
      <c r="I35" s="1"/>
      <c r="J35" t="s">
        <v>69</v>
      </c>
      <c r="K35" s="1" t="s">
        <v>143</v>
      </c>
    </row>
    <row r="36" spans="1:11" x14ac:dyDescent="0.2">
      <c r="F36" t="s">
        <v>36</v>
      </c>
      <c r="G36" t="s">
        <v>97</v>
      </c>
      <c r="H36" t="s">
        <v>105</v>
      </c>
      <c r="J36" t="s">
        <v>69</v>
      </c>
      <c r="K36" t="s">
        <v>120</v>
      </c>
    </row>
    <row r="37" spans="1:11" x14ac:dyDescent="0.2">
      <c r="F37" t="s">
        <v>92</v>
      </c>
      <c r="G37" t="s">
        <v>144</v>
      </c>
      <c r="H37" t="s">
        <v>23</v>
      </c>
      <c r="J37" t="s">
        <v>69</v>
      </c>
      <c r="K37" t="s">
        <v>90</v>
      </c>
    </row>
    <row r="38" spans="1:11" x14ac:dyDescent="0.2">
      <c r="F38" t="s">
        <v>42</v>
      </c>
      <c r="G38" t="s">
        <v>71</v>
      </c>
      <c r="H38" t="s">
        <v>44</v>
      </c>
    </row>
    <row r="39" spans="1:11" x14ac:dyDescent="0.2">
      <c r="C39" s="1" t="s">
        <v>15</v>
      </c>
      <c r="D39" s="1" t="s">
        <v>15</v>
      </c>
      <c r="F39" t="s">
        <v>42</v>
      </c>
      <c r="G39" t="s">
        <v>21</v>
      </c>
      <c r="H39" t="s">
        <v>106</v>
      </c>
      <c r="K39" t="s">
        <v>139</v>
      </c>
    </row>
    <row r="40" spans="1:11" x14ac:dyDescent="0.2">
      <c r="F40" t="s">
        <v>67</v>
      </c>
      <c r="G40" t="s">
        <v>21</v>
      </c>
      <c r="H40" t="s">
        <v>70</v>
      </c>
      <c r="J40" t="s">
        <v>69</v>
      </c>
      <c r="K40" t="s">
        <v>139</v>
      </c>
    </row>
    <row r="41" spans="1:11" x14ac:dyDescent="0.2">
      <c r="F41" t="s">
        <v>24</v>
      </c>
      <c r="G41" t="s">
        <v>21</v>
      </c>
      <c r="H41" t="s">
        <v>19</v>
      </c>
      <c r="K41" t="s">
        <v>139</v>
      </c>
    </row>
    <row r="42" spans="1:11" x14ac:dyDescent="0.2">
      <c r="F42" t="s">
        <v>92</v>
      </c>
      <c r="G42" t="s">
        <v>138</v>
      </c>
      <c r="H42" s="1" t="s">
        <v>23</v>
      </c>
      <c r="I42" s="1"/>
      <c r="J42" t="s">
        <v>69</v>
      </c>
    </row>
    <row r="43" spans="1:11" x14ac:dyDescent="0.2">
      <c r="F43" t="s">
        <v>140</v>
      </c>
      <c r="G43" t="s">
        <v>145</v>
      </c>
      <c r="H43" t="s">
        <v>146</v>
      </c>
      <c r="I43" t="s">
        <v>181</v>
      </c>
      <c r="J43" t="s">
        <v>69</v>
      </c>
      <c r="K43" t="s">
        <v>147</v>
      </c>
    </row>
    <row r="44" spans="1:11" x14ac:dyDescent="0.2">
      <c r="F44" t="s">
        <v>92</v>
      </c>
      <c r="G44" t="s">
        <v>98</v>
      </c>
      <c r="H44" t="s">
        <v>23</v>
      </c>
      <c r="J44" t="s">
        <v>69</v>
      </c>
      <c r="K44" t="s">
        <v>15</v>
      </c>
    </row>
    <row r="45" spans="1:11" x14ac:dyDescent="0.2">
      <c r="A45" s="8" t="s">
        <v>15</v>
      </c>
      <c r="F45" t="s">
        <v>92</v>
      </c>
      <c r="G45" t="s">
        <v>37</v>
      </c>
      <c r="H45" t="s">
        <v>23</v>
      </c>
      <c r="J45" t="s">
        <v>69</v>
      </c>
    </row>
    <row r="46" spans="1:11" x14ac:dyDescent="0.2">
      <c r="A46" s="8" t="s">
        <v>15</v>
      </c>
      <c r="F46" t="s">
        <v>42</v>
      </c>
      <c r="G46" t="s">
        <v>127</v>
      </c>
      <c r="H46" t="s">
        <v>70</v>
      </c>
    </row>
    <row r="47" spans="1:11" x14ac:dyDescent="0.2">
      <c r="A47" s="8" t="s">
        <v>15</v>
      </c>
      <c r="F47" t="s">
        <v>24</v>
      </c>
      <c r="G47" t="s">
        <v>22</v>
      </c>
      <c r="H47" t="s">
        <v>108</v>
      </c>
      <c r="K47" t="s">
        <v>148</v>
      </c>
    </row>
    <row r="48" spans="1:11" x14ac:dyDescent="0.2">
      <c r="A48" s="8" t="s">
        <v>15</v>
      </c>
      <c r="F48" s="44"/>
    </row>
    <row r="49" spans="6:11" x14ac:dyDescent="0.2">
      <c r="F49" s="44" t="s">
        <v>39</v>
      </c>
      <c r="K49" t="s">
        <v>15</v>
      </c>
    </row>
    <row r="50" spans="6:11" x14ac:dyDescent="0.2">
      <c r="F50" t="s">
        <v>25</v>
      </c>
      <c r="G50" t="s">
        <v>123</v>
      </c>
      <c r="H50" t="s">
        <v>26</v>
      </c>
    </row>
    <row r="51" spans="6:11" x14ac:dyDescent="0.2">
      <c r="F51" t="s">
        <v>25</v>
      </c>
      <c r="G51" t="s">
        <v>121</v>
      </c>
      <c r="H51" t="s">
        <v>26</v>
      </c>
    </row>
    <row r="52" spans="6:11" x14ac:dyDescent="0.2">
      <c r="F52" t="s">
        <v>25</v>
      </c>
      <c r="G52" t="s">
        <v>122</v>
      </c>
      <c r="H52" t="s">
        <v>26</v>
      </c>
    </row>
    <row r="53" spans="6:11" x14ac:dyDescent="0.2">
      <c r="F53" t="s">
        <v>155</v>
      </c>
      <c r="G53" t="s">
        <v>157</v>
      </c>
      <c r="H53" t="s">
        <v>156</v>
      </c>
    </row>
    <row r="54" spans="6:11" x14ac:dyDescent="0.2">
      <c r="F54" s="44"/>
      <c r="H54" s="44"/>
      <c r="I54" s="44"/>
    </row>
    <row r="55" spans="6:11" x14ac:dyDescent="0.2">
      <c r="F55" s="63" t="s">
        <v>38</v>
      </c>
      <c r="G55" s="43"/>
      <c r="H55" s="64" t="s">
        <v>131</v>
      </c>
      <c r="I55" s="64"/>
    </row>
    <row r="56" spans="6:11" x14ac:dyDescent="0.2">
      <c r="F56" s="42" t="s">
        <v>27</v>
      </c>
      <c r="G56" t="s">
        <v>28</v>
      </c>
      <c r="H56" t="s">
        <v>110</v>
      </c>
    </row>
    <row r="57" spans="6:11" x14ac:dyDescent="0.2">
      <c r="F57" s="42" t="s">
        <v>27</v>
      </c>
      <c r="G57" t="s">
        <v>29</v>
      </c>
      <c r="H57" s="46" t="s">
        <v>75</v>
      </c>
      <c r="I57" s="46"/>
    </row>
    <row r="58" spans="6:11" x14ac:dyDescent="0.2">
      <c r="F58" s="42" t="s">
        <v>27</v>
      </c>
      <c r="G58" t="s">
        <v>30</v>
      </c>
      <c r="H58" s="46" t="s">
        <v>129</v>
      </c>
      <c r="I58" s="46"/>
    </row>
    <row r="59" spans="6:11" x14ac:dyDescent="0.2">
      <c r="F59" t="s">
        <v>27</v>
      </c>
      <c r="G59" t="s">
        <v>31</v>
      </c>
      <c r="H59" t="s">
        <v>128</v>
      </c>
    </row>
    <row r="60" spans="6:11" x14ac:dyDescent="0.2">
      <c r="F60" s="42"/>
      <c r="G60" s="43"/>
      <c r="H60" t="s">
        <v>124</v>
      </c>
    </row>
    <row r="61" spans="6:11" x14ac:dyDescent="0.2">
      <c r="F61" s="42" t="s">
        <v>79</v>
      </c>
      <c r="G61" t="s">
        <v>32</v>
      </c>
      <c r="H61" t="s">
        <v>130</v>
      </c>
    </row>
    <row r="62" spans="6:11" x14ac:dyDescent="0.2">
      <c r="F62" s="42" t="s">
        <v>79</v>
      </c>
      <c r="G62" t="s">
        <v>33</v>
      </c>
    </row>
    <row r="63" spans="6:11" x14ac:dyDescent="0.2">
      <c r="F63" s="42" t="s">
        <v>79</v>
      </c>
      <c r="G63" t="s">
        <v>34</v>
      </c>
    </row>
    <row r="64" spans="6:11" x14ac:dyDescent="0.2">
      <c r="F64" t="s">
        <v>79</v>
      </c>
      <c r="G64" t="s">
        <v>35</v>
      </c>
    </row>
    <row r="65" spans="6:8" x14ac:dyDescent="0.2">
      <c r="F65" s="44"/>
    </row>
    <row r="66" spans="6:8" x14ac:dyDescent="0.2">
      <c r="F66" s="44" t="s">
        <v>41</v>
      </c>
    </row>
    <row r="67" spans="6:8" x14ac:dyDescent="0.2">
      <c r="F67" t="s">
        <v>82</v>
      </c>
      <c r="G67" t="s">
        <v>48</v>
      </c>
      <c r="H67" t="s">
        <v>83</v>
      </c>
    </row>
    <row r="68" spans="6:8" x14ac:dyDescent="0.2">
      <c r="F68" t="s">
        <v>82</v>
      </c>
      <c r="G68" t="s">
        <v>217</v>
      </c>
      <c r="H68" t="s">
        <v>216</v>
      </c>
    </row>
    <row r="69" spans="6:8" x14ac:dyDescent="0.2">
      <c r="F69" t="s">
        <v>66</v>
      </c>
      <c r="G69" t="s">
        <v>48</v>
      </c>
      <c r="H69" t="s">
        <v>49</v>
      </c>
    </row>
    <row r="70" spans="6:8" x14ac:dyDescent="0.2">
      <c r="F70" t="s">
        <v>76</v>
      </c>
      <c r="G70" t="s">
        <v>77</v>
      </c>
      <c r="H70" t="s">
        <v>65</v>
      </c>
    </row>
    <row r="71" spans="6:8" x14ac:dyDescent="0.2">
      <c r="F71" t="s">
        <v>76</v>
      </c>
      <c r="G71" t="s">
        <v>100</v>
      </c>
      <c r="H71" t="s">
        <v>47</v>
      </c>
    </row>
    <row r="72" spans="6:8" x14ac:dyDescent="0.2">
      <c r="F72" t="s">
        <v>78</v>
      </c>
      <c r="G72" t="s">
        <v>77</v>
      </c>
      <c r="H72" t="s">
        <v>65</v>
      </c>
    </row>
    <row r="73" spans="6:8" x14ac:dyDescent="0.2">
      <c r="F73" t="s">
        <v>78</v>
      </c>
      <c r="G73" t="s">
        <v>100</v>
      </c>
      <c r="H73" t="s">
        <v>47</v>
      </c>
    </row>
  </sheetData>
  <mergeCells count="6">
    <mergeCell ref="A30:C30"/>
    <mergeCell ref="A31:C31"/>
    <mergeCell ref="A27:C27"/>
    <mergeCell ref="A2:D2"/>
    <mergeCell ref="A3:D3"/>
    <mergeCell ref="A29:C29"/>
  </mergeCells>
  <phoneticPr fontId="2" type="noConversion"/>
  <pageMargins left="0.75" right="0.75" top="1" bottom="1" header="0.5" footer="0.5"/>
  <pageSetup orientation="portrait" horizont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95A07682-A815-4EAB-A643-6FB9279EB321}">
            <xm:f>(Calculations!$A$32=1)</xm:f>
            <x14:dxf>
              <fill>
                <patternFill>
                  <bgColor rgb="FFCC0099"/>
                </patternFill>
              </fill>
            </x14:dxf>
          </x14:cfRule>
          <xm:sqref>A29:D29</xm:sqref>
        </x14:conditionalFormatting>
        <x14:conditionalFormatting xmlns:xm="http://schemas.microsoft.com/office/excel/2006/main">
          <x14:cfRule type="expression" priority="4" stopIfTrue="1" id="{56DAABF5-AA9B-49A5-91B3-E7873D82046C}">
            <xm:f>(Calculations!$A$33=1)</xm:f>
            <x14:dxf>
              <fill>
                <patternFill>
                  <bgColor rgb="FFFF00FF"/>
                </patternFill>
              </fill>
            </x14:dxf>
          </x14:cfRule>
          <xm:sqref>A30:D30</xm:sqref>
        </x14:conditionalFormatting>
        <x14:conditionalFormatting xmlns:xm="http://schemas.microsoft.com/office/excel/2006/main">
          <x14:cfRule type="expression" priority="5" stopIfTrue="1" id="{96C45105-0D88-4358-8F0A-C0D7CA8B67D3}">
            <xm:f>(Calculations!$A$34=1)</xm:f>
            <x14:dxf>
              <fill>
                <patternFill>
                  <bgColor rgb="FFCC00FF"/>
                </patternFill>
              </fill>
            </x14:dxf>
          </x14:cfRule>
          <xm:sqref>A31:D31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30" zoomScaleNormal="130" workbookViewId="0">
      <selection activeCell="R20" sqref="R20:R29"/>
    </sheetView>
  </sheetViews>
  <sheetFormatPr defaultColWidth="9.7109375" defaultRowHeight="12.75" x14ac:dyDescent="0.2"/>
  <cols>
    <col min="1" max="1" width="9.7109375" style="8"/>
    <col min="2" max="4" width="9.7109375" style="1"/>
    <col min="5" max="5" width="9.7109375" style="8"/>
    <col min="6" max="8" width="9.7109375" style="1"/>
    <col min="9" max="9" width="12" style="1" bestFit="1" customWidth="1"/>
    <col min="10" max="10" width="9.7109375" style="8"/>
    <col min="11" max="13" width="9.7109375" style="1"/>
    <col min="14" max="14" width="12" style="1" bestFit="1" customWidth="1"/>
    <col min="15" max="15" width="9.7109375" style="8"/>
    <col min="16" max="18" width="9.7109375" style="1"/>
    <col min="19" max="19" width="12" style="1" bestFit="1" customWidth="1"/>
    <col min="20" max="16384" width="9.7109375" style="1"/>
  </cols>
  <sheetData>
    <row r="1" spans="1:19" x14ac:dyDescent="0.2">
      <c r="A1" s="11" t="s">
        <v>15</v>
      </c>
      <c r="E1" s="18" t="s">
        <v>3</v>
      </c>
      <c r="F1" s="19" t="s">
        <v>95</v>
      </c>
      <c r="G1" s="20"/>
      <c r="H1" s="21"/>
      <c r="J1" s="18" t="s">
        <v>12</v>
      </c>
      <c r="K1" s="37"/>
      <c r="L1" s="37"/>
      <c r="M1" s="38"/>
      <c r="N1" s="2"/>
      <c r="O1" s="18" t="s">
        <v>14</v>
      </c>
      <c r="P1" s="37"/>
      <c r="Q1" s="41"/>
      <c r="R1" s="21"/>
    </row>
    <row r="2" spans="1:19" x14ac:dyDescent="0.2">
      <c r="A2" s="13" t="s">
        <v>15</v>
      </c>
      <c r="B2" s="13"/>
      <c r="C2" s="13"/>
      <c r="E2" s="22" t="s">
        <v>8</v>
      </c>
      <c r="F2" s="23"/>
      <c r="G2" s="24" t="str">
        <f>Cover!B12</f>
        <v xml:space="preserve"> </v>
      </c>
      <c r="H2" s="25"/>
      <c r="I2" s="2"/>
      <c r="J2" s="22" t="s">
        <v>4</v>
      </c>
      <c r="K2" s="23"/>
      <c r="L2" s="24" t="str">
        <f>Cover!B17</f>
        <v xml:space="preserve"> </v>
      </c>
      <c r="M2" s="25"/>
      <c r="N2" s="2"/>
      <c r="O2" s="22" t="s">
        <v>4</v>
      </c>
      <c r="P2" s="23"/>
      <c r="Q2" s="24" t="str">
        <f>Cover!B21</f>
        <v xml:space="preserve"> </v>
      </c>
      <c r="R2" s="25"/>
    </row>
    <row r="3" spans="1:19" x14ac:dyDescent="0.2">
      <c r="A3" s="13" t="s">
        <v>15</v>
      </c>
      <c r="B3" s="13"/>
      <c r="C3" s="13"/>
      <c r="E3" s="22" t="s">
        <v>6</v>
      </c>
      <c r="F3" s="23"/>
      <c r="G3" s="24" t="str">
        <f>Cover!B13</f>
        <v xml:space="preserve"> </v>
      </c>
      <c r="H3" s="25"/>
      <c r="I3" s="2"/>
      <c r="J3" s="22" t="s">
        <v>7</v>
      </c>
      <c r="K3" s="23"/>
      <c r="L3" s="24" t="str">
        <f>Cover!B18</f>
        <v xml:space="preserve"> </v>
      </c>
      <c r="M3" s="25"/>
      <c r="N3" s="2"/>
      <c r="O3" s="22" t="s">
        <v>6</v>
      </c>
      <c r="P3" s="23"/>
      <c r="Q3" s="24" t="str">
        <f>Cover!B22</f>
        <v xml:space="preserve">  </v>
      </c>
      <c r="R3" s="25"/>
    </row>
    <row r="4" spans="1:19" x14ac:dyDescent="0.2">
      <c r="A4" s="13" t="s">
        <v>15</v>
      </c>
      <c r="B4" s="13"/>
      <c r="C4" s="13"/>
      <c r="E4" s="22" t="s">
        <v>7</v>
      </c>
      <c r="F4" s="23"/>
      <c r="G4" s="24" t="str">
        <f>Cover!B14</f>
        <v xml:space="preserve"> </v>
      </c>
      <c r="H4" s="26"/>
      <c r="I4" s="6"/>
      <c r="J4" s="27"/>
      <c r="K4" s="28"/>
      <c r="L4" s="28"/>
      <c r="M4" s="26"/>
      <c r="N4" s="6"/>
      <c r="O4" s="27"/>
      <c r="P4" s="28"/>
      <c r="Q4" s="28"/>
      <c r="R4" s="25"/>
    </row>
    <row r="5" spans="1:19" s="4" customFormat="1" ht="38.25" x14ac:dyDescent="0.2">
      <c r="E5" s="27" t="s">
        <v>2</v>
      </c>
      <c r="F5" s="28" t="s">
        <v>0</v>
      </c>
      <c r="G5" s="28" t="s">
        <v>1</v>
      </c>
      <c r="H5" s="26" t="s">
        <v>89</v>
      </c>
      <c r="I5" s="6"/>
      <c r="J5" s="27" t="s">
        <v>2</v>
      </c>
      <c r="K5" s="28" t="s">
        <v>0</v>
      </c>
      <c r="L5" s="28" t="s">
        <v>1</v>
      </c>
      <c r="M5" s="26" t="s">
        <v>10</v>
      </c>
      <c r="N5" s="6"/>
      <c r="O5" s="27" t="s">
        <v>2</v>
      </c>
      <c r="P5" s="28" t="s">
        <v>0</v>
      </c>
      <c r="Q5" s="28" t="s">
        <v>1</v>
      </c>
      <c r="R5" s="26" t="s">
        <v>11</v>
      </c>
    </row>
    <row r="6" spans="1:19" x14ac:dyDescent="0.2">
      <c r="A6" s="30"/>
      <c r="B6" s="30"/>
      <c r="E6" s="29" t="e">
        <f t="shared" ref="E6:E14" si="0">E7-($G$2/10)</f>
        <v>#VALUE!</v>
      </c>
      <c r="F6" s="48" t="e">
        <f t="shared" ref="F6:F14" si="1">E6-((E6*($G$3*0.01))+($G$2*($G$4*0.01)))</f>
        <v>#VALUE!</v>
      </c>
      <c r="G6" s="48" t="e">
        <f t="shared" ref="G6:G14" si="2">E6+((E6*($G$3*0.01))+($G$2*($G$4*0.01)))</f>
        <v>#VALUE!</v>
      </c>
      <c r="H6" s="31" t="e">
        <f t="shared" ref="H6:H14" si="3">((E6-F6)/E6)*100</f>
        <v>#VALUE!</v>
      </c>
      <c r="I6" s="2"/>
      <c r="J6" s="50" t="e">
        <f t="shared" ref="J6:J14" si="4">J7-($L$2/10)</f>
        <v>#VALUE!</v>
      </c>
      <c r="K6" s="51" t="e">
        <f t="shared" ref="K6:K15" si="5">J6-($J$15*($L$3*0.01))</f>
        <v>#VALUE!</v>
      </c>
      <c r="L6" s="51" t="e">
        <f t="shared" ref="L6:L15" si="6">J6+($J$15*($L$3*0.01))</f>
        <v>#VALUE!</v>
      </c>
      <c r="M6" s="52" t="e">
        <f t="shared" ref="M6:M14" si="7">((J6-K6)/J6)*100</f>
        <v>#VALUE!</v>
      </c>
      <c r="N6" s="5"/>
      <c r="O6" s="29" t="e">
        <f t="shared" ref="O6:O14" si="8">O7-($Q$2/10)</f>
        <v>#VALUE!</v>
      </c>
      <c r="P6" s="30" t="e">
        <f t="shared" ref="P6:P15" si="9">O6-(O6*($Q$3*0.01))</f>
        <v>#VALUE!</v>
      </c>
      <c r="Q6" s="30" t="e">
        <f t="shared" ref="Q6:Q15" si="10">O6+(O6*($Q$3*0.01))</f>
        <v>#VALUE!</v>
      </c>
      <c r="R6" s="31" t="e">
        <f t="shared" ref="R6:R14" si="11">((O6-P6)/O6)*100</f>
        <v>#VALUE!</v>
      </c>
      <c r="S6" s="3"/>
    </row>
    <row r="7" spans="1:19" x14ac:dyDescent="0.2">
      <c r="A7" s="30"/>
      <c r="B7" s="30"/>
      <c r="E7" s="29" t="e">
        <f t="shared" si="0"/>
        <v>#VALUE!</v>
      </c>
      <c r="F7" s="48" t="e">
        <f t="shared" si="1"/>
        <v>#VALUE!</v>
      </c>
      <c r="G7" s="48" t="e">
        <f t="shared" si="2"/>
        <v>#VALUE!</v>
      </c>
      <c r="H7" s="31" t="e">
        <f t="shared" si="3"/>
        <v>#VALUE!</v>
      </c>
      <c r="I7" s="2"/>
      <c r="J7" s="50" t="e">
        <f t="shared" si="4"/>
        <v>#VALUE!</v>
      </c>
      <c r="K7" s="51" t="e">
        <f t="shared" si="5"/>
        <v>#VALUE!</v>
      </c>
      <c r="L7" s="51" t="e">
        <f t="shared" si="6"/>
        <v>#VALUE!</v>
      </c>
      <c r="M7" s="52" t="e">
        <f t="shared" si="7"/>
        <v>#VALUE!</v>
      </c>
      <c r="N7" s="5"/>
      <c r="O7" s="29" t="e">
        <f t="shared" si="8"/>
        <v>#VALUE!</v>
      </c>
      <c r="P7" s="30" t="e">
        <f t="shared" si="9"/>
        <v>#VALUE!</v>
      </c>
      <c r="Q7" s="30" t="e">
        <f t="shared" si="10"/>
        <v>#VALUE!</v>
      </c>
      <c r="R7" s="31" t="e">
        <f t="shared" si="11"/>
        <v>#VALUE!</v>
      </c>
      <c r="S7" s="3"/>
    </row>
    <row r="8" spans="1:19" s="2" customFormat="1" x14ac:dyDescent="0.2">
      <c r="A8" s="30"/>
      <c r="B8" s="30"/>
      <c r="E8" s="29" t="e">
        <f t="shared" si="0"/>
        <v>#VALUE!</v>
      </c>
      <c r="F8" s="48" t="e">
        <f t="shared" si="1"/>
        <v>#VALUE!</v>
      </c>
      <c r="G8" s="48" t="e">
        <f t="shared" si="2"/>
        <v>#VALUE!</v>
      </c>
      <c r="H8" s="31" t="e">
        <f t="shared" si="3"/>
        <v>#VALUE!</v>
      </c>
      <c r="J8" s="50" t="e">
        <f t="shared" si="4"/>
        <v>#VALUE!</v>
      </c>
      <c r="K8" s="51" t="e">
        <f t="shared" si="5"/>
        <v>#VALUE!</v>
      </c>
      <c r="L8" s="51" t="e">
        <f t="shared" si="6"/>
        <v>#VALUE!</v>
      </c>
      <c r="M8" s="52" t="e">
        <f t="shared" si="7"/>
        <v>#VALUE!</v>
      </c>
      <c r="N8" s="5"/>
      <c r="O8" s="29" t="e">
        <f t="shared" si="8"/>
        <v>#VALUE!</v>
      </c>
      <c r="P8" s="30" t="e">
        <f t="shared" si="9"/>
        <v>#VALUE!</v>
      </c>
      <c r="Q8" s="30" t="e">
        <f t="shared" si="10"/>
        <v>#VALUE!</v>
      </c>
      <c r="R8" s="31" t="e">
        <f t="shared" si="11"/>
        <v>#VALUE!</v>
      </c>
      <c r="S8" s="3"/>
    </row>
    <row r="9" spans="1:19" s="2" customFormat="1" x14ac:dyDescent="0.2">
      <c r="A9" s="30"/>
      <c r="B9" s="30"/>
      <c r="E9" s="29" t="e">
        <f t="shared" si="0"/>
        <v>#VALUE!</v>
      </c>
      <c r="F9" s="48" t="e">
        <f t="shared" si="1"/>
        <v>#VALUE!</v>
      </c>
      <c r="G9" s="48" t="e">
        <f t="shared" si="2"/>
        <v>#VALUE!</v>
      </c>
      <c r="H9" s="31" t="e">
        <f t="shared" si="3"/>
        <v>#VALUE!</v>
      </c>
      <c r="J9" s="50" t="e">
        <f t="shared" si="4"/>
        <v>#VALUE!</v>
      </c>
      <c r="K9" s="51" t="e">
        <f t="shared" si="5"/>
        <v>#VALUE!</v>
      </c>
      <c r="L9" s="51" t="e">
        <f t="shared" si="6"/>
        <v>#VALUE!</v>
      </c>
      <c r="M9" s="52" t="e">
        <f t="shared" si="7"/>
        <v>#VALUE!</v>
      </c>
      <c r="N9" s="5"/>
      <c r="O9" s="29" t="e">
        <f t="shared" si="8"/>
        <v>#VALUE!</v>
      </c>
      <c r="P9" s="30" t="e">
        <f t="shared" si="9"/>
        <v>#VALUE!</v>
      </c>
      <c r="Q9" s="30" t="e">
        <f t="shared" si="10"/>
        <v>#VALUE!</v>
      </c>
      <c r="R9" s="31" t="e">
        <f t="shared" si="11"/>
        <v>#VALUE!</v>
      </c>
      <c r="S9" s="3"/>
    </row>
    <row r="10" spans="1:19" s="2" customFormat="1" x14ac:dyDescent="0.2">
      <c r="A10" s="30"/>
      <c r="B10" s="30"/>
      <c r="E10" s="29" t="e">
        <f t="shared" si="0"/>
        <v>#VALUE!</v>
      </c>
      <c r="F10" s="48" t="e">
        <f t="shared" si="1"/>
        <v>#VALUE!</v>
      </c>
      <c r="G10" s="48" t="e">
        <f t="shared" si="2"/>
        <v>#VALUE!</v>
      </c>
      <c r="H10" s="31" t="e">
        <f t="shared" si="3"/>
        <v>#VALUE!</v>
      </c>
      <c r="J10" s="50" t="e">
        <f t="shared" si="4"/>
        <v>#VALUE!</v>
      </c>
      <c r="K10" s="51" t="e">
        <f t="shared" si="5"/>
        <v>#VALUE!</v>
      </c>
      <c r="L10" s="51" t="e">
        <f t="shared" si="6"/>
        <v>#VALUE!</v>
      </c>
      <c r="M10" s="52" t="e">
        <f t="shared" si="7"/>
        <v>#VALUE!</v>
      </c>
      <c r="N10" s="5"/>
      <c r="O10" s="29" t="e">
        <f t="shared" si="8"/>
        <v>#VALUE!</v>
      </c>
      <c r="P10" s="30" t="e">
        <f t="shared" si="9"/>
        <v>#VALUE!</v>
      </c>
      <c r="Q10" s="30" t="e">
        <f t="shared" si="10"/>
        <v>#VALUE!</v>
      </c>
      <c r="R10" s="31" t="e">
        <f t="shared" si="11"/>
        <v>#VALUE!</v>
      </c>
      <c r="S10" s="3"/>
    </row>
    <row r="11" spans="1:19" s="2" customFormat="1" x14ac:dyDescent="0.2">
      <c r="A11" s="30"/>
      <c r="B11" s="30"/>
      <c r="E11" s="29" t="e">
        <f t="shared" si="0"/>
        <v>#VALUE!</v>
      </c>
      <c r="F11" s="48" t="e">
        <f t="shared" si="1"/>
        <v>#VALUE!</v>
      </c>
      <c r="G11" s="48" t="e">
        <f t="shared" si="2"/>
        <v>#VALUE!</v>
      </c>
      <c r="H11" s="31" t="e">
        <f t="shared" si="3"/>
        <v>#VALUE!</v>
      </c>
      <c r="J11" s="50" t="e">
        <f t="shared" si="4"/>
        <v>#VALUE!</v>
      </c>
      <c r="K11" s="51" t="e">
        <f t="shared" si="5"/>
        <v>#VALUE!</v>
      </c>
      <c r="L11" s="51" t="e">
        <f t="shared" si="6"/>
        <v>#VALUE!</v>
      </c>
      <c r="M11" s="52" t="e">
        <f t="shared" si="7"/>
        <v>#VALUE!</v>
      </c>
      <c r="N11" s="5"/>
      <c r="O11" s="29" t="e">
        <f t="shared" si="8"/>
        <v>#VALUE!</v>
      </c>
      <c r="P11" s="30" t="e">
        <f t="shared" si="9"/>
        <v>#VALUE!</v>
      </c>
      <c r="Q11" s="30" t="e">
        <f t="shared" si="10"/>
        <v>#VALUE!</v>
      </c>
      <c r="R11" s="31" t="e">
        <f t="shared" si="11"/>
        <v>#VALUE!</v>
      </c>
      <c r="S11" s="3"/>
    </row>
    <row r="12" spans="1:19" s="2" customFormat="1" x14ac:dyDescent="0.2">
      <c r="A12" s="30"/>
      <c r="B12" s="30"/>
      <c r="E12" s="29" t="e">
        <f t="shared" si="0"/>
        <v>#VALUE!</v>
      </c>
      <c r="F12" s="48" t="e">
        <f t="shared" si="1"/>
        <v>#VALUE!</v>
      </c>
      <c r="G12" s="48" t="e">
        <f t="shared" si="2"/>
        <v>#VALUE!</v>
      </c>
      <c r="H12" s="31" t="e">
        <f t="shared" si="3"/>
        <v>#VALUE!</v>
      </c>
      <c r="J12" s="50" t="e">
        <f t="shared" si="4"/>
        <v>#VALUE!</v>
      </c>
      <c r="K12" s="51" t="e">
        <f t="shared" si="5"/>
        <v>#VALUE!</v>
      </c>
      <c r="L12" s="51" t="e">
        <f t="shared" si="6"/>
        <v>#VALUE!</v>
      </c>
      <c r="M12" s="52" t="e">
        <f t="shared" si="7"/>
        <v>#VALUE!</v>
      </c>
      <c r="N12" s="5"/>
      <c r="O12" s="29" t="e">
        <f t="shared" si="8"/>
        <v>#VALUE!</v>
      </c>
      <c r="P12" s="30" t="e">
        <f t="shared" si="9"/>
        <v>#VALUE!</v>
      </c>
      <c r="Q12" s="30" t="e">
        <f t="shared" si="10"/>
        <v>#VALUE!</v>
      </c>
      <c r="R12" s="31" t="e">
        <f t="shared" si="11"/>
        <v>#VALUE!</v>
      </c>
      <c r="S12" s="3"/>
    </row>
    <row r="13" spans="1:19" s="2" customFormat="1" x14ac:dyDescent="0.2">
      <c r="A13" s="30"/>
      <c r="B13" s="30"/>
      <c r="E13" s="29" t="e">
        <f t="shared" si="0"/>
        <v>#VALUE!</v>
      </c>
      <c r="F13" s="48" t="e">
        <f t="shared" si="1"/>
        <v>#VALUE!</v>
      </c>
      <c r="G13" s="48" t="e">
        <f t="shared" si="2"/>
        <v>#VALUE!</v>
      </c>
      <c r="H13" s="31" t="e">
        <f t="shared" si="3"/>
        <v>#VALUE!</v>
      </c>
      <c r="J13" s="50" t="e">
        <f t="shared" si="4"/>
        <v>#VALUE!</v>
      </c>
      <c r="K13" s="51" t="e">
        <f t="shared" si="5"/>
        <v>#VALUE!</v>
      </c>
      <c r="L13" s="51" t="e">
        <f t="shared" si="6"/>
        <v>#VALUE!</v>
      </c>
      <c r="M13" s="52" t="e">
        <f t="shared" si="7"/>
        <v>#VALUE!</v>
      </c>
      <c r="N13" s="5"/>
      <c r="O13" s="29" t="e">
        <f t="shared" si="8"/>
        <v>#VALUE!</v>
      </c>
      <c r="P13" s="30" t="e">
        <f t="shared" si="9"/>
        <v>#VALUE!</v>
      </c>
      <c r="Q13" s="30" t="e">
        <f t="shared" si="10"/>
        <v>#VALUE!</v>
      </c>
      <c r="R13" s="31" t="e">
        <f t="shared" si="11"/>
        <v>#VALUE!</v>
      </c>
      <c r="S13" s="3"/>
    </row>
    <row r="14" spans="1:19" s="2" customFormat="1" x14ac:dyDescent="0.2">
      <c r="A14" s="30"/>
      <c r="B14" s="30"/>
      <c r="E14" s="29" t="e">
        <f t="shared" si="0"/>
        <v>#VALUE!</v>
      </c>
      <c r="F14" s="48" t="e">
        <f t="shared" si="1"/>
        <v>#VALUE!</v>
      </c>
      <c r="G14" s="48" t="e">
        <f t="shared" si="2"/>
        <v>#VALUE!</v>
      </c>
      <c r="H14" s="31" t="e">
        <f t="shared" si="3"/>
        <v>#VALUE!</v>
      </c>
      <c r="J14" s="50" t="e">
        <f t="shared" si="4"/>
        <v>#VALUE!</v>
      </c>
      <c r="K14" s="51" t="e">
        <f t="shared" si="5"/>
        <v>#VALUE!</v>
      </c>
      <c r="L14" s="51" t="e">
        <f t="shared" si="6"/>
        <v>#VALUE!</v>
      </c>
      <c r="M14" s="52" t="e">
        <f t="shared" si="7"/>
        <v>#VALUE!</v>
      </c>
      <c r="N14" s="5"/>
      <c r="O14" s="29" t="e">
        <f t="shared" si="8"/>
        <v>#VALUE!</v>
      </c>
      <c r="P14" s="30" t="e">
        <f t="shared" si="9"/>
        <v>#VALUE!</v>
      </c>
      <c r="Q14" s="30" t="e">
        <f t="shared" si="10"/>
        <v>#VALUE!</v>
      </c>
      <c r="R14" s="31" t="e">
        <f t="shared" si="11"/>
        <v>#VALUE!</v>
      </c>
      <c r="S14" s="3"/>
    </row>
    <row r="15" spans="1:19" s="2" customFormat="1" x14ac:dyDescent="0.2">
      <c r="A15" s="30"/>
      <c r="B15" s="30"/>
      <c r="E15" s="29" t="str">
        <f>G2</f>
        <v xml:space="preserve"> </v>
      </c>
      <c r="F15" s="48" t="e">
        <f>E15-((E15*($G$3*0.01))+($G$2*($G$4*0.01)))</f>
        <v>#VALUE!</v>
      </c>
      <c r="G15" s="48" t="e">
        <f>E15+((E15*($G$3*0.01))+($G$2*($G$4*0.01)))</f>
        <v>#VALUE!</v>
      </c>
      <c r="H15" s="31" t="e">
        <f>((E15-F15)/E15)*100</f>
        <v>#VALUE!</v>
      </c>
      <c r="J15" s="50" t="str">
        <f>L2</f>
        <v xml:space="preserve"> </v>
      </c>
      <c r="K15" s="51" t="e">
        <f t="shared" si="5"/>
        <v>#VALUE!</v>
      </c>
      <c r="L15" s="51" t="e">
        <f t="shared" si="6"/>
        <v>#VALUE!</v>
      </c>
      <c r="M15" s="52" t="e">
        <f>((J15-K15)/J15)*100</f>
        <v>#VALUE!</v>
      </c>
      <c r="N15" s="5"/>
      <c r="O15" s="29" t="str">
        <f>Q2</f>
        <v xml:space="preserve"> </v>
      </c>
      <c r="P15" s="30" t="e">
        <f t="shared" si="9"/>
        <v>#VALUE!</v>
      </c>
      <c r="Q15" s="30" t="e">
        <f t="shared" si="10"/>
        <v>#VALUE!</v>
      </c>
      <c r="R15" s="31" t="e">
        <f>((O15-P15)/O15)*100</f>
        <v>#VALUE!</v>
      </c>
      <c r="S15" s="3"/>
    </row>
    <row r="16" spans="1:19" x14ac:dyDescent="0.2">
      <c r="A16" s="8" t="s">
        <v>9</v>
      </c>
      <c r="C16" s="7" t="str">
        <f>Cover!B7</f>
        <v xml:space="preserve"> </v>
      </c>
      <c r="E16" s="22"/>
      <c r="F16" s="32"/>
      <c r="G16" s="32"/>
      <c r="H16" s="25"/>
      <c r="I16" s="2"/>
      <c r="J16" s="50"/>
      <c r="K16" s="51"/>
      <c r="L16" s="51"/>
      <c r="M16" s="52"/>
      <c r="N16" s="2"/>
      <c r="O16" s="39"/>
      <c r="P16" s="32"/>
      <c r="Q16" s="32"/>
      <c r="R16" s="25"/>
    </row>
    <row r="17" spans="1:19" x14ac:dyDescent="0.2">
      <c r="A17" s="22" t="s">
        <v>55</v>
      </c>
      <c r="C17" s="7" t="str">
        <f>Cover!B8</f>
        <v xml:space="preserve"> </v>
      </c>
      <c r="E17" s="22"/>
      <c r="F17" s="32"/>
      <c r="G17" s="32"/>
      <c r="H17" s="25"/>
      <c r="I17" s="2"/>
      <c r="J17" s="50"/>
      <c r="K17" s="51"/>
      <c r="L17" s="51"/>
      <c r="M17" s="52"/>
      <c r="N17" s="2"/>
      <c r="O17" s="39"/>
      <c r="P17" s="32"/>
      <c r="Q17" s="32"/>
      <c r="R17" s="25"/>
    </row>
    <row r="18" spans="1:19" x14ac:dyDescent="0.2">
      <c r="A18" s="8" t="s">
        <v>13</v>
      </c>
      <c r="C18" s="7" t="str">
        <f>Cover!B9</f>
        <v xml:space="preserve"> </v>
      </c>
      <c r="E18" s="22"/>
      <c r="F18" s="32"/>
      <c r="G18" s="32"/>
      <c r="H18" s="25"/>
      <c r="I18" s="2"/>
      <c r="J18" s="50"/>
      <c r="K18" s="51"/>
      <c r="L18" s="51"/>
      <c r="M18" s="52"/>
      <c r="N18" s="2"/>
      <c r="O18" s="39"/>
      <c r="P18" s="32"/>
      <c r="Q18" s="32"/>
      <c r="R18" s="25"/>
    </row>
    <row r="19" spans="1:19" ht="13.15" customHeight="1" x14ac:dyDescent="0.2">
      <c r="A19" s="9" t="s">
        <v>2</v>
      </c>
      <c r="B19" s="6" t="s">
        <v>0</v>
      </c>
      <c r="C19" s="1" t="s">
        <v>88</v>
      </c>
      <c r="E19" s="27" t="s">
        <v>2</v>
      </c>
      <c r="F19" s="28" t="s">
        <v>0</v>
      </c>
      <c r="G19" s="28" t="s">
        <v>1</v>
      </c>
      <c r="H19" s="26" t="s">
        <v>5</v>
      </c>
      <c r="I19" s="2" t="s">
        <v>104</v>
      </c>
      <c r="J19" s="53" t="s">
        <v>2</v>
      </c>
      <c r="K19" s="54" t="s">
        <v>0</v>
      </c>
      <c r="L19" s="54" t="s">
        <v>1</v>
      </c>
      <c r="M19" s="55" t="s">
        <v>10</v>
      </c>
      <c r="N19" s="2" t="s">
        <v>104</v>
      </c>
      <c r="O19" s="40" t="s">
        <v>2</v>
      </c>
      <c r="P19" s="28" t="s">
        <v>0</v>
      </c>
      <c r="Q19" s="28" t="s">
        <v>1</v>
      </c>
      <c r="R19" s="26" t="s">
        <v>11</v>
      </c>
      <c r="S19" s="2" t="s">
        <v>104</v>
      </c>
    </row>
    <row r="20" spans="1:19" ht="13.15" customHeight="1" x14ac:dyDescent="0.2">
      <c r="A20" s="10" t="e">
        <f t="shared" ref="A20:A28" si="12">A21-($C$16/10)</f>
        <v>#VALUE!</v>
      </c>
      <c r="B20" s="5" t="e">
        <f t="shared" ref="B20:B28" si="13">A20-((A20*($C$17*0.01))+($C$16*($C$18*0.01)))</f>
        <v>#VALUE!</v>
      </c>
      <c r="C20" s="5" t="e">
        <f t="shared" ref="C20:C28" si="14">((A20-B20)/A20)*100</f>
        <v>#VALUE!</v>
      </c>
      <c r="E20" s="29" t="e">
        <f t="shared" ref="E20:E28" si="15">E21-($C$16/10)</f>
        <v>#VALUE!</v>
      </c>
      <c r="F20" s="5" t="e">
        <f t="shared" ref="F20:F28" si="16">E20-((E20*($G$3*0.01))+($G$2*($G$4*0.01)))</f>
        <v>#VALUE!</v>
      </c>
      <c r="G20" s="5" t="e">
        <f t="shared" ref="G20:G28" si="17">E20+((E20*($G$3*0.01))+($G$2*($G$4*0.01)))</f>
        <v>#VALUE!</v>
      </c>
      <c r="H20" s="31" t="e">
        <f t="shared" ref="H20:H28" si="18">((E20-F20)/E20)*100</f>
        <v>#VALUE!</v>
      </c>
      <c r="I20" s="5" t="e">
        <f>C20/H20</f>
        <v>#VALUE!</v>
      </c>
      <c r="J20" s="50" t="e">
        <f t="shared" ref="J20:J28" si="19">J21-($C$16/10)</f>
        <v>#VALUE!</v>
      </c>
      <c r="K20" s="51" t="e">
        <f t="shared" ref="K20:K29" si="20">J20-($L$2*($L$3*0.01))</f>
        <v>#VALUE!</v>
      </c>
      <c r="L20" s="51" t="e">
        <f t="shared" ref="L20:L29" si="21">J20+($L$2*($L$3*0.01))</f>
        <v>#VALUE!</v>
      </c>
      <c r="M20" s="52" t="e">
        <f t="shared" ref="M20:M28" si="22">((J20-K20)/J20)*100</f>
        <v>#VALUE!</v>
      </c>
      <c r="N20" s="3" t="e">
        <f>C20/M20</f>
        <v>#VALUE!</v>
      </c>
      <c r="O20" s="29" t="e">
        <f t="shared" ref="O20:O28" si="23">O21-($C$16/10)</f>
        <v>#VALUE!</v>
      </c>
      <c r="P20" s="30" t="e">
        <f t="shared" ref="P20:P29" si="24">O20-(O20*($Q$3*0.01))</f>
        <v>#VALUE!</v>
      </c>
      <c r="Q20" s="30" t="e">
        <f t="shared" ref="Q20:Q29" si="25">O20+(O20*($Q$3*0.01))</f>
        <v>#VALUE!</v>
      </c>
      <c r="R20" s="31" t="e">
        <f t="shared" ref="R20:R28" si="26">((O20-P20)/O20)*100</f>
        <v>#VALUE!</v>
      </c>
      <c r="S20" s="5" t="e">
        <f>C20/R20</f>
        <v>#VALUE!</v>
      </c>
    </row>
    <row r="21" spans="1:19" x14ac:dyDescent="0.2">
      <c r="A21" s="10" t="e">
        <f t="shared" si="12"/>
        <v>#VALUE!</v>
      </c>
      <c r="B21" s="5" t="e">
        <f t="shared" si="13"/>
        <v>#VALUE!</v>
      </c>
      <c r="C21" s="5" t="e">
        <f t="shared" si="14"/>
        <v>#VALUE!</v>
      </c>
      <c r="E21" s="29" t="e">
        <f t="shared" si="15"/>
        <v>#VALUE!</v>
      </c>
      <c r="F21" s="5" t="e">
        <f t="shared" si="16"/>
        <v>#VALUE!</v>
      </c>
      <c r="G21" s="5" t="e">
        <f t="shared" si="17"/>
        <v>#VALUE!</v>
      </c>
      <c r="H21" s="31" t="e">
        <f t="shared" si="18"/>
        <v>#VALUE!</v>
      </c>
      <c r="I21" s="5" t="e">
        <f t="shared" ref="I21:I29" si="27">C21/H21</f>
        <v>#VALUE!</v>
      </c>
      <c r="J21" s="50" t="e">
        <f t="shared" si="19"/>
        <v>#VALUE!</v>
      </c>
      <c r="K21" s="51" t="e">
        <f t="shared" si="20"/>
        <v>#VALUE!</v>
      </c>
      <c r="L21" s="51" t="e">
        <f t="shared" si="21"/>
        <v>#VALUE!</v>
      </c>
      <c r="M21" s="52" t="e">
        <f t="shared" si="22"/>
        <v>#VALUE!</v>
      </c>
      <c r="N21" s="3" t="e">
        <f t="shared" ref="N21:N29" si="28">C21/M21</f>
        <v>#VALUE!</v>
      </c>
      <c r="O21" s="29" t="e">
        <f t="shared" si="23"/>
        <v>#VALUE!</v>
      </c>
      <c r="P21" s="30" t="e">
        <f t="shared" si="24"/>
        <v>#VALUE!</v>
      </c>
      <c r="Q21" s="30" t="e">
        <f t="shared" si="25"/>
        <v>#VALUE!</v>
      </c>
      <c r="R21" s="31" t="e">
        <f t="shared" si="26"/>
        <v>#VALUE!</v>
      </c>
      <c r="S21" s="5" t="e">
        <f t="shared" ref="S21:S29" si="29">C21/R21</f>
        <v>#VALUE!</v>
      </c>
    </row>
    <row r="22" spans="1:19" x14ac:dyDescent="0.2">
      <c r="A22" s="10" t="e">
        <f t="shared" si="12"/>
        <v>#VALUE!</v>
      </c>
      <c r="B22" s="5" t="e">
        <f t="shared" si="13"/>
        <v>#VALUE!</v>
      </c>
      <c r="C22" s="5" t="e">
        <f t="shared" si="14"/>
        <v>#VALUE!</v>
      </c>
      <c r="E22" s="29" t="e">
        <f t="shared" si="15"/>
        <v>#VALUE!</v>
      </c>
      <c r="F22" s="5" t="e">
        <f t="shared" si="16"/>
        <v>#VALUE!</v>
      </c>
      <c r="G22" s="5" t="e">
        <f t="shared" si="17"/>
        <v>#VALUE!</v>
      </c>
      <c r="H22" s="31" t="e">
        <f t="shared" si="18"/>
        <v>#VALUE!</v>
      </c>
      <c r="I22" s="5" t="e">
        <f t="shared" si="27"/>
        <v>#VALUE!</v>
      </c>
      <c r="J22" s="50" t="e">
        <f t="shared" si="19"/>
        <v>#VALUE!</v>
      </c>
      <c r="K22" s="51" t="e">
        <f t="shared" si="20"/>
        <v>#VALUE!</v>
      </c>
      <c r="L22" s="51" t="e">
        <f t="shared" si="21"/>
        <v>#VALUE!</v>
      </c>
      <c r="M22" s="52" t="e">
        <f t="shared" si="22"/>
        <v>#VALUE!</v>
      </c>
      <c r="N22" s="3" t="e">
        <f t="shared" si="28"/>
        <v>#VALUE!</v>
      </c>
      <c r="O22" s="29" t="e">
        <f t="shared" si="23"/>
        <v>#VALUE!</v>
      </c>
      <c r="P22" s="30" t="e">
        <f t="shared" si="24"/>
        <v>#VALUE!</v>
      </c>
      <c r="Q22" s="30" t="e">
        <f t="shared" si="25"/>
        <v>#VALUE!</v>
      </c>
      <c r="R22" s="31" t="e">
        <f t="shared" si="26"/>
        <v>#VALUE!</v>
      </c>
      <c r="S22" s="5" t="e">
        <f t="shared" si="29"/>
        <v>#VALUE!</v>
      </c>
    </row>
    <row r="23" spans="1:19" x14ac:dyDescent="0.2">
      <c r="A23" s="10" t="e">
        <f t="shared" si="12"/>
        <v>#VALUE!</v>
      </c>
      <c r="B23" s="5" t="e">
        <f t="shared" si="13"/>
        <v>#VALUE!</v>
      </c>
      <c r="C23" s="5" t="e">
        <f t="shared" si="14"/>
        <v>#VALUE!</v>
      </c>
      <c r="E23" s="29" t="e">
        <f t="shared" si="15"/>
        <v>#VALUE!</v>
      </c>
      <c r="F23" s="5" t="e">
        <f t="shared" si="16"/>
        <v>#VALUE!</v>
      </c>
      <c r="G23" s="5" t="e">
        <f t="shared" si="17"/>
        <v>#VALUE!</v>
      </c>
      <c r="H23" s="31" t="e">
        <f t="shared" si="18"/>
        <v>#VALUE!</v>
      </c>
      <c r="I23" s="5" t="e">
        <f t="shared" si="27"/>
        <v>#VALUE!</v>
      </c>
      <c r="J23" s="50" t="e">
        <f t="shared" si="19"/>
        <v>#VALUE!</v>
      </c>
      <c r="K23" s="51" t="e">
        <f t="shared" si="20"/>
        <v>#VALUE!</v>
      </c>
      <c r="L23" s="51" t="e">
        <f t="shared" si="21"/>
        <v>#VALUE!</v>
      </c>
      <c r="M23" s="52" t="e">
        <f t="shared" si="22"/>
        <v>#VALUE!</v>
      </c>
      <c r="N23" s="3" t="e">
        <f t="shared" si="28"/>
        <v>#VALUE!</v>
      </c>
      <c r="O23" s="29" t="e">
        <f t="shared" si="23"/>
        <v>#VALUE!</v>
      </c>
      <c r="P23" s="30" t="e">
        <f t="shared" si="24"/>
        <v>#VALUE!</v>
      </c>
      <c r="Q23" s="30" t="e">
        <f t="shared" si="25"/>
        <v>#VALUE!</v>
      </c>
      <c r="R23" s="31" t="e">
        <f t="shared" si="26"/>
        <v>#VALUE!</v>
      </c>
      <c r="S23" s="5" t="e">
        <f t="shared" si="29"/>
        <v>#VALUE!</v>
      </c>
    </row>
    <row r="24" spans="1:19" x14ac:dyDescent="0.2">
      <c r="A24" s="10" t="e">
        <f t="shared" si="12"/>
        <v>#VALUE!</v>
      </c>
      <c r="B24" s="5" t="e">
        <f t="shared" si="13"/>
        <v>#VALUE!</v>
      </c>
      <c r="C24" s="5" t="e">
        <f t="shared" si="14"/>
        <v>#VALUE!</v>
      </c>
      <c r="E24" s="29" t="e">
        <f t="shared" si="15"/>
        <v>#VALUE!</v>
      </c>
      <c r="F24" s="5" t="e">
        <f t="shared" si="16"/>
        <v>#VALUE!</v>
      </c>
      <c r="G24" s="5" t="e">
        <f t="shared" si="17"/>
        <v>#VALUE!</v>
      </c>
      <c r="H24" s="31" t="e">
        <f t="shared" si="18"/>
        <v>#VALUE!</v>
      </c>
      <c r="I24" s="5" t="e">
        <f t="shared" si="27"/>
        <v>#VALUE!</v>
      </c>
      <c r="J24" s="50" t="e">
        <f t="shared" si="19"/>
        <v>#VALUE!</v>
      </c>
      <c r="K24" s="51" t="e">
        <f t="shared" si="20"/>
        <v>#VALUE!</v>
      </c>
      <c r="L24" s="51" t="e">
        <f t="shared" si="21"/>
        <v>#VALUE!</v>
      </c>
      <c r="M24" s="52" t="e">
        <f t="shared" si="22"/>
        <v>#VALUE!</v>
      </c>
      <c r="N24" s="3" t="e">
        <f t="shared" si="28"/>
        <v>#VALUE!</v>
      </c>
      <c r="O24" s="29" t="e">
        <f t="shared" si="23"/>
        <v>#VALUE!</v>
      </c>
      <c r="P24" s="30" t="e">
        <f t="shared" si="24"/>
        <v>#VALUE!</v>
      </c>
      <c r="Q24" s="30" t="e">
        <f t="shared" si="25"/>
        <v>#VALUE!</v>
      </c>
      <c r="R24" s="31" t="e">
        <f t="shared" si="26"/>
        <v>#VALUE!</v>
      </c>
      <c r="S24" s="5" t="e">
        <f t="shared" si="29"/>
        <v>#VALUE!</v>
      </c>
    </row>
    <row r="25" spans="1:19" x14ac:dyDescent="0.2">
      <c r="A25" s="10" t="e">
        <f t="shared" si="12"/>
        <v>#VALUE!</v>
      </c>
      <c r="B25" s="5" t="e">
        <f t="shared" si="13"/>
        <v>#VALUE!</v>
      </c>
      <c r="C25" s="5" t="e">
        <f t="shared" si="14"/>
        <v>#VALUE!</v>
      </c>
      <c r="E25" s="29" t="e">
        <f t="shared" si="15"/>
        <v>#VALUE!</v>
      </c>
      <c r="F25" s="5" t="e">
        <f t="shared" si="16"/>
        <v>#VALUE!</v>
      </c>
      <c r="G25" s="5" t="e">
        <f t="shared" si="17"/>
        <v>#VALUE!</v>
      </c>
      <c r="H25" s="31" t="e">
        <f t="shared" si="18"/>
        <v>#VALUE!</v>
      </c>
      <c r="I25" s="5" t="e">
        <f t="shared" si="27"/>
        <v>#VALUE!</v>
      </c>
      <c r="J25" s="50" t="e">
        <f t="shared" si="19"/>
        <v>#VALUE!</v>
      </c>
      <c r="K25" s="51" t="e">
        <f t="shared" si="20"/>
        <v>#VALUE!</v>
      </c>
      <c r="L25" s="51" t="e">
        <f t="shared" si="21"/>
        <v>#VALUE!</v>
      </c>
      <c r="M25" s="52" t="e">
        <f t="shared" si="22"/>
        <v>#VALUE!</v>
      </c>
      <c r="N25" s="3" t="e">
        <f t="shared" si="28"/>
        <v>#VALUE!</v>
      </c>
      <c r="O25" s="29" t="e">
        <f t="shared" si="23"/>
        <v>#VALUE!</v>
      </c>
      <c r="P25" s="30" t="e">
        <f t="shared" si="24"/>
        <v>#VALUE!</v>
      </c>
      <c r="Q25" s="30" t="e">
        <f t="shared" si="25"/>
        <v>#VALUE!</v>
      </c>
      <c r="R25" s="31" t="e">
        <f t="shared" si="26"/>
        <v>#VALUE!</v>
      </c>
      <c r="S25" s="5" t="e">
        <f t="shared" si="29"/>
        <v>#VALUE!</v>
      </c>
    </row>
    <row r="26" spans="1:19" x14ac:dyDescent="0.2">
      <c r="A26" s="10" t="e">
        <f t="shared" si="12"/>
        <v>#VALUE!</v>
      </c>
      <c r="B26" s="5" t="e">
        <f t="shared" si="13"/>
        <v>#VALUE!</v>
      </c>
      <c r="C26" s="5" t="e">
        <f t="shared" si="14"/>
        <v>#VALUE!</v>
      </c>
      <c r="E26" s="29" t="e">
        <f t="shared" si="15"/>
        <v>#VALUE!</v>
      </c>
      <c r="F26" s="5" t="e">
        <f t="shared" si="16"/>
        <v>#VALUE!</v>
      </c>
      <c r="G26" s="5" t="e">
        <f t="shared" si="17"/>
        <v>#VALUE!</v>
      </c>
      <c r="H26" s="31" t="e">
        <f t="shared" si="18"/>
        <v>#VALUE!</v>
      </c>
      <c r="I26" s="5" t="e">
        <f t="shared" si="27"/>
        <v>#VALUE!</v>
      </c>
      <c r="J26" s="50" t="e">
        <f t="shared" si="19"/>
        <v>#VALUE!</v>
      </c>
      <c r="K26" s="51" t="e">
        <f t="shared" si="20"/>
        <v>#VALUE!</v>
      </c>
      <c r="L26" s="51" t="e">
        <f t="shared" si="21"/>
        <v>#VALUE!</v>
      </c>
      <c r="M26" s="52" t="e">
        <f t="shared" si="22"/>
        <v>#VALUE!</v>
      </c>
      <c r="N26" s="3" t="e">
        <f t="shared" si="28"/>
        <v>#VALUE!</v>
      </c>
      <c r="O26" s="29" t="e">
        <f t="shared" si="23"/>
        <v>#VALUE!</v>
      </c>
      <c r="P26" s="30" t="e">
        <f t="shared" si="24"/>
        <v>#VALUE!</v>
      </c>
      <c r="Q26" s="30" t="e">
        <f t="shared" si="25"/>
        <v>#VALUE!</v>
      </c>
      <c r="R26" s="31" t="e">
        <f t="shared" si="26"/>
        <v>#VALUE!</v>
      </c>
      <c r="S26" s="5" t="e">
        <f t="shared" si="29"/>
        <v>#VALUE!</v>
      </c>
    </row>
    <row r="27" spans="1:19" x14ac:dyDescent="0.2">
      <c r="A27" s="10" t="e">
        <f t="shared" si="12"/>
        <v>#VALUE!</v>
      </c>
      <c r="B27" s="5" t="e">
        <f t="shared" si="13"/>
        <v>#VALUE!</v>
      </c>
      <c r="C27" s="5" t="e">
        <f t="shared" si="14"/>
        <v>#VALUE!</v>
      </c>
      <c r="E27" s="29" t="e">
        <f t="shared" si="15"/>
        <v>#VALUE!</v>
      </c>
      <c r="F27" s="5" t="e">
        <f t="shared" si="16"/>
        <v>#VALUE!</v>
      </c>
      <c r="G27" s="5" t="e">
        <f t="shared" si="17"/>
        <v>#VALUE!</v>
      </c>
      <c r="H27" s="31" t="e">
        <f t="shared" si="18"/>
        <v>#VALUE!</v>
      </c>
      <c r="I27" s="5" t="e">
        <f t="shared" si="27"/>
        <v>#VALUE!</v>
      </c>
      <c r="J27" s="50" t="e">
        <f t="shared" si="19"/>
        <v>#VALUE!</v>
      </c>
      <c r="K27" s="51" t="e">
        <f t="shared" si="20"/>
        <v>#VALUE!</v>
      </c>
      <c r="L27" s="51" t="e">
        <f t="shared" si="21"/>
        <v>#VALUE!</v>
      </c>
      <c r="M27" s="52" t="e">
        <f t="shared" si="22"/>
        <v>#VALUE!</v>
      </c>
      <c r="N27" s="3" t="e">
        <f t="shared" si="28"/>
        <v>#VALUE!</v>
      </c>
      <c r="O27" s="29" t="e">
        <f t="shared" si="23"/>
        <v>#VALUE!</v>
      </c>
      <c r="P27" s="30" t="e">
        <f t="shared" si="24"/>
        <v>#VALUE!</v>
      </c>
      <c r="Q27" s="30" t="e">
        <f t="shared" si="25"/>
        <v>#VALUE!</v>
      </c>
      <c r="R27" s="31" t="e">
        <f t="shared" si="26"/>
        <v>#VALUE!</v>
      </c>
      <c r="S27" s="5" t="e">
        <f t="shared" si="29"/>
        <v>#VALUE!</v>
      </c>
    </row>
    <row r="28" spans="1:19" x14ac:dyDescent="0.2">
      <c r="A28" s="10" t="e">
        <f t="shared" si="12"/>
        <v>#VALUE!</v>
      </c>
      <c r="B28" s="5" t="e">
        <f t="shared" si="13"/>
        <v>#VALUE!</v>
      </c>
      <c r="C28" s="5" t="e">
        <f t="shared" si="14"/>
        <v>#VALUE!</v>
      </c>
      <c r="E28" s="29" t="e">
        <f t="shared" si="15"/>
        <v>#VALUE!</v>
      </c>
      <c r="F28" s="5" t="e">
        <f t="shared" si="16"/>
        <v>#VALUE!</v>
      </c>
      <c r="G28" s="5" t="e">
        <f t="shared" si="17"/>
        <v>#VALUE!</v>
      </c>
      <c r="H28" s="31" t="e">
        <f t="shared" si="18"/>
        <v>#VALUE!</v>
      </c>
      <c r="I28" s="5" t="e">
        <f t="shared" si="27"/>
        <v>#VALUE!</v>
      </c>
      <c r="J28" s="50" t="e">
        <f t="shared" si="19"/>
        <v>#VALUE!</v>
      </c>
      <c r="K28" s="51" t="e">
        <f t="shared" si="20"/>
        <v>#VALUE!</v>
      </c>
      <c r="L28" s="51" t="e">
        <f t="shared" si="21"/>
        <v>#VALUE!</v>
      </c>
      <c r="M28" s="52" t="e">
        <f t="shared" si="22"/>
        <v>#VALUE!</v>
      </c>
      <c r="N28" s="3" t="e">
        <f t="shared" si="28"/>
        <v>#VALUE!</v>
      </c>
      <c r="O28" s="29" t="e">
        <f t="shared" si="23"/>
        <v>#VALUE!</v>
      </c>
      <c r="P28" s="30" t="e">
        <f t="shared" si="24"/>
        <v>#VALUE!</v>
      </c>
      <c r="Q28" s="30" t="e">
        <f t="shared" si="25"/>
        <v>#VALUE!</v>
      </c>
      <c r="R28" s="31" t="e">
        <f t="shared" si="26"/>
        <v>#VALUE!</v>
      </c>
      <c r="S28" s="5" t="e">
        <f t="shared" si="29"/>
        <v>#VALUE!</v>
      </c>
    </row>
    <row r="29" spans="1:19" x14ac:dyDescent="0.2">
      <c r="A29" s="10" t="str">
        <f>C16</f>
        <v xml:space="preserve"> </v>
      </c>
      <c r="B29" s="5" t="e">
        <f>A29-((A29*($C$17*0.01))+($C$16*($C$18*0.01)))</f>
        <v>#VALUE!</v>
      </c>
      <c r="C29" s="5" t="e">
        <f>((A29-B29)/A29)*100</f>
        <v>#VALUE!</v>
      </c>
      <c r="E29" s="29" t="str">
        <f>C16</f>
        <v xml:space="preserve"> </v>
      </c>
      <c r="F29" s="5" t="e">
        <f>E29-((E29*($G$3*0.01))+($G$2*($G$4*0.01)))</f>
        <v>#VALUE!</v>
      </c>
      <c r="G29" s="5" t="e">
        <f>E29+((E29*($G$3*0.01))+($G$2*($G$4*0.01)))</f>
        <v>#VALUE!</v>
      </c>
      <c r="H29" s="31" t="e">
        <f>((E29-F29)/E29)*100</f>
        <v>#VALUE!</v>
      </c>
      <c r="I29" s="5" t="e">
        <f t="shared" si="27"/>
        <v>#VALUE!</v>
      </c>
      <c r="J29" s="50" t="str">
        <f>C16</f>
        <v xml:space="preserve"> </v>
      </c>
      <c r="K29" s="51" t="e">
        <f t="shared" si="20"/>
        <v>#VALUE!</v>
      </c>
      <c r="L29" s="51" t="e">
        <f t="shared" si="21"/>
        <v>#VALUE!</v>
      </c>
      <c r="M29" s="52" t="e">
        <f>((J29-K29)/J29)*100</f>
        <v>#VALUE!</v>
      </c>
      <c r="N29" s="3" t="e">
        <f t="shared" si="28"/>
        <v>#VALUE!</v>
      </c>
      <c r="O29" s="29" t="str">
        <f>C16</f>
        <v xml:space="preserve"> </v>
      </c>
      <c r="P29" s="30" t="e">
        <f t="shared" si="24"/>
        <v>#VALUE!</v>
      </c>
      <c r="Q29" s="30" t="e">
        <f t="shared" si="25"/>
        <v>#VALUE!</v>
      </c>
      <c r="R29" s="31" t="e">
        <f>((O29-P29)/O29)*100</f>
        <v>#VALUE!</v>
      </c>
      <c r="S29" s="5" t="e">
        <f t="shared" si="29"/>
        <v>#VALUE!</v>
      </c>
    </row>
    <row r="30" spans="1:19" x14ac:dyDescent="0.2">
      <c r="B30" s="12" t="s">
        <v>149</v>
      </c>
      <c r="C30" s="5" t="e">
        <f>MIN(C20:C29)</f>
        <v>#VALUE!</v>
      </c>
      <c r="E30" s="33"/>
      <c r="F30" s="34"/>
      <c r="G30" s="35" t="s">
        <v>149</v>
      </c>
      <c r="H30" s="36">
        <f>IF(G2=" ",100,MIN(H20:H29))</f>
        <v>100</v>
      </c>
      <c r="I30" s="5">
        <f>IF(G2=" ",0,MIN(I20:I29))</f>
        <v>0</v>
      </c>
      <c r="J30" s="33"/>
      <c r="K30" s="34"/>
      <c r="L30" s="35" t="s">
        <v>149</v>
      </c>
      <c r="M30" s="36">
        <f>IF(L2=" ",100,MIN(M20:M29))</f>
        <v>100</v>
      </c>
      <c r="N30" s="5">
        <f>IF(L2=" ",0,MIN(N20:N29))</f>
        <v>0</v>
      </c>
      <c r="O30" s="33"/>
      <c r="P30" s="34"/>
      <c r="Q30" s="35" t="s">
        <v>149</v>
      </c>
      <c r="R30" s="36">
        <f>IF(Q2=" ",100,MIN(R20:R29))</f>
        <v>100</v>
      </c>
      <c r="S30" s="5">
        <f>IF(Q2=" ",0,MIN(S20:S29))</f>
        <v>0</v>
      </c>
    </row>
    <row r="32" spans="1:19" x14ac:dyDescent="0.2">
      <c r="A32" s="8">
        <f>IF($I$30&lt;$N$30,0,IF($I$30&lt;$S$30,0,1))</f>
        <v>1</v>
      </c>
    </row>
    <row r="33" spans="1:1" x14ac:dyDescent="0.2">
      <c r="A33" s="8">
        <f>IF($N$30&lt;$I$30,0,IF($N$30&lt;$S$30,0,1))</f>
        <v>1</v>
      </c>
    </row>
    <row r="34" spans="1:1" x14ac:dyDescent="0.2">
      <c r="A34" s="8">
        <f>IF($S$30&lt;$I$30,0,IF($S$30&lt;$N$30,0,1))</f>
        <v>1</v>
      </c>
    </row>
  </sheetData>
  <phoneticPr fontId="2" type="noConversion"/>
  <printOptions gridLines="1"/>
  <pageMargins left="0.25" right="0.25" top="0.5" bottom="0.5" header="0.5" footer="0.5"/>
  <pageSetup paperSize="1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25" zoomScale="130" zoomScaleNormal="130" workbookViewId="0">
      <selection activeCell="G45" sqref="G45"/>
    </sheetView>
  </sheetViews>
  <sheetFormatPr defaultColWidth="32.5703125" defaultRowHeight="12.75" x14ac:dyDescent="0.2"/>
  <cols>
    <col min="1" max="1" width="9.5703125" style="72" bestFit="1" customWidth="1"/>
    <col min="2" max="13" width="12.7109375" style="72" customWidth="1"/>
    <col min="14" max="14" width="6.5703125" style="72" customWidth="1"/>
    <col min="15" max="15" width="13.28515625" style="72" bestFit="1" customWidth="1"/>
    <col min="16" max="16" width="40" style="72" bestFit="1" customWidth="1"/>
    <col min="17" max="16384" width="32.5703125" style="72"/>
  </cols>
  <sheetData>
    <row r="1" spans="1:16" x14ac:dyDescent="0.2">
      <c r="A1" s="70" t="s">
        <v>2</v>
      </c>
      <c r="B1" s="84" t="s">
        <v>214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71"/>
      <c r="O1" s="71"/>
      <c r="P1" s="71"/>
    </row>
    <row r="2" spans="1:16" x14ac:dyDescent="0.2">
      <c r="A2" s="70" t="s">
        <v>185</v>
      </c>
      <c r="B2" s="70" t="s">
        <v>62</v>
      </c>
      <c r="C2" s="70" t="s">
        <v>186</v>
      </c>
      <c r="D2" s="70" t="s">
        <v>187</v>
      </c>
      <c r="E2" s="70" t="s">
        <v>188</v>
      </c>
      <c r="F2" s="70" t="s">
        <v>189</v>
      </c>
      <c r="G2" s="70" t="s">
        <v>190</v>
      </c>
      <c r="H2" s="70" t="s">
        <v>191</v>
      </c>
      <c r="I2" s="70" t="s">
        <v>192</v>
      </c>
      <c r="J2" s="70" t="s">
        <v>193</v>
      </c>
      <c r="K2" s="70" t="s">
        <v>194</v>
      </c>
      <c r="L2" s="70" t="s">
        <v>195</v>
      </c>
      <c r="M2" s="70" t="s">
        <v>196</v>
      </c>
      <c r="N2" s="71"/>
      <c r="O2" s="71" t="s">
        <v>197</v>
      </c>
      <c r="P2" s="71" t="s">
        <v>198</v>
      </c>
    </row>
    <row r="3" spans="1:16" x14ac:dyDescent="0.2">
      <c r="A3" s="73">
        <v>0</v>
      </c>
      <c r="B3" s="51">
        <v>0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0</v>
      </c>
      <c r="I3" s="73">
        <v>0</v>
      </c>
      <c r="J3" s="73">
        <v>0</v>
      </c>
      <c r="K3" s="73">
        <v>0</v>
      </c>
      <c r="L3" s="73">
        <v>0</v>
      </c>
      <c r="M3" s="75">
        <v>0</v>
      </c>
      <c r="N3" s="71"/>
      <c r="O3" s="71" t="s">
        <v>62</v>
      </c>
      <c r="P3" s="71" t="s">
        <v>199</v>
      </c>
    </row>
    <row r="4" spans="1:16" x14ac:dyDescent="0.2">
      <c r="A4" s="73">
        <v>0.01</v>
      </c>
      <c r="B4" s="51">
        <v>2.7E-4</v>
      </c>
      <c r="C4" s="73">
        <f t="shared" ref="C4:C14" si="0">((A4-(A4-(0.25*0.07%)))/A4)</f>
        <v>1.7499999999999981E-2</v>
      </c>
      <c r="D4" s="73">
        <f t="shared" ref="D4:D17" si="1">((A4-(A4-(0.5*0.07%)))/A4)</f>
        <v>3.4999999999999962E-2</v>
      </c>
      <c r="E4" s="73">
        <f t="shared" ref="E4:E22" si="2">((A4-(A4-(1*0.06%)))/A4)</f>
        <v>5.9999999999999984E-2</v>
      </c>
      <c r="F4" s="73">
        <f t="shared" ref="F4:F26" si="3">((A4-(A4-(5*0.06%)))/A4)</f>
        <v>0.29999999999999993</v>
      </c>
      <c r="G4" s="73">
        <f t="shared" ref="G4:G31" si="4">((A4-(A4-(10*0.06%)))/A4)</f>
        <v>0.59999999999999987</v>
      </c>
      <c r="H4" s="73">
        <f t="shared" ref="H4:H31" si="5">((A4-(A4-(((A4*0.05%)+(10*0.05%)))/A4)))</f>
        <v>0.50049999999999994</v>
      </c>
      <c r="I4" s="73">
        <f t="shared" ref="I4:I32" si="6">((A4-(A4-(((A4*0.025%)+(27.71*0.025%)))/A4)))</f>
        <v>0.69300000000000006</v>
      </c>
      <c r="J4" s="73">
        <f t="shared" ref="J4:J40" si="7">((A4-(A4-(100*0.06%)))/A4)</f>
        <v>6</v>
      </c>
      <c r="K4" s="73">
        <f t="shared" ref="K4:K40" si="8">((A4-(A4-(138.54*0.025%)))/A4)</f>
        <v>3.4634999999999998</v>
      </c>
      <c r="L4" s="73">
        <f t="shared" ref="L4:L40" si="9">((A4-(A4-(((A4*0.02%)+(138.54*0.02%)))/A4)))</f>
        <v>2.7709999999999999</v>
      </c>
      <c r="M4" s="75">
        <v>4.0000000000000002E-4</v>
      </c>
      <c r="N4" s="71"/>
      <c r="O4" s="71" t="s">
        <v>186</v>
      </c>
      <c r="P4" s="71" t="s">
        <v>200</v>
      </c>
    </row>
    <row r="5" spans="1:16" x14ac:dyDescent="0.2">
      <c r="A5" s="73">
        <v>0.02</v>
      </c>
      <c r="B5" s="51">
        <v>2.7E-4</v>
      </c>
      <c r="C5" s="73">
        <f t="shared" si="0"/>
        <v>8.7500000000000772E-3</v>
      </c>
      <c r="D5" s="73">
        <f t="shared" si="1"/>
        <v>1.7499999999999981E-2</v>
      </c>
      <c r="E5" s="73">
        <f t="shared" si="2"/>
        <v>2.9999999999999992E-2</v>
      </c>
      <c r="F5" s="73">
        <f t="shared" si="3"/>
        <v>0.14999999999999997</v>
      </c>
      <c r="G5" s="73">
        <f t="shared" si="4"/>
        <v>0.29999999999999993</v>
      </c>
      <c r="H5" s="73">
        <f t="shared" si="5"/>
        <v>0.2505</v>
      </c>
      <c r="I5" s="73">
        <f t="shared" si="6"/>
        <v>0.34662500000000002</v>
      </c>
      <c r="J5" s="73">
        <f t="shared" si="7"/>
        <v>3</v>
      </c>
      <c r="K5" s="73">
        <f t="shared" si="8"/>
        <v>1.7317499999999999</v>
      </c>
      <c r="L5" s="73">
        <f t="shared" si="9"/>
        <v>1.3855999999999999</v>
      </c>
      <c r="M5" s="75">
        <v>4.0000000000000002E-4</v>
      </c>
      <c r="N5" s="71"/>
      <c r="O5" s="71" t="s">
        <v>187</v>
      </c>
      <c r="P5" s="71" t="s">
        <v>200</v>
      </c>
    </row>
    <row r="6" spans="1:16" x14ac:dyDescent="0.2">
      <c r="A6" s="73">
        <v>0.03</v>
      </c>
      <c r="B6" s="51">
        <v>2.7E-4</v>
      </c>
      <c r="C6" s="73">
        <f t="shared" si="0"/>
        <v>5.8333333333333848E-3</v>
      </c>
      <c r="D6" s="73">
        <f t="shared" si="1"/>
        <v>1.1666666666666655E-2</v>
      </c>
      <c r="E6" s="73">
        <f t="shared" si="2"/>
        <v>1.9999999999999997E-2</v>
      </c>
      <c r="F6" s="73">
        <f t="shared" si="3"/>
        <v>9.9999999999999978E-2</v>
      </c>
      <c r="G6" s="73">
        <f t="shared" si="4"/>
        <v>0.19999999999999996</v>
      </c>
      <c r="H6" s="73">
        <f t="shared" si="5"/>
        <v>0.16716666666666669</v>
      </c>
      <c r="I6" s="73">
        <f t="shared" si="6"/>
        <v>0.23116666666666669</v>
      </c>
      <c r="J6" s="73">
        <f t="shared" si="7"/>
        <v>2</v>
      </c>
      <c r="K6" s="73">
        <f t="shared" si="8"/>
        <v>1.1545000000000001</v>
      </c>
      <c r="L6" s="73">
        <f t="shared" si="9"/>
        <v>0.92379999999999995</v>
      </c>
      <c r="M6" s="75">
        <v>4.0000000000000002E-4</v>
      </c>
      <c r="N6" s="71"/>
      <c r="O6" s="71" t="s">
        <v>188</v>
      </c>
      <c r="P6" s="71" t="s">
        <v>201</v>
      </c>
    </row>
    <row r="7" spans="1:16" x14ac:dyDescent="0.2">
      <c r="A7" s="73">
        <v>0.04</v>
      </c>
      <c r="B7" s="51">
        <v>2.7E-4</v>
      </c>
      <c r="C7" s="73">
        <f t="shared" si="0"/>
        <v>4.3750000000000386E-3</v>
      </c>
      <c r="D7" s="73">
        <f t="shared" si="1"/>
        <v>8.7500000000000772E-3</v>
      </c>
      <c r="E7" s="73">
        <f t="shared" si="2"/>
        <v>1.5000000000000083E-2</v>
      </c>
      <c r="F7" s="73">
        <f t="shared" si="3"/>
        <v>7.5000000000000067E-2</v>
      </c>
      <c r="G7" s="73">
        <f t="shared" si="4"/>
        <v>0.14999999999999997</v>
      </c>
      <c r="H7" s="73">
        <f t="shared" si="5"/>
        <v>0.1255</v>
      </c>
      <c r="I7" s="73">
        <f t="shared" si="6"/>
        <v>0.17343749999999999</v>
      </c>
      <c r="J7" s="73">
        <f t="shared" si="7"/>
        <v>1.5</v>
      </c>
      <c r="K7" s="73">
        <f t="shared" si="8"/>
        <v>0.86587499999999995</v>
      </c>
      <c r="L7" s="73">
        <f t="shared" si="9"/>
        <v>0.69289999999999996</v>
      </c>
      <c r="M7" s="75">
        <v>4.0000000000000002E-4</v>
      </c>
      <c r="N7" s="71"/>
      <c r="O7" s="71" t="s">
        <v>189</v>
      </c>
      <c r="P7" s="71" t="s">
        <v>201</v>
      </c>
    </row>
    <row r="8" spans="1:16" x14ac:dyDescent="0.2">
      <c r="A8" s="73">
        <v>0.05</v>
      </c>
      <c r="B8" s="51">
        <v>2.7E-4</v>
      </c>
      <c r="C8" s="73">
        <f t="shared" si="0"/>
        <v>3.5000000000000309E-3</v>
      </c>
      <c r="D8" s="73">
        <f t="shared" si="1"/>
        <v>7.0000000000000617E-3</v>
      </c>
      <c r="E8" s="73">
        <f t="shared" si="2"/>
        <v>1.2000000000000066E-2</v>
      </c>
      <c r="F8" s="73">
        <f t="shared" si="3"/>
        <v>6.0000000000000053E-2</v>
      </c>
      <c r="G8" s="73">
        <f t="shared" si="4"/>
        <v>0.11999999999999997</v>
      </c>
      <c r="H8" s="73">
        <f t="shared" si="5"/>
        <v>0.10049999999999999</v>
      </c>
      <c r="I8" s="73">
        <f t="shared" si="6"/>
        <v>0.13880000000000001</v>
      </c>
      <c r="J8" s="73">
        <f t="shared" si="7"/>
        <v>1.2</v>
      </c>
      <c r="K8" s="73">
        <f t="shared" si="8"/>
        <v>0.69269999999999998</v>
      </c>
      <c r="L8" s="73">
        <f t="shared" si="9"/>
        <v>0.55435999999999996</v>
      </c>
      <c r="M8" s="75">
        <v>4.0000000000000002E-4</v>
      </c>
      <c r="N8" s="71"/>
      <c r="O8" s="71" t="s">
        <v>190</v>
      </c>
      <c r="P8" s="71" t="s">
        <v>201</v>
      </c>
    </row>
    <row r="9" spans="1:16" x14ac:dyDescent="0.2">
      <c r="A9" s="73">
        <v>0.06</v>
      </c>
      <c r="B9" s="51">
        <v>2.7E-4</v>
      </c>
      <c r="C9" s="73">
        <f t="shared" si="0"/>
        <v>2.9166666666666924E-3</v>
      </c>
      <c r="D9" s="73">
        <f t="shared" si="1"/>
        <v>5.8333333333333848E-3</v>
      </c>
      <c r="E9" s="73">
        <f t="shared" si="2"/>
        <v>1.0000000000000056E-2</v>
      </c>
      <c r="F9" s="73">
        <f t="shared" si="3"/>
        <v>5.0000000000000044E-2</v>
      </c>
      <c r="G9" s="73">
        <f t="shared" si="4"/>
        <v>9.9999999999999978E-2</v>
      </c>
      <c r="H9" s="73">
        <f t="shared" si="5"/>
        <v>8.3833333333333329E-2</v>
      </c>
      <c r="I9" s="73">
        <f t="shared" si="6"/>
        <v>0.11570833333333334</v>
      </c>
      <c r="J9" s="73">
        <f t="shared" si="7"/>
        <v>1</v>
      </c>
      <c r="K9" s="73">
        <f t="shared" si="8"/>
        <v>0.57725000000000004</v>
      </c>
      <c r="L9" s="73">
        <f t="shared" si="9"/>
        <v>0.46200000000000002</v>
      </c>
      <c r="M9" s="75">
        <v>4.0000000000000002E-4</v>
      </c>
      <c r="N9" s="71"/>
      <c r="O9" s="71" t="s">
        <v>191</v>
      </c>
      <c r="P9" s="71" t="s">
        <v>202</v>
      </c>
    </row>
    <row r="10" spans="1:16" x14ac:dyDescent="0.2">
      <c r="A10" s="73">
        <v>7.0000000000000007E-2</v>
      </c>
      <c r="B10" s="51">
        <v>2.7E-4</v>
      </c>
      <c r="C10" s="73">
        <f t="shared" si="0"/>
        <v>2.4999999999999229E-3</v>
      </c>
      <c r="D10" s="73">
        <f t="shared" si="1"/>
        <v>5.0000000000000435E-3</v>
      </c>
      <c r="E10" s="73">
        <f t="shared" si="2"/>
        <v>8.5714285714286187E-3</v>
      </c>
      <c r="F10" s="73">
        <f t="shared" si="3"/>
        <v>4.2857142857142892E-2</v>
      </c>
      <c r="G10" s="73">
        <f t="shared" si="4"/>
        <v>8.5714285714285784E-2</v>
      </c>
      <c r="H10" s="73">
        <f t="shared" si="5"/>
        <v>7.1928571428571425E-2</v>
      </c>
      <c r="I10" s="73">
        <f t="shared" si="6"/>
        <v>9.9214285714285713E-2</v>
      </c>
      <c r="J10" s="73">
        <f t="shared" si="7"/>
        <v>0.85714285714285698</v>
      </c>
      <c r="K10" s="73">
        <f t="shared" si="8"/>
        <v>0.49478571428571422</v>
      </c>
      <c r="L10" s="73">
        <f t="shared" si="9"/>
        <v>0.3960285714285714</v>
      </c>
      <c r="M10" s="75">
        <v>4.0000000000000002E-4</v>
      </c>
      <c r="N10" s="71"/>
      <c r="O10" s="71" t="s">
        <v>192</v>
      </c>
      <c r="P10" s="71" t="s">
        <v>94</v>
      </c>
    </row>
    <row r="11" spans="1:16" x14ac:dyDescent="0.2">
      <c r="A11" s="73">
        <v>0.08</v>
      </c>
      <c r="B11" s="51">
        <v>2.7E-4</v>
      </c>
      <c r="C11" s="73">
        <f t="shared" si="0"/>
        <v>2.1874999999999326E-3</v>
      </c>
      <c r="D11" s="73">
        <f t="shared" si="1"/>
        <v>4.3750000000000386E-3</v>
      </c>
      <c r="E11" s="73">
        <f t="shared" si="2"/>
        <v>7.5000000000000414E-3</v>
      </c>
      <c r="F11" s="73">
        <f t="shared" si="3"/>
        <v>3.7500000000000033E-2</v>
      </c>
      <c r="G11" s="73">
        <f t="shared" si="4"/>
        <v>7.5000000000000067E-2</v>
      </c>
      <c r="H11" s="73">
        <f t="shared" si="5"/>
        <v>6.3E-2</v>
      </c>
      <c r="I11" s="73">
        <f t="shared" si="6"/>
        <v>8.6843750000000011E-2</v>
      </c>
      <c r="J11" s="73">
        <f t="shared" si="7"/>
        <v>0.75</v>
      </c>
      <c r="K11" s="73">
        <f t="shared" si="8"/>
        <v>0.43293749999999998</v>
      </c>
      <c r="L11" s="73">
        <f t="shared" si="9"/>
        <v>0.34654999999999997</v>
      </c>
      <c r="M11" s="75">
        <v>4.0000000000000002E-4</v>
      </c>
      <c r="N11" s="71"/>
      <c r="O11" s="71" t="s">
        <v>193</v>
      </c>
      <c r="P11" s="71" t="s">
        <v>201</v>
      </c>
    </row>
    <row r="12" spans="1:16" x14ac:dyDescent="0.2">
      <c r="A12" s="73">
        <v>0.09</v>
      </c>
      <c r="B12" s="51">
        <v>2.7E-4</v>
      </c>
      <c r="C12" s="73">
        <f t="shared" si="0"/>
        <v>1.9444444444443845E-3</v>
      </c>
      <c r="D12" s="73">
        <f t="shared" si="1"/>
        <v>3.8888888888889235E-3</v>
      </c>
      <c r="E12" s="73">
        <f t="shared" si="2"/>
        <v>6.6666666666667035E-3</v>
      </c>
      <c r="F12" s="73">
        <f t="shared" si="3"/>
        <v>3.3333333333333368E-2</v>
      </c>
      <c r="G12" s="73">
        <f t="shared" si="4"/>
        <v>6.6666666666666735E-2</v>
      </c>
      <c r="H12" s="73">
        <f t="shared" si="5"/>
        <v>5.605555555555556E-2</v>
      </c>
      <c r="I12" s="73">
        <f t="shared" si="6"/>
        <v>7.7222222222222234E-2</v>
      </c>
      <c r="J12" s="73">
        <f t="shared" si="7"/>
        <v>0.66666666666666663</v>
      </c>
      <c r="K12" s="73">
        <f t="shared" si="8"/>
        <v>0.38483333333333336</v>
      </c>
      <c r="L12" s="73">
        <f t="shared" si="9"/>
        <v>0.30806666666666671</v>
      </c>
      <c r="M12" s="75">
        <v>4.0000000000000002E-4</v>
      </c>
      <c r="N12" s="71"/>
      <c r="O12" s="71" t="s">
        <v>194</v>
      </c>
      <c r="P12" s="71" t="s">
        <v>203</v>
      </c>
    </row>
    <row r="13" spans="1:16" x14ac:dyDescent="0.2">
      <c r="A13" s="73">
        <v>0.1</v>
      </c>
      <c r="B13" s="51">
        <v>2.7E-4</v>
      </c>
      <c r="C13" s="73">
        <f t="shared" si="0"/>
        <v>1.749999999999946E-3</v>
      </c>
      <c r="D13" s="73">
        <f t="shared" si="1"/>
        <v>3.5000000000000309E-3</v>
      </c>
      <c r="E13" s="73">
        <f t="shared" si="2"/>
        <v>6.0000000000000331E-3</v>
      </c>
      <c r="F13" s="73">
        <f t="shared" si="3"/>
        <v>3.0000000000000027E-2</v>
      </c>
      <c r="G13" s="73">
        <f t="shared" si="4"/>
        <v>6.0000000000000053E-2</v>
      </c>
      <c r="H13" s="73">
        <f t="shared" si="5"/>
        <v>5.0499999999999996E-2</v>
      </c>
      <c r="I13" s="73">
        <f t="shared" si="6"/>
        <v>6.9525000000000003E-2</v>
      </c>
      <c r="J13" s="73">
        <f t="shared" si="7"/>
        <v>0.6</v>
      </c>
      <c r="K13" s="73">
        <f t="shared" si="8"/>
        <v>0.34634999999999999</v>
      </c>
      <c r="L13" s="73">
        <f t="shared" si="9"/>
        <v>0.27727999999999997</v>
      </c>
      <c r="M13" s="75">
        <v>4.0000000000000002E-4</v>
      </c>
      <c r="N13" s="71"/>
      <c r="O13" s="71" t="s">
        <v>195</v>
      </c>
      <c r="P13" s="71" t="s">
        <v>137</v>
      </c>
    </row>
    <row r="14" spans="1:16" x14ac:dyDescent="0.2">
      <c r="A14" s="73">
        <v>0.2</v>
      </c>
      <c r="B14" s="51">
        <v>2.7E-4</v>
      </c>
      <c r="C14" s="73">
        <f t="shared" si="0"/>
        <v>8.7500000000004241E-4</v>
      </c>
      <c r="D14" s="73">
        <f t="shared" si="1"/>
        <v>1.749999999999946E-3</v>
      </c>
      <c r="E14" s="73">
        <f t="shared" si="2"/>
        <v>2.9999999999999472E-3</v>
      </c>
      <c r="F14" s="73">
        <f t="shared" si="3"/>
        <v>1.5000000000000013E-2</v>
      </c>
      <c r="G14" s="73">
        <f t="shared" si="4"/>
        <v>3.0000000000000027E-2</v>
      </c>
      <c r="H14" s="73">
        <f t="shared" si="5"/>
        <v>2.5499999999999995E-2</v>
      </c>
      <c r="I14" s="73">
        <f t="shared" si="6"/>
        <v>3.4887500000000016E-2</v>
      </c>
      <c r="J14" s="73">
        <f t="shared" si="7"/>
        <v>0.3</v>
      </c>
      <c r="K14" s="73">
        <f t="shared" si="8"/>
        <v>0.173175</v>
      </c>
      <c r="L14" s="73">
        <f t="shared" si="9"/>
        <v>0.13873999999999997</v>
      </c>
      <c r="M14" s="75">
        <v>4.0000000000000002E-4</v>
      </c>
      <c r="N14" s="71"/>
      <c r="O14" s="71" t="s">
        <v>196</v>
      </c>
      <c r="P14" s="71" t="s">
        <v>204</v>
      </c>
    </row>
    <row r="15" spans="1:16" x14ac:dyDescent="0.2">
      <c r="A15" s="73">
        <v>0.3</v>
      </c>
      <c r="B15" s="51">
        <v>2.7E-4</v>
      </c>
      <c r="C15" s="74"/>
      <c r="D15" s="73">
        <f t="shared" si="1"/>
        <v>1.1666666666667234E-3</v>
      </c>
      <c r="E15" s="73">
        <f t="shared" si="2"/>
        <v>1.9999999999999649E-3</v>
      </c>
      <c r="F15" s="73">
        <f t="shared" si="3"/>
        <v>1.0000000000000009E-2</v>
      </c>
      <c r="G15" s="73">
        <f t="shared" si="4"/>
        <v>2.0000000000000018E-2</v>
      </c>
      <c r="H15" s="73">
        <f t="shared" si="5"/>
        <v>1.7166666666666663E-2</v>
      </c>
      <c r="I15" s="73">
        <f t="shared" si="6"/>
        <v>2.3341666666666649E-2</v>
      </c>
      <c r="J15" s="73">
        <f t="shared" si="7"/>
        <v>0.2</v>
      </c>
      <c r="K15" s="73">
        <f t="shared" si="8"/>
        <v>0.11545000000000009</v>
      </c>
      <c r="L15" s="73">
        <f t="shared" si="9"/>
        <v>9.2560000000000003E-2</v>
      </c>
      <c r="M15" s="75">
        <v>4.0000000000000002E-4</v>
      </c>
      <c r="N15" s="71"/>
      <c r="O15" s="71"/>
      <c r="P15" s="71"/>
    </row>
    <row r="16" spans="1:16" x14ac:dyDescent="0.2">
      <c r="A16" s="73">
        <v>0.4</v>
      </c>
      <c r="B16" s="51">
        <v>2.7E-4</v>
      </c>
      <c r="C16" s="74"/>
      <c r="D16" s="73">
        <f t="shared" si="1"/>
        <v>8.7500000000004241E-4</v>
      </c>
      <c r="E16" s="73">
        <f t="shared" si="2"/>
        <v>1.4999999999999736E-3</v>
      </c>
      <c r="F16" s="73">
        <f t="shared" si="3"/>
        <v>7.5000000000000067E-3</v>
      </c>
      <c r="G16" s="73">
        <f t="shared" si="4"/>
        <v>1.5000000000000013E-2</v>
      </c>
      <c r="H16" s="73">
        <f t="shared" si="5"/>
        <v>1.3000000000000012E-2</v>
      </c>
      <c r="I16" s="73">
        <f t="shared" si="6"/>
        <v>1.7568750000000022E-2</v>
      </c>
      <c r="J16" s="73">
        <f t="shared" si="7"/>
        <v>0.15</v>
      </c>
      <c r="K16" s="73">
        <f t="shared" si="8"/>
        <v>8.6587499999999928E-2</v>
      </c>
      <c r="L16" s="73">
        <f t="shared" si="9"/>
        <v>6.9469999999999976E-2</v>
      </c>
      <c r="M16" s="75">
        <v>4.0000000000000002E-4</v>
      </c>
      <c r="N16" s="71"/>
      <c r="O16" s="71"/>
      <c r="P16" s="71"/>
    </row>
    <row r="17" spans="1:16" x14ac:dyDescent="0.2">
      <c r="A17" s="73">
        <v>0.5</v>
      </c>
      <c r="B17" s="51">
        <v>2.7E-4</v>
      </c>
      <c r="C17" s="74"/>
      <c r="D17" s="73">
        <f t="shared" si="1"/>
        <v>7.0000000000003393E-4</v>
      </c>
      <c r="E17" s="73">
        <f t="shared" si="2"/>
        <v>1.1999999999999789E-3</v>
      </c>
      <c r="F17" s="73">
        <f t="shared" si="3"/>
        <v>6.0000000000000053E-3</v>
      </c>
      <c r="G17" s="73">
        <f t="shared" si="4"/>
        <v>1.2000000000000011E-2</v>
      </c>
      <c r="H17" s="73">
        <f t="shared" si="5"/>
        <v>1.0500000000000009E-2</v>
      </c>
      <c r="I17" s="73">
        <f t="shared" si="6"/>
        <v>1.4104999999999979E-2</v>
      </c>
      <c r="J17" s="73">
        <f t="shared" si="7"/>
        <v>0.12</v>
      </c>
      <c r="K17" s="73">
        <f t="shared" si="8"/>
        <v>6.9269999999999943E-2</v>
      </c>
      <c r="L17" s="73">
        <f t="shared" si="9"/>
        <v>5.5615999999999999E-2</v>
      </c>
      <c r="M17" s="75">
        <v>4.0000000000000002E-4</v>
      </c>
      <c r="N17" s="71"/>
      <c r="O17" s="71"/>
      <c r="P17" s="71"/>
    </row>
    <row r="18" spans="1:16" x14ac:dyDescent="0.2">
      <c r="A18" s="73">
        <v>0.6</v>
      </c>
      <c r="B18" s="51">
        <v>2.7E-4</v>
      </c>
      <c r="C18" s="74"/>
      <c r="D18" s="74"/>
      <c r="E18" s="73">
        <f t="shared" si="2"/>
        <v>1.000000000000075E-3</v>
      </c>
      <c r="F18" s="73">
        <f t="shared" si="3"/>
        <v>5.0000000000000044E-3</v>
      </c>
      <c r="G18" s="73">
        <f t="shared" si="4"/>
        <v>1.0000000000000009E-2</v>
      </c>
      <c r="H18" s="73">
        <f t="shared" si="5"/>
        <v>8.8333333333333597E-3</v>
      </c>
      <c r="I18" s="73">
        <f t="shared" si="6"/>
        <v>1.1795833333333339E-2</v>
      </c>
      <c r="J18" s="73">
        <f t="shared" si="7"/>
        <v>9.9999999999999908E-2</v>
      </c>
      <c r="K18" s="73">
        <f t="shared" si="8"/>
        <v>5.7724999999999957E-2</v>
      </c>
      <c r="L18" s="73">
        <f t="shared" si="9"/>
        <v>4.6379999999999977E-2</v>
      </c>
      <c r="M18" s="75">
        <v>4.0000000000000002E-4</v>
      </c>
      <c r="N18" s="71"/>
      <c r="O18" s="71"/>
      <c r="P18" s="71"/>
    </row>
    <row r="19" spans="1:16" x14ac:dyDescent="0.2">
      <c r="A19" s="73">
        <v>0.7</v>
      </c>
      <c r="B19" s="51">
        <v>2.7E-4</v>
      </c>
      <c r="C19" s="74"/>
      <c r="D19" s="74"/>
      <c r="E19" s="73">
        <f t="shared" si="2"/>
        <v>8.5714285714292139E-4</v>
      </c>
      <c r="F19" s="73">
        <f t="shared" si="3"/>
        <v>4.2857142857142894E-3</v>
      </c>
      <c r="G19" s="73">
        <f t="shared" si="4"/>
        <v>8.5714285714285788E-3</v>
      </c>
      <c r="H19" s="73">
        <f t="shared" si="5"/>
        <v>7.6428571428571734E-3</v>
      </c>
      <c r="I19" s="73">
        <f t="shared" si="6"/>
        <v>1.0146428571428556E-2</v>
      </c>
      <c r="J19" s="73">
        <f t="shared" si="7"/>
        <v>8.5714285714285798E-2</v>
      </c>
      <c r="K19" s="73">
        <f t="shared" si="8"/>
        <v>4.9478571428571393E-2</v>
      </c>
      <c r="L19" s="73">
        <f t="shared" si="9"/>
        <v>3.978285714285712E-2</v>
      </c>
      <c r="M19" s="75">
        <v>4.0000000000000002E-4</v>
      </c>
      <c r="N19" s="71"/>
      <c r="O19" s="71"/>
      <c r="P19" s="71"/>
    </row>
    <row r="20" spans="1:16" x14ac:dyDescent="0.2">
      <c r="A20" s="73">
        <v>0.8</v>
      </c>
      <c r="B20" s="51">
        <v>2.7E-4</v>
      </c>
      <c r="C20" s="74"/>
      <c r="D20" s="74"/>
      <c r="E20" s="73">
        <f t="shared" si="2"/>
        <v>7.5000000000005618E-4</v>
      </c>
      <c r="F20" s="73">
        <f t="shared" si="3"/>
        <v>3.7500000000000033E-3</v>
      </c>
      <c r="G20" s="73">
        <f t="shared" si="4"/>
        <v>7.5000000000000067E-3</v>
      </c>
      <c r="H20" s="73">
        <f t="shared" si="5"/>
        <v>6.7500000000000338E-3</v>
      </c>
      <c r="I20" s="73">
        <f t="shared" si="6"/>
        <v>8.9093749999999972E-3</v>
      </c>
      <c r="J20" s="73">
        <f t="shared" si="7"/>
        <v>7.5000000000000067E-2</v>
      </c>
      <c r="K20" s="73">
        <f t="shared" si="8"/>
        <v>4.3293749999999964E-2</v>
      </c>
      <c r="L20" s="73">
        <f t="shared" si="9"/>
        <v>3.4834999999999949E-2</v>
      </c>
      <c r="M20" s="75">
        <v>4.0000000000000002E-4</v>
      </c>
      <c r="N20" s="71"/>
      <c r="O20" s="71"/>
      <c r="P20" s="71"/>
    </row>
    <row r="21" spans="1:16" x14ac:dyDescent="0.2">
      <c r="A21" s="73">
        <v>0.9</v>
      </c>
      <c r="B21" s="51">
        <v>2.7E-4</v>
      </c>
      <c r="C21" s="74"/>
      <c r="D21" s="74"/>
      <c r="E21" s="73">
        <f t="shared" si="2"/>
        <v>6.6666666666671663E-4</v>
      </c>
      <c r="F21" s="73">
        <f t="shared" si="3"/>
        <v>3.3333333333333361E-3</v>
      </c>
      <c r="G21" s="73">
        <f t="shared" si="4"/>
        <v>6.6666666666666723E-3</v>
      </c>
      <c r="H21" s="73">
        <f t="shared" si="5"/>
        <v>6.0555555555555918E-3</v>
      </c>
      <c r="I21" s="73">
        <f t="shared" si="6"/>
        <v>7.9472222222222166E-3</v>
      </c>
      <c r="J21" s="73">
        <f t="shared" si="7"/>
        <v>6.6666666666666596E-2</v>
      </c>
      <c r="K21" s="73">
        <f t="shared" si="8"/>
        <v>3.84833333333333E-2</v>
      </c>
      <c r="L21" s="73">
        <f t="shared" si="9"/>
        <v>3.0986666666666718E-2</v>
      </c>
      <c r="M21" s="75">
        <v>4.0000000000000002E-4</v>
      </c>
      <c r="N21" s="71"/>
      <c r="O21" s="71"/>
      <c r="P21" s="71"/>
    </row>
    <row r="22" spans="1:16" x14ac:dyDescent="0.2">
      <c r="A22" s="73">
        <v>1</v>
      </c>
      <c r="B22" s="51">
        <v>2.7E-4</v>
      </c>
      <c r="C22" s="74"/>
      <c r="D22" s="74"/>
      <c r="E22" s="73">
        <f t="shared" si="2"/>
        <v>6.0000000000004494E-4</v>
      </c>
      <c r="F22" s="73">
        <f t="shared" si="3"/>
        <v>3.0000000000000027E-3</v>
      </c>
      <c r="G22" s="73">
        <f t="shared" si="4"/>
        <v>6.0000000000000053E-3</v>
      </c>
      <c r="H22" s="73">
        <f t="shared" si="5"/>
        <v>5.4999999999999494E-3</v>
      </c>
      <c r="I22" s="73">
        <f t="shared" si="6"/>
        <v>7.1774999999999478E-3</v>
      </c>
      <c r="J22" s="73">
        <f t="shared" si="7"/>
        <v>6.0000000000000053E-2</v>
      </c>
      <c r="K22" s="73">
        <f t="shared" si="8"/>
        <v>3.4634999999999971E-2</v>
      </c>
      <c r="L22" s="73">
        <f t="shared" si="9"/>
        <v>2.7908000000000044E-2</v>
      </c>
      <c r="M22" s="75">
        <v>4.0000000000000002E-4</v>
      </c>
      <c r="N22" s="71"/>
      <c r="O22" s="71"/>
      <c r="P22" s="71"/>
    </row>
    <row r="23" spans="1:16" x14ac:dyDescent="0.2">
      <c r="A23" s="73">
        <v>2</v>
      </c>
      <c r="B23" s="51">
        <v>2.7E-4</v>
      </c>
      <c r="C23" s="79" t="s">
        <v>15</v>
      </c>
      <c r="D23" s="74"/>
      <c r="E23" s="74"/>
      <c r="F23" s="73">
        <f t="shared" si="3"/>
        <v>1.4999999999999458E-3</v>
      </c>
      <c r="G23" s="73">
        <f t="shared" si="4"/>
        <v>3.0000000000000027E-3</v>
      </c>
      <c r="H23" s="73">
        <f t="shared" si="5"/>
        <v>2.9999999999998916E-3</v>
      </c>
      <c r="I23" s="73">
        <f t="shared" si="6"/>
        <v>3.7137499999999601E-3</v>
      </c>
      <c r="J23" s="73">
        <f t="shared" si="7"/>
        <v>3.0000000000000027E-2</v>
      </c>
      <c r="K23" s="73">
        <f t="shared" si="8"/>
        <v>1.7317499999999986E-2</v>
      </c>
      <c r="L23" s="73">
        <f t="shared" si="9"/>
        <v>1.4054000000000011E-2</v>
      </c>
      <c r="M23" s="75">
        <v>2E-3</v>
      </c>
      <c r="N23" s="71"/>
      <c r="O23" s="71"/>
      <c r="P23" s="71"/>
    </row>
    <row r="24" spans="1:16" x14ac:dyDescent="0.2">
      <c r="A24" s="73">
        <v>3</v>
      </c>
      <c r="B24" s="51">
        <f t="shared" ref="B24:B33" si="10">((A24-(A24-(A24*0.009%)))/A24)</f>
        <v>8.9999999999997485E-5</v>
      </c>
      <c r="C24" s="74"/>
      <c r="D24" s="74"/>
      <c r="E24" s="74"/>
      <c r="F24" s="73">
        <f t="shared" si="3"/>
        <v>1.000000000000038E-3</v>
      </c>
      <c r="G24" s="73">
        <f t="shared" si="4"/>
        <v>1.9999999999999276E-3</v>
      </c>
      <c r="H24" s="73">
        <f t="shared" si="5"/>
        <v>2.1666666666666501E-3</v>
      </c>
      <c r="I24" s="73">
        <f t="shared" si="6"/>
        <v>2.5591666666664459E-3</v>
      </c>
      <c r="J24" s="73">
        <f t="shared" si="7"/>
        <v>2.0000000000000018E-2</v>
      </c>
      <c r="K24" s="73">
        <f t="shared" si="8"/>
        <v>1.1545000000000064E-2</v>
      </c>
      <c r="L24" s="73">
        <f t="shared" si="9"/>
        <v>9.4359999999999999E-3</v>
      </c>
      <c r="M24" s="75">
        <v>2E-3</v>
      </c>
      <c r="N24" s="71"/>
      <c r="O24" s="71"/>
      <c r="P24" s="71"/>
    </row>
    <row r="25" spans="1:16" x14ac:dyDescent="0.2">
      <c r="A25" s="73">
        <v>4</v>
      </c>
      <c r="B25" s="51">
        <f t="shared" si="10"/>
        <v>9.0000000000034497E-5</v>
      </c>
      <c r="C25" s="79"/>
      <c r="D25" s="74"/>
      <c r="E25" s="74"/>
      <c r="F25" s="73">
        <f t="shared" si="3"/>
        <v>7.5000000000002842E-4</v>
      </c>
      <c r="G25" s="73">
        <f t="shared" si="4"/>
        <v>1.4999999999999458E-3</v>
      </c>
      <c r="H25" s="73">
        <f t="shared" si="5"/>
        <v>1.7499999999999183E-3</v>
      </c>
      <c r="I25" s="73">
        <f t="shared" si="6"/>
        <v>1.9818749999997998E-3</v>
      </c>
      <c r="J25" s="73">
        <f t="shared" si="7"/>
        <v>1.5000000000000013E-2</v>
      </c>
      <c r="K25" s="73">
        <f t="shared" si="8"/>
        <v>8.6587500000000484E-3</v>
      </c>
      <c r="L25" s="73">
        <f t="shared" si="9"/>
        <v>7.1270000000001055E-3</v>
      </c>
      <c r="M25" s="75">
        <v>2E-3</v>
      </c>
      <c r="N25" s="71"/>
      <c r="O25" s="71"/>
      <c r="P25" s="71"/>
    </row>
    <row r="26" spans="1:16" x14ac:dyDescent="0.2">
      <c r="A26" s="73">
        <v>5</v>
      </c>
      <c r="B26" s="51">
        <f t="shared" si="10"/>
        <v>8.9999999999967886E-5</v>
      </c>
      <c r="C26" s="74"/>
      <c r="D26" s="74"/>
      <c r="E26" s="74"/>
      <c r="F26" s="73">
        <f t="shared" si="3"/>
        <v>6.0000000000002272E-4</v>
      </c>
      <c r="G26" s="73">
        <f t="shared" si="4"/>
        <v>1.2000000000000454E-3</v>
      </c>
      <c r="H26" s="73">
        <f t="shared" si="5"/>
        <v>1.5000000000000568E-3</v>
      </c>
      <c r="I26" s="73">
        <f t="shared" si="6"/>
        <v>1.6354999999999009E-3</v>
      </c>
      <c r="J26" s="73">
        <f t="shared" si="7"/>
        <v>1.1999999999999922E-2</v>
      </c>
      <c r="K26" s="73">
        <f t="shared" si="8"/>
        <v>6.9269999999999497E-3</v>
      </c>
      <c r="L26" s="73">
        <f t="shared" si="9"/>
        <v>5.7416000000003464E-3</v>
      </c>
      <c r="M26" s="75">
        <v>2E-3</v>
      </c>
      <c r="N26" s="71"/>
      <c r="O26" s="71"/>
      <c r="P26" s="71"/>
    </row>
    <row r="27" spans="1:16" x14ac:dyDescent="0.2">
      <c r="A27" s="73">
        <v>6</v>
      </c>
      <c r="B27" s="51">
        <f t="shared" si="10"/>
        <v>8.9999999999997485E-5</v>
      </c>
      <c r="C27" s="74"/>
      <c r="D27" s="74"/>
      <c r="E27" s="74"/>
      <c r="F27" s="74"/>
      <c r="G27" s="73">
        <f t="shared" si="4"/>
        <v>1.000000000000038E-3</v>
      </c>
      <c r="H27" s="73">
        <f t="shared" si="5"/>
        <v>1.3333333333331865E-3</v>
      </c>
      <c r="I27" s="73">
        <f t="shared" si="6"/>
        <v>1.4045833333335977E-3</v>
      </c>
      <c r="J27" s="73">
        <f t="shared" si="7"/>
        <v>9.9999999999999343E-3</v>
      </c>
      <c r="K27" s="73">
        <f t="shared" si="8"/>
        <v>5.7724999999999582E-3</v>
      </c>
      <c r="L27" s="73">
        <f t="shared" si="9"/>
        <v>4.818000000000211E-3</v>
      </c>
      <c r="M27" s="75">
        <v>2E-3</v>
      </c>
      <c r="N27" s="71"/>
      <c r="O27" s="71"/>
      <c r="P27" s="71"/>
    </row>
    <row r="28" spans="1:16" x14ac:dyDescent="0.2">
      <c r="A28" s="73">
        <v>7</v>
      </c>
      <c r="B28" s="51">
        <f t="shared" si="10"/>
        <v>9.000000000001864E-5</v>
      </c>
      <c r="C28" s="74"/>
      <c r="D28" s="74"/>
      <c r="E28" s="74"/>
      <c r="F28" s="74"/>
      <c r="G28" s="73">
        <f t="shared" si="4"/>
        <v>8.5714285714288962E-4</v>
      </c>
      <c r="H28" s="73">
        <f t="shared" si="5"/>
        <v>1.2142857142860564E-3</v>
      </c>
      <c r="I28" s="73">
        <f t="shared" si="6"/>
        <v>1.2396428571426199E-3</v>
      </c>
      <c r="J28" s="73">
        <f t="shared" si="7"/>
        <v>8.5714285714285163E-3</v>
      </c>
      <c r="K28" s="73">
        <f t="shared" si="8"/>
        <v>4.9478571428571072E-3</v>
      </c>
      <c r="L28" s="73">
        <f t="shared" si="9"/>
        <v>4.1582857142854479E-3</v>
      </c>
      <c r="M28" s="75">
        <v>2E-3</v>
      </c>
      <c r="N28" s="71"/>
      <c r="O28" s="71"/>
      <c r="P28" s="71"/>
    </row>
    <row r="29" spans="1:16" x14ac:dyDescent="0.2">
      <c r="A29" s="73">
        <v>8</v>
      </c>
      <c r="B29" s="51">
        <f t="shared" si="10"/>
        <v>9.0000000000034497E-5</v>
      </c>
      <c r="C29" s="74"/>
      <c r="D29" s="74"/>
      <c r="E29" s="74"/>
      <c r="F29" s="74"/>
      <c r="G29" s="73">
        <f t="shared" si="4"/>
        <v>7.5000000000002842E-4</v>
      </c>
      <c r="H29" s="73">
        <f t="shared" si="5"/>
        <v>1.1250000000000426E-3</v>
      </c>
      <c r="I29" s="73">
        <f t="shared" si="6"/>
        <v>1.1159374999998306E-3</v>
      </c>
      <c r="J29" s="73">
        <f t="shared" si="7"/>
        <v>7.4999999999999512E-3</v>
      </c>
      <c r="K29" s="73">
        <f t="shared" si="8"/>
        <v>4.3293749999999687E-3</v>
      </c>
      <c r="L29" s="73">
        <f t="shared" si="9"/>
        <v>3.6635000000000417E-3</v>
      </c>
      <c r="M29" s="75">
        <v>1E-3</v>
      </c>
      <c r="N29" s="71"/>
      <c r="O29" s="71"/>
      <c r="P29" s="71"/>
    </row>
    <row r="30" spans="1:16" x14ac:dyDescent="0.2">
      <c r="A30" s="73">
        <v>9</v>
      </c>
      <c r="B30" s="51">
        <f t="shared" si="10"/>
        <v>8.999999999994814E-5</v>
      </c>
      <c r="C30" s="74"/>
      <c r="D30" s="74"/>
      <c r="E30" s="74"/>
      <c r="F30" s="74"/>
      <c r="G30" s="73">
        <f t="shared" si="4"/>
        <v>6.6666666666669191E-4</v>
      </c>
      <c r="H30" s="73">
        <f t="shared" si="5"/>
        <v>1.0555555555562535E-3</v>
      </c>
      <c r="I30" s="73">
        <f t="shared" si="6"/>
        <v>1.0197222222227964E-3</v>
      </c>
      <c r="J30" s="73">
        <f t="shared" si="7"/>
        <v>6.6666666666667217E-3</v>
      </c>
      <c r="K30" s="73">
        <f t="shared" si="8"/>
        <v>3.8483333333333056E-3</v>
      </c>
      <c r="L30" s="73">
        <f t="shared" si="9"/>
        <v>3.278666666666652E-3</v>
      </c>
      <c r="M30" s="75">
        <v>1E-3</v>
      </c>
      <c r="N30" s="71"/>
      <c r="O30" s="71"/>
      <c r="P30" s="71"/>
    </row>
    <row r="31" spans="1:16" x14ac:dyDescent="0.2">
      <c r="A31" s="73">
        <v>10</v>
      </c>
      <c r="B31" s="51">
        <f t="shared" si="10"/>
        <v>8.9999999999967886E-5</v>
      </c>
      <c r="C31" s="74"/>
      <c r="D31" s="74"/>
      <c r="E31" s="74"/>
      <c r="F31" s="74"/>
      <c r="G31" s="73">
        <f t="shared" si="4"/>
        <v>6.0000000000002272E-4</v>
      </c>
      <c r="H31" s="73">
        <f t="shared" si="5"/>
        <v>9.9999999999944578E-4</v>
      </c>
      <c r="I31" s="73">
        <f t="shared" si="6"/>
        <v>9.4275000000010323E-4</v>
      </c>
      <c r="J31" s="73">
        <f t="shared" si="7"/>
        <v>6.0000000000000496E-3</v>
      </c>
      <c r="K31" s="73">
        <f t="shared" si="8"/>
        <v>3.4634999999999748E-3</v>
      </c>
      <c r="L31" s="73">
        <f t="shared" si="9"/>
        <v>2.9707999999999402E-3</v>
      </c>
      <c r="M31" s="75">
        <v>1E-3</v>
      </c>
      <c r="N31" s="71"/>
      <c r="O31" s="71"/>
      <c r="P31" s="71"/>
    </row>
    <row r="32" spans="1:16" x14ac:dyDescent="0.2">
      <c r="A32" s="73">
        <v>20</v>
      </c>
      <c r="B32" s="51">
        <f t="shared" si="10"/>
        <v>8.9999999999967886E-5</v>
      </c>
      <c r="C32" s="74"/>
      <c r="D32" s="74"/>
      <c r="E32" s="74"/>
      <c r="F32" s="74"/>
      <c r="G32" s="74"/>
      <c r="H32" s="74"/>
      <c r="I32" s="73">
        <f t="shared" si="6"/>
        <v>5.9637500000064847E-4</v>
      </c>
      <c r="J32" s="73">
        <f t="shared" si="7"/>
        <v>2.9999999999999359E-3</v>
      </c>
      <c r="K32" s="73">
        <f t="shared" si="8"/>
        <v>1.7317500000000763E-3</v>
      </c>
      <c r="L32" s="73">
        <f t="shared" si="9"/>
        <v>1.585399999999737E-3</v>
      </c>
      <c r="M32" s="75">
        <v>1E-3</v>
      </c>
      <c r="N32" s="71"/>
      <c r="O32" s="71"/>
      <c r="P32" s="71"/>
    </row>
    <row r="33" spans="1:16" x14ac:dyDescent="0.2">
      <c r="A33" s="73">
        <v>30</v>
      </c>
      <c r="B33" s="51">
        <f t="shared" si="10"/>
        <v>9.0000000000027097E-5</v>
      </c>
      <c r="C33" s="74"/>
      <c r="D33" s="74"/>
      <c r="E33" s="74"/>
      <c r="F33" s="74"/>
      <c r="G33" s="74"/>
      <c r="H33" s="74"/>
      <c r="I33" s="73"/>
      <c r="J33" s="73">
        <f t="shared" si="7"/>
        <v>1.9999999999999575E-3</v>
      </c>
      <c r="K33" s="73">
        <f t="shared" si="8"/>
        <v>1.1545000000000509E-3</v>
      </c>
      <c r="L33" s="73">
        <f t="shared" si="9"/>
        <v>1.1235999999996693E-3</v>
      </c>
      <c r="M33" s="75">
        <v>1E-3</v>
      </c>
      <c r="N33" s="71"/>
      <c r="O33" s="71"/>
      <c r="P33" s="71"/>
    </row>
    <row r="34" spans="1:16" x14ac:dyDescent="0.2">
      <c r="A34" s="73">
        <v>40</v>
      </c>
      <c r="B34" s="73" t="s">
        <v>15</v>
      </c>
      <c r="C34" s="74"/>
      <c r="D34" s="74"/>
      <c r="E34" s="74"/>
      <c r="F34" s="74"/>
      <c r="G34" s="74"/>
      <c r="H34" s="74"/>
      <c r="I34" s="73"/>
      <c r="J34" s="73">
        <f t="shared" si="7"/>
        <v>1.5000000000000568E-3</v>
      </c>
      <c r="K34" s="73">
        <f t="shared" si="8"/>
        <v>8.6587500000003816E-4</v>
      </c>
      <c r="L34" s="73">
        <f t="shared" si="9"/>
        <v>8.9270000000141181E-4</v>
      </c>
      <c r="M34" s="75">
        <v>1E-3</v>
      </c>
      <c r="N34" s="71"/>
      <c r="O34" s="71"/>
      <c r="P34" s="71"/>
    </row>
    <row r="35" spans="1:16" x14ac:dyDescent="0.2">
      <c r="A35" s="73">
        <v>50</v>
      </c>
      <c r="B35" s="74"/>
      <c r="C35" s="74"/>
      <c r="D35" s="74"/>
      <c r="E35" s="74"/>
      <c r="F35" s="74"/>
      <c r="G35" s="74"/>
      <c r="H35" s="74"/>
      <c r="I35" s="73"/>
      <c r="J35" s="73">
        <f t="shared" si="7"/>
        <v>1.2000000000000454E-3</v>
      </c>
      <c r="K35" s="73">
        <f t="shared" si="8"/>
        <v>6.9270000000003055E-4</v>
      </c>
      <c r="L35" s="73">
        <f t="shared" si="9"/>
        <v>7.5415999999961514E-4</v>
      </c>
      <c r="M35" s="75">
        <v>1E-3</v>
      </c>
      <c r="N35" s="71"/>
      <c r="O35" s="71"/>
      <c r="P35" s="71"/>
    </row>
    <row r="36" spans="1:16" x14ac:dyDescent="0.2">
      <c r="A36" s="73">
        <v>60</v>
      </c>
      <c r="B36" s="74"/>
      <c r="C36" s="74"/>
      <c r="D36" s="74"/>
      <c r="E36" s="74"/>
      <c r="F36" s="74"/>
      <c r="G36" s="74"/>
      <c r="H36" s="74"/>
      <c r="I36" s="73"/>
      <c r="J36" s="73">
        <f t="shared" si="7"/>
        <v>1.000000000000038E-3</v>
      </c>
      <c r="K36" s="73">
        <f t="shared" si="8"/>
        <v>5.7725000000002544E-4</v>
      </c>
      <c r="L36" s="73">
        <f t="shared" si="9"/>
        <v>6.6180000000315431E-4</v>
      </c>
      <c r="M36" s="75">
        <v>1E-3</v>
      </c>
      <c r="N36" s="71"/>
      <c r="O36" s="71"/>
      <c r="P36" s="71"/>
    </row>
    <row r="37" spans="1:16" x14ac:dyDescent="0.2">
      <c r="A37" s="73">
        <v>70</v>
      </c>
      <c r="B37" s="74"/>
      <c r="C37" s="74"/>
      <c r="D37" s="74"/>
      <c r="E37" s="74"/>
      <c r="F37" s="74"/>
      <c r="G37" s="74"/>
      <c r="H37" s="74"/>
      <c r="I37" s="73"/>
      <c r="J37" s="73">
        <f t="shared" si="7"/>
        <v>8.5714285714288962E-4</v>
      </c>
      <c r="K37" s="73">
        <f t="shared" si="8"/>
        <v>4.9478571428563463E-4</v>
      </c>
      <c r="L37" s="73">
        <f t="shared" si="9"/>
        <v>5.9582857143425372E-4</v>
      </c>
      <c r="M37" s="75">
        <v>1E-3</v>
      </c>
      <c r="N37" s="71"/>
      <c r="O37" s="71"/>
      <c r="P37" s="71"/>
    </row>
    <row r="38" spans="1:16" x14ac:dyDescent="0.2">
      <c r="A38" s="73">
        <v>80</v>
      </c>
      <c r="B38" s="74"/>
      <c r="C38" s="74"/>
      <c r="D38" s="74"/>
      <c r="E38" s="74"/>
      <c r="F38" s="74"/>
      <c r="G38" s="74"/>
      <c r="H38" s="74"/>
      <c r="I38" s="73"/>
      <c r="J38" s="73">
        <f t="shared" si="7"/>
        <v>7.5000000000002842E-4</v>
      </c>
      <c r="K38" s="73">
        <f t="shared" si="8"/>
        <v>4.3293749999993023E-4</v>
      </c>
      <c r="L38" s="73">
        <f t="shared" si="9"/>
        <v>5.4634999999336742E-4</v>
      </c>
      <c r="M38" s="75">
        <v>1E-3</v>
      </c>
      <c r="N38" s="71"/>
      <c r="O38" s="71"/>
      <c r="P38" s="71"/>
    </row>
    <row r="39" spans="1:16" x14ac:dyDescent="0.2">
      <c r="A39" s="73">
        <v>90</v>
      </c>
      <c r="B39" s="74"/>
      <c r="C39" s="74"/>
      <c r="D39" s="74"/>
      <c r="E39" s="74"/>
      <c r="F39" s="74"/>
      <c r="G39" s="74"/>
      <c r="H39" s="74"/>
      <c r="I39" s="73"/>
      <c r="J39" s="73">
        <f t="shared" si="7"/>
        <v>6.6666666666669191E-4</v>
      </c>
      <c r="K39" s="73">
        <f t="shared" si="8"/>
        <v>3.8483333333327131E-4</v>
      </c>
      <c r="L39" s="73">
        <f t="shared" si="9"/>
        <v>5.0786666666624569E-4</v>
      </c>
      <c r="M39" s="75">
        <v>1E-3</v>
      </c>
      <c r="N39" s="71"/>
      <c r="O39" s="71"/>
      <c r="P39" s="71"/>
    </row>
    <row r="40" spans="1:16" x14ac:dyDescent="0.2">
      <c r="A40" s="73">
        <v>100</v>
      </c>
      <c r="B40" s="74"/>
      <c r="C40" s="74"/>
      <c r="D40" s="74"/>
      <c r="E40" s="74"/>
      <c r="F40" s="74"/>
      <c r="G40" s="74"/>
      <c r="H40" s="74"/>
      <c r="I40" s="73"/>
      <c r="J40" s="73">
        <f t="shared" si="7"/>
        <v>6.0000000000002272E-4</v>
      </c>
      <c r="K40" s="73">
        <f t="shared" si="8"/>
        <v>3.4634999999994421E-4</v>
      </c>
      <c r="L40" s="73">
        <f t="shared" si="9"/>
        <v>4.770799999960218E-4</v>
      </c>
      <c r="M40" s="75">
        <v>1E-3</v>
      </c>
      <c r="N40" s="78" t="s">
        <v>15</v>
      </c>
      <c r="O40" s="71"/>
      <c r="P40" s="71"/>
    </row>
    <row r="41" spans="1:16" x14ac:dyDescent="0.2">
      <c r="A41" s="32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1:16" x14ac:dyDescent="0.2">
      <c r="A42" s="70" t="s">
        <v>2</v>
      </c>
      <c r="B42" s="84" t="s">
        <v>214</v>
      </c>
      <c r="C42" s="84"/>
      <c r="D42" s="84"/>
      <c r="E42" s="84"/>
      <c r="F42" s="84"/>
      <c r="G42" s="84"/>
      <c r="H42" s="70"/>
      <c r="I42" s="70"/>
      <c r="J42" s="70"/>
      <c r="K42" s="70"/>
      <c r="L42" s="70"/>
      <c r="M42" s="70"/>
      <c r="N42" s="71"/>
      <c r="O42" s="71"/>
      <c r="P42" s="71"/>
    </row>
    <row r="43" spans="1:16" x14ac:dyDescent="0.2">
      <c r="A43" s="70" t="s">
        <v>185</v>
      </c>
      <c r="B43" s="70" t="s">
        <v>205</v>
      </c>
      <c r="C43" s="70" t="s">
        <v>206</v>
      </c>
      <c r="D43" s="70" t="s">
        <v>207</v>
      </c>
      <c r="E43" s="70" t="s">
        <v>208</v>
      </c>
      <c r="F43" s="70" t="s">
        <v>209</v>
      </c>
      <c r="G43" s="70" t="s">
        <v>210</v>
      </c>
      <c r="H43" s="71"/>
      <c r="I43" s="71" t="s">
        <v>197</v>
      </c>
      <c r="J43" s="71"/>
      <c r="K43" s="71" t="s">
        <v>198</v>
      </c>
      <c r="L43" s="71"/>
      <c r="M43" s="71"/>
      <c r="N43" s="71"/>
      <c r="O43" s="71"/>
      <c r="P43" s="71"/>
    </row>
    <row r="44" spans="1:16" x14ac:dyDescent="0.2">
      <c r="A44" s="32">
        <v>0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1"/>
      <c r="I44" s="71" t="s">
        <v>205</v>
      </c>
      <c r="J44" s="71"/>
      <c r="K44" s="69" t="s">
        <v>137</v>
      </c>
      <c r="L44" s="71"/>
      <c r="M44" s="71"/>
      <c r="N44" s="71"/>
      <c r="O44" s="71"/>
      <c r="P44" s="71"/>
    </row>
    <row r="45" spans="1:16" x14ac:dyDescent="0.2">
      <c r="A45" s="32">
        <v>5</v>
      </c>
      <c r="B45" s="76">
        <f>((A45-(A45-(((A45*0.02%)+(15*0.02%)))/A45)))</f>
        <v>7.9999999999991189E-4</v>
      </c>
      <c r="C45" s="76">
        <f t="shared" ref="C45:C55" si="11">((A45-(A45-(((A45*0.005%)+(100*0.005%)))/A45)))</f>
        <v>1.0500000000002174E-3</v>
      </c>
      <c r="D45" s="76">
        <f t="shared" ref="D45:D55" si="12">((A45-(A45-(100*0.06%)))/A45)</f>
        <v>1.1999999999999922E-2</v>
      </c>
      <c r="E45" s="76">
        <f t="shared" ref="E45:E59" si="13">((A45-(A45-(((A45*0.005%)+(300*0.005%)))/A45)))</f>
        <v>3.0499999999999972E-3</v>
      </c>
      <c r="F45" s="76">
        <v>7.4999999999999997E-3</v>
      </c>
      <c r="G45" s="76">
        <f t="shared" ref="G45:G63" si="14">((A45-(A45-(((A45*0.005%)+(500*0.005%)))/A45)))</f>
        <v>5.0499999999997769E-3</v>
      </c>
      <c r="H45" s="71"/>
      <c r="I45" s="71" t="s">
        <v>206</v>
      </c>
      <c r="J45" s="71"/>
      <c r="K45" s="69" t="s">
        <v>211</v>
      </c>
      <c r="L45" s="71"/>
      <c r="M45" s="71"/>
      <c r="N45" s="71"/>
      <c r="O45" s="71"/>
      <c r="P45" s="71"/>
    </row>
    <row r="46" spans="1:16" x14ac:dyDescent="0.2">
      <c r="A46" s="32">
        <v>10</v>
      </c>
      <c r="B46" s="76">
        <f>((A46-(A46-(((A46*0.02%)+(15*0.02%)))/A46)))</f>
        <v>5.0000000000061107E-4</v>
      </c>
      <c r="C46" s="76">
        <f t="shared" si="11"/>
        <v>5.5000000000049454E-4</v>
      </c>
      <c r="D46" s="76">
        <f t="shared" si="12"/>
        <v>6.0000000000000496E-3</v>
      </c>
      <c r="E46" s="76">
        <f t="shared" si="13"/>
        <v>1.5499999999999403E-3</v>
      </c>
      <c r="F46" s="76">
        <v>7.4999999999999997E-3</v>
      </c>
      <c r="G46" s="76">
        <f t="shared" si="14"/>
        <v>2.5499999999993861E-3</v>
      </c>
      <c r="H46" s="71"/>
      <c r="I46" s="69" t="s">
        <v>207</v>
      </c>
      <c r="J46" s="71"/>
      <c r="K46" s="71" t="s">
        <v>201</v>
      </c>
      <c r="L46" s="71"/>
      <c r="M46" s="71"/>
      <c r="N46" s="71"/>
      <c r="O46" s="71"/>
      <c r="P46" s="71"/>
    </row>
    <row r="47" spans="1:16" x14ac:dyDescent="0.2">
      <c r="A47" s="32">
        <v>15</v>
      </c>
      <c r="B47" s="76">
        <f>((A47-(A47-(((A47*0.02%)+(15*0.02%)))/A47)))</f>
        <v>4.0000000000084412E-4</v>
      </c>
      <c r="C47" s="76">
        <f t="shared" si="11"/>
        <v>3.8333333333362418E-4</v>
      </c>
      <c r="D47" s="76">
        <f t="shared" si="12"/>
        <v>4.000000000000033E-3</v>
      </c>
      <c r="E47" s="76">
        <f t="shared" si="13"/>
        <v>1.0499999999993292E-3</v>
      </c>
      <c r="F47" s="76">
        <v>7.4999999999999997E-3</v>
      </c>
      <c r="G47" s="76">
        <f t="shared" si="14"/>
        <v>1.7166666666668107E-3</v>
      </c>
      <c r="H47" s="71"/>
      <c r="I47" s="71" t="s">
        <v>212</v>
      </c>
      <c r="J47" s="71"/>
      <c r="K47" s="69" t="s">
        <v>211</v>
      </c>
      <c r="L47" s="71"/>
      <c r="M47" s="71"/>
      <c r="N47" s="71"/>
      <c r="O47" s="71"/>
      <c r="P47" s="71"/>
    </row>
    <row r="48" spans="1:16" x14ac:dyDescent="0.2">
      <c r="A48" s="32">
        <v>20</v>
      </c>
      <c r="B48" s="76"/>
      <c r="C48" s="76">
        <f t="shared" si="11"/>
        <v>2.9999999999930083E-4</v>
      </c>
      <c r="D48" s="76">
        <f t="shared" si="12"/>
        <v>2.9999999999999359E-3</v>
      </c>
      <c r="E48" s="76">
        <f t="shared" si="13"/>
        <v>8.0000000000168825E-4</v>
      </c>
      <c r="F48" s="76">
        <v>7.4999999999999997E-3</v>
      </c>
      <c r="G48" s="76">
        <f t="shared" si="14"/>
        <v>1.300000000000523E-3</v>
      </c>
      <c r="H48" s="71"/>
      <c r="I48" s="69" t="s">
        <v>209</v>
      </c>
      <c r="J48" s="71"/>
      <c r="K48" s="69" t="s">
        <v>105</v>
      </c>
      <c r="L48" s="71"/>
      <c r="M48" s="71"/>
      <c r="N48" s="71"/>
      <c r="O48" s="71"/>
      <c r="P48" s="71"/>
    </row>
    <row r="49" spans="1:16" x14ac:dyDescent="0.2">
      <c r="A49" s="32">
        <v>25</v>
      </c>
      <c r="B49" s="76"/>
      <c r="C49" s="76">
        <f t="shared" si="11"/>
        <v>2.5000000000119371E-4</v>
      </c>
      <c r="D49" s="76">
        <f t="shared" si="12"/>
        <v>2.399999999999949E-3</v>
      </c>
      <c r="E49" s="76">
        <f t="shared" si="13"/>
        <v>6.5000000000026148E-4</v>
      </c>
      <c r="F49" s="76">
        <v>7.4999999999999997E-3</v>
      </c>
      <c r="G49" s="76">
        <f t="shared" si="14"/>
        <v>1.0499999999993292E-3</v>
      </c>
      <c r="H49" s="71"/>
      <c r="I49" s="71" t="s">
        <v>213</v>
      </c>
      <c r="J49" s="71"/>
      <c r="K49" s="69" t="s">
        <v>211</v>
      </c>
      <c r="L49" s="71"/>
      <c r="M49" s="71"/>
      <c r="N49" s="71"/>
      <c r="O49" s="71"/>
      <c r="P49" s="71"/>
    </row>
    <row r="50" spans="1:16" x14ac:dyDescent="0.2">
      <c r="A50" s="32">
        <v>30</v>
      </c>
      <c r="B50" s="76"/>
      <c r="C50" s="76">
        <f t="shared" si="11"/>
        <v>2.1666666666675383E-4</v>
      </c>
      <c r="D50" s="76">
        <f t="shared" si="12"/>
        <v>1.9999999999999575E-3</v>
      </c>
      <c r="E50" s="76">
        <f t="shared" si="13"/>
        <v>5.5000000000049454E-4</v>
      </c>
      <c r="F50" s="76">
        <v>7.4999999999999997E-3</v>
      </c>
      <c r="G50" s="76">
        <f t="shared" si="14"/>
        <v>8.8333333333423525E-4</v>
      </c>
      <c r="H50" s="71"/>
      <c r="I50" s="71"/>
      <c r="J50" s="71"/>
      <c r="K50" s="71"/>
      <c r="L50" s="71"/>
      <c r="M50" s="71" t="s">
        <v>15</v>
      </c>
      <c r="N50" s="71"/>
      <c r="O50" s="71"/>
      <c r="P50" s="71"/>
    </row>
    <row r="51" spans="1:16" x14ac:dyDescent="0.2">
      <c r="A51" s="32">
        <v>35</v>
      </c>
      <c r="B51" s="76"/>
      <c r="C51" s="76">
        <f t="shared" si="11"/>
        <v>1.9285714285643962E-4</v>
      </c>
      <c r="D51" s="76">
        <f t="shared" si="12"/>
        <v>1.7142857142857792E-3</v>
      </c>
      <c r="E51" s="76">
        <f t="shared" si="13"/>
        <v>4.7857142857310464E-4</v>
      </c>
      <c r="F51" s="76">
        <v>7.4999999999999997E-3</v>
      </c>
      <c r="G51" s="76">
        <f t="shared" si="14"/>
        <v>7.6428571428266423E-4</v>
      </c>
      <c r="H51" s="71"/>
      <c r="I51" s="71"/>
      <c r="J51" s="71"/>
      <c r="K51" s="77" t="s">
        <v>15</v>
      </c>
      <c r="L51" s="71"/>
      <c r="M51" s="71"/>
      <c r="N51" s="71"/>
      <c r="O51" s="71"/>
      <c r="P51" s="71"/>
    </row>
    <row r="52" spans="1:16" x14ac:dyDescent="0.2">
      <c r="A52" s="32">
        <v>40</v>
      </c>
      <c r="B52" s="76"/>
      <c r="C52" s="76">
        <f t="shared" si="11"/>
        <v>1.7499999999870397E-4</v>
      </c>
      <c r="D52" s="76">
        <f t="shared" si="12"/>
        <v>1.5000000000000568E-3</v>
      </c>
      <c r="E52" s="76">
        <f t="shared" si="13"/>
        <v>4.2499999999989768E-4</v>
      </c>
      <c r="F52" s="76">
        <v>7.4999999999999997E-3</v>
      </c>
      <c r="G52" s="76">
        <f t="shared" si="14"/>
        <v>6.7500000000109139E-4</v>
      </c>
      <c r="H52" s="71"/>
      <c r="I52" s="71" t="s">
        <v>15</v>
      </c>
      <c r="J52" s="71"/>
      <c r="K52" s="71" t="s">
        <v>15</v>
      </c>
      <c r="L52" s="71"/>
      <c r="M52" s="71"/>
      <c r="N52" s="71"/>
      <c r="O52" s="71"/>
      <c r="P52" s="71"/>
    </row>
    <row r="53" spans="1:16" x14ac:dyDescent="0.2">
      <c r="A53" s="32">
        <v>45</v>
      </c>
      <c r="B53" s="76"/>
      <c r="C53" s="76">
        <f t="shared" si="11"/>
        <v>1.6111111111172249E-4</v>
      </c>
      <c r="D53" s="76">
        <f t="shared" si="12"/>
        <v>1.3333333333333838E-3</v>
      </c>
      <c r="E53" s="76">
        <f t="shared" si="13"/>
        <v>3.8333333333184783E-4</v>
      </c>
      <c r="F53" s="76">
        <v>7.4999999999999997E-3</v>
      </c>
      <c r="G53" s="76">
        <f t="shared" si="14"/>
        <v>6.0555555555907858E-4</v>
      </c>
      <c r="H53" s="71"/>
      <c r="I53" s="71"/>
      <c r="J53" s="71"/>
      <c r="K53" s="71"/>
      <c r="L53" s="71"/>
      <c r="M53" s="71"/>
      <c r="N53" s="71"/>
      <c r="O53" s="71"/>
      <c r="P53" s="71"/>
    </row>
    <row r="54" spans="1:16" x14ac:dyDescent="0.2">
      <c r="A54" s="32">
        <v>50</v>
      </c>
      <c r="B54" s="76"/>
      <c r="C54" s="76">
        <f t="shared" si="11"/>
        <v>1.4999999999787406E-4</v>
      </c>
      <c r="D54" s="76">
        <f t="shared" si="12"/>
        <v>1.2000000000000454E-3</v>
      </c>
      <c r="E54" s="76">
        <f t="shared" si="13"/>
        <v>3.4999999999740794E-4</v>
      </c>
      <c r="F54" s="76">
        <v>7.4999999999999997E-3</v>
      </c>
      <c r="G54" s="76">
        <f t="shared" si="14"/>
        <v>5.4999999999694182E-4</v>
      </c>
      <c r="H54" s="71"/>
      <c r="I54" s="71"/>
      <c r="J54" s="71"/>
      <c r="K54" s="71"/>
      <c r="L54" s="71"/>
      <c r="M54" s="71"/>
      <c r="N54" s="71"/>
      <c r="O54" s="71"/>
      <c r="P54" s="71"/>
    </row>
    <row r="55" spans="1:16" x14ac:dyDescent="0.2">
      <c r="A55" s="32">
        <v>100</v>
      </c>
      <c r="B55" s="76"/>
      <c r="C55" s="76">
        <f t="shared" si="11"/>
        <v>1.0000000000331966E-4</v>
      </c>
      <c r="D55" s="76">
        <f t="shared" si="12"/>
        <v>6.0000000000002272E-4</v>
      </c>
      <c r="E55" s="76">
        <f t="shared" si="13"/>
        <v>2.0000000000663931E-4</v>
      </c>
      <c r="F55" s="76">
        <v>1.4999999999999999E-4</v>
      </c>
      <c r="G55" s="76">
        <f t="shared" si="14"/>
        <v>2.9999999999574811E-4</v>
      </c>
      <c r="H55" s="71" t="s">
        <v>15</v>
      </c>
      <c r="I55" s="71"/>
      <c r="J55" s="71"/>
      <c r="K55" s="71"/>
      <c r="L55" s="71"/>
      <c r="M55" s="71"/>
      <c r="N55" s="71"/>
      <c r="O55" s="71"/>
      <c r="P55" s="71"/>
    </row>
    <row r="56" spans="1:16" x14ac:dyDescent="0.2">
      <c r="A56" s="32">
        <v>150</v>
      </c>
      <c r="B56" s="76"/>
      <c r="C56" s="76"/>
      <c r="D56" s="76"/>
      <c r="E56" s="76">
        <f t="shared" si="13"/>
        <v>1.4999999999076863E-4</v>
      </c>
      <c r="F56" s="76">
        <v>1.4999999999999999E-4</v>
      </c>
      <c r="G56" s="76">
        <f t="shared" si="14"/>
        <v>2.166666666596484E-4</v>
      </c>
      <c r="H56" s="71"/>
      <c r="I56" s="71"/>
      <c r="J56" s="71"/>
      <c r="K56" s="71"/>
      <c r="L56" s="71"/>
      <c r="M56" s="71"/>
      <c r="N56" s="71"/>
      <c r="O56" s="71"/>
      <c r="P56" s="71"/>
    </row>
    <row r="57" spans="1:16" x14ac:dyDescent="0.2">
      <c r="A57" s="32">
        <v>200</v>
      </c>
      <c r="B57" s="76"/>
      <c r="C57" s="76"/>
      <c r="D57" s="76"/>
      <c r="E57" s="76">
        <f t="shared" si="13"/>
        <v>1.2499999999704414E-4</v>
      </c>
      <c r="F57" s="76">
        <v>1.4999999999999999E-4</v>
      </c>
      <c r="G57" s="76">
        <f t="shared" si="14"/>
        <v>1.7500000001291482E-4</v>
      </c>
      <c r="H57" s="71"/>
      <c r="I57" s="71"/>
      <c r="J57" s="71"/>
      <c r="K57" s="71"/>
      <c r="L57" s="71"/>
      <c r="M57" s="71"/>
      <c r="N57" s="71"/>
      <c r="O57" s="71"/>
      <c r="P57" s="71"/>
    </row>
    <row r="58" spans="1:16" x14ac:dyDescent="0.2">
      <c r="A58" s="32">
        <v>250</v>
      </c>
      <c r="B58" s="76"/>
      <c r="C58" s="76"/>
      <c r="D58" s="76"/>
      <c r="E58" s="76">
        <f t="shared" si="13"/>
        <v>1.1000000000649379E-4</v>
      </c>
      <c r="F58" s="76">
        <v>1.4999999999999999E-4</v>
      </c>
      <c r="G58" s="76">
        <f t="shared" si="14"/>
        <v>1.4999999999076863E-4</v>
      </c>
      <c r="H58" s="71"/>
      <c r="I58" s="71"/>
      <c r="J58" s="71"/>
      <c r="K58" s="71"/>
      <c r="L58" s="71"/>
      <c r="M58" s="71"/>
      <c r="N58" s="71"/>
      <c r="O58" s="71"/>
      <c r="P58" s="71"/>
    </row>
    <row r="59" spans="1:16" x14ac:dyDescent="0.2">
      <c r="A59" s="32">
        <v>300</v>
      </c>
      <c r="B59" s="76"/>
      <c r="C59" s="76"/>
      <c r="D59" s="76"/>
      <c r="E59" s="76">
        <f t="shared" si="13"/>
        <v>9.9999999974897946E-5</v>
      </c>
      <c r="F59" s="76">
        <v>1.4999999999999999E-4</v>
      </c>
      <c r="G59" s="76">
        <f t="shared" si="14"/>
        <v>1.3333333333775954E-4</v>
      </c>
      <c r="H59" s="71"/>
      <c r="I59" s="71"/>
      <c r="J59" s="71"/>
      <c r="K59" s="71"/>
      <c r="L59" s="71"/>
      <c r="M59" s="71"/>
      <c r="N59" s="71"/>
      <c r="O59" s="71"/>
      <c r="P59" s="71"/>
    </row>
    <row r="60" spans="1:16" x14ac:dyDescent="0.2">
      <c r="A60" s="32">
        <v>350</v>
      </c>
      <c r="B60" s="76"/>
      <c r="C60" s="76"/>
      <c r="D60" s="76"/>
      <c r="E60" s="76"/>
      <c r="F60" s="76">
        <v>1.4999999999999999E-4</v>
      </c>
      <c r="G60" s="76">
        <f t="shared" si="14"/>
        <v>1.2142857144681329E-4</v>
      </c>
      <c r="H60" s="71"/>
      <c r="I60" s="71"/>
      <c r="J60" s="71"/>
      <c r="K60" s="71"/>
      <c r="L60" s="71"/>
      <c r="M60" s="71"/>
      <c r="N60" s="71"/>
      <c r="O60" s="71"/>
      <c r="P60" s="71"/>
    </row>
    <row r="61" spans="1:16" x14ac:dyDescent="0.2">
      <c r="A61" s="32">
        <v>400</v>
      </c>
      <c r="B61" s="76"/>
      <c r="C61" s="76"/>
      <c r="D61" s="76"/>
      <c r="E61" s="76"/>
      <c r="F61" s="76">
        <v>1.4999999999999999E-4</v>
      </c>
      <c r="G61" s="76">
        <f t="shared" si="14"/>
        <v>1.125000000001819E-4</v>
      </c>
      <c r="H61" s="71"/>
      <c r="I61" s="71"/>
      <c r="J61" s="71"/>
      <c r="K61" s="71"/>
      <c r="L61" s="71"/>
      <c r="M61" s="71"/>
      <c r="N61" s="71"/>
      <c r="O61" s="71"/>
      <c r="P61" s="71"/>
    </row>
    <row r="62" spans="1:16" x14ac:dyDescent="0.2">
      <c r="A62" s="32">
        <v>450</v>
      </c>
      <c r="B62" s="76"/>
      <c r="C62" s="76"/>
      <c r="D62" s="76"/>
      <c r="E62" s="76"/>
      <c r="F62" s="76">
        <v>1.4999999999999999E-4</v>
      </c>
      <c r="G62" s="76">
        <f t="shared" si="14"/>
        <v>1.0555555553537488E-4</v>
      </c>
      <c r="H62" s="71"/>
      <c r="I62" s="71"/>
      <c r="J62" s="71"/>
      <c r="K62" s="71"/>
      <c r="L62" s="71"/>
      <c r="M62" s="71"/>
      <c r="N62" s="71"/>
      <c r="O62" s="71"/>
      <c r="P62" s="71"/>
    </row>
    <row r="63" spans="1:16" x14ac:dyDescent="0.2">
      <c r="A63" s="32">
        <v>500</v>
      </c>
      <c r="B63" s="76"/>
      <c r="C63" s="76"/>
      <c r="D63" s="76"/>
      <c r="E63" s="76"/>
      <c r="F63" s="76">
        <v>1.4999999999999999E-4</v>
      </c>
      <c r="G63" s="76">
        <f t="shared" si="14"/>
        <v>9.9999999974897946E-5</v>
      </c>
      <c r="H63" s="71"/>
      <c r="I63" s="71"/>
      <c r="J63" s="71"/>
      <c r="K63" s="71"/>
      <c r="L63" s="71"/>
      <c r="M63" s="71"/>
      <c r="N63" s="71"/>
      <c r="O63" s="71"/>
      <c r="P63" s="71"/>
    </row>
    <row r="64" spans="1:16" x14ac:dyDescent="0.2">
      <c r="A64" s="3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1:16" x14ac:dyDescent="0.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</row>
    <row r="67" spans="1:16" x14ac:dyDescent="0.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</row>
  </sheetData>
  <mergeCells count="2">
    <mergeCell ref="B1:M1"/>
    <mergeCell ref="B42:G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Calculations</vt:lpstr>
      <vt:lpstr>Equipment error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Shumaker, Roger</dc:creator>
  <cp:lastModifiedBy>Shumaker, Roger</cp:lastModifiedBy>
  <cp:lastPrinted>2012-04-04T17:03:54Z</cp:lastPrinted>
  <dcterms:created xsi:type="dcterms:W3CDTF">1996-10-14T23:33:28Z</dcterms:created>
  <dcterms:modified xsi:type="dcterms:W3CDTF">2021-11-01T19:52:58Z</dcterms:modified>
</cp:coreProperties>
</file>