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x\Desktop\"/>
    </mc:Choice>
  </mc:AlternateContent>
  <bookViews>
    <workbookView xWindow="0" yWindow="0" windowWidth="13050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B65" i="1"/>
  <c r="B68" i="1" s="1"/>
  <c r="B54" i="1"/>
  <c r="B55" i="1" s="1"/>
  <c r="G51" i="1"/>
  <c r="B51" i="1"/>
  <c r="B52" i="1" s="1"/>
  <c r="G50" i="1"/>
  <c r="G48" i="1"/>
  <c r="G47" i="1"/>
  <c r="G46" i="1"/>
  <c r="B46" i="1"/>
  <c r="B49" i="1" s="1"/>
  <c r="B30" i="1"/>
  <c r="B24" i="1"/>
  <c r="B18" i="1"/>
  <c r="B15" i="1"/>
  <c r="B8" i="1"/>
  <c r="B7" i="1"/>
  <c r="B6" i="1"/>
  <c r="B23" i="1" s="1"/>
  <c r="B25" i="1" l="1"/>
  <c r="B57" i="1"/>
  <c r="G56" i="1"/>
  <c r="G57" i="1" s="1"/>
  <c r="I57" i="1" s="1"/>
  <c r="B9" i="1"/>
  <c r="B35" i="1"/>
  <c r="B33" i="1"/>
  <c r="B34" i="1" s="1"/>
  <c r="B12" i="1"/>
  <c r="B11" i="1"/>
  <c r="B47" i="1"/>
  <c r="B48" i="1"/>
  <c r="B58" i="1" s="1"/>
  <c r="B56" i="1"/>
  <c r="B67" i="1"/>
  <c r="G59" i="1" l="1"/>
  <c r="B61" i="1"/>
  <c r="B60" i="1"/>
</calcChain>
</file>

<file path=xl/sharedStrings.xml><?xml version="1.0" encoding="utf-8"?>
<sst xmlns="http://schemas.openxmlformats.org/spreadsheetml/2006/main" count="156" uniqueCount="115">
  <si>
    <t>Spreadsheet for calculating eddy currents and lifting force for a maglev hovering thingy</t>
  </si>
  <si>
    <t>Parameter</t>
  </si>
  <si>
    <t>Value</t>
  </si>
  <si>
    <t>Units</t>
  </si>
  <si>
    <t>Notes</t>
  </si>
  <si>
    <t>edge</t>
  </si>
  <si>
    <t>m</t>
  </si>
  <si>
    <t>edge length of cube magnets being used</t>
  </si>
  <si>
    <t>dia_out</t>
  </si>
  <si>
    <t>diameter of largest magnet ring. Cenetered on magnets</t>
  </si>
  <si>
    <t>dia_in</t>
  </si>
  <si>
    <t>diameter of smallest magnet ring</t>
  </si>
  <si>
    <t>area ring</t>
  </si>
  <si>
    <t>m^2</t>
  </si>
  <si>
    <t>area of ring that contains all magnets</t>
  </si>
  <si>
    <t>fill fraction</t>
  </si>
  <si>
    <t>-</t>
  </si>
  <si>
    <t>fraction of area filled by magnet</t>
  </si>
  <si>
    <t>area_mag</t>
  </si>
  <si>
    <t>actual magnetized area (pull from cad later)</t>
  </si>
  <si>
    <t>vol_mag</t>
  </si>
  <si>
    <t>m^3</t>
  </si>
  <si>
    <t>volume of the plate that has eddy currents in it</t>
  </si>
  <si>
    <t>NR</t>
  </si>
  <si>
    <t>number of rings of magnets</t>
  </si>
  <si>
    <t>N</t>
  </si>
  <si>
    <t>total number of magnets</t>
  </si>
  <si>
    <t>n</t>
  </si>
  <si>
    <t>number of Halbach cycles (4 magnets each full cycle)</t>
  </si>
  <si>
    <t>RPM</t>
  </si>
  <si>
    <t>omega</t>
  </si>
  <si>
    <t>rad/s</t>
  </si>
  <si>
    <t>dist</t>
  </si>
  <si>
    <t>distance from rotor to plate</t>
  </si>
  <si>
    <t>Br</t>
  </si>
  <si>
    <t>T</t>
  </si>
  <si>
    <t>residual magnetic flux. Related to Ngrade. This is for N48</t>
  </si>
  <si>
    <t>Halbach</t>
  </si>
  <si>
    <t>multiplier for using a halbach array</t>
  </si>
  <si>
    <t>B</t>
  </si>
  <si>
    <t>magnetic field at plate</t>
  </si>
  <si>
    <t>t_plate</t>
  </si>
  <si>
    <t>thickness of sheet</t>
  </si>
  <si>
    <t>f</t>
  </si>
  <si>
    <t>Hz</t>
  </si>
  <si>
    <t>frequency</t>
  </si>
  <si>
    <t>k</t>
  </si>
  <si>
    <t>constant for thin sheet</t>
  </si>
  <si>
    <t>rho0</t>
  </si>
  <si>
    <t>Ohm-m</t>
  </si>
  <si>
    <t>resistivity of aluminum at 20C</t>
  </si>
  <si>
    <t>alpha</t>
  </si>
  <si>
    <t>constant for linear dependence of rho on temperature of aluminum.</t>
  </si>
  <si>
    <t>C</t>
  </si>
  <si>
    <t>temperature of aluminum</t>
  </si>
  <si>
    <t>rho</t>
  </si>
  <si>
    <t>resistivity of aluminum at elevated temps</t>
  </si>
  <si>
    <t>Den</t>
  </si>
  <si>
    <t>kg/m^3</t>
  </si>
  <si>
    <t>density of aluminum</t>
  </si>
  <si>
    <t>mu</t>
  </si>
  <si>
    <t xml:space="preserve">H/m </t>
  </si>
  <si>
    <t>magnetic permeability of aluminum</t>
  </si>
  <si>
    <t>P_norm</t>
  </si>
  <si>
    <t>W/kg</t>
  </si>
  <si>
    <t>watts per mass dissipated in aluminum</t>
  </si>
  <si>
    <t>P</t>
  </si>
  <si>
    <t>W</t>
  </si>
  <si>
    <t>watts dissipated in aluminum</t>
  </si>
  <si>
    <t>delta</t>
  </si>
  <si>
    <t>skin depth equation for good conductors. point at which current density has fallen to 0.37 of surface. make sure thickness of plate is at least 2*delta</t>
  </si>
  <si>
    <t>g</t>
  </si>
  <si>
    <t>N-m</t>
  </si>
  <si>
    <t>Motor system</t>
  </si>
  <si>
    <t>Total Lift Watts (in)</t>
  </si>
  <si>
    <t>Total Thrust Watts</t>
  </si>
  <si>
    <t>Num series cells</t>
  </si>
  <si>
    <t>Voltage</t>
  </si>
  <si>
    <t>V</t>
  </si>
  <si>
    <t xml:space="preserve">Motor weight: </t>
  </si>
  <si>
    <t>Total Amps</t>
  </si>
  <si>
    <t>A</t>
  </si>
  <si>
    <t xml:space="preserve">Batt weight: </t>
  </si>
  <si>
    <t>Amps per lift motor</t>
  </si>
  <si>
    <t>ESC:</t>
  </si>
  <si>
    <t>Amps for thrust motor</t>
  </si>
  <si>
    <t>Frame:</t>
  </si>
  <si>
    <t>Lift Motor kV</t>
  </si>
  <si>
    <t>rpm/V</t>
  </si>
  <si>
    <t>Magnets lift:</t>
  </si>
  <si>
    <t>rad/s/V</t>
  </si>
  <si>
    <t>Magnets thrust:</t>
  </si>
  <si>
    <t>Lift motor kT</t>
  </si>
  <si>
    <t>N-m/A</t>
  </si>
  <si>
    <t>Thrust motor kV</t>
  </si>
  <si>
    <t>Thrust motor kT</t>
  </si>
  <si>
    <t>approx no load rpm lift</t>
  </si>
  <si>
    <t>Total mass</t>
  </si>
  <si>
    <t>approx no load rpm thrust</t>
  </si>
  <si>
    <t>Required lift:</t>
  </si>
  <si>
    <t>Lift motor torque</t>
  </si>
  <si>
    <t>Battery Capacity</t>
  </si>
  <si>
    <t>Ahr</t>
  </si>
  <si>
    <t>m/s/s</t>
  </si>
  <si>
    <t>Run time</t>
  </si>
  <si>
    <t>min</t>
  </si>
  <si>
    <t>C rating</t>
  </si>
  <si>
    <t>thrust watts</t>
  </si>
  <si>
    <t>thrust volts</t>
  </si>
  <si>
    <t>thrust amps</t>
  </si>
  <si>
    <t>thrust batt capacity</t>
  </si>
  <si>
    <t>run time</t>
  </si>
  <si>
    <t>No easy way to calculate forces in this situation…need full transient FEM simulations…not worth it</t>
  </si>
  <si>
    <t>Thrust force est.</t>
  </si>
  <si>
    <t>accel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</si>
</sst>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quotePrefix="1"/>
    <xf numFmtId="11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topLeftCell="A47" workbookViewId="0">
      <selection activeCell="F62" sqref="F62"/>
    </sheetView>
  </sheetViews>
  <sheetFormatPr defaultRowHeight="15" x14ac:dyDescent="0.25"/>
  <cols>
    <col min="1" max="1" width="25.140625" customWidth="1"/>
    <col min="6" max="6" width="15.85546875" customWidth="1"/>
  </cols>
  <sheetData>
    <row r="1" spans="1:4" x14ac:dyDescent="0.25">
      <c r="A1" t="s">
        <v>0</v>
      </c>
    </row>
    <row r="5" spans="1:4" x14ac:dyDescent="0.25">
      <c r="A5" s="1" t="s">
        <v>1</v>
      </c>
      <c r="B5" s="1" t="s">
        <v>2</v>
      </c>
      <c r="C5" s="1" t="s">
        <v>3</v>
      </c>
      <c r="D5" s="1" t="s">
        <v>4</v>
      </c>
    </row>
    <row r="6" spans="1:4" x14ac:dyDescent="0.25">
      <c r="A6" t="s">
        <v>5</v>
      </c>
      <c r="B6">
        <f>0.25*0.0254</f>
        <v>6.3499999999999997E-3</v>
      </c>
      <c r="C6" t="s">
        <v>6</v>
      </c>
      <c r="D6" t="s">
        <v>7</v>
      </c>
    </row>
    <row r="7" spans="1:4" x14ac:dyDescent="0.25">
      <c r="A7" t="s">
        <v>8</v>
      </c>
      <c r="B7">
        <f>0.0203*2</f>
        <v>4.0599999999999997E-2</v>
      </c>
      <c r="C7" t="s">
        <v>6</v>
      </c>
      <c r="D7" t="s">
        <v>9</v>
      </c>
    </row>
    <row r="8" spans="1:4" x14ac:dyDescent="0.25">
      <c r="A8" t="s">
        <v>10</v>
      </c>
      <c r="B8">
        <f>0.0203*2</f>
        <v>4.0599999999999997E-2</v>
      </c>
      <c r="C8" t="s">
        <v>6</v>
      </c>
      <c r="D8" t="s">
        <v>11</v>
      </c>
    </row>
    <row r="9" spans="1:4" x14ac:dyDescent="0.25">
      <c r="A9" t="s">
        <v>12</v>
      </c>
      <c r="B9">
        <f>PI()*(((B7+B6)/2)^2-((B8-B6)/2)^2)</f>
        <v>8.0993400202198469E-4</v>
      </c>
      <c r="C9" t="s">
        <v>13</v>
      </c>
      <c r="D9" t="s">
        <v>14</v>
      </c>
    </row>
    <row r="10" spans="1:4" x14ac:dyDescent="0.25">
      <c r="A10" t="s">
        <v>15</v>
      </c>
      <c r="B10">
        <v>0.8</v>
      </c>
      <c r="C10" s="2" t="s">
        <v>16</v>
      </c>
      <c r="D10" t="s">
        <v>17</v>
      </c>
    </row>
    <row r="11" spans="1:4" x14ac:dyDescent="0.25">
      <c r="A11" t="s">
        <v>18</v>
      </c>
      <c r="B11">
        <f>B9*B10</f>
        <v>6.4794720161758781E-4</v>
      </c>
      <c r="C11" s="2" t="s">
        <v>13</v>
      </c>
      <c r="D11" t="s">
        <v>19</v>
      </c>
    </row>
    <row r="12" spans="1:4" x14ac:dyDescent="0.25">
      <c r="A12" t="s">
        <v>20</v>
      </c>
      <c r="B12">
        <f>B9*B24</f>
        <v>5.1430809128396029E-6</v>
      </c>
      <c r="C12" t="s">
        <v>21</v>
      </c>
      <c r="D12" t="s">
        <v>22</v>
      </c>
    </row>
    <row r="13" spans="1:4" x14ac:dyDescent="0.25">
      <c r="A13" t="s">
        <v>23</v>
      </c>
      <c r="B13">
        <v>1</v>
      </c>
      <c r="C13" s="2" t="s">
        <v>16</v>
      </c>
      <c r="D13" t="s">
        <v>24</v>
      </c>
    </row>
    <row r="14" spans="1:4" x14ac:dyDescent="0.25">
      <c r="A14" t="s">
        <v>25</v>
      </c>
      <c r="B14">
        <v>16</v>
      </c>
      <c r="C14" s="2" t="s">
        <v>16</v>
      </c>
      <c r="D14" t="s">
        <v>26</v>
      </c>
    </row>
    <row r="15" spans="1:4" x14ac:dyDescent="0.25">
      <c r="A15" t="s">
        <v>27</v>
      </c>
      <c r="B15">
        <f>B14/(4*B13)</f>
        <v>4</v>
      </c>
      <c r="C15" s="2" t="s">
        <v>16</v>
      </c>
      <c r="D15" t="s">
        <v>28</v>
      </c>
    </row>
    <row r="16" spans="1:4" x14ac:dyDescent="0.25">
      <c r="C16" s="2"/>
    </row>
    <row r="17" spans="1:4" x14ac:dyDescent="0.25">
      <c r="A17" t="s">
        <v>29</v>
      </c>
      <c r="B17">
        <v>10000</v>
      </c>
      <c r="C17" s="2" t="s">
        <v>29</v>
      </c>
    </row>
    <row r="18" spans="1:4" x14ac:dyDescent="0.25">
      <c r="A18" t="s">
        <v>30</v>
      </c>
      <c r="B18">
        <f>B17*2*PI()/60</f>
        <v>1047.1975511965977</v>
      </c>
      <c r="C18" s="2" t="s">
        <v>31</v>
      </c>
    </row>
    <row r="19" spans="1:4" x14ac:dyDescent="0.25">
      <c r="C19" s="2"/>
    </row>
    <row r="20" spans="1:4" x14ac:dyDescent="0.25">
      <c r="A20" t="s">
        <v>32</v>
      </c>
      <c r="B20" s="3">
        <v>5.1000000000000004E-3</v>
      </c>
      <c r="C20" s="2" t="s">
        <v>6</v>
      </c>
      <c r="D20" t="s">
        <v>33</v>
      </c>
    </row>
    <row r="21" spans="1:4" x14ac:dyDescent="0.25">
      <c r="A21" t="s">
        <v>34</v>
      </c>
      <c r="B21">
        <v>1.42</v>
      </c>
      <c r="C21" t="s">
        <v>35</v>
      </c>
      <c r="D21" t="s">
        <v>36</v>
      </c>
    </row>
    <row r="22" spans="1:4" x14ac:dyDescent="0.25">
      <c r="A22" t="s">
        <v>37</v>
      </c>
      <c r="B22">
        <v>1.8</v>
      </c>
      <c r="C22" s="2" t="s">
        <v>16</v>
      </c>
      <c r="D22" t="s">
        <v>38</v>
      </c>
    </row>
    <row r="23" spans="1:4" x14ac:dyDescent="0.25">
      <c r="A23" t="s">
        <v>39</v>
      </c>
      <c r="B23" s="3">
        <f>(B21/PI())*(ATAN((B6*B6)/(2*B20*SQRT(4*B20^2+B6^2+B6^2)))-ATAN((B6*B6)/(2*(B6+B20)*SQRT(4*(B6+B20)^2+B6^2+B6^2))))*B22</f>
        <v>0.17217239207174168</v>
      </c>
      <c r="C23" t="s">
        <v>35</v>
      </c>
      <c r="D23" t="s">
        <v>40</v>
      </c>
    </row>
    <row r="24" spans="1:4" x14ac:dyDescent="0.25">
      <c r="A24" t="s">
        <v>41</v>
      </c>
      <c r="B24">
        <f>0.25*0.0254</f>
        <v>6.3499999999999997E-3</v>
      </c>
      <c r="C24" t="s">
        <v>6</v>
      </c>
      <c r="D24" t="s">
        <v>42</v>
      </c>
    </row>
    <row r="25" spans="1:4" x14ac:dyDescent="0.25">
      <c r="A25" t="s">
        <v>43</v>
      </c>
      <c r="B25">
        <f>B15*B18/(2*PI())</f>
        <v>666.66666666666663</v>
      </c>
      <c r="C25" t="s">
        <v>44</v>
      </c>
      <c r="D25" t="s">
        <v>45</v>
      </c>
    </row>
    <row r="26" spans="1:4" x14ac:dyDescent="0.25">
      <c r="A26" t="s">
        <v>46</v>
      </c>
      <c r="B26">
        <v>1</v>
      </c>
      <c r="C26" s="2" t="s">
        <v>16</v>
      </c>
      <c r="D26" t="s">
        <v>47</v>
      </c>
    </row>
    <row r="27" spans="1:4" x14ac:dyDescent="0.25">
      <c r="A27" t="s">
        <v>48</v>
      </c>
      <c r="B27" s="3">
        <v>2.8200000000000001E-8</v>
      </c>
      <c r="C27" t="s">
        <v>49</v>
      </c>
      <c r="D27" t="s">
        <v>50</v>
      </c>
    </row>
    <row r="28" spans="1:4" x14ac:dyDescent="0.25">
      <c r="A28" t="s">
        <v>51</v>
      </c>
      <c r="B28">
        <v>3.8999999999999998E-3</v>
      </c>
      <c r="C28" s="2" t="s">
        <v>16</v>
      </c>
      <c r="D28" t="s">
        <v>52</v>
      </c>
    </row>
    <row r="29" spans="1:4" x14ac:dyDescent="0.25">
      <c r="A29" t="s">
        <v>35</v>
      </c>
      <c r="B29">
        <v>26</v>
      </c>
      <c r="C29" t="s">
        <v>53</v>
      </c>
      <c r="D29" t="s">
        <v>54</v>
      </c>
    </row>
    <row r="30" spans="1:4" x14ac:dyDescent="0.25">
      <c r="A30" t="s">
        <v>55</v>
      </c>
      <c r="B30">
        <f>B27*(1+B28*(B29-20))</f>
        <v>2.8859880000000003E-8</v>
      </c>
      <c r="C30" t="s">
        <v>49</v>
      </c>
      <c r="D30" t="s">
        <v>56</v>
      </c>
    </row>
    <row r="31" spans="1:4" x14ac:dyDescent="0.25">
      <c r="A31" t="s">
        <v>57</v>
      </c>
      <c r="B31">
        <v>2700</v>
      </c>
      <c r="C31" t="s">
        <v>58</v>
      </c>
      <c r="D31" t="s">
        <v>59</v>
      </c>
    </row>
    <row r="32" spans="1:4" x14ac:dyDescent="0.25">
      <c r="A32" t="s">
        <v>60</v>
      </c>
      <c r="B32" s="3">
        <v>1.2566E-6</v>
      </c>
      <c r="C32" t="s">
        <v>61</v>
      </c>
      <c r="D32" t="s">
        <v>62</v>
      </c>
    </row>
    <row r="33" spans="1:8" x14ac:dyDescent="0.25">
      <c r="A33" t="s">
        <v>63</v>
      </c>
      <c r="B33">
        <f>(PI()*B23*B24*B25)^2/(6*B26*B30*B31)</f>
        <v>11214.558199085508</v>
      </c>
      <c r="C33" t="s">
        <v>64</v>
      </c>
      <c r="D33" t="s">
        <v>65</v>
      </c>
    </row>
    <row r="34" spans="1:8" x14ac:dyDescent="0.25">
      <c r="A34" t="s">
        <v>66</v>
      </c>
      <c r="B34">
        <f>B33*B12*B31</f>
        <v>155.72892659304298</v>
      </c>
      <c r="C34" t="s">
        <v>67</v>
      </c>
      <c r="D34" t="s">
        <v>68</v>
      </c>
    </row>
    <row r="35" spans="1:8" x14ac:dyDescent="0.25">
      <c r="A35" t="s">
        <v>69</v>
      </c>
      <c r="B35" s="4">
        <f>SQRT(B30/(PI()*B25*B32))</f>
        <v>3.3114593329089965E-3</v>
      </c>
      <c r="C35" t="s">
        <v>6</v>
      </c>
      <c r="D35" t="s">
        <v>70</v>
      </c>
    </row>
    <row r="39" spans="1:8" x14ac:dyDescent="0.25">
      <c r="A39" t="s">
        <v>112</v>
      </c>
    </row>
    <row r="42" spans="1:8" x14ac:dyDescent="0.25">
      <c r="A42" s="1" t="s">
        <v>73</v>
      </c>
    </row>
    <row r="43" spans="1:8" x14ac:dyDescent="0.25">
      <c r="A43" t="s">
        <v>74</v>
      </c>
      <c r="B43">
        <v>800</v>
      </c>
      <c r="C43" t="s">
        <v>67</v>
      </c>
    </row>
    <row r="44" spans="1:8" x14ac:dyDescent="0.25">
      <c r="A44" t="s">
        <v>75</v>
      </c>
      <c r="B44">
        <v>0</v>
      </c>
      <c r="C44" t="s">
        <v>67</v>
      </c>
    </row>
    <row r="45" spans="1:8" x14ac:dyDescent="0.25">
      <c r="A45" t="s">
        <v>76</v>
      </c>
      <c r="B45">
        <v>4</v>
      </c>
    </row>
    <row r="46" spans="1:8" x14ac:dyDescent="0.25">
      <c r="A46" t="s">
        <v>77</v>
      </c>
      <c r="B46">
        <f>B45*3.7</f>
        <v>14.8</v>
      </c>
      <c r="C46" t="s">
        <v>78</v>
      </c>
      <c r="F46" t="s">
        <v>79</v>
      </c>
      <c r="G46">
        <f>60*5</f>
        <v>300</v>
      </c>
      <c r="H46" t="s">
        <v>71</v>
      </c>
    </row>
    <row r="47" spans="1:8" x14ac:dyDescent="0.25">
      <c r="A47" t="s">
        <v>80</v>
      </c>
      <c r="B47">
        <f>(B43+B44)/B46</f>
        <v>54.054054054054049</v>
      </c>
      <c r="C47" t="s">
        <v>81</v>
      </c>
      <c r="F47" t="s">
        <v>82</v>
      </c>
      <c r="G47">
        <f>243*2</f>
        <v>486</v>
      </c>
      <c r="H47" t="s">
        <v>71</v>
      </c>
    </row>
    <row r="48" spans="1:8" x14ac:dyDescent="0.25">
      <c r="A48" t="s">
        <v>83</v>
      </c>
      <c r="B48">
        <f>B43/4/B46</f>
        <v>13.513513513513512</v>
      </c>
      <c r="C48" t="s">
        <v>81</v>
      </c>
      <c r="F48" t="s">
        <v>84</v>
      </c>
      <c r="G48">
        <f>30*5</f>
        <v>150</v>
      </c>
      <c r="H48" t="s">
        <v>71</v>
      </c>
    </row>
    <row r="49" spans="1:9" x14ac:dyDescent="0.25">
      <c r="A49" t="s">
        <v>85</v>
      </c>
      <c r="B49">
        <f>B44/B46</f>
        <v>0</v>
      </c>
      <c r="C49" t="s">
        <v>81</v>
      </c>
      <c r="F49" t="s">
        <v>86</v>
      </c>
      <c r="G49">
        <v>500</v>
      </c>
      <c r="H49" t="s">
        <v>71</v>
      </c>
    </row>
    <row r="50" spans="1:9" x14ac:dyDescent="0.25">
      <c r="A50" t="s">
        <v>87</v>
      </c>
      <c r="B50">
        <v>1200</v>
      </c>
      <c r="C50" t="s">
        <v>88</v>
      </c>
      <c r="F50" t="s">
        <v>89</v>
      </c>
      <c r="G50">
        <f>1.9*64</f>
        <v>121.6</v>
      </c>
      <c r="H50" t="s">
        <v>71</v>
      </c>
    </row>
    <row r="51" spans="1:9" x14ac:dyDescent="0.25">
      <c r="A51" t="s">
        <v>87</v>
      </c>
      <c r="B51">
        <f>B50*(2*PI())/60</f>
        <v>125.66370614359172</v>
      </c>
      <c r="C51" t="s">
        <v>90</v>
      </c>
      <c r="F51" t="s">
        <v>91</v>
      </c>
      <c r="G51">
        <f>1.9*16</f>
        <v>30.4</v>
      </c>
      <c r="H51" t="s">
        <v>71</v>
      </c>
    </row>
    <row r="52" spans="1:9" x14ac:dyDescent="0.25">
      <c r="A52" t="s">
        <v>92</v>
      </c>
      <c r="B52">
        <f>1/B51</f>
        <v>7.9577471545947669E-3</v>
      </c>
      <c r="C52" t="s">
        <v>93</v>
      </c>
    </row>
    <row r="53" spans="1:9" x14ac:dyDescent="0.25">
      <c r="A53" t="s">
        <v>94</v>
      </c>
      <c r="B53">
        <v>1000</v>
      </c>
      <c r="C53" t="s">
        <v>88</v>
      </c>
    </row>
    <row r="54" spans="1:9" x14ac:dyDescent="0.25">
      <c r="A54" t="s">
        <v>94</v>
      </c>
      <c r="B54">
        <f>B53*(2*PI())/60</f>
        <v>104.71975511965977</v>
      </c>
      <c r="C54" t="s">
        <v>90</v>
      </c>
    </row>
    <row r="55" spans="1:9" x14ac:dyDescent="0.25">
      <c r="A55" t="s">
        <v>95</v>
      </c>
      <c r="B55">
        <f>1/B54</f>
        <v>9.5492965855137214E-3</v>
      </c>
      <c r="C55" t="s">
        <v>93</v>
      </c>
    </row>
    <row r="56" spans="1:9" x14ac:dyDescent="0.25">
      <c r="A56" t="s">
        <v>96</v>
      </c>
      <c r="B56">
        <f>B50*B46*0.8</f>
        <v>14208</v>
      </c>
      <c r="C56" t="s">
        <v>29</v>
      </c>
      <c r="F56" t="s">
        <v>97</v>
      </c>
      <c r="G56">
        <f>SUM(G46:G54)</f>
        <v>1588</v>
      </c>
      <c r="H56" t="s">
        <v>71</v>
      </c>
    </row>
    <row r="57" spans="1:9" x14ac:dyDescent="0.25">
      <c r="A57" t="s">
        <v>98</v>
      </c>
      <c r="B57">
        <f>B53*B46*0.8</f>
        <v>11840</v>
      </c>
      <c r="C57" t="s">
        <v>29</v>
      </c>
      <c r="F57" t="s">
        <v>99</v>
      </c>
      <c r="G57">
        <f>G56/1000*9.8</f>
        <v>15.562400000000002</v>
      </c>
      <c r="H57" t="s">
        <v>25</v>
      </c>
      <c r="I57">
        <f>G57*0.2248</f>
        <v>3.4984275200000003</v>
      </c>
    </row>
    <row r="58" spans="1:9" x14ac:dyDescent="0.25">
      <c r="A58" t="s">
        <v>100</v>
      </c>
      <c r="B58">
        <f>B52*B48</f>
        <v>0.10753712371074009</v>
      </c>
      <c r="C58" t="s">
        <v>72</v>
      </c>
      <c r="F58" t="s">
        <v>113</v>
      </c>
      <c r="G58">
        <f>0.25*9.81</f>
        <v>2.4525000000000001</v>
      </c>
    </row>
    <row r="59" spans="1:9" x14ac:dyDescent="0.25">
      <c r="A59" t="s">
        <v>101</v>
      </c>
      <c r="B59">
        <v>2.2000000000000002</v>
      </c>
      <c r="C59" t="s">
        <v>102</v>
      </c>
      <c r="F59" t="s">
        <v>114</v>
      </c>
      <c r="G59">
        <f>G58/(G56/1000)</f>
        <v>1.5443954659949621</v>
      </c>
      <c r="H59" t="s">
        <v>103</v>
      </c>
    </row>
    <row r="60" spans="1:9" x14ac:dyDescent="0.25">
      <c r="A60" t="s">
        <v>104</v>
      </c>
      <c r="B60">
        <f>B59/B47*60</f>
        <v>2.4420000000000006</v>
      </c>
      <c r="C60" t="s">
        <v>105</v>
      </c>
    </row>
    <row r="61" spans="1:9" x14ac:dyDescent="0.25">
      <c r="A61" t="s">
        <v>106</v>
      </c>
      <c r="B61">
        <f>B47/B59</f>
        <v>24.570024570024565</v>
      </c>
      <c r="C61" t="s">
        <v>16</v>
      </c>
    </row>
    <row r="63" spans="1:9" x14ac:dyDescent="0.25">
      <c r="A63" t="s">
        <v>107</v>
      </c>
      <c r="B63">
        <v>300</v>
      </c>
      <c r="C63" t="s">
        <v>67</v>
      </c>
      <c r="F63" s="5"/>
    </row>
    <row r="64" spans="1:9" x14ac:dyDescent="0.25">
      <c r="A64" t="s">
        <v>108</v>
      </c>
      <c r="B64">
        <v>7.4</v>
      </c>
      <c r="C64" t="s">
        <v>78</v>
      </c>
    </row>
    <row r="65" spans="1:6" x14ac:dyDescent="0.25">
      <c r="A65" t="s">
        <v>109</v>
      </c>
      <c r="B65">
        <f>B63/B64</f>
        <v>40.54054054054054</v>
      </c>
      <c r="C65" t="s">
        <v>81</v>
      </c>
    </row>
    <row r="66" spans="1:6" x14ac:dyDescent="0.25">
      <c r="A66" t="s">
        <v>110</v>
      </c>
      <c r="B66">
        <v>2</v>
      </c>
      <c r="C66" t="s">
        <v>102</v>
      </c>
    </row>
    <row r="67" spans="1:6" x14ac:dyDescent="0.25">
      <c r="A67" t="s">
        <v>111</v>
      </c>
      <c r="B67">
        <f>B66/B65*60</f>
        <v>2.96</v>
      </c>
      <c r="C67" t="s">
        <v>105</v>
      </c>
    </row>
    <row r="68" spans="1:6" x14ac:dyDescent="0.25">
      <c r="A68" t="s">
        <v>106</v>
      </c>
      <c r="B68">
        <f>B65/B66</f>
        <v>20.27027027027027</v>
      </c>
      <c r="F6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Storey</dc:creator>
  <cp:lastModifiedBy>Jason Blake</cp:lastModifiedBy>
  <dcterms:created xsi:type="dcterms:W3CDTF">2014-12-06T15:01:31Z</dcterms:created>
  <dcterms:modified xsi:type="dcterms:W3CDTF">2015-08-13T00:23:22Z</dcterms:modified>
</cp:coreProperties>
</file>