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omments5.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autoCompressPictures="0"/>
  <bookViews>
    <workbookView xWindow="0" yWindow="0" windowWidth="19200" windowHeight="11385" tabRatio="759" firstSheet="20" activeTab="28"/>
  </bookViews>
  <sheets>
    <sheet name="Start" sheetId="28" r:id="rId1"/>
    <sheet name="چک لیست" sheetId="86" r:id="rId2"/>
    <sheet name="مدرک تحصیلی " sheetId="98" r:id="rId3"/>
    <sheet name="تجربه کاری " sheetId="99" r:id="rId4"/>
    <sheet name="آموزش مدیران" sheetId="100" r:id="rId5"/>
    <sheet name="نوع مالکیت " sheetId="104" r:id="rId6"/>
    <sheet name="نظامنامه.6" sheetId="43" r:id="rId7"/>
    <sheet name="7.استاندارد" sheetId="102" r:id="rId8"/>
    <sheet name="8.گواهینامه ها" sheetId="103" r:id="rId9"/>
    <sheet name="9.جوایز" sheetId="82" r:id="rId10"/>
    <sheet name="10.حاکمیت شرکتی" sheetId="90" r:id="rId11"/>
    <sheet name="12.برنامه ریزی" sheetId="97" r:id="rId12"/>
    <sheet name="11.زنجیره ارزش" sheetId="48" r:id="rId13"/>
    <sheet name="13.تحقیق و توسعه" sheetId="89" r:id="rId14"/>
    <sheet name="14.تولید" sheetId="51" r:id="rId15"/>
    <sheet name="15.curve" sheetId="55" state="hidden" r:id="rId16"/>
    <sheet name="زمینه ها.16" sheetId="69" state="hidden" r:id="rId17"/>
    <sheet name="زمینه ها" sheetId="85" r:id="rId18"/>
    <sheet name="17.تعداد" sheetId="57" r:id="rId19"/>
    <sheet name="18.تحصیلات" sheetId="58" r:id="rId20"/>
    <sheet name="19.تجربه" sheetId="74" r:id="rId21"/>
    <sheet name="20.تخصص" sheetId="75" r:id="rId22"/>
    <sheet name="21.دستمزد" sheetId="76" r:id="rId23"/>
    <sheet name="22.(دستمزد(2" sheetId="62" r:id="rId24"/>
    <sheet name="16.بهره وری" sheetId="63" r:id="rId25"/>
    <sheet name="17تشکل" sheetId="64" r:id="rId26"/>
    <sheet name="18.عام المنفعه" sheetId="65" r:id="rId27"/>
    <sheet name="رونق فعالیت " sheetId="95" r:id="rId28"/>
    <sheet name="امتیاز نهایی" sheetId="77" r:id="rId29"/>
    <sheet name="Learn more" sheetId="36"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s>
  <definedNames>
    <definedName name="_xlnm._FilterDatabase" localSheetId="2" hidden="1">'مدرک تحصیلی '!$G$8:$G$14</definedName>
    <definedName name="Days" localSheetId="11">[1]Dataset!$F$1:$F$31</definedName>
    <definedName name="Days" localSheetId="7">[2]Dataset!$F$1:$F$31</definedName>
    <definedName name="Days" localSheetId="8">[2]Dataset!$F$1:$F$31</definedName>
    <definedName name="Days" localSheetId="4">[3]Dataset!$F$1:$F$31</definedName>
    <definedName name="Days" localSheetId="3">[3]Dataset!$F$1:$F$31</definedName>
    <definedName name="Days" localSheetId="27">[1]Dataset!$F$1:$F$31</definedName>
    <definedName name="Days" localSheetId="2">[3]Dataset!$F$1:$F$31</definedName>
    <definedName name="Days">[1]Dataset!$F$1:$F$31</definedName>
    <definedName name="DiverseContract" localSheetId="11">#REF!</definedName>
    <definedName name="DiverseContract" localSheetId="4">#REF!</definedName>
    <definedName name="DiverseContract" localSheetId="3">#REF!</definedName>
    <definedName name="DiverseContract" localSheetId="2">#REF!</definedName>
    <definedName name="DiverseContract">#REF!</definedName>
    <definedName name="ExtraCredit" localSheetId="11">'[4]1. مدرک تحصیلی'!#REF!</definedName>
    <definedName name="ExtraCredit" localSheetId="7">'[5]1. مدرک تحصیلی'!#REF!</definedName>
    <definedName name="ExtraCredit" localSheetId="8">'[6]1. مدرک تحصیلی'!#REF!</definedName>
    <definedName name="ExtraCredit" localSheetId="4">#REF!</definedName>
    <definedName name="ExtraCredit" localSheetId="3">#REF!</definedName>
    <definedName name="ExtraCredit" localSheetId="27">'[7]1. مدرک تحصیلی'!#REF!</definedName>
    <definedName name="ExtraCredit" localSheetId="2">#REF!</definedName>
    <definedName name="ExtraCredit">#REF!</definedName>
    <definedName name="Fruit" localSheetId="11">'[4]1. مدرک تحصیلی'!#REF!</definedName>
    <definedName name="Fruit" localSheetId="7">'[5]1. مدرک تحصیلی'!#REF!</definedName>
    <definedName name="Fruit" localSheetId="8">'[6]1. مدرک تحصیلی'!#REF!</definedName>
    <definedName name="Fruit" localSheetId="4">#REF!</definedName>
    <definedName name="Fruit" localSheetId="3">#REF!</definedName>
    <definedName name="Fruit" localSheetId="27">'[7]1. مدرک تحصیلی'!#REF!</definedName>
    <definedName name="Fruit" localSheetId="2">#REF!</definedName>
    <definedName name="Fruit">#REF!</definedName>
    <definedName name="Grade" localSheetId="11">#REF!</definedName>
    <definedName name="Grade" localSheetId="4">#REF!</definedName>
    <definedName name="Grade" localSheetId="3">#REF!</definedName>
    <definedName name="Grade" localSheetId="2">#REF!</definedName>
    <definedName name="Grade">#REF!</definedName>
    <definedName name="Graduation" localSheetId="11">#REF!</definedName>
    <definedName name="Graduation" localSheetId="2">#REF!</definedName>
    <definedName name="Graduation">#REF!</definedName>
    <definedName name="Items" localSheetId="11">'[4]1. مدرک تحصیلی'!#REF!</definedName>
    <definedName name="Items" localSheetId="7">'[5]1. مدرک تحصیلی'!#REF!</definedName>
    <definedName name="Items" localSheetId="8">'[6]1. مدرک تحصیلی'!#REF!</definedName>
    <definedName name="Items" localSheetId="4">#REF!</definedName>
    <definedName name="Items" localSheetId="3">#REF!</definedName>
    <definedName name="Items" localSheetId="27">'[7]1. مدرک تحصیلی'!#REF!</definedName>
    <definedName name="Items" localSheetId="2">#REF!</definedName>
    <definedName name="Items">#REF!</definedName>
    <definedName name="LearningDay" localSheetId="11">#REF!</definedName>
    <definedName name="LearningDay" localSheetId="4">#REF!</definedName>
    <definedName name="LearningDay" localSheetId="3">#REF!</definedName>
    <definedName name="LearningDay" localSheetId="2">#REF!</definedName>
    <definedName name="LearningDay">#REF!</definedName>
    <definedName name="logic" localSheetId="11">[8]dataset!$E$1:$E$2</definedName>
    <definedName name="logic" localSheetId="7">[9]dataset!$E$1:$E$2</definedName>
    <definedName name="logic" localSheetId="8">[9]dataset!$E$1:$E$2</definedName>
    <definedName name="logic" localSheetId="4">[10]dataset!$E$1:$E$2</definedName>
    <definedName name="logic" localSheetId="3">[10]dataset!$E$1:$E$2</definedName>
    <definedName name="logic" localSheetId="27">[8]dataset!$E$1:$E$2</definedName>
    <definedName name="logic" localSheetId="2">[10]dataset!$E$1:$E$2</definedName>
    <definedName name="logic">[8]dataset!$E$1:$E$2</definedName>
    <definedName name="Maziat" localSheetId="11">[11]dataset!$K$1:$K$9</definedName>
    <definedName name="Maziat" localSheetId="7">[12]dataset!$K$1:$K$9</definedName>
    <definedName name="Maziat" localSheetId="8">[12]dataset!$K$1:$K$9</definedName>
    <definedName name="Maziat" localSheetId="4">[13]dataset!$K$1:$K$9</definedName>
    <definedName name="Maziat" localSheetId="3">[13]dataset!$K$1:$K$9</definedName>
    <definedName name="Maziat" localSheetId="27">[11]dataset!$K$1:$K$9</definedName>
    <definedName name="Maziat" localSheetId="2">[13]dataset!$K$1:$K$9</definedName>
    <definedName name="Maziat">[11]dataset!$K$1:$K$9</definedName>
    <definedName name="Meat" localSheetId="11">'[4]1. مدرک تحصیلی'!#REF!</definedName>
    <definedName name="Meat" localSheetId="7">'[5]1. مدرک تحصیلی'!#REF!</definedName>
    <definedName name="Meat" localSheetId="8">'[6]1. مدرک تحصیلی'!#REF!</definedName>
    <definedName name="Meat" localSheetId="4">#REF!</definedName>
    <definedName name="Meat" localSheetId="3">#REF!</definedName>
    <definedName name="Meat" localSheetId="27">'[7]1. مدرک تحصیلی'!#REF!</definedName>
    <definedName name="Meat" localSheetId="2">#REF!</definedName>
    <definedName name="Meat">#REF!</definedName>
    <definedName name="Month" localSheetId="11">[1]Dataset!$E$1:$E$12</definedName>
    <definedName name="Month" localSheetId="7">[2]Dataset!$E$1:$E$12</definedName>
    <definedName name="Month" localSheetId="8">[2]Dataset!$E$1:$E$12</definedName>
    <definedName name="Month" localSheetId="4">[3]Dataset!$E$1:$E$12</definedName>
    <definedName name="Month" localSheetId="3">[3]Dataset!$E$1:$E$12</definedName>
    <definedName name="Month" localSheetId="27">[1]Dataset!$E$1:$E$12</definedName>
    <definedName name="Month" localSheetId="2">[3]Dataset!$E$1:$E$12</definedName>
    <definedName name="Month">[1]Dataset!$E$1:$E$12</definedName>
    <definedName name="MoreFruit" localSheetId="11">'[4]1. مدرک تحصیلی'!#REF!</definedName>
    <definedName name="MoreFruit" localSheetId="20">#REF!</definedName>
    <definedName name="MoreFruit" localSheetId="21">#REF!</definedName>
    <definedName name="MoreFruit" localSheetId="22">#REF!</definedName>
    <definedName name="MoreFruit" localSheetId="7">'[5]1. مدرک تحصیلی'!#REF!</definedName>
    <definedName name="MoreFruit" localSheetId="8">'[6]1. مدرک تحصیلی'!#REF!</definedName>
    <definedName name="MoreFruit" localSheetId="4">#REF!</definedName>
    <definedName name="MoreFruit" localSheetId="3">#REF!</definedName>
    <definedName name="MoreFruit" localSheetId="1">'[14]1. مدرک تحصیلی'!#REF!</definedName>
    <definedName name="MoreFruit" localSheetId="27">'[7]1. مدرک تحصیلی'!#REF!</definedName>
    <definedName name="MoreFruit" localSheetId="2">#REF!</definedName>
    <definedName name="MoreFruit">#REF!</definedName>
    <definedName name="MoreItem" localSheetId="11">'[4]1. مدرک تحصیلی'!#REF!</definedName>
    <definedName name="MoreItem" localSheetId="20">#REF!</definedName>
    <definedName name="MoreItem" localSheetId="21">#REF!</definedName>
    <definedName name="MoreItem" localSheetId="22">#REF!</definedName>
    <definedName name="MoreItem" localSheetId="7">'[5]1. مدرک تحصیلی'!#REF!</definedName>
    <definedName name="MoreItem" localSheetId="8">'[6]1. مدرک تحصیلی'!#REF!</definedName>
    <definedName name="MoreItem" localSheetId="4">#REF!</definedName>
    <definedName name="MoreItem" localSheetId="3">#REF!</definedName>
    <definedName name="MoreItem" localSheetId="1">'[14]1. مدرک تحصیلی'!#REF!</definedName>
    <definedName name="MoreItem" localSheetId="27">'[7]1. مدرک تحصیلی'!#REF!</definedName>
    <definedName name="MoreItem" localSheetId="2">#REF!</definedName>
    <definedName name="MoreItem">#REF!</definedName>
    <definedName name="MoreItems" localSheetId="11">'[4]1. مدرک تحصیلی'!#REF!</definedName>
    <definedName name="MoreItems" localSheetId="20">#REF!</definedName>
    <definedName name="MoreItems" localSheetId="21">#REF!</definedName>
    <definedName name="MoreItems" localSheetId="22">#REF!</definedName>
    <definedName name="MoreItems" localSheetId="7">'[5]1. مدرک تحصیلی'!#REF!</definedName>
    <definedName name="MoreItems" localSheetId="8">'[6]1. مدرک تحصیلی'!#REF!</definedName>
    <definedName name="MoreItems" localSheetId="4">#REF!</definedName>
    <definedName name="MoreItems" localSheetId="3">#REF!</definedName>
    <definedName name="MoreItems" localSheetId="1">'[14]1. مدرک تحصیلی'!#REF!</definedName>
    <definedName name="MoreItems" localSheetId="27">'[7]1. مدرک تحصیلی'!#REF!</definedName>
    <definedName name="MoreItems" localSheetId="2">#REF!</definedName>
    <definedName name="MoreItems">#REF!</definedName>
    <definedName name="placework" localSheetId="11">#REF!</definedName>
    <definedName name="placework" localSheetId="4">#REF!</definedName>
    <definedName name="placework" localSheetId="3">#REF!</definedName>
    <definedName name="placework" localSheetId="2">#REF!</definedName>
    <definedName name="placework">#REF!</definedName>
    <definedName name="_xlnm.Print_Area" localSheetId="3">'تجربه کاری '!$A$1:$P$20</definedName>
    <definedName name="_xlnm.Print_Area" localSheetId="2">'مدرک تحصیلی '!$A$1:$R$32</definedName>
    <definedName name="Quality" localSheetId="11">[15]dataset!$J$1:$J$3</definedName>
    <definedName name="Quality" localSheetId="7">[16]dataset!$J$1:$J$3</definedName>
    <definedName name="Quality" localSheetId="8">[16]dataset!$J$1:$J$3</definedName>
    <definedName name="Quality" localSheetId="4">[17]dataset!$J$1:$J$3</definedName>
    <definedName name="Quality" localSheetId="3">[17]dataset!$J$1:$J$3</definedName>
    <definedName name="Quality" localSheetId="27">[15]dataset!$J$1:$J$3</definedName>
    <definedName name="Quality" localSheetId="2">[17]dataset!$J$1:$J$3</definedName>
    <definedName name="Quality">[15]dataset!$J$1:$J$3</definedName>
    <definedName name="SUMExtraCredit" localSheetId="11">'[4]1. مدرک تحصیلی'!#REF!</definedName>
    <definedName name="SUMExtraCredit" localSheetId="7">'[5]1. مدرک تحصیلی'!#REF!</definedName>
    <definedName name="SUMExtraCredit" localSheetId="8">'[6]1. مدرک تحصیلی'!#REF!</definedName>
    <definedName name="SUMExtraCredit" localSheetId="4">#REF!</definedName>
    <definedName name="SUMExtraCredit" localSheetId="3">#REF!</definedName>
    <definedName name="SUMExtraCredit" localSheetId="27">'[7]1. مدرک تحصیلی'!#REF!</definedName>
    <definedName name="SUMExtraCredit" localSheetId="2">#REF!</definedName>
    <definedName name="SUMExtraCredit">#REF!</definedName>
    <definedName name="SUMIF" localSheetId="11">'[4]1. مدرک تحصیلی'!#REF!</definedName>
    <definedName name="SUMIF" localSheetId="20">#REF!</definedName>
    <definedName name="SUMIF" localSheetId="21">#REF!</definedName>
    <definedName name="SUMIF" localSheetId="22">#REF!</definedName>
    <definedName name="SUMIF" localSheetId="7">'[5]1. مدرک تحصیلی'!#REF!</definedName>
    <definedName name="SUMIF" localSheetId="8">'[6]1. مدرک تحصیلی'!#REF!</definedName>
    <definedName name="SUMIF" localSheetId="4">#REF!</definedName>
    <definedName name="SUMIF" localSheetId="3">#REF!</definedName>
    <definedName name="SUMIF" localSheetId="1">'[14]1. مدرک تحصیلی'!#REF!</definedName>
    <definedName name="SUMIF" localSheetId="27">'[7]1. مدرک تحصیلی'!#REF!</definedName>
    <definedName name="SUMIF" localSheetId="2">#REF!</definedName>
    <definedName name="SUMIF">#REF!</definedName>
    <definedName name="SUMIFExtraCredit" localSheetId="11">'[4]1. مدرک تحصیلی'!#REF!</definedName>
    <definedName name="SUMIFExtraCredit" localSheetId="20">#REF!</definedName>
    <definedName name="SUMIFExtraCredit" localSheetId="21">#REF!</definedName>
    <definedName name="SUMIFExtraCredit" localSheetId="22">#REF!</definedName>
    <definedName name="SUMIFExtraCredit" localSheetId="7">'[5]1. مدرک تحصیلی'!#REF!</definedName>
    <definedName name="SUMIFExtraCredit" localSheetId="8">'[6]1. مدرک تحصیلی'!#REF!</definedName>
    <definedName name="SUMIFExtraCredit" localSheetId="4">#REF!</definedName>
    <definedName name="SUMIFExtraCredit" localSheetId="3">#REF!</definedName>
    <definedName name="SUMIFExtraCredit" localSheetId="1">'[14]1. مدرک تحصیلی'!#REF!</definedName>
    <definedName name="SUMIFExtraCredit" localSheetId="27">'[7]1. مدرک تحصیلی'!#REF!</definedName>
    <definedName name="SUMIFExtraCredit" localSheetId="2">#REF!</definedName>
    <definedName name="SUMIFExtraCredit">#REF!</definedName>
    <definedName name="Total" localSheetId="11">'[4]1. مدرک تحصیلی'!#REF!</definedName>
    <definedName name="Total" localSheetId="20">#REF!</definedName>
    <definedName name="Total" localSheetId="21">#REF!</definedName>
    <definedName name="Total" localSheetId="22">#REF!</definedName>
    <definedName name="Total" localSheetId="7">'[5]1. مدرک تحصیلی'!#REF!</definedName>
    <definedName name="Total" localSheetId="8">'[6]1. مدرک تحصیلی'!#REF!</definedName>
    <definedName name="Total" localSheetId="4">#REF!</definedName>
    <definedName name="Total" localSheetId="3">#REF!</definedName>
    <definedName name="Total" localSheetId="1">'[14]1. مدرک تحصیلی'!#REF!</definedName>
    <definedName name="Total" localSheetId="27">'[7]1. مدرک تحصیلی'!#REF!</definedName>
    <definedName name="Total" localSheetId="2">#REF!</definedName>
    <definedName name="Total">#REF!</definedName>
    <definedName name="TypeContract" localSheetId="11">[1]Dataset!$C$1:$C$3</definedName>
    <definedName name="TypeContract" localSheetId="7">[2]Dataset!$C$1:$C$3</definedName>
    <definedName name="TypeContract" localSheetId="8">[2]Dataset!$C$1:$C$3</definedName>
    <definedName name="TypeContract" localSheetId="4">[3]Dataset!$C$1:$C$3</definedName>
    <definedName name="TypeContract" localSheetId="3">[3]Dataset!$C$1:$C$3</definedName>
    <definedName name="TypeContract" localSheetId="27">[1]Dataset!$C$1:$C$3</definedName>
    <definedName name="TypeContract" localSheetId="2">[3]Dataset!$C$1:$C$3</definedName>
    <definedName name="TypeContract">[1]Dataset!$C$1:$C$3</definedName>
    <definedName name="uniType" localSheetId="11">[18]Dataset!#REF!</definedName>
    <definedName name="uniType" localSheetId="7">[19]Dataset!#REF!</definedName>
    <definedName name="uniType" localSheetId="8">[19]Dataset!#REF!</definedName>
    <definedName name="uniType" localSheetId="4">[20]Dataset!#REF!</definedName>
    <definedName name="uniType" localSheetId="3">[20]Dataset!#REF!</definedName>
    <definedName name="uniType" localSheetId="27">[18]Dataset!#REF!</definedName>
    <definedName name="uniType" localSheetId="2">[20]Dataset!#REF!</definedName>
    <definedName name="uniType">[18]Dataset!#REF!</definedName>
    <definedName name="years" localSheetId="11">[1]Dataset!$G$1:$G$39</definedName>
    <definedName name="years" localSheetId="7">[2]Dataset!$G$1:$G$39</definedName>
    <definedName name="years" localSheetId="8">[2]Dataset!$G$1:$G$39</definedName>
    <definedName name="years" localSheetId="4">[3]Dataset!$G$1:$G$39</definedName>
    <definedName name="years" localSheetId="3">[3]Dataset!$G$1:$G$39</definedName>
    <definedName name="years" localSheetId="27">[1]Dataset!$G$1:$G$39</definedName>
    <definedName name="years" localSheetId="2">[3]Dataset!$G$1:$G$39</definedName>
    <definedName name="years">[1]Dataset!$G$1:$G$39</definedName>
    <definedName name="ققفف">#REF!</definedName>
  </definedNames>
  <calcPr calcId="15251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D12" i="77" l="1"/>
  <c r="C7" i="104"/>
  <c r="C6" i="104"/>
  <c r="C5" i="104"/>
  <c r="C4" i="104"/>
  <c r="J6" i="104"/>
  <c r="K9" i="104"/>
  <c r="D8" i="104"/>
  <c r="J7" i="104"/>
  <c r="J5" i="104"/>
  <c r="J4" i="104"/>
  <c r="J8" i="104" s="1"/>
  <c r="J10" i="104" s="1"/>
  <c r="G26" i="75" l="1"/>
  <c r="H23" i="75" l="1"/>
  <c r="H22" i="75"/>
  <c r="H21" i="75"/>
  <c r="H20" i="75"/>
  <c r="H19" i="75"/>
  <c r="H18" i="75"/>
  <c r="H17" i="75"/>
  <c r="H16" i="75"/>
  <c r="H15" i="75"/>
  <c r="H14" i="75"/>
  <c r="H10" i="75"/>
  <c r="H9" i="75"/>
  <c r="H8" i="75"/>
  <c r="H7" i="75"/>
  <c r="H6" i="75"/>
  <c r="H5" i="75"/>
  <c r="D33" i="77" l="1"/>
  <c r="I8" i="103"/>
  <c r="I9" i="103"/>
  <c r="R30" i="64"/>
  <c r="Q26" i="64"/>
  <c r="Q25" i="64"/>
  <c r="Q24" i="64"/>
  <c r="Q23" i="64"/>
  <c r="Q20" i="64"/>
  <c r="Q19" i="64"/>
  <c r="Q18" i="64"/>
  <c r="Q17" i="64"/>
  <c r="Q16" i="64"/>
  <c r="Q13" i="64"/>
  <c r="Q12" i="64"/>
  <c r="Q11" i="64"/>
  <c r="Q10" i="64"/>
  <c r="Q9" i="64"/>
  <c r="Q8" i="64"/>
  <c r="Q7" i="64"/>
  <c r="Q6" i="64"/>
  <c r="Q5" i="64"/>
  <c r="N26" i="64"/>
  <c r="N25" i="64"/>
  <c r="N24" i="64"/>
  <c r="N23" i="64"/>
  <c r="N20" i="64"/>
  <c r="N19" i="64"/>
  <c r="N18" i="64"/>
  <c r="N17" i="64"/>
  <c r="N16" i="64"/>
  <c r="N13" i="64"/>
  <c r="N12" i="64"/>
  <c r="N11" i="64"/>
  <c r="N10" i="64"/>
  <c r="N9" i="64"/>
  <c r="N8" i="64"/>
  <c r="N7" i="64"/>
  <c r="N6" i="64"/>
  <c r="N5" i="64"/>
  <c r="Q19" i="43"/>
  <c r="R19" i="43"/>
  <c r="S19" i="43"/>
  <c r="T19" i="43"/>
  <c r="U19" i="43"/>
  <c r="V19" i="43"/>
  <c r="W19" i="43"/>
  <c r="X19" i="43"/>
  <c r="M19" i="43"/>
  <c r="Q17" i="43"/>
  <c r="X17" i="43" s="1"/>
  <c r="M17" i="43"/>
  <c r="Q18" i="43"/>
  <c r="X18" i="43" s="1"/>
  <c r="M18" i="43"/>
  <c r="S17" i="43" l="1"/>
  <c r="U17" i="43"/>
  <c r="W17" i="43"/>
  <c r="R17" i="43"/>
  <c r="T17" i="43"/>
  <c r="V17" i="43"/>
  <c r="S18" i="43"/>
  <c r="U18" i="43"/>
  <c r="W18" i="43"/>
  <c r="R18" i="43"/>
  <c r="T18" i="43"/>
  <c r="V18" i="43"/>
  <c r="O6" i="51"/>
  <c r="F11" i="63"/>
  <c r="D35" i="95"/>
  <c r="D34" i="95"/>
  <c r="D33" i="95"/>
  <c r="F6" i="63"/>
  <c r="J25" i="51"/>
  <c r="I25" i="51"/>
  <c r="H25" i="51"/>
  <c r="G25" i="51"/>
  <c r="F25" i="51"/>
  <c r="E5" i="76" l="1"/>
  <c r="D25" i="77" l="1"/>
  <c r="I5" i="82"/>
  <c r="I7" i="103"/>
  <c r="I6" i="103"/>
  <c r="I5" i="103"/>
  <c r="Q7" i="102"/>
  <c r="M7" i="102"/>
  <c r="Q6" i="102"/>
  <c r="M20" i="43"/>
  <c r="M16" i="43"/>
  <c r="M15" i="43"/>
  <c r="M14" i="43"/>
  <c r="M13" i="43"/>
  <c r="M12" i="43"/>
  <c r="M11" i="43"/>
  <c r="M10" i="43"/>
  <c r="M9" i="43"/>
  <c r="M8" i="43"/>
  <c r="M6" i="43"/>
  <c r="M7" i="43" s="1"/>
  <c r="Q15" i="43"/>
  <c r="R15" i="43" s="1"/>
  <c r="Q16" i="43"/>
  <c r="R16" i="43" s="1"/>
  <c r="Q20" i="43"/>
  <c r="R20" i="43" s="1"/>
  <c r="Q6" i="43"/>
  <c r="R6" i="43" s="1"/>
  <c r="Q7" i="43"/>
  <c r="R7" i="43" s="1"/>
  <c r="Q8" i="43"/>
  <c r="R8" i="43" s="1"/>
  <c r="Q9" i="43"/>
  <c r="R9" i="43" s="1"/>
  <c r="Q10" i="43"/>
  <c r="R10" i="43" s="1"/>
  <c r="Q11" i="43"/>
  <c r="R11" i="43" s="1"/>
  <c r="Q12" i="43"/>
  <c r="R12" i="43" s="1"/>
  <c r="Q13" i="43"/>
  <c r="R13" i="43" s="1"/>
  <c r="R17" i="100"/>
  <c r="S15" i="100"/>
  <c r="S14" i="100"/>
  <c r="U14" i="100"/>
  <c r="U15" i="100"/>
  <c r="S6" i="100"/>
  <c r="M8" i="100"/>
  <c r="M9" i="100"/>
  <c r="Q9" i="100" s="1"/>
  <c r="J14" i="100"/>
  <c r="K14" i="100"/>
  <c r="J15" i="100"/>
  <c r="K15" i="100"/>
  <c r="J16" i="100"/>
  <c r="K16" i="100"/>
  <c r="M10" i="100"/>
  <c r="Q10" i="100" s="1"/>
  <c r="M11" i="100"/>
  <c r="M12" i="100"/>
  <c r="Q12" i="100" s="1"/>
  <c r="O6" i="100"/>
  <c r="O7" i="100"/>
  <c r="O8" i="100"/>
  <c r="O9" i="100"/>
  <c r="O10" i="100"/>
  <c r="O11" i="100"/>
  <c r="Q11" i="100" s="1"/>
  <c r="O12" i="100"/>
  <c r="O13" i="100"/>
  <c r="Q8" i="100"/>
  <c r="P8" i="100"/>
  <c r="P9" i="100"/>
  <c r="P10" i="100"/>
  <c r="P11" i="100"/>
  <c r="P12" i="100"/>
  <c r="P13" i="100"/>
  <c r="J11" i="100"/>
  <c r="J12" i="100"/>
  <c r="J13" i="100"/>
  <c r="K6" i="100"/>
  <c r="K7" i="100"/>
  <c r="K8" i="100"/>
  <c r="K9" i="100"/>
  <c r="K10" i="100"/>
  <c r="K11" i="100"/>
  <c r="K12" i="100"/>
  <c r="K13" i="100"/>
  <c r="J6" i="100"/>
  <c r="J7" i="100"/>
  <c r="J8" i="100"/>
  <c r="J9" i="100"/>
  <c r="J10" i="100"/>
  <c r="E14" i="99"/>
  <c r="E13" i="99"/>
  <c r="E12" i="99"/>
  <c r="E11" i="99"/>
  <c r="E6" i="99"/>
  <c r="E9" i="99"/>
  <c r="E8" i="99"/>
  <c r="E7" i="99"/>
  <c r="V7" i="43" l="1"/>
  <c r="X7" i="43"/>
  <c r="T7" i="43"/>
  <c r="V6" i="43"/>
  <c r="V20" i="43"/>
  <c r="V11" i="43"/>
  <c r="V15" i="43"/>
  <c r="U13" i="43"/>
  <c r="U12" i="43"/>
  <c r="X11" i="43"/>
  <c r="T11" i="43"/>
  <c r="V10" i="43"/>
  <c r="V9" i="43"/>
  <c r="W7" i="43"/>
  <c r="U7" i="43"/>
  <c r="S7" i="43"/>
  <c r="X6" i="43"/>
  <c r="T6" i="43"/>
  <c r="X20" i="43"/>
  <c r="T20" i="43"/>
  <c r="V16" i="43"/>
  <c r="X15" i="43"/>
  <c r="T15" i="43"/>
  <c r="W11" i="43"/>
  <c r="U11" i="43"/>
  <c r="S11" i="43"/>
  <c r="X10" i="43"/>
  <c r="T10" i="43"/>
  <c r="X9" i="43"/>
  <c r="T9" i="43"/>
  <c r="V8" i="43"/>
  <c r="W15" i="43"/>
  <c r="U15" i="43"/>
  <c r="S15" i="43"/>
  <c r="W13" i="43"/>
  <c r="S13" i="43"/>
  <c r="W12" i="43"/>
  <c r="S12" i="43"/>
  <c r="W9" i="43"/>
  <c r="U9" i="43"/>
  <c r="S9" i="43"/>
  <c r="X8" i="43"/>
  <c r="T8" i="43"/>
  <c r="W20" i="43"/>
  <c r="U20" i="43"/>
  <c r="S20" i="43"/>
  <c r="X16" i="43"/>
  <c r="T16" i="43"/>
  <c r="X13" i="43"/>
  <c r="V13" i="43"/>
  <c r="T13" i="43"/>
  <c r="X12" i="43"/>
  <c r="V12" i="43"/>
  <c r="T12" i="43"/>
  <c r="W10" i="43"/>
  <c r="U10" i="43"/>
  <c r="S10" i="43"/>
  <c r="W8" i="43"/>
  <c r="U8" i="43"/>
  <c r="S8" i="43"/>
  <c r="W6" i="43"/>
  <c r="U6" i="43"/>
  <c r="S6" i="43"/>
  <c r="W16" i="43"/>
  <c r="U16" i="43"/>
  <c r="S16" i="43"/>
  <c r="I15" i="98" l="1"/>
  <c r="I16" i="98"/>
  <c r="K7" i="99"/>
  <c r="K8" i="99"/>
  <c r="K9" i="99"/>
  <c r="K10" i="99"/>
  <c r="K11" i="99"/>
  <c r="K12" i="99"/>
  <c r="K13" i="99"/>
  <c r="K14" i="99"/>
  <c r="K15" i="99"/>
  <c r="K16" i="99"/>
  <c r="K6" i="99"/>
  <c r="C14" i="103" l="1"/>
  <c r="I10" i="103"/>
  <c r="D13" i="102"/>
  <c r="Q8" i="102"/>
  <c r="W8" i="102" s="1"/>
  <c r="W7" i="102"/>
  <c r="W6" i="102"/>
  <c r="X4" i="102"/>
  <c r="W4" i="102"/>
  <c r="W9" i="102" l="1"/>
  <c r="R6" i="102"/>
  <c r="T6" i="102"/>
  <c r="V6" i="102"/>
  <c r="X6" i="102"/>
  <c r="R7" i="102"/>
  <c r="T7" i="102"/>
  <c r="V7" i="102"/>
  <c r="X7" i="102"/>
  <c r="R8" i="102"/>
  <c r="T8" i="102"/>
  <c r="V8" i="102"/>
  <c r="X8" i="102"/>
  <c r="S6" i="102"/>
  <c r="U6" i="102"/>
  <c r="S7" i="102"/>
  <c r="U7" i="102"/>
  <c r="S8" i="102"/>
  <c r="U8" i="102"/>
  <c r="U9" i="102" l="1"/>
  <c r="X9" i="102"/>
  <c r="T9" i="102"/>
  <c r="S9" i="102"/>
  <c r="V9" i="102"/>
  <c r="R9" i="102"/>
  <c r="Y9" i="102" l="1"/>
  <c r="D14" i="77" s="1"/>
  <c r="L6" i="99"/>
  <c r="I8" i="98"/>
  <c r="H7" i="99" l="1"/>
  <c r="I7" i="99" s="1"/>
  <c r="H8" i="99"/>
  <c r="I8" i="99" s="1"/>
  <c r="H9" i="99"/>
  <c r="I9" i="99" s="1"/>
  <c r="H10" i="99"/>
  <c r="I10" i="99" s="1"/>
  <c r="H11" i="99"/>
  <c r="I11" i="99" s="1"/>
  <c r="H12" i="99"/>
  <c r="I12" i="99" s="1"/>
  <c r="H13" i="99"/>
  <c r="I13" i="99" s="1"/>
  <c r="H14" i="99"/>
  <c r="I14" i="99" s="1"/>
  <c r="H15" i="99"/>
  <c r="H16" i="99"/>
  <c r="L7" i="99"/>
  <c r="L8" i="99"/>
  <c r="L11" i="99"/>
  <c r="L12" i="99"/>
  <c r="L13" i="99"/>
  <c r="L14" i="99"/>
  <c r="L9" i="99"/>
  <c r="L10" i="99"/>
  <c r="H6" i="99"/>
  <c r="N11" i="99" l="1"/>
  <c r="J11" i="99"/>
  <c r="N6" i="99"/>
  <c r="L9" i="98"/>
  <c r="O9" i="98" s="1"/>
  <c r="D11" i="99"/>
  <c r="D12" i="99"/>
  <c r="D13" i="99"/>
  <c r="D14" i="99"/>
  <c r="D15" i="99"/>
  <c r="D16" i="99"/>
  <c r="D7" i="99"/>
  <c r="D8" i="99"/>
  <c r="D9" i="99"/>
  <c r="D10" i="99"/>
  <c r="D6" i="99"/>
  <c r="B27" i="28" l="1"/>
  <c r="I9" i="98" l="1"/>
  <c r="I6" i="99" l="1"/>
  <c r="J6" i="99" l="1"/>
  <c r="P6" i="100"/>
  <c r="P7" i="100"/>
  <c r="P14" i="100"/>
  <c r="P15" i="100"/>
  <c r="P16" i="100"/>
  <c r="P5" i="100"/>
  <c r="O16" i="100" l="1"/>
  <c r="M16" i="100"/>
  <c r="O15" i="100"/>
  <c r="M15" i="100"/>
  <c r="O14" i="100"/>
  <c r="M14" i="100"/>
  <c r="Q13" i="100"/>
  <c r="M13" i="100"/>
  <c r="M7" i="100"/>
  <c r="M6" i="100"/>
  <c r="O5" i="100"/>
  <c r="M5" i="100"/>
  <c r="K5" i="100"/>
  <c r="J5" i="100"/>
  <c r="D2" i="100"/>
  <c r="L13" i="98"/>
  <c r="O13" i="98" s="1"/>
  <c r="H34" i="98"/>
  <c r="G34" i="98"/>
  <c r="F34" i="98"/>
  <c r="E34" i="98"/>
  <c r="D34" i="98"/>
  <c r="I11" i="98" s="1"/>
  <c r="E31" i="98"/>
  <c r="P18" i="98"/>
  <c r="N18" i="98"/>
  <c r="P17" i="98"/>
  <c r="N17" i="98"/>
  <c r="P16" i="98"/>
  <c r="N16" i="98"/>
  <c r="P15" i="98"/>
  <c r="N15" i="98"/>
  <c r="P14" i="98"/>
  <c r="N14" i="98"/>
  <c r="P13" i="98"/>
  <c r="N13" i="98"/>
  <c r="I13" i="98"/>
  <c r="T12" i="98"/>
  <c r="P12" i="98"/>
  <c r="N12" i="98"/>
  <c r="T11" i="98"/>
  <c r="P11" i="98"/>
  <c r="N11" i="98"/>
  <c r="T10" i="98"/>
  <c r="P10" i="98"/>
  <c r="N10" i="98"/>
  <c r="T9" i="98"/>
  <c r="P9" i="98"/>
  <c r="N9" i="98"/>
  <c r="T8" i="98"/>
  <c r="P8" i="98"/>
  <c r="N8" i="98"/>
  <c r="T7" i="98"/>
  <c r="Q7" i="98"/>
  <c r="E3" i="98"/>
  <c r="E30" i="98" s="1"/>
  <c r="Q19" i="98" l="1"/>
  <c r="I19" i="98"/>
  <c r="J17" i="99" s="1"/>
  <c r="Q6" i="100"/>
  <c r="Q15" i="100"/>
  <c r="Q9" i="98"/>
  <c r="L10" i="98"/>
  <c r="L11" i="98"/>
  <c r="O11" i="98" s="1"/>
  <c r="Q11" i="98" s="1"/>
  <c r="L14" i="98"/>
  <c r="O14" i="98" s="1"/>
  <c r="Q14" i="98" s="1"/>
  <c r="L15" i="98"/>
  <c r="O15" i="98" s="1"/>
  <c r="Q15" i="98" s="1"/>
  <c r="L16" i="98"/>
  <c r="O16" i="98" s="1"/>
  <c r="Q16" i="98" s="1"/>
  <c r="L17" i="98"/>
  <c r="L18" i="98"/>
  <c r="O18" i="98" s="1"/>
  <c r="R12" i="99"/>
  <c r="R14" i="99"/>
  <c r="R11" i="99"/>
  <c r="R13" i="99"/>
  <c r="L8" i="98"/>
  <c r="O8" i="98" s="1"/>
  <c r="Q8" i="98" s="1"/>
  <c r="R16" i="99"/>
  <c r="Q13" i="98"/>
  <c r="I14" i="98"/>
  <c r="J13" i="98" s="1"/>
  <c r="Q5" i="100"/>
  <c r="Q7" i="100"/>
  <c r="Q14" i="100"/>
  <c r="Q16" i="100"/>
  <c r="I10" i="98"/>
  <c r="C3" i="77"/>
  <c r="C5" i="77"/>
  <c r="C4" i="77"/>
  <c r="O10" i="98" l="1"/>
  <c r="Q10" i="98" s="1"/>
  <c r="R8" i="98" s="1"/>
  <c r="S5" i="100"/>
  <c r="R13" i="98"/>
  <c r="J8" i="98"/>
  <c r="N18" i="99"/>
  <c r="D10" i="77" s="1"/>
  <c r="K20" i="98" l="1"/>
  <c r="D9" i="77" s="1"/>
  <c r="D11" i="77"/>
  <c r="H6" i="76"/>
  <c r="H7" i="76"/>
  <c r="H8" i="76"/>
  <c r="H9" i="76"/>
  <c r="H16" i="76"/>
  <c r="H17" i="76"/>
  <c r="H18" i="76"/>
  <c r="H19" i="76"/>
  <c r="H20" i="76"/>
  <c r="H15" i="76"/>
  <c r="C19" i="65" l="1"/>
  <c r="C21" i="65"/>
  <c r="C22" i="65" s="1"/>
  <c r="G24" i="64" l="1"/>
  <c r="G25" i="64"/>
  <c r="G26" i="64"/>
  <c r="G23" i="64"/>
  <c r="G17" i="64"/>
  <c r="G18" i="64"/>
  <c r="G19" i="64"/>
  <c r="G20" i="64"/>
  <c r="G16" i="64"/>
  <c r="G6" i="64"/>
  <c r="J6" i="64" s="1"/>
  <c r="M6" i="64" s="1"/>
  <c r="G7" i="64"/>
  <c r="J7" i="64" s="1"/>
  <c r="M7" i="64" s="1"/>
  <c r="G8" i="64"/>
  <c r="J8" i="64" s="1"/>
  <c r="M8" i="64" s="1"/>
  <c r="G9" i="64"/>
  <c r="J9" i="64" s="1"/>
  <c r="M9" i="64" s="1"/>
  <c r="G10" i="64"/>
  <c r="J10" i="64" s="1"/>
  <c r="M10" i="64" s="1"/>
  <c r="G11" i="64"/>
  <c r="J11" i="64" s="1"/>
  <c r="M11" i="64" s="1"/>
  <c r="G12" i="64"/>
  <c r="J12" i="64" s="1"/>
  <c r="M12" i="64" s="1"/>
  <c r="G13" i="64"/>
  <c r="J13" i="64" s="1"/>
  <c r="M13" i="64" s="1"/>
  <c r="G5" i="64"/>
  <c r="J5" i="64" s="1"/>
  <c r="M5" i="64" s="1"/>
  <c r="O5" i="64" l="1"/>
  <c r="P5" i="64"/>
  <c r="R5" i="64" s="1"/>
  <c r="P12" i="64"/>
  <c r="R12" i="64" s="1"/>
  <c r="O12" i="64"/>
  <c r="P10" i="64"/>
  <c r="R10" i="64" s="1"/>
  <c r="O10" i="64"/>
  <c r="P8" i="64"/>
  <c r="R8" i="64" s="1"/>
  <c r="O8" i="64"/>
  <c r="P6" i="64"/>
  <c r="R6" i="64" s="1"/>
  <c r="O6" i="64"/>
  <c r="O13" i="64"/>
  <c r="P13" i="64"/>
  <c r="R13" i="64" s="1"/>
  <c r="O11" i="64"/>
  <c r="P11" i="64"/>
  <c r="R11" i="64" s="1"/>
  <c r="O9" i="64"/>
  <c r="P9" i="64"/>
  <c r="R9" i="64" s="1"/>
  <c r="O7" i="64"/>
  <c r="P7" i="64"/>
  <c r="R7" i="64" s="1"/>
  <c r="I7" i="82"/>
  <c r="P14" i="64" l="1"/>
  <c r="M14" i="64"/>
  <c r="I6" i="82"/>
  <c r="J24" i="64"/>
  <c r="M24" i="64" s="1"/>
  <c r="J25" i="64"/>
  <c r="M25" i="64" s="1"/>
  <c r="J26" i="64"/>
  <c r="M26" i="64" s="1"/>
  <c r="J23" i="64"/>
  <c r="M23" i="64" s="1"/>
  <c r="J17" i="64"/>
  <c r="M17" i="64" s="1"/>
  <c r="J18" i="64"/>
  <c r="M18" i="64" s="1"/>
  <c r="J19" i="64"/>
  <c r="M19" i="64" s="1"/>
  <c r="J20" i="64"/>
  <c r="M20" i="64" s="1"/>
  <c r="J16" i="64"/>
  <c r="M16" i="64" s="1"/>
  <c r="O16" i="64" l="1"/>
  <c r="P16" i="64"/>
  <c r="R16" i="64" s="1"/>
  <c r="P21" i="64" s="1"/>
  <c r="P19" i="64"/>
  <c r="R19" i="64" s="1"/>
  <c r="O19" i="64"/>
  <c r="P17" i="64"/>
  <c r="R17" i="64" s="1"/>
  <c r="O17" i="64"/>
  <c r="P26" i="64"/>
  <c r="R26" i="64" s="1"/>
  <c r="O26" i="64"/>
  <c r="P24" i="64"/>
  <c r="R24" i="64" s="1"/>
  <c r="O24" i="64"/>
  <c r="O20" i="64"/>
  <c r="P20" i="64"/>
  <c r="R20" i="64" s="1"/>
  <c r="O18" i="64"/>
  <c r="P18" i="64"/>
  <c r="R18" i="64" s="1"/>
  <c r="O23" i="64"/>
  <c r="P23" i="64"/>
  <c r="R23" i="64" s="1"/>
  <c r="O25" i="64"/>
  <c r="P25" i="64"/>
  <c r="R25" i="64" s="1"/>
  <c r="C47" i="97"/>
  <c r="C48" i="97" s="1"/>
  <c r="C49" i="97" s="1"/>
  <c r="C50" i="97" s="1"/>
  <c r="F30" i="97"/>
  <c r="F29" i="97"/>
  <c r="F28" i="97"/>
  <c r="F27" i="97"/>
  <c r="F26" i="97"/>
  <c r="F25" i="97"/>
  <c r="F24" i="97"/>
  <c r="F23" i="97"/>
  <c r="F22" i="97"/>
  <c r="F21" i="97"/>
  <c r="F20" i="97"/>
  <c r="F19" i="97"/>
  <c r="F18" i="97"/>
  <c r="F17" i="97"/>
  <c r="F16" i="97"/>
  <c r="F15" i="97"/>
  <c r="M27" i="64" l="1"/>
  <c r="P27" i="64"/>
  <c r="P28" i="64" s="1"/>
  <c r="M21" i="64"/>
  <c r="M28" i="64" s="1"/>
  <c r="E29" i="97"/>
  <c r="E27" i="97"/>
  <c r="G27" i="97" s="1"/>
  <c r="E25" i="97"/>
  <c r="G25" i="97" s="1"/>
  <c r="E23" i="97"/>
  <c r="G23" i="97" s="1"/>
  <c r="E21" i="97"/>
  <c r="G21" i="97" s="1"/>
  <c r="E19" i="97"/>
  <c r="G19" i="97" s="1"/>
  <c r="E17" i="97"/>
  <c r="G17" i="97" s="1"/>
  <c r="E15" i="97"/>
  <c r="G15" i="97" s="1"/>
  <c r="E41" i="97"/>
  <c r="G41" i="97" s="1"/>
  <c r="E40" i="97"/>
  <c r="G40" i="97" s="1"/>
  <c r="E39" i="97"/>
  <c r="E38" i="97"/>
  <c r="G38" i="97" s="1"/>
  <c r="E37" i="97"/>
  <c r="E36" i="97"/>
  <c r="G36" i="97" s="1"/>
  <c r="E35" i="97"/>
  <c r="G35" i="97" s="1"/>
  <c r="E34" i="97"/>
  <c r="G34" i="97" s="1"/>
  <c r="E33" i="97"/>
  <c r="E30" i="97"/>
  <c r="G30" i="97" s="1"/>
  <c r="E28" i="97"/>
  <c r="G28" i="97" s="1"/>
  <c r="E26" i="97"/>
  <c r="G26" i="97" s="1"/>
  <c r="E24" i="97"/>
  <c r="G24" i="97" s="1"/>
  <c r="E22" i="97"/>
  <c r="G22" i="97" s="1"/>
  <c r="E20" i="97"/>
  <c r="G20" i="97" s="1"/>
  <c r="E18" i="97"/>
  <c r="G18" i="97" s="1"/>
  <c r="E16" i="97"/>
  <c r="G16" i="97" s="1"/>
  <c r="D4" i="90"/>
  <c r="D7" i="97" l="1"/>
  <c r="F7" i="97" s="1"/>
  <c r="G33" i="97"/>
  <c r="D10" i="97"/>
  <c r="F10" i="97" s="1"/>
  <c r="G37" i="97"/>
  <c r="D9" i="97"/>
  <c r="F9" i="97" s="1"/>
  <c r="G39" i="97"/>
  <c r="D8" i="97"/>
  <c r="F8" i="97" s="1"/>
  <c r="D4" i="97"/>
  <c r="F4" i="97" s="1"/>
  <c r="G29" i="97"/>
  <c r="G31" i="97" s="1"/>
  <c r="F6" i="90"/>
  <c r="F7" i="90"/>
  <c r="D13" i="90"/>
  <c r="D10" i="90"/>
  <c r="D14" i="90"/>
  <c r="D9" i="90"/>
  <c r="G42" i="97" l="1"/>
  <c r="E43" i="97" s="1"/>
  <c r="D6" i="97" s="1"/>
  <c r="F6" i="97" s="1"/>
  <c r="F11" i="97" s="1"/>
  <c r="D18" i="77" s="1"/>
  <c r="E5" i="77"/>
  <c r="F5" i="63" l="1"/>
  <c r="J26" i="95" l="1"/>
  <c r="D25" i="95" s="1"/>
  <c r="E25" i="95" s="1"/>
  <c r="G6" i="51" l="1"/>
  <c r="G7" i="51"/>
  <c r="F33" i="95"/>
  <c r="F34" i="95" s="1"/>
  <c r="E30" i="95"/>
  <c r="E29" i="95"/>
  <c r="E28" i="95"/>
  <c r="E27" i="95"/>
  <c r="E26" i="95"/>
  <c r="F25" i="95"/>
  <c r="F26" i="95" s="1"/>
  <c r="F27" i="95" s="1"/>
  <c r="F28" i="95" s="1"/>
  <c r="F29" i="95" s="1"/>
  <c r="F30" i="95" s="1"/>
  <c r="F21" i="95"/>
  <c r="G21" i="95" s="1"/>
  <c r="F20" i="95"/>
  <c r="G20" i="95" s="1"/>
  <c r="F19" i="95"/>
  <c r="G19" i="95" s="1"/>
  <c r="F18" i="95"/>
  <c r="G18" i="95" s="1"/>
  <c r="F17" i="95"/>
  <c r="G17" i="95" s="1"/>
  <c r="F16" i="95"/>
  <c r="G16" i="95" s="1"/>
  <c r="F15" i="95"/>
  <c r="G15" i="95" s="1"/>
  <c r="F14" i="95"/>
  <c r="G14" i="95" s="1"/>
  <c r="F13" i="95"/>
  <c r="G13" i="95" s="1"/>
  <c r="F12" i="95"/>
  <c r="G12" i="95" s="1"/>
  <c r="F11" i="95"/>
  <c r="G11" i="95" s="1"/>
  <c r="F10" i="95"/>
  <c r="G10" i="95" s="1"/>
  <c r="F9" i="95"/>
  <c r="G9" i="95" s="1"/>
  <c r="F8" i="95"/>
  <c r="G8" i="95" s="1"/>
  <c r="F7" i="95"/>
  <c r="G7" i="95" s="1"/>
  <c r="F6" i="95"/>
  <c r="G6" i="95" s="1"/>
  <c r="F5" i="95"/>
  <c r="G5" i="95" s="1"/>
  <c r="F4" i="95"/>
  <c r="G4" i="95" s="1"/>
  <c r="G25" i="95" l="1"/>
  <c r="G22" i="95"/>
  <c r="G26" i="95"/>
  <c r="G28" i="95"/>
  <c r="G30" i="95"/>
  <c r="G27" i="95"/>
  <c r="G29" i="95"/>
  <c r="G31" i="95" l="1"/>
  <c r="F35" i="95" s="1"/>
  <c r="D38" i="77" s="1"/>
  <c r="I13" i="51"/>
  <c r="I12" i="51"/>
  <c r="I7" i="51"/>
  <c r="I5" i="51"/>
  <c r="K5" i="51" s="1"/>
  <c r="D21" i="77" l="1"/>
  <c r="G6" i="63" l="1"/>
  <c r="G105" i="90" l="1"/>
  <c r="K104" i="90"/>
  <c r="K103" i="90"/>
  <c r="K102" i="90"/>
  <c r="G100" i="90"/>
  <c r="K99" i="90"/>
  <c r="K98" i="90"/>
  <c r="K97" i="90"/>
  <c r="K96" i="90"/>
  <c r="K95" i="90"/>
  <c r="K94" i="90"/>
  <c r="K93" i="90"/>
  <c r="K92" i="90"/>
  <c r="K91" i="90"/>
  <c r="K90" i="90"/>
  <c r="K89" i="90"/>
  <c r="K88" i="90"/>
  <c r="K87" i="90"/>
  <c r="G85" i="90"/>
  <c r="K84" i="90"/>
  <c r="K83" i="90"/>
  <c r="K82" i="90"/>
  <c r="K81" i="90"/>
  <c r="K80" i="90"/>
  <c r="K79" i="90"/>
  <c r="K78" i="90"/>
  <c r="K77" i="90"/>
  <c r="K76" i="90"/>
  <c r="K75" i="90"/>
  <c r="K74" i="90"/>
  <c r="K73" i="90"/>
  <c r="K72" i="90"/>
  <c r="K71" i="90"/>
  <c r="K70" i="90"/>
  <c r="K68" i="90"/>
  <c r="K67" i="90"/>
  <c r="K66" i="90"/>
  <c r="K65" i="90"/>
  <c r="K64" i="90"/>
  <c r="K63" i="90"/>
  <c r="K62" i="90"/>
  <c r="K61" i="90"/>
  <c r="G59" i="90"/>
  <c r="K58" i="90"/>
  <c r="K57" i="90"/>
  <c r="K56" i="90"/>
  <c r="K55" i="90"/>
  <c r="K54" i="90"/>
  <c r="K53" i="90"/>
  <c r="K52" i="90"/>
  <c r="K51" i="90"/>
  <c r="K50" i="90"/>
  <c r="K49" i="90"/>
  <c r="G47" i="90"/>
  <c r="K46" i="90"/>
  <c r="K45" i="90"/>
  <c r="K44" i="90"/>
  <c r="K43" i="90"/>
  <c r="K42" i="90"/>
  <c r="K41" i="90"/>
  <c r="K40" i="90"/>
  <c r="K39" i="90"/>
  <c r="K38" i="90"/>
  <c r="K37" i="90"/>
  <c r="G35" i="90"/>
  <c r="K34" i="90"/>
  <c r="K33" i="90"/>
  <c r="K32" i="90"/>
  <c r="K31" i="90"/>
  <c r="K30" i="90"/>
  <c r="K29" i="90"/>
  <c r="K28" i="90"/>
  <c r="G27" i="90"/>
  <c r="K26" i="90"/>
  <c r="K25" i="90"/>
  <c r="K24" i="90"/>
  <c r="F16" i="90"/>
  <c r="F15" i="90"/>
  <c r="F14" i="90"/>
  <c r="F13" i="90"/>
  <c r="F12" i="90"/>
  <c r="F10" i="90"/>
  <c r="F9" i="90"/>
  <c r="F8" i="90"/>
  <c r="F5" i="90"/>
  <c r="F4" i="90"/>
  <c r="F23" i="89"/>
  <c r="F22" i="89"/>
  <c r="F21" i="89"/>
  <c r="F20" i="89"/>
  <c r="F19" i="89"/>
  <c r="F18" i="89"/>
  <c r="F17" i="89"/>
  <c r="F16" i="89"/>
  <c r="F11" i="89"/>
  <c r="F10" i="89"/>
  <c r="F9" i="89"/>
  <c r="F15" i="89" s="1"/>
  <c r="E9" i="89"/>
  <c r="E15" i="89" s="1"/>
  <c r="D9" i="89"/>
  <c r="D15" i="89" s="1"/>
  <c r="F6" i="89"/>
  <c r="F5" i="89"/>
  <c r="F4" i="89"/>
  <c r="F7" i="89" l="1"/>
  <c r="K59" i="90"/>
  <c r="K27" i="90"/>
  <c r="K35" i="90"/>
  <c r="K47" i="90"/>
  <c r="K85" i="90"/>
  <c r="K100" i="90"/>
  <c r="K105" i="90"/>
  <c r="F24" i="89"/>
  <c r="F12" i="89" s="1"/>
  <c r="F13" i="89" s="1"/>
  <c r="G12" i="90"/>
  <c r="G4" i="90"/>
  <c r="F26" i="89" l="1"/>
  <c r="D19" i="77" s="1"/>
  <c r="G17" i="90"/>
  <c r="D16" i="77" s="1"/>
  <c r="L25" i="51" l="1"/>
  <c r="G25" i="75" l="1"/>
  <c r="G5" i="63" l="1"/>
  <c r="F15" i="85" l="1"/>
  <c r="C15" i="85"/>
  <c r="D15" i="85"/>
  <c r="E15" i="85"/>
  <c r="B15" i="85"/>
  <c r="J23" i="48" l="1"/>
  <c r="F8" i="58"/>
  <c r="F7" i="74"/>
  <c r="K23" i="48" l="1"/>
  <c r="E17" i="76"/>
  <c r="I24" i="48" l="1"/>
  <c r="J21" i="48"/>
  <c r="J20" i="48"/>
  <c r="J18" i="48"/>
  <c r="I19" i="48"/>
  <c r="J22" i="48"/>
  <c r="K22" i="48" s="1"/>
  <c r="J17" i="48"/>
  <c r="J16" i="48"/>
  <c r="J14" i="48"/>
  <c r="K14" i="48" s="1"/>
  <c r="J24" i="48" l="1"/>
  <c r="K24" i="48" s="1"/>
  <c r="D1" i="86"/>
  <c r="B1" i="86"/>
  <c r="F9" i="58" l="1"/>
  <c r="H2" i="85" l="1"/>
  <c r="I2" i="85" s="1"/>
  <c r="C3" i="85" a="1"/>
  <c r="C3" i="85" s="1"/>
  <c r="H3" i="85"/>
  <c r="C5" i="85" a="1"/>
  <c r="C5" i="85" s="1"/>
  <c r="H5" i="85"/>
  <c r="H11" i="85"/>
  <c r="H12" i="85"/>
  <c r="H13" i="85"/>
  <c r="H14" i="85"/>
  <c r="G11" i="85" a="1"/>
  <c r="I5" i="85" l="1"/>
  <c r="I3" i="85"/>
  <c r="F3" i="85"/>
  <c r="D3" i="85"/>
  <c r="G3" i="85"/>
  <c r="E3" i="85"/>
  <c r="G11" i="85"/>
  <c r="F5" i="85"/>
  <c r="D5" i="85"/>
  <c r="I4" i="85"/>
  <c r="J4" i="85" s="1"/>
  <c r="I14" i="85" a="1"/>
  <c r="I14" i="85" s="1"/>
  <c r="J14" i="85" s="1"/>
  <c r="G13" i="85" a="1"/>
  <c r="G13" i="85" s="1"/>
  <c r="I12" i="85" a="1"/>
  <c r="I12" i="85" s="1"/>
  <c r="J12" i="85" s="1"/>
  <c r="I11" i="85"/>
  <c r="J11" i="85" s="1"/>
  <c r="G14" i="85" a="1"/>
  <c r="G14" i="85" s="1"/>
  <c r="I13" i="85" a="1"/>
  <c r="I13" i="85" s="1"/>
  <c r="J13" i="85" s="1"/>
  <c r="K13" i="85" s="1"/>
  <c r="G12" i="85" a="1"/>
  <c r="G12" i="85" s="1"/>
  <c r="I6" i="85"/>
  <c r="J6" i="85" s="1"/>
  <c r="G5" i="85"/>
  <c r="E5" i="85"/>
  <c r="K11" i="85" l="1"/>
  <c r="J3" i="85"/>
  <c r="J5" i="85"/>
  <c r="K12" i="85"/>
  <c r="K25" i="51" s="1"/>
  <c r="D24" i="77" s="1"/>
  <c r="K14" i="85"/>
  <c r="F5" i="58" l="1"/>
  <c r="F6" i="74" l="1"/>
  <c r="E16" i="76" s="1"/>
  <c r="F5" i="74"/>
  <c r="E15" i="76" s="1"/>
  <c r="F6" i="58"/>
  <c r="F7" i="58"/>
  <c r="F10" i="58"/>
  <c r="F10" i="74" l="1"/>
  <c r="E20" i="76" s="1"/>
  <c r="F9" i="74"/>
  <c r="E19" i="76" s="1"/>
  <c r="F8" i="74"/>
  <c r="E18" i="76" s="1"/>
  <c r="H5" i="74"/>
  <c r="D15" i="82" l="1"/>
  <c r="E10" i="82"/>
  <c r="I10" i="82"/>
  <c r="Q14" i="43" l="1"/>
  <c r="S14" i="43" s="1"/>
  <c r="X14" i="43" l="1"/>
  <c r="T14" i="43"/>
  <c r="V14" i="43"/>
  <c r="R14" i="43"/>
  <c r="W14" i="43"/>
  <c r="U14" i="43"/>
  <c r="E11" i="74" l="1"/>
  <c r="G11" i="74"/>
  <c r="F21" i="77" l="1"/>
  <c r="G28" i="75" l="1"/>
  <c r="D27" i="77" s="1"/>
  <c r="F27" i="77" s="1"/>
  <c r="F14" i="77" l="1"/>
  <c r="H14" i="69" l="1"/>
  <c r="H13" i="69"/>
  <c r="H12" i="69"/>
  <c r="H11" i="69"/>
  <c r="H5" i="69"/>
  <c r="C5" i="69" a="1"/>
  <c r="G5" i="69" s="1"/>
  <c r="H3" i="69"/>
  <c r="C3" i="69" a="1"/>
  <c r="F3" i="69" s="1"/>
  <c r="H2" i="69"/>
  <c r="I2" i="69" s="1"/>
  <c r="I6" i="69" s="1"/>
  <c r="J6" i="69" s="1"/>
  <c r="A146" i="55"/>
  <c r="B146" i="55" s="1"/>
  <c r="B145" i="55"/>
  <c r="C110" i="55"/>
  <c r="C111" i="55" s="1"/>
  <c r="C112" i="55" s="1"/>
  <c r="C113" i="55" s="1"/>
  <c r="C114" i="55" s="1"/>
  <c r="C115" i="55" s="1"/>
  <c r="C116" i="55" s="1"/>
  <c r="C117" i="55" s="1"/>
  <c r="C118" i="55" s="1"/>
  <c r="C119" i="55" s="1"/>
  <c r="C120" i="55" s="1"/>
  <c r="C121" i="55" s="1"/>
  <c r="C122" i="55" s="1"/>
  <c r="C123" i="55" s="1"/>
  <c r="C124" i="55" s="1"/>
  <c r="C125" i="55" s="1"/>
  <c r="C126" i="55" s="1"/>
  <c r="C127" i="55" s="1"/>
  <c r="C128" i="55" s="1"/>
  <c r="D128" i="55" s="1"/>
  <c r="D109" i="55"/>
  <c r="C75" i="55"/>
  <c r="D75" i="55" s="1"/>
  <c r="D74" i="55"/>
  <c r="C41" i="55"/>
  <c r="D41" i="55" s="1"/>
  <c r="D40" i="55"/>
  <c r="D21" i="55"/>
  <c r="D20" i="55"/>
  <c r="D19" i="55"/>
  <c r="D18" i="55"/>
  <c r="D17" i="55"/>
  <c r="D16" i="55"/>
  <c r="D15" i="55"/>
  <c r="D14" i="55"/>
  <c r="D13" i="55"/>
  <c r="D12" i="55"/>
  <c r="D11" i="55"/>
  <c r="D10" i="55"/>
  <c r="D9" i="55"/>
  <c r="D8" i="55"/>
  <c r="D7" i="55"/>
  <c r="D6" i="55"/>
  <c r="D5" i="55"/>
  <c r="D4" i="55"/>
  <c r="D118" i="55" l="1"/>
  <c r="D110" i="55"/>
  <c r="D126" i="55"/>
  <c r="D114" i="55"/>
  <c r="D122" i="55"/>
  <c r="E3" i="69"/>
  <c r="C76" i="55"/>
  <c r="D76" i="55" s="1"/>
  <c r="D112" i="55"/>
  <c r="D116" i="55"/>
  <c r="D120" i="55"/>
  <c r="D124" i="55"/>
  <c r="C3" i="69"/>
  <c r="G3" i="69"/>
  <c r="I3" i="69"/>
  <c r="I4" i="69"/>
  <c r="J4" i="69" s="1"/>
  <c r="D5" i="69"/>
  <c r="F5" i="69"/>
  <c r="D3" i="69"/>
  <c r="C5" i="69"/>
  <c r="E5" i="69"/>
  <c r="I5" i="69"/>
  <c r="C42" i="55"/>
  <c r="D111" i="55"/>
  <c r="D113" i="55"/>
  <c r="D115" i="55"/>
  <c r="D117" i="55"/>
  <c r="D119" i="55"/>
  <c r="D121" i="55"/>
  <c r="D123" i="55"/>
  <c r="D125" i="55"/>
  <c r="D127" i="55"/>
  <c r="A147" i="55"/>
  <c r="C77" i="55" l="1"/>
  <c r="D77" i="55" s="1"/>
  <c r="J3" i="69"/>
  <c r="J5" i="69"/>
  <c r="B147" i="55"/>
  <c r="A148" i="55"/>
  <c r="C78" i="55"/>
  <c r="D42" i="55"/>
  <c r="C43" i="55"/>
  <c r="D43" i="55" l="1"/>
  <c r="C44" i="55"/>
  <c r="D78" i="55"/>
  <c r="C79" i="55"/>
  <c r="B148" i="55"/>
  <c r="A149" i="55"/>
  <c r="B149" i="55" l="1"/>
  <c r="A150" i="55"/>
  <c r="D79" i="55"/>
  <c r="C80" i="55"/>
  <c r="D44" i="55"/>
  <c r="C45" i="55"/>
  <c r="D45" i="55" l="1"/>
  <c r="C46" i="55"/>
  <c r="D80" i="55"/>
  <c r="C81" i="55"/>
  <c r="B150" i="55"/>
  <c r="A151" i="55"/>
  <c r="B151" i="55" l="1"/>
  <c r="A152" i="55"/>
  <c r="D81" i="55"/>
  <c r="C82" i="55"/>
  <c r="D46" i="55"/>
  <c r="C47" i="55"/>
  <c r="D47" i="55" l="1"/>
  <c r="C48" i="55"/>
  <c r="D82" i="55"/>
  <c r="C83" i="55"/>
  <c r="B152" i="55"/>
  <c r="A153" i="55"/>
  <c r="B153" i="55" l="1"/>
  <c r="A154" i="55"/>
  <c r="D83" i="55"/>
  <c r="C84" i="55"/>
  <c r="D48" i="55"/>
  <c r="C49" i="55"/>
  <c r="D49" i="55" l="1"/>
  <c r="C50" i="55"/>
  <c r="D84" i="55"/>
  <c r="C85" i="55"/>
  <c r="B154" i="55"/>
  <c r="A155" i="55"/>
  <c r="B155" i="55" l="1"/>
  <c r="A156" i="55"/>
  <c r="D85" i="55"/>
  <c r="C86" i="55"/>
  <c r="C51" i="55"/>
  <c r="D50" i="55"/>
  <c r="D86" i="55" l="1"/>
  <c r="C87" i="55"/>
  <c r="B156" i="55"/>
  <c r="A157" i="55"/>
  <c r="C52" i="55"/>
  <c r="D51" i="55"/>
  <c r="B157" i="55" l="1"/>
  <c r="A158" i="55"/>
  <c r="D87" i="55"/>
  <c r="C88" i="55"/>
  <c r="C53" i="55"/>
  <c r="D52" i="55"/>
  <c r="D88" i="55" l="1"/>
  <c r="C89" i="55"/>
  <c r="B158" i="55"/>
  <c r="A159" i="55"/>
  <c r="C54" i="55"/>
  <c r="D53" i="55"/>
  <c r="B159" i="55" l="1"/>
  <c r="A160" i="55"/>
  <c r="D89" i="55"/>
  <c r="C90" i="55"/>
  <c r="C55" i="55"/>
  <c r="D54" i="55"/>
  <c r="D90" i="55" l="1"/>
  <c r="C91" i="55"/>
  <c r="B160" i="55"/>
  <c r="A161" i="55"/>
  <c r="C56" i="55"/>
  <c r="D55" i="55"/>
  <c r="B161" i="55" l="1"/>
  <c r="A162" i="55"/>
  <c r="D91" i="55"/>
  <c r="C92" i="55"/>
  <c r="C57" i="55"/>
  <c r="D56" i="55"/>
  <c r="D92" i="55" l="1"/>
  <c r="C93" i="55"/>
  <c r="D93" i="55" s="1"/>
  <c r="B162" i="55"/>
  <c r="A163" i="55"/>
  <c r="C58" i="55"/>
  <c r="D58" i="55" s="1"/>
  <c r="D57" i="55"/>
  <c r="B163" i="55" l="1"/>
  <c r="A164" i="55"/>
  <c r="B164" i="55" l="1"/>
  <c r="A165" i="55"/>
  <c r="B165" i="55" l="1"/>
  <c r="A166" i="55"/>
  <c r="B166" i="55" l="1"/>
  <c r="A167" i="55"/>
  <c r="B167" i="55" l="1"/>
  <c r="A168" i="55"/>
  <c r="B168" i="55" l="1"/>
  <c r="A169" i="55"/>
  <c r="E9" i="76"/>
  <c r="E7" i="76"/>
  <c r="B169" i="55" l="1"/>
  <c r="A170" i="55"/>
  <c r="B170" i="55" l="1"/>
  <c r="A171" i="55"/>
  <c r="B171" i="55" l="1"/>
  <c r="A172" i="55"/>
  <c r="F12" i="77"/>
  <c r="O24" i="43"/>
  <c r="R21" i="43"/>
  <c r="S21" i="43" l="1"/>
  <c r="B172" i="55"/>
  <c r="A173" i="55"/>
  <c r="B173" i="55" l="1"/>
  <c r="A174" i="55"/>
  <c r="B174" i="55" l="1"/>
  <c r="A175" i="55"/>
  <c r="B175" i="55" l="1"/>
  <c r="A176" i="55"/>
  <c r="B176" i="55" l="1"/>
  <c r="A177" i="55"/>
  <c r="B177" i="55" l="1"/>
  <c r="A178" i="55"/>
  <c r="B178" i="55" l="1"/>
  <c r="A179" i="55"/>
  <c r="B179" i="55" l="1"/>
  <c r="A180" i="55"/>
  <c r="B180" i="55" l="1"/>
  <c r="A181" i="55"/>
  <c r="B181" i="55" l="1"/>
  <c r="A182" i="55"/>
  <c r="B182" i="55" l="1"/>
  <c r="A183" i="55"/>
  <c r="B183" i="55" l="1"/>
  <c r="A184" i="55"/>
  <c r="B184" i="55" l="1"/>
  <c r="A185" i="55"/>
  <c r="B185" i="55" s="1"/>
  <c r="E11" i="65" l="1"/>
  <c r="E9" i="65"/>
  <c r="E5" i="65"/>
  <c r="K26" i="64"/>
  <c r="L26" i="64" s="1"/>
  <c r="H26" i="64"/>
  <c r="I26" i="64" s="1"/>
  <c r="E26" i="64"/>
  <c r="F26" i="64" s="1"/>
  <c r="K25" i="64"/>
  <c r="L25" i="64" s="1"/>
  <c r="H25" i="64"/>
  <c r="I25" i="64" s="1"/>
  <c r="E25" i="64"/>
  <c r="F25" i="64" s="1"/>
  <c r="K24" i="64"/>
  <c r="L24" i="64" s="1"/>
  <c r="H24" i="64"/>
  <c r="I24" i="64" s="1"/>
  <c r="E24" i="64"/>
  <c r="F24" i="64" s="1"/>
  <c r="K23" i="64"/>
  <c r="L23" i="64" s="1"/>
  <c r="H23" i="64"/>
  <c r="I23" i="64" s="1"/>
  <c r="E23" i="64"/>
  <c r="F23" i="64" s="1"/>
  <c r="K20" i="64"/>
  <c r="L20" i="64" s="1"/>
  <c r="H20" i="64"/>
  <c r="I20" i="64" s="1"/>
  <c r="E20" i="64"/>
  <c r="F20" i="64" s="1"/>
  <c r="K19" i="64"/>
  <c r="L19" i="64" s="1"/>
  <c r="H19" i="64"/>
  <c r="I19" i="64" s="1"/>
  <c r="E19" i="64"/>
  <c r="F19" i="64" s="1"/>
  <c r="K18" i="64"/>
  <c r="L18" i="64" s="1"/>
  <c r="H18" i="64"/>
  <c r="I18" i="64" s="1"/>
  <c r="E18" i="64"/>
  <c r="F18" i="64" s="1"/>
  <c r="K17" i="64"/>
  <c r="L17" i="64" s="1"/>
  <c r="H17" i="64"/>
  <c r="I17" i="64" s="1"/>
  <c r="E17" i="64"/>
  <c r="F17" i="64" s="1"/>
  <c r="K16" i="64"/>
  <c r="L16" i="64" s="1"/>
  <c r="H16" i="64"/>
  <c r="I16" i="64" s="1"/>
  <c r="E16" i="64"/>
  <c r="F16" i="64" s="1"/>
  <c r="K13" i="64"/>
  <c r="L13" i="64" s="1"/>
  <c r="H13" i="64"/>
  <c r="I13" i="64" s="1"/>
  <c r="E13" i="64"/>
  <c r="F13" i="64" s="1"/>
  <c r="K12" i="64"/>
  <c r="L12" i="64" s="1"/>
  <c r="H12" i="64"/>
  <c r="I12" i="64" s="1"/>
  <c r="E12" i="64"/>
  <c r="F12" i="64" s="1"/>
  <c r="K11" i="64"/>
  <c r="L11" i="64" s="1"/>
  <c r="H11" i="64"/>
  <c r="I11" i="64" s="1"/>
  <c r="E11" i="64"/>
  <c r="F11" i="64" s="1"/>
  <c r="K10" i="64"/>
  <c r="L10" i="64" s="1"/>
  <c r="H10" i="64"/>
  <c r="I10" i="64" s="1"/>
  <c r="E10" i="64"/>
  <c r="F10" i="64" s="1"/>
  <c r="K9" i="64"/>
  <c r="L9" i="64" s="1"/>
  <c r="H9" i="64"/>
  <c r="I9" i="64" s="1"/>
  <c r="E9" i="64"/>
  <c r="F9" i="64" s="1"/>
  <c r="K8" i="64"/>
  <c r="L8" i="64" s="1"/>
  <c r="H8" i="64"/>
  <c r="I8" i="64" s="1"/>
  <c r="E8" i="64"/>
  <c r="F8" i="64" s="1"/>
  <c r="K7" i="64"/>
  <c r="L7" i="64" s="1"/>
  <c r="H7" i="64"/>
  <c r="I7" i="64" s="1"/>
  <c r="E7" i="64"/>
  <c r="F7" i="64" s="1"/>
  <c r="K6" i="64"/>
  <c r="L6" i="64" s="1"/>
  <c r="H6" i="64"/>
  <c r="I6" i="64" s="1"/>
  <c r="E6" i="64"/>
  <c r="F6" i="64" s="1"/>
  <c r="K5" i="64"/>
  <c r="L5" i="64" s="1"/>
  <c r="H5" i="64"/>
  <c r="I5" i="64" s="1"/>
  <c r="E5" i="64"/>
  <c r="F5" i="64" s="1"/>
  <c r="H15" i="63"/>
  <c r="J15" i="63" s="1"/>
  <c r="D31" i="77" s="1"/>
  <c r="F31" i="77" s="1"/>
  <c r="H11" i="63"/>
  <c r="J11" i="63" s="1"/>
  <c r="D43" i="62"/>
  <c r="E6" i="62" s="1"/>
  <c r="H6" i="62" s="1"/>
  <c r="C16" i="62"/>
  <c r="C22" i="62" s="1"/>
  <c r="C28" i="62" s="1"/>
  <c r="C36" i="62" s="1"/>
  <c r="C42" i="62" s="1"/>
  <c r="C15" i="62"/>
  <c r="C21" i="62" s="1"/>
  <c r="C27" i="62" s="1"/>
  <c r="C33" i="62" s="1"/>
  <c r="C41" i="62" s="1"/>
  <c r="C14" i="62"/>
  <c r="C20" i="62" s="1"/>
  <c r="C26" i="62" s="1"/>
  <c r="C32" i="62" s="1"/>
  <c r="C40" i="62" s="1"/>
  <c r="C13" i="62"/>
  <c r="C19" i="62" s="1"/>
  <c r="C25" i="62" s="1"/>
  <c r="C31" i="62" s="1"/>
  <c r="C39" i="62" s="1"/>
  <c r="C12" i="62"/>
  <c r="C18" i="62" s="1"/>
  <c r="C24" i="62" s="1"/>
  <c r="C30" i="62" s="1"/>
  <c r="C38" i="62" s="1"/>
  <c r="C11" i="62"/>
  <c r="C17" i="62" s="1"/>
  <c r="C23" i="62" s="1"/>
  <c r="C29" i="62" s="1"/>
  <c r="C37" i="62" s="1"/>
  <c r="A6" i="62"/>
  <c r="A7" i="62" s="1"/>
  <c r="A8" i="62" s="1"/>
  <c r="A9" i="62" s="1"/>
  <c r="A10" i="62" s="1"/>
  <c r="A11" i="62" s="1"/>
  <c r="A12" i="62" s="1"/>
  <c r="A13" i="62" s="1"/>
  <c r="A14" i="62" s="1"/>
  <c r="A15" i="62" s="1"/>
  <c r="A16" i="62" s="1"/>
  <c r="A17" i="62" s="1"/>
  <c r="A18" i="62" s="1"/>
  <c r="A19" i="62" s="1"/>
  <c r="A20" i="62" s="1"/>
  <c r="A21" i="62" s="1"/>
  <c r="A22" i="62" s="1"/>
  <c r="A23" i="62" s="1"/>
  <c r="A24" i="62" s="1"/>
  <c r="A25" i="62" s="1"/>
  <c r="A26" i="62" s="1"/>
  <c r="A27" i="62" s="1"/>
  <c r="A28" i="62" s="1"/>
  <c r="A29" i="62" s="1"/>
  <c r="A30" i="62" s="1"/>
  <c r="A31" i="62" s="1"/>
  <c r="A32" i="62" s="1"/>
  <c r="A33" i="62" s="1"/>
  <c r="A36" i="62" s="1"/>
  <c r="A37" i="62" s="1"/>
  <c r="A38" i="62" s="1"/>
  <c r="A39" i="62" s="1"/>
  <c r="A40" i="62" s="1"/>
  <c r="A41" i="62" s="1"/>
  <c r="A42" i="62" s="1"/>
  <c r="E11" i="58"/>
  <c r="G11" i="58"/>
  <c r="H9" i="58"/>
  <c r="H7" i="58"/>
  <c r="F8" i="57"/>
  <c r="E8" i="57"/>
  <c r="D8" i="57"/>
  <c r="G7" i="57"/>
  <c r="G6" i="57"/>
  <c r="H6" i="63"/>
  <c r="J6" i="63" s="1"/>
  <c r="F15" i="69"/>
  <c r="J21" i="51"/>
  <c r="I21" i="51"/>
  <c r="K20" i="51"/>
  <c r="K19" i="51"/>
  <c r="J14" i="51"/>
  <c r="K13" i="51"/>
  <c r="K12" i="51"/>
  <c r="J8" i="51"/>
  <c r="K7" i="51"/>
  <c r="M6" i="51"/>
  <c r="I6" i="51" s="1"/>
  <c r="K6" i="51" s="1"/>
  <c r="K21" i="48"/>
  <c r="K18" i="48"/>
  <c r="K17" i="48"/>
  <c r="K16" i="48"/>
  <c r="J15" i="48"/>
  <c r="D30" i="77" l="1"/>
  <c r="F30" i="77" s="1"/>
  <c r="G21" i="64"/>
  <c r="D21" i="64"/>
  <c r="J21" i="64"/>
  <c r="K14" i="51"/>
  <c r="D22" i="77" s="1"/>
  <c r="F22" i="77" s="1"/>
  <c r="G8" i="57"/>
  <c r="I8" i="57" s="1"/>
  <c r="F25" i="77" s="1"/>
  <c r="G9" i="65"/>
  <c r="D36" i="77"/>
  <c r="G11" i="65"/>
  <c r="D37" i="77"/>
  <c r="G7" i="65"/>
  <c r="D35" i="77"/>
  <c r="G5" i="65"/>
  <c r="D34" i="77"/>
  <c r="K15" i="48"/>
  <c r="J19" i="48"/>
  <c r="K19" i="48" s="1"/>
  <c r="K25" i="48" s="1"/>
  <c r="D17" i="77" s="1"/>
  <c r="H6" i="58"/>
  <c r="E6" i="76"/>
  <c r="H8" i="58"/>
  <c r="E8" i="76"/>
  <c r="H10" i="58"/>
  <c r="E10" i="76"/>
  <c r="H5" i="58"/>
  <c r="G14" i="64"/>
  <c r="J27" i="64"/>
  <c r="E29" i="62"/>
  <c r="H29" i="62" s="1"/>
  <c r="E13" i="62"/>
  <c r="H13" i="62" s="1"/>
  <c r="E25" i="62"/>
  <c r="H25" i="62" s="1"/>
  <c r="E39" i="62"/>
  <c r="H39" i="62" s="1"/>
  <c r="E21" i="62"/>
  <c r="H21" i="62" s="1"/>
  <c r="E5" i="62"/>
  <c r="H5" i="62" s="1"/>
  <c r="E9" i="62"/>
  <c r="H9" i="62" s="1"/>
  <c r="E33" i="62"/>
  <c r="H33" i="62" s="1"/>
  <c r="E17" i="62"/>
  <c r="H17" i="62" s="1"/>
  <c r="E42" i="62"/>
  <c r="H42" i="62" s="1"/>
  <c r="E38" i="62"/>
  <c r="H38" i="62" s="1"/>
  <c r="E32" i="62"/>
  <c r="H32" i="62" s="1"/>
  <c r="E28" i="62"/>
  <c r="H28" i="62" s="1"/>
  <c r="E24" i="62"/>
  <c r="H24" i="62" s="1"/>
  <c r="E20" i="62"/>
  <c r="H20" i="62" s="1"/>
  <c r="E16" i="62"/>
  <c r="H16" i="62" s="1"/>
  <c r="E12" i="62"/>
  <c r="H12" i="62" s="1"/>
  <c r="E8" i="62"/>
  <c r="H8" i="62" s="1"/>
  <c r="E41" i="62"/>
  <c r="H41" i="62" s="1"/>
  <c r="E37" i="62"/>
  <c r="H37" i="62" s="1"/>
  <c r="E31" i="62"/>
  <c r="H31" i="62" s="1"/>
  <c r="E27" i="62"/>
  <c r="H27" i="62" s="1"/>
  <c r="E23" i="62"/>
  <c r="H23" i="62" s="1"/>
  <c r="E19" i="62"/>
  <c r="H19" i="62" s="1"/>
  <c r="E15" i="62"/>
  <c r="H15" i="62" s="1"/>
  <c r="E11" i="62"/>
  <c r="H11" i="62" s="1"/>
  <c r="E7" i="62"/>
  <c r="H7" i="62" s="1"/>
  <c r="E40" i="62"/>
  <c r="H40" i="62" s="1"/>
  <c r="E36" i="62"/>
  <c r="H36" i="62" s="1"/>
  <c r="E30" i="62"/>
  <c r="H30" i="62" s="1"/>
  <c r="E26" i="62"/>
  <c r="H26" i="62" s="1"/>
  <c r="E22" i="62"/>
  <c r="H22" i="62" s="1"/>
  <c r="E18" i="62"/>
  <c r="H18" i="62" s="1"/>
  <c r="E14" i="62"/>
  <c r="H14" i="62" s="1"/>
  <c r="E10" i="62"/>
  <c r="H10" i="62" s="1"/>
  <c r="K21" i="51"/>
  <c r="D23" i="77" s="1"/>
  <c r="F23" i="77" s="1"/>
  <c r="K8" i="51"/>
  <c r="D20" i="77" s="1"/>
  <c r="F20" i="77" s="1"/>
  <c r="D27" i="64"/>
  <c r="B15" i="69"/>
  <c r="D15" i="69"/>
  <c r="E15" i="69"/>
  <c r="C15" i="69"/>
  <c r="H5" i="63"/>
  <c r="D14" i="64"/>
  <c r="J14" i="64"/>
  <c r="G27" i="64"/>
  <c r="F11" i="58"/>
  <c r="K20" i="48"/>
  <c r="X21" i="43"/>
  <c r="G12" i="65" l="1"/>
  <c r="G28" i="64"/>
  <c r="I6" i="57"/>
  <c r="J5" i="63"/>
  <c r="J7" i="63"/>
  <c r="F36" i="77"/>
  <c r="F37" i="77"/>
  <c r="F35" i="77"/>
  <c r="F34" i="77"/>
  <c r="G11" i="76"/>
  <c r="F17" i="77"/>
  <c r="H11" i="58"/>
  <c r="H13" i="58" s="1"/>
  <c r="D26" i="77" s="1"/>
  <c r="F26" i="77" s="1"/>
  <c r="F11" i="76"/>
  <c r="J28" i="64"/>
  <c r="I14" i="69" a="1"/>
  <c r="I12" i="69" a="1"/>
  <c r="I12" i="69" s="1"/>
  <c r="J12" i="69" s="1"/>
  <c r="G14" i="69" a="1"/>
  <c r="G13" i="69" a="1"/>
  <c r="G13" i="69" s="1"/>
  <c r="G11" i="69" a="1"/>
  <c r="I13" i="69" a="1"/>
  <c r="I13" i="69" s="1"/>
  <c r="J13" i="69" s="1"/>
  <c r="G12" i="69" a="1"/>
  <c r="H43" i="62"/>
  <c r="E43" i="62"/>
  <c r="I11" i="69"/>
  <c r="J11" i="69" s="1"/>
  <c r="G14" i="69"/>
  <c r="I14" i="69"/>
  <c r="J14" i="69" s="1"/>
  <c r="G12" i="69"/>
  <c r="G11" i="69"/>
  <c r="F19" i="77"/>
  <c r="F16" i="77"/>
  <c r="D28" i="64"/>
  <c r="F38" i="77"/>
  <c r="G38" i="77" s="1"/>
  <c r="C26" i="28" s="1"/>
  <c r="D26" i="28" s="1"/>
  <c r="U21" i="43"/>
  <c r="W21" i="43"/>
  <c r="T21" i="43"/>
  <c r="V21" i="43"/>
  <c r="Y21" i="43" l="1"/>
  <c r="D13" i="77" s="1"/>
  <c r="F33" i="77"/>
  <c r="G33" i="77" s="1"/>
  <c r="C25" i="28" s="1"/>
  <c r="D25" i="28" s="1"/>
  <c r="D32" i="77"/>
  <c r="F32" i="77" s="1"/>
  <c r="G30" i="77" s="1"/>
  <c r="C24" i="28" s="1"/>
  <c r="D24" i="28" s="1"/>
  <c r="G12" i="76"/>
  <c r="K12" i="69"/>
  <c r="F24" i="77" s="1"/>
  <c r="G20" i="77" s="1"/>
  <c r="C22" i="28" s="1"/>
  <c r="D22" i="28" s="1"/>
  <c r="K13" i="69"/>
  <c r="K11" i="69"/>
  <c r="K14" i="69"/>
  <c r="F13" i="77" l="1"/>
  <c r="F18" i="77"/>
  <c r="G16" i="77" s="1"/>
  <c r="C21" i="28" s="1"/>
  <c r="D21" i="28" s="1"/>
  <c r="F10" i="77" l="1"/>
  <c r="F9" i="77" l="1"/>
  <c r="F21" i="76" l="1"/>
  <c r="G21" i="76"/>
  <c r="G22" i="76" l="1"/>
  <c r="F24" i="76" s="1"/>
  <c r="F29" i="77" s="1"/>
  <c r="F11" i="77" l="1"/>
  <c r="G9" i="77" s="1"/>
  <c r="C19" i="28" s="1"/>
  <c r="H10" i="74"/>
  <c r="H6" i="74"/>
  <c r="H8" i="74"/>
  <c r="H9" i="74"/>
  <c r="H7" i="74"/>
  <c r="F11" i="74"/>
  <c r="D15" i="77"/>
  <c r="F15" i="77" s="1"/>
  <c r="G12" i="77" s="1"/>
  <c r="C20" i="28" s="1"/>
  <c r="D20" i="28" s="1"/>
  <c r="D19" i="28" l="1"/>
  <c r="H11" i="74"/>
  <c r="H13" i="74" s="1"/>
  <c r="D28" i="77" l="1"/>
  <c r="F28" i="77" s="1"/>
  <c r="G25" i="77" l="1"/>
  <c r="C23" i="28" s="1"/>
  <c r="G39" i="77" l="1"/>
  <c r="D23" i="28"/>
  <c r="D27" i="28" s="1"/>
  <c r="C27" i="28"/>
  <c r="D14" i="28" s="1"/>
  <c r="D16" i="28" l="1"/>
  <c r="D15" i="28"/>
</calcChain>
</file>

<file path=xl/comments1.xml><?xml version="1.0" encoding="utf-8"?>
<comments xmlns="http://schemas.openxmlformats.org/spreadsheetml/2006/main">
  <authors>
    <author>Author</author>
  </authors>
  <commentList>
    <comment ref="E46" authorId="0" shapeId="0">
      <text>
        <r>
          <rPr>
            <b/>
            <sz val="9"/>
            <color indexed="81"/>
            <rFont val="B Nazanin"/>
            <charset val="178"/>
          </rPr>
          <t xml:space="preserve">دانشگاه صنعتی شریف
دانشگاه تهران
دانشگاه امیرکبیر
دانشگاه علم و صنعت
دانشگاه خواجه نصیر
دانشگاه شهید بهشتی
،دانشگاه صنعتی اصفهان
دانشگاه فردوسی مشهد
دانشگاه تربیت مدرس
دانشگاه شیراز
دانشگاه تبریز
</t>
        </r>
      </text>
    </comment>
    <comment ref="G46" authorId="0" shapeId="0">
      <text>
        <r>
          <rPr>
            <b/>
            <sz val="9"/>
            <color indexed="81"/>
            <rFont val="B Nazanin"/>
            <charset val="178"/>
          </rPr>
          <t>دانشگاه آزادعلوم تحقیقات
دانشگاه آزاد تهران مرکزی 
دانشگاه آزاد تهران-شمال
دانشگاه آزاد تهران-جنوب
دانشگاه آزاد قزوین
دانشگاه آزاد کرج
 دانشگاه آزاد تبریز
دانشگاه آزاد نجف آباد و خوارسگان</t>
        </r>
        <r>
          <rPr>
            <sz val="9"/>
            <color indexed="81"/>
            <rFont val="Tahoma"/>
            <family val="2"/>
          </rPr>
          <t xml:space="preserve">
</t>
        </r>
      </text>
    </comment>
  </commentList>
</comments>
</file>

<file path=xl/comments2.xml><?xml version="1.0" encoding="utf-8"?>
<comments xmlns="http://schemas.openxmlformats.org/spreadsheetml/2006/main">
  <authors>
    <author>Author</author>
  </authors>
  <commentList>
    <comment ref="G5" authorId="0" shapeId="0">
      <text>
        <r>
          <rPr>
            <sz val="9"/>
            <color indexed="81"/>
            <rFont val="Tahoma"/>
            <family val="2"/>
          </rPr>
          <t xml:space="preserve">
اولین کارت بازرگانی
اولین پروانه کسب
سند مالکیت و یا اجاره نامه مغازه
نامه از انجمن مربوطه
</t>
        </r>
      </text>
    </comment>
  </commentList>
</comments>
</file>

<file path=xl/comments3.xml><?xml version="1.0" encoding="utf-8"?>
<comments xmlns="http://schemas.openxmlformats.org/spreadsheetml/2006/main">
  <authors>
    <author>Author</author>
  </authors>
  <commentList>
    <comment ref="C36" authorId="0" shapeId="0">
      <text>
        <r>
          <rPr>
            <b/>
            <sz val="9"/>
            <color indexed="81"/>
            <rFont val="Tahoma"/>
            <family val="2"/>
          </rPr>
          <t>Author:</t>
        </r>
        <r>
          <rPr>
            <sz val="9"/>
            <color indexed="81"/>
            <rFont val="Tahoma"/>
            <family val="2"/>
          </rPr>
          <t xml:space="preserve">
به چند سوال تفکیک شود</t>
        </r>
      </text>
    </comment>
    <comment ref="C38" authorId="0" shapeId="0">
      <text>
        <r>
          <rPr>
            <b/>
            <sz val="9"/>
            <color indexed="81"/>
            <rFont val="Tahoma"/>
            <family val="2"/>
          </rPr>
          <t>Author:</t>
        </r>
        <r>
          <rPr>
            <sz val="9"/>
            <color indexed="81"/>
            <rFont val="Tahoma"/>
            <family val="2"/>
          </rPr>
          <t xml:space="preserve">
به چند سوال تفکیک شود</t>
        </r>
      </text>
    </comment>
  </commentList>
</comments>
</file>

<file path=xl/comments4.xml><?xml version="1.0" encoding="utf-8"?>
<comments xmlns="http://schemas.openxmlformats.org/spreadsheetml/2006/main">
  <authors>
    <author>Author</author>
  </authors>
  <commentList>
    <comment ref="C13" authorId="0" shapeId="0">
      <text>
        <r>
          <rPr>
            <b/>
            <sz val="9"/>
            <color indexed="81"/>
            <rFont val="Tahoma"/>
            <family val="2"/>
          </rPr>
          <t>Author:</t>
        </r>
        <r>
          <rPr>
            <sz val="9"/>
            <color indexed="81"/>
            <rFont val="Tahoma"/>
            <family val="2"/>
          </rPr>
          <t xml:space="preserve">
دو سوال فوق باید در هر یک از مراحل و فرآیندهای ذیل مورد سوال و بررسی قرار گیرند:</t>
        </r>
      </text>
    </comment>
  </commentList>
</comments>
</file>

<file path=xl/comments5.xml><?xml version="1.0" encoding="utf-8"?>
<comments xmlns="http://schemas.openxmlformats.org/spreadsheetml/2006/main">
  <authors>
    <author>Author</author>
  </authors>
  <commentList>
    <comment ref="D33" authorId="0" shapeId="0">
      <text>
        <r>
          <rPr>
            <b/>
            <sz val="9"/>
            <color indexed="81"/>
            <rFont val="Tahoma"/>
            <family val="2"/>
          </rPr>
          <t>Author:</t>
        </r>
        <r>
          <rPr>
            <sz val="9"/>
            <color indexed="81"/>
            <rFont val="Tahoma"/>
            <family val="2"/>
          </rPr>
          <t xml:space="preserve">
مجموع هزینه های دستمزد اجاره و 50 درصد هزینه های عمومی
</t>
        </r>
      </text>
    </comment>
  </commentList>
</comments>
</file>

<file path=xl/sharedStrings.xml><?xml version="1.0" encoding="utf-8"?>
<sst xmlns="http://schemas.openxmlformats.org/spreadsheetml/2006/main" count="1543" uniqueCount="903">
  <si>
    <t>More questions about Excel?</t>
  </si>
  <si>
    <t>Give us feedback on this tour</t>
  </si>
  <si>
    <t>Press ALT+Q and type what you want to know.</t>
  </si>
  <si>
    <t>Keep going. There is more to learn with Excel:</t>
  </si>
  <si>
    <t xml:space="preserve">LinkedIn Learning: Video courses for all levels—from beginner to advanced. Take at your own pace.
</t>
  </si>
  <si>
    <t xml:space="preserve">Community: Ask questions and connect with other Excel fans.
</t>
  </si>
  <si>
    <t xml:space="preserve">What else is new?
Office 365 subscribers get continual updates and new features.
</t>
  </si>
  <si>
    <t xml:space="preserve">برمبنای متدلوژی وزارت صمت (سامانه یکپارچه اعتبارسنجی و رتبه بندی اعتباری) </t>
  </si>
  <si>
    <t>سرپرست تیم ارزیابی:</t>
  </si>
  <si>
    <t>کارشناسان ارزیابی:</t>
  </si>
  <si>
    <t>تاریخ بازدید:</t>
  </si>
  <si>
    <t>شرکت رتبه بندی اعتباری پارس کیان</t>
  </si>
  <si>
    <t>ارزیابی شاخص های کسب و کار- کیفی فعالان اقتصادی</t>
  </si>
  <si>
    <t>غیرقضاوتی</t>
  </si>
  <si>
    <t>مدرک</t>
  </si>
  <si>
    <t>امتیاز</t>
  </si>
  <si>
    <t>میانگین</t>
  </si>
  <si>
    <t>ارتباط مدرک با سمت</t>
  </si>
  <si>
    <t>کیفیت مرجع صدور</t>
  </si>
  <si>
    <t>وزن</t>
  </si>
  <si>
    <t>اعضای هیأت مدیره</t>
  </si>
  <si>
    <t xml:space="preserve">دیپلم </t>
  </si>
  <si>
    <t>کارشناسی</t>
  </si>
  <si>
    <t>مدیرعامل و مدیران ارشد</t>
  </si>
  <si>
    <t>نمره نهایی</t>
  </si>
  <si>
    <t>ضریب تنوع  هیات مدیره</t>
  </si>
  <si>
    <t>نام و نام خانوادگی</t>
  </si>
  <si>
    <t>دکتری</t>
  </si>
  <si>
    <t>کارشناسی ارشد</t>
  </si>
  <si>
    <t>فوق دیپلم</t>
  </si>
  <si>
    <t xml:space="preserve"> پایین تر</t>
  </si>
  <si>
    <t>تجربه (ماه)</t>
  </si>
  <si>
    <t>ضریب تجارب ویزه</t>
  </si>
  <si>
    <t>ضریب مشارکت هیات مدیره</t>
  </si>
  <si>
    <t>عنوان دوره</t>
  </si>
  <si>
    <t>موضوع</t>
  </si>
  <si>
    <t>برگزار کننده</t>
  </si>
  <si>
    <t>ضریب اعتبار</t>
  </si>
  <si>
    <t>ردیف</t>
  </si>
  <si>
    <t>تعداد ساعت</t>
  </si>
  <si>
    <t>تعداد اعضای هیات مدیره</t>
  </si>
  <si>
    <t>تعداد اعضای مدیران ارشد و مدیرعامل</t>
  </si>
  <si>
    <t>تعداد نفر ساعت هیات مدیره</t>
  </si>
  <si>
    <t>تعداد نفرساعت مدیران ارشد</t>
  </si>
  <si>
    <t>ضریب ارتباط برای اعضای هیات مدیره</t>
  </si>
  <si>
    <t>ضریب ارتباط برای مدیران ارشد</t>
  </si>
  <si>
    <t>پیوست معیار</t>
  </si>
  <si>
    <t>تعداد</t>
  </si>
  <si>
    <t xml:space="preserve">معیار </t>
  </si>
  <si>
    <t>اعضای هیات مدیره</t>
  </si>
  <si>
    <t>عنوان</t>
  </si>
  <si>
    <t>امتیاز هیات مدیره</t>
  </si>
  <si>
    <t>امتیاز مدیرعامل و مدیران ارشد</t>
  </si>
  <si>
    <t>امتیاز کل</t>
  </si>
  <si>
    <t>جمع امتیاز</t>
  </si>
  <si>
    <t>حداکثر امتیاز</t>
  </si>
  <si>
    <t xml:space="preserve">عنوان نظام نامه  </t>
  </si>
  <si>
    <t>مرجع صدور</t>
  </si>
  <si>
    <t>دامنۀ اثر</t>
  </si>
  <si>
    <t>ضریب اعتبار یا کیفیت</t>
  </si>
  <si>
    <t>ضریب انقضاء</t>
  </si>
  <si>
    <t xml:space="preserve"> امتیاز</t>
  </si>
  <si>
    <t>جمع</t>
  </si>
  <si>
    <t>کنترل ورودی</t>
  </si>
  <si>
    <t>نیروی انسانی</t>
  </si>
  <si>
    <t>فرآیندها</t>
  </si>
  <si>
    <t>سرمایۀ فیزیکی</t>
  </si>
  <si>
    <t>خروجی</t>
  </si>
  <si>
    <t>خدمات پس از فروش</t>
  </si>
  <si>
    <t>بازیافت</t>
  </si>
  <si>
    <t>اهمیت (اولویت)</t>
  </si>
  <si>
    <t>بررسی عملیاتی</t>
  </si>
  <si>
    <t>متوسط</t>
  </si>
  <si>
    <t>نام استاندارد</t>
  </si>
  <si>
    <t>عنوان گواهینامه</t>
  </si>
  <si>
    <t>ضریب اثر بر نظام مدیریتی</t>
  </si>
  <si>
    <t>ضریب قدمت جایزه</t>
  </si>
  <si>
    <t>عنوان جایزه</t>
  </si>
  <si>
    <t>شرح</t>
  </si>
  <si>
    <t xml:space="preserve">تعهد به اجرای حاکمیت شرکتی </t>
  </si>
  <si>
    <t xml:space="preserve">رعایت حقوق ذیفعان بجز سهامداران </t>
  </si>
  <si>
    <t xml:space="preserve">سهامداران و مجامع عمومی </t>
  </si>
  <si>
    <t>اشخاص وابسته</t>
  </si>
  <si>
    <t>اعضای هیأت مدیره و مدیر عامل</t>
  </si>
  <si>
    <t xml:space="preserve">نظارت، کنترل و فعالیتهای حسابرسی مستقل </t>
  </si>
  <si>
    <t>شفافیت و افشاء</t>
  </si>
  <si>
    <t>پاسخها</t>
  </si>
  <si>
    <t>امتیاز افشا</t>
  </si>
  <si>
    <t xml:space="preserve">امتیاز رعایت </t>
  </si>
  <si>
    <t>ضمانت اجرا</t>
  </si>
  <si>
    <t>بلی</t>
  </si>
  <si>
    <t>تاحدی</t>
  </si>
  <si>
    <t>خیر</t>
  </si>
  <si>
    <t>.25-0.75</t>
  </si>
  <si>
    <t>1-1</t>
  </si>
  <si>
    <t>آیا مدیریت ارشد خود را متعهد به اجرای اصول حاکمیت شرکتی می داند؟</t>
  </si>
  <si>
    <t>1-2</t>
  </si>
  <si>
    <t>آیا بکارگیری اصول حاکمیت شرکتی در جلسات هیأت مدیره مورد بحث و بررسی قرار می گیرند؟</t>
  </si>
  <si>
    <t>1-3</t>
  </si>
  <si>
    <t>آیا شرکت در گزارشهای سالانه خود میزان تطبیق فعالیت های خود را متناسب با اصول راهبری شرکتی افشا می نماید؟</t>
  </si>
  <si>
    <t>2-1</t>
  </si>
  <si>
    <t>آیا سیاستها/اصول/خدماتی در شرکت وجود دارد تا اطمینان دهد منافع دولت در فرآیند تصمیم گیری در نظر گرفته می شود؟</t>
  </si>
  <si>
    <t>2-2</t>
  </si>
  <si>
    <t>آیا سیاستها/اصول/خدماتی در شرکت وجود دارد تا اطمینان دهد منافع مشتریان در فرآیند تصمیم گیری در نظر گرفته می شود؟</t>
  </si>
  <si>
    <t>2-3</t>
  </si>
  <si>
    <t>آیا سیاستها/اصول/خدماتی در شرکت وجود دارد تا اطمینان دهد منافع کارکنان در فرآیند تصمیم گیری در نظر گرفته می شود؟</t>
  </si>
  <si>
    <t>2-4</t>
  </si>
  <si>
    <t>آیا سیاستها/اصول/خدماتی در شرکت وجود دارد تا اطمینان دهد منافع تأمین کنندگان در فرآیند تصمیم گیری در نظر گرفته می شود؟</t>
  </si>
  <si>
    <t>2-5</t>
  </si>
  <si>
    <t>آیا سیاستها/اصول/خدماتی در شرکت وجود دارد تا اطمینان دهد حفظ محیط زیست در فرآیند تصمیم گیری در نظر گرفته می شود؟</t>
  </si>
  <si>
    <t>2-6</t>
  </si>
  <si>
    <t>آیا سیاستها/اصول/خدماتی در شرکت وجود دارد تا اطمینان دهد منافع جامعه در فرآیند تصمیم گیری در نظر گرفته می شود؟</t>
  </si>
  <si>
    <t>3</t>
  </si>
  <si>
    <t xml:space="preserve"> سهامداران و مجامع عمومی </t>
  </si>
  <si>
    <t>3-1</t>
  </si>
  <si>
    <t>آیا دستور جلسۀ مجامع عمومی صاحبان سهام به همراه اطلاعات، توضیحات و مستندات مربوط، نحوۀ مشارکت و رأی گیری در مجامع قبل از مجمع در تارنمای شرکت منعکس و یا بطور یکسان در اختیار همگان قرار گرفته است؟</t>
  </si>
  <si>
    <t>3-2</t>
  </si>
  <si>
    <t>آیا شرکت رویه ای مدون برای طرح و پاسخگویی به سوالات مرتبط سهامداران در طی برگزاری مجمع را دارد؟</t>
  </si>
  <si>
    <t>3-3</t>
  </si>
  <si>
    <t>آیا شرکت صورتجلسات مجامع را  پس از تکمیل افشا یا در اختیار سهامداران قرار می دهد؟</t>
  </si>
  <si>
    <t>3-4</t>
  </si>
  <si>
    <t>آیا شرکت سیاستها و رویکردهای مشخصی برای توزیع سود و زمانبندی پرداختهای آن دارد؟</t>
  </si>
  <si>
    <t>3-5</t>
  </si>
  <si>
    <t>آیا مکانیزم مدونی برای پیشگیری و رفع تضاد منافع احتمالی بین سهامداران و شرکت وجود دارد؟</t>
  </si>
  <si>
    <t>3-6</t>
  </si>
  <si>
    <t xml:space="preserve">آیا سازوکار مدونی برای تشخیص تضاد منافع احتمالی نامزدهای هیأت مدیره  در اساسنامه شرکت پیش بینی شده است؟ </t>
  </si>
  <si>
    <t>3-7</t>
  </si>
  <si>
    <t>آیا مشارکت در مجمع عمومی صاحبان سهام مشروط به انجام کاری نبوده و به هر طریقی محدود نمی باشد؟ (به عنوان مثال بر اساس، تعداد سهام تحت تملک سهامداران یا حداکثر اختیار رأی دهی)</t>
  </si>
  <si>
    <t>3-8</t>
  </si>
  <si>
    <t>آیا سهامداران اقلیت از نفوذ کافی برای انتخاب اعضای هیأت مدیره برخوردار می باشند؟  (به عنوان مثال رای گیری تجمعی و یا درصد خاصی (مثلاً 5% و یا 10%) برای نامزدی نمایندگان در نظر گرفته شده باشد)</t>
  </si>
  <si>
    <t>3-9</t>
  </si>
  <si>
    <t>آیا سازوکار عملیاتی مدون و کارایی برای اطمینان از گزارشگری منصفانه، جامع، به موقع و صحیح از دستاوردهای شرکت به مجمع عمومی صاحبان سهام وجود دارد؟</t>
  </si>
  <si>
    <t>3-10</t>
  </si>
  <si>
    <t>آیا رویه مدونی برای ثبت نقل و انتقالات صاحبان سهام وجود دارد؟</t>
  </si>
  <si>
    <t>4</t>
  </si>
  <si>
    <t>4-1</t>
  </si>
  <si>
    <t>آیا شرکت دستورالعمل مشخصی برای معاملات شرکت با اشخاص وابسته دارد؟</t>
  </si>
  <si>
    <t>4-2</t>
  </si>
  <si>
    <t>آیا این دستورالعمل در اختیار افراد تصمیم گیر قرار گرفته است؟</t>
  </si>
  <si>
    <t>4-3</t>
  </si>
  <si>
    <t>آیا اشخاص وابسته به دقت تعریف شده و در برگیرندۀ تمامی مصادیق اشخاص وابسته می باشد؟</t>
  </si>
  <si>
    <t>4-4</t>
  </si>
  <si>
    <t>آیا قبل از انجام هرگونه معامله وابسته بودن طرف معامله بررسی می شود؟</t>
  </si>
  <si>
    <t>4-5</t>
  </si>
  <si>
    <t>آیا در مورد انجام معامله با اشخاص وابسته شخص مستقلی از مدیریت راجع به رعایت عرف تجاری در معامله اظهار نظر می کند؟ (قبل از معامله یا بعد از معامله)</t>
  </si>
  <si>
    <t>4-6</t>
  </si>
  <si>
    <t>آیا انجام معامله با اشخاص وابسته نیازمند تصویب اعضای هیأت مدیره است؟</t>
  </si>
  <si>
    <t>4-7</t>
  </si>
  <si>
    <t>آیا در صورت لزوم اخذ مصوبۀ هیات مدیره، مدیر ذینفع در رای گیری شرکت نمی نماید و نباید در رأی گیری شرکت کند؟</t>
  </si>
  <si>
    <t>4-8</t>
  </si>
  <si>
    <t>آیا انجام معامله با اشخاص وابسته نیازمند تنفیذ مجمع عمومی صاحبان سهام است؟</t>
  </si>
  <si>
    <t>4-9</t>
  </si>
  <si>
    <t>آیا در صورت لزوم تنفیذ مجمع عمومی صاحبان سهام، سهامداران ذینفع در رای گیری شرکت نمی نماید و نباید در رأی گیری شرکت کند؟</t>
  </si>
  <si>
    <t>4-10</t>
  </si>
  <si>
    <t>آیا جزییات معاملات با اشخاص وابسته به میزان کافی (و با حفظ اسرار تجاری) در اختیار سهامداران قرار می گیرد؟</t>
  </si>
  <si>
    <t>5</t>
  </si>
  <si>
    <t>5-1</t>
  </si>
  <si>
    <t>آیا ضوابطی از سوی مراجع بیرونی برای تعیین حداقل صلاحیت مدیران از نظر دانش تخصصی تجربه وجود دارد؟</t>
  </si>
  <si>
    <t>5-2</t>
  </si>
  <si>
    <t>آیا ضوابطی داخلی مدونی از سوی شرکت برای تعیین حداقل صلاحیت مدیران از نظر دانش، تخصص و تجربه وجود دارد؟</t>
  </si>
  <si>
    <t>5-3</t>
  </si>
  <si>
    <t>آیا شرکت توسط هیات مدیره منتخب صاحبان سهام با تعداد کافی عضو اداره می شود؟</t>
  </si>
  <si>
    <t>5-4</t>
  </si>
  <si>
    <t>آیا طرز انتخاب اعضای هیأت مدیره به گونه ای هست که اطمینان دهد ایشان نمایندۀ کل صاحبان سهام محسوب می شوند؟</t>
  </si>
  <si>
    <t>5-5</t>
  </si>
  <si>
    <t>آیا بین مدیر عامل و اعضای هیأت مدیره رابطۀ سببی و نسبی (درجۀ اول از طبقات اول و دوم) وجود دارد؟</t>
  </si>
  <si>
    <t>5-6</t>
  </si>
  <si>
    <t>آیا بین مدیر عامل و مدیران اجرایی رابطۀ سببی و نسبی (درجۀ اول از طبقات اول و دوم) وجود دارد؟</t>
  </si>
  <si>
    <t>5-7</t>
  </si>
  <si>
    <t>آیا هر یک از اعضای هیأت مدیره نمایندۀ یک گروه از سهامداران می باشند؟</t>
  </si>
  <si>
    <t>5-8</t>
  </si>
  <si>
    <t>5-9</t>
  </si>
  <si>
    <t>آیا مدیر عامل واقعاً از سوی هیأت مدیره انتخاب و اختیار عزل و نصب وی از سوی هیأت مدیره وجود دارد؟</t>
  </si>
  <si>
    <t>5-10</t>
  </si>
  <si>
    <t>آیا اکثریت اعضای هیأت مدیره اعضای غیر موظف می باشند؟</t>
  </si>
  <si>
    <t>5-11</t>
  </si>
  <si>
    <t>آیا سازوکار مدونی برای شناسایی و پیشگیری مؤثر از انتخاب مدیرانی که منافعی در تضاد با شرکت دارند، وجود دارد؟</t>
  </si>
  <si>
    <t>5-12</t>
  </si>
  <si>
    <t>آیا هیات مدیره سازوکاری برای دسترسی مستقل مدیران اجرایی بطور مستقیم و یا از طریق دبیرخانۀ مستقل هیات مدیره برای دریافت اطلاعات مورد نیاز شرکت پیش بینی نموده است؟</t>
  </si>
  <si>
    <t>5-13</t>
  </si>
  <si>
    <t>آیا هیات مدیره سازوکاری برای استفاده از خدمات مشاوران مستقل بیرونی و کمیته های تخصصی برای تصمیم سازی دارد؟</t>
  </si>
  <si>
    <t>5-14</t>
  </si>
  <si>
    <t>آیا سازوکار مدون و یا رویه ای عملی برای تهیه و ارایه گزارشهای لازم از وضعیت عملیات شرکت در دوره های منظم جهت ارایه به هیات مدیره وجود دارد؟</t>
  </si>
  <si>
    <t>5-15</t>
  </si>
  <si>
    <t>آیا هیات مدیره در تدوین استراتژی ها و خط مشی ها و بازنگری دوره ای آن مشارکت فعال دارد؟</t>
  </si>
  <si>
    <t>5-16</t>
  </si>
  <si>
    <t>آیا هیات مدیره در تدوین ضوابط مورد نیاز داخلی از قبیل؛ معاملات، استخدام، حقوق و مزایای کارکنان، فروش، تولید، تسهیلات، ارزیابی عملکرد مدیران و غیره و نیز بازنگری دوره ای آن مشارکت فعال دارد؟</t>
  </si>
  <si>
    <t>5-17</t>
  </si>
  <si>
    <t>آیا نظام مدون، شفاف و مناسبی برای ارزیابی عملکرد هیات مدیره و تعیین پاداش و حقوق و مزایای آنها مستقل از مدیران اجرایی وجود دارد؟</t>
  </si>
  <si>
    <t>5-18</t>
  </si>
  <si>
    <t>آیا سازوکاری برای تعیین دستور جلسات هیات مدیره و اطلاع رسانی قبلی آن به اعضای هیات مدیره به همراه ارسال گزارشها و مدارک پشتوانه مربوطه حسب مورد وجود دارد؟</t>
  </si>
  <si>
    <t>5-19</t>
  </si>
  <si>
    <t>آیا جلسات هیات مدیره بطور منظم و با مشارکت فعال اعضای هیات مدیره تشکیل و صورتجلسات به شکل مناسب تنظیم می شود؟</t>
  </si>
  <si>
    <t>5-20</t>
  </si>
  <si>
    <t>آیا سازوکاری برای ابلاغ و پیگیری مصوبات هیات مدیره و ارزیابی نحوۀ اجرای آن و انعکاس نتایج به هیات مدیره وجود دارد؟</t>
  </si>
  <si>
    <t>5-21</t>
  </si>
  <si>
    <t>آیا شرح وظایف، مسئولیتها و اختیارات هیات مدیره و هر یک از اعضا بطور دقیق و مناسب در مقررات داخلی شرکت قید شده است؟</t>
  </si>
  <si>
    <t>5-22</t>
  </si>
  <si>
    <t>آیا شرح وظایف، مسئولیتها و اختیارات مدیر عامل و هر یک از مدیران ارشد بطور دقیق و مناسب در مقررات داخلی شرکت قید شده است؟</t>
  </si>
  <si>
    <t>5-23</t>
  </si>
  <si>
    <t>آیا دستمزد مدیران کلیدی شرکت بر اساس مصوبات کمیتۀ جبران خدمات که مستقل از مدیر عامل است تعیین و پرداخت می شود؟</t>
  </si>
  <si>
    <t>6</t>
  </si>
  <si>
    <t xml:space="preserve"> نظارت، کنترل و فعالیتهای حسابرسی مستقل </t>
  </si>
  <si>
    <t>6-1</t>
  </si>
  <si>
    <t>آیا نظام کنترل داخلی، حاوی سازوکارهایی برای مدیریت ریسک به منظور اطمینان از رسیدن به اهداف است؟</t>
  </si>
  <si>
    <t>6-2</t>
  </si>
  <si>
    <t>آیا نظام کنترل داخلی، حاوی سازوکارهایی برای اطمینان از رعایت تکالیف قانونی، مقررات و ضوابط داخلی و ایفای تعهدات قراردادی است؟</t>
  </si>
  <si>
    <t>6-3</t>
  </si>
  <si>
    <t>آیا نظام کنترل داخلی، حاوی سازوکارهایی برای اطمینان از حفاظت از دارایی ها و اطلاعات است؟</t>
  </si>
  <si>
    <t>6-4</t>
  </si>
  <si>
    <t>آیا شرکت دارای ارکان نظارتی داخلی از جمله کمیته حسابرسی و مدیریت کنترل داخلی با مسئولیتها، صلاحیتها، استقلال و اختیارات مشخص، متناسب و کافی می باشد؟</t>
  </si>
  <si>
    <t>6-5</t>
  </si>
  <si>
    <t>آیا گزارشها و فعالیتهای ارکان نظارتی شرکت (کمیتۀ حسابرسی و حسابرس داخلی)  از کیفیت کافی برخوردار است؟</t>
  </si>
  <si>
    <t>6-6</t>
  </si>
  <si>
    <t>آیا شاخصهایی برای سنجش عملکرد نظام کنترل داخلی در سطح شرکت برای رسیدن به اهداف، رعایت مقررات و حفاظت از دارایی ها و انجام اقدامات اصلاحی لازم تعریف و پیش بینی شده است؟</t>
  </si>
  <si>
    <t>6-7</t>
  </si>
  <si>
    <t>آیا حسابرس مستقل یا بازرس قانونی به منظور ارایۀ توضیحات تکمیلی در خصوص حسابرسی انجام شده و قرائت اظهار نظر حسابرسی الزامی به حضور در مجمع عمومی صاحبان سهام را دارد؟</t>
  </si>
  <si>
    <t>6-8</t>
  </si>
  <si>
    <t>آیا حسابرس مستقل یا بازرس قانونی الزامی به ارایۀ  نامه مدیریت حاوی ضعفهای نظام کنترل داخلی، به همراه پیشنهادات مربوطه برای بهبود ضعفهای مذکور، دارد؟</t>
  </si>
  <si>
    <t>6-9</t>
  </si>
  <si>
    <t>آیا شرکت نام حسابرس مستقل و نیز حق الزحمۀ وی در ارایۀ  خدمات به شرکت را به صاحبان سهام افشا می نماید؟</t>
  </si>
  <si>
    <t>6-10</t>
  </si>
  <si>
    <t>آیا گزارشهای ارکان نظارتی شرکت (کمیتۀ حسابرسی و حسابرس داخلی) در اختیار حسابرس مستقل و/یا بازرس قانونی و نیز آیا گزارش حسابرس مستقل از جمله گزارش حسابرسی و نامه مدیریت در اختیار و ارکان نظارتی مذکور قرار می گیرد؟</t>
  </si>
  <si>
    <t>6-11</t>
  </si>
  <si>
    <t>آیا گزارش های حسابرس مستقل و/یا بازرس قانونی از جمله گزارش حسابرسی یا نامه مدیریت در هیأت مدیره مورد بحث و بررسی و تصمیم گیریهای لازم قرار می گیرد؟</t>
  </si>
  <si>
    <t>6-12</t>
  </si>
  <si>
    <t>آیا صورتهای مالی شرکت حسابرسی شده و از نظر حسابرس از شفافیت کافی برخوردار است؟</t>
  </si>
  <si>
    <t>6-13</t>
  </si>
  <si>
    <t>آیا حسابرس شرکت از اعتبار کافی برخوردار است؟</t>
  </si>
  <si>
    <t>7</t>
  </si>
  <si>
    <t xml:space="preserve"> شفافیت و افشاء</t>
  </si>
  <si>
    <t>7-1</t>
  </si>
  <si>
    <t xml:space="preserve">آیا چارچوبها، اصول و محتوی و مواعد زمانی گزارشهایی که از فعالیتهای شرکت و وضعیت مالی آن برای عموم منتشر یا به ذینفعان از جمله سهامداران ارایه می شوند به اندازۀ کافی و مناسب تدوین و حسب مورد به اطلاع عموم یا ذینفعان رسیده است؟ </t>
  </si>
  <si>
    <t>7-2</t>
  </si>
  <si>
    <t>آیا حقوق مشتریان به صورت شفاف و به میزان کافی برای عموم افشا شده و سازوکارهایی مناسب برای دریافت و رسیدگی به شکایات مشتریان فراهم شده است؟</t>
  </si>
  <si>
    <t>7-3</t>
  </si>
  <si>
    <t>آیا شرکت نشانی و اطلاعات تماس خود و  نام، سمت، رزومۀ حرفه ای و اطلاعات تماس اعضای هیأت مدیره، مدیر عامل، مدیران ارشد و اشخاصی که وظیفۀ نظارت و کنترل را بر عهده دارند را به طرز مناسب حاوی اطلاعات کافی تهیه و افشا می نماید؟</t>
  </si>
  <si>
    <t>اهداف زنجیرۀ ارزش</t>
  </si>
  <si>
    <t>آیا محصولات و خدمات با همان کیفیت و با قیمت کمتر و یا با همان قیمت و با کیفیت بالاتر تولید یا ایجاد می شوند؟</t>
  </si>
  <si>
    <t>آیا محصولات و خدمات تولید یا ارایه شده نسبت به رقبا دارای تمایز می باشند؟</t>
  </si>
  <si>
    <t>شرح فعالیت</t>
  </si>
  <si>
    <t>وضعیت</t>
  </si>
  <si>
    <t>خیلی زیاد</t>
  </si>
  <si>
    <t>زیاد</t>
  </si>
  <si>
    <t xml:space="preserve">کم </t>
  </si>
  <si>
    <t>خیلی کم</t>
  </si>
  <si>
    <t xml:space="preserve">فعالیتهای اصلی </t>
  </si>
  <si>
    <t>لجستیک درونی</t>
  </si>
  <si>
    <t>فرآیندهای تولیدی</t>
  </si>
  <si>
    <t>لجستیک بیرونی</t>
  </si>
  <si>
    <t xml:space="preserve">بازاریابی و فروش </t>
  </si>
  <si>
    <t xml:space="preserve">فعالیتهای پشتیبان  </t>
  </si>
  <si>
    <t>زیر ساخت ها</t>
  </si>
  <si>
    <t>مدیریت منابع انسانی</t>
  </si>
  <si>
    <t>توسعۀ تکنولوژی</t>
  </si>
  <si>
    <t>تدارکات</t>
  </si>
  <si>
    <t>نمره</t>
  </si>
  <si>
    <t>امتیاز نهایی</t>
  </si>
  <si>
    <t xml:space="preserve">امتیاز </t>
  </si>
  <si>
    <t xml:space="preserve">جمع </t>
  </si>
  <si>
    <t xml:space="preserve">امتیاز نهایی </t>
  </si>
  <si>
    <t>میزان تولید</t>
  </si>
  <si>
    <t>مقدار</t>
  </si>
  <si>
    <t>واحد</t>
  </si>
  <si>
    <t>وزن در امتیاز نهایی</t>
  </si>
  <si>
    <t>سهم در امتیاز نهایی</t>
  </si>
  <si>
    <t xml:space="preserve">نصاب </t>
  </si>
  <si>
    <t>سهم از تولید در کشور</t>
  </si>
  <si>
    <t>درآمد فروش</t>
  </si>
  <si>
    <t>زمینه فعالیت:</t>
  </si>
  <si>
    <t>بازرگانی</t>
  </si>
  <si>
    <t>درصد استفاده از ظرفیت عملی تولید</t>
  </si>
  <si>
    <t>تنوع تولید</t>
  </si>
  <si>
    <t xml:space="preserve">شاخص هرفیندال اقلام محصول تولیدی </t>
  </si>
  <si>
    <t xml:space="preserve">شاخص هرفیندال گروه محصول تولیدی </t>
  </si>
  <si>
    <t>سهم دانش در تولید</t>
  </si>
  <si>
    <t xml:space="preserve">وزن </t>
  </si>
  <si>
    <t>امتیاز ارزیابی</t>
  </si>
  <si>
    <t>امتیاز اختراع یا ابداع در صورتی که متقاضی دارای  اختراع یا نوآوری  می باشد؟</t>
  </si>
  <si>
    <t>درتولید محصول تا چه اندازه از دانش فنی بالا و روز آمد استفاده می گردد؟</t>
  </si>
  <si>
    <t>جمع متغیرهای کیفی</t>
  </si>
  <si>
    <t>ترکیب ارزش افزوده</t>
  </si>
  <si>
    <t>مالیات</t>
  </si>
  <si>
    <t>جبران خدمت</t>
  </si>
  <si>
    <t>سود</t>
  </si>
  <si>
    <t>استهلاک</t>
  </si>
  <si>
    <t>بهره</t>
  </si>
  <si>
    <t>شاخص تمرکز ترکیب ارزش افزوده</t>
  </si>
  <si>
    <t>توضیح: در زمانی که جمع وزن ها بیشتر از یک است، بدان معنی است که امتیاز یک شاخص می تواند شاخص دیگر را جبران کند.</t>
  </si>
  <si>
    <t>زمینه های فعالیت</t>
  </si>
  <si>
    <t>نصاب</t>
  </si>
  <si>
    <t>a</t>
  </si>
  <si>
    <t>b</t>
  </si>
  <si>
    <t>c</t>
  </si>
  <si>
    <t>d</t>
  </si>
  <si>
    <t>f</t>
  </si>
  <si>
    <t>تولیدی</t>
  </si>
  <si>
    <t>مالی</t>
  </si>
  <si>
    <t>سایر خدمات</t>
  </si>
  <si>
    <t>سناریوی مطلوب</t>
  </si>
  <si>
    <t>فاصله از خوب</t>
  </si>
  <si>
    <t>تنوع معیار</t>
  </si>
  <si>
    <t>تنوع شرکت</t>
  </si>
  <si>
    <t>نمره تنوع</t>
  </si>
  <si>
    <t>نحوه همکاری</t>
  </si>
  <si>
    <t>تمام وقت</t>
  </si>
  <si>
    <t>نیمه وقت</t>
  </si>
  <si>
    <t>پاره وقت</t>
  </si>
  <si>
    <t>میانگین موزون</t>
  </si>
  <si>
    <t>تعداد شاغلین</t>
  </si>
  <si>
    <t>تعداد معیار</t>
  </si>
  <si>
    <t>نوع قرارداد/وزن</t>
  </si>
  <si>
    <t>تعداد نفرات</t>
  </si>
  <si>
    <t>بزرگ</t>
  </si>
  <si>
    <t>قرارداد مستقیم</t>
  </si>
  <si>
    <t>نسبت معیار</t>
  </si>
  <si>
    <t>قرارداد غیرمستقیم</t>
  </si>
  <si>
    <t>کوچک</t>
  </si>
  <si>
    <t>سطح تحصیلات</t>
  </si>
  <si>
    <t>توزیع</t>
  </si>
  <si>
    <t>توزیع معیار</t>
  </si>
  <si>
    <t>انحراف</t>
  </si>
  <si>
    <t>فوق لیسانس</t>
  </si>
  <si>
    <t>لیسانس</t>
  </si>
  <si>
    <t>دیپلم</t>
  </si>
  <si>
    <t>زیردیپلم</t>
  </si>
  <si>
    <t>انحراف بخشودنی</t>
  </si>
  <si>
    <t>بالاتر از 25 سال</t>
  </si>
  <si>
    <t>بین 20 تا 25 سال</t>
  </si>
  <si>
    <t>بین 15 تا 20 سال</t>
  </si>
  <si>
    <t>بین 10 تا 15 سال</t>
  </si>
  <si>
    <t>بین 5 تا 10 سال</t>
  </si>
  <si>
    <t>زیر 5 سال</t>
  </si>
  <si>
    <t>تعداد افراد حاضر</t>
  </si>
  <si>
    <t xml:space="preserve">تعداد نفر ساعت </t>
  </si>
  <si>
    <t xml:space="preserve">ضریب ارتباط </t>
  </si>
  <si>
    <t>معیار</t>
  </si>
  <si>
    <t>ساعت آموزشی</t>
  </si>
  <si>
    <t>ارزیابی بر اساس سطح تحصیلات</t>
  </si>
  <si>
    <t>سطح</t>
  </si>
  <si>
    <t>نسبت فراوانی</t>
  </si>
  <si>
    <t>سطح دستمزد
(میلیون ریال)</t>
  </si>
  <si>
    <t>سطح دستمزد معیار (میلیون ریال)</t>
  </si>
  <si>
    <t>جمع کل</t>
  </si>
  <si>
    <t>پارمترها</t>
  </si>
  <si>
    <t>نرخ</t>
  </si>
  <si>
    <t>ارزیابی بر اساس سطح تجربه</t>
  </si>
  <si>
    <t>سطح تجربه</t>
  </si>
  <si>
    <t>سطح دستمزد</t>
  </si>
  <si>
    <t>تجربه</t>
  </si>
  <si>
    <t>پایین‌تر از دیپلم</t>
  </si>
  <si>
    <t>بهره وری نیروی کار و رقابت پذیری آن</t>
  </si>
  <si>
    <t>مقدار معیار</t>
  </si>
  <si>
    <t>نسبت جبران خدمات به ارزش افزوده</t>
  </si>
  <si>
    <t>نسبت جبران خدمت به تعداد افراد شاغل</t>
  </si>
  <si>
    <t>بهره وری سرمایه و رقابت پذیری در آن</t>
  </si>
  <si>
    <t>ROA</t>
  </si>
  <si>
    <t>بهره وری انرژی و رقابت پذیری در آن</t>
  </si>
  <si>
    <t>هزینه انرژی به فروش</t>
  </si>
  <si>
    <t xml:space="preserve">الف) ارزیابی تشکل </t>
  </si>
  <si>
    <t>قوت جایگاه قانونی</t>
  </si>
  <si>
    <t>کفایت اختیارات برای وضع و اجرای استانداردها و مقررات</t>
  </si>
  <si>
    <t>کفایت اختیارات در بازرسی و اخذ گزارش و اطلاعات</t>
  </si>
  <si>
    <t>کفایت اختیار برای تعیین و اجرای مجازات های بازدارنده</t>
  </si>
  <si>
    <t>کیفیت شرایط عضویت و رعایت آن</t>
  </si>
  <si>
    <t>ارزیابی عملکرد در حل مشکلات اعضاء و دفاع از منافع آنها</t>
  </si>
  <si>
    <t>تناسب ساختار با اهداف</t>
  </si>
  <si>
    <t>قدرت و توانایی برای دفاع از اعضای منافع مشروع اعضاء</t>
  </si>
  <si>
    <t>ارزیابی عملکرد در وضع و اجرای استانداردها و مقررات</t>
  </si>
  <si>
    <t>ب) استقلال تشکل</t>
  </si>
  <si>
    <t>میزان تأثیر فرآیند  انتخاب ارکان اداره کننده و تصمیم گیر و شرایط آنها در استقلال ارکان یاد شده از اعضاء</t>
  </si>
  <si>
    <t>میزان تأثیر فرآیند انتخاب ارکان اداره کننده و تصمیم گیر و شرایط آنها در استقلال ارکان یاد شده از مراجع دولتی و غیر دولتی ذیربط و میزان رعایت آن</t>
  </si>
  <si>
    <t>میزان استقلال ارکان وضع کنندۀ استانداردها و مقررات</t>
  </si>
  <si>
    <t>میزان استقلال ارکان نظارت کننده بر اعضاء</t>
  </si>
  <si>
    <t>میزان استقلال ارکان رسیدگی به تخلفات اعضاء</t>
  </si>
  <si>
    <t>ج) ارزیابی میزان مشارکت در تشکل</t>
  </si>
  <si>
    <t>پرداخت به موقع حق عضویت</t>
  </si>
  <si>
    <t>میزان حضور و عضویت در کارگروهها، کمیته ها، کمیسیون ها، مجامع ،جلسات و غیره،</t>
  </si>
  <si>
    <t>ارزیابی هرگونه لوح تقدیر، تأییدیه، رتبه بندی و غیره که از طرف تشکل صادر شده است</t>
  </si>
  <si>
    <t>ارزیابی تشکل از عضو در زمینۀ میزان پایبندی به مقررات، عدم انجام تخلفات و مشارکت امور</t>
  </si>
  <si>
    <t>امتیاز هر تشکل</t>
  </si>
  <si>
    <t>فعالیت های عام المنفعه و محرومیت زدایی</t>
  </si>
  <si>
    <t>حالت</t>
  </si>
  <si>
    <t>عضویت در انجمن های خیریه</t>
  </si>
  <si>
    <t>آیا واحد تجاری در انجمن های خیریه عضویت داشته است؟</t>
  </si>
  <si>
    <t>بله</t>
  </si>
  <si>
    <t>میزان فعالیت های عام المنفعه</t>
  </si>
  <si>
    <t>آیا واحد تجاری در فعالیتهای عام المنفعه مشارکت داشته است؟</t>
  </si>
  <si>
    <t>سرمایه گذاری در مناطق محروم</t>
  </si>
  <si>
    <t>آیا واحد تجاری در مناطق محروم سرمایه گذاری نموده است؟</t>
  </si>
  <si>
    <t>توسعۀ مسئولیت پذیری اجتماعی</t>
  </si>
  <si>
    <t>آیا واحد تجاری به منظور توسعۀ مسئولیت پذیری اجتماعی اقداماتی انجام داده است؟</t>
  </si>
  <si>
    <t>اهرم عملیاتی</t>
  </si>
  <si>
    <t>مدت اعتبار (به ماه)</t>
  </si>
  <si>
    <t>تعداد ماههای منقضی شده</t>
  </si>
  <si>
    <t>مالی بانکی</t>
  </si>
  <si>
    <t>خدماتی</t>
  </si>
  <si>
    <t>آیا در عمل شواهدی برای پیاده سازی وجود دارد؟</t>
  </si>
  <si>
    <t>تا چه حد کارکنان برای اجرا آموزش دیده اند؟</t>
  </si>
  <si>
    <t>تا چه حد مدیریت برای اجرای آن اعتقاد دارد؟</t>
  </si>
  <si>
    <t>تعداد کارکنان</t>
  </si>
  <si>
    <t>حوزه: شاخص های کسب و کار - کیفی</t>
  </si>
  <si>
    <t>زیرحوزه</t>
  </si>
  <si>
    <t>شاخص</t>
  </si>
  <si>
    <t>وضعیت مدیران</t>
  </si>
  <si>
    <t>مدرک تحصیلی اعضای هیأت مدیره و مدیران ارشد</t>
  </si>
  <si>
    <t>تجربه کاری اعضای هیأت مدیره و مدیران ارشد</t>
  </si>
  <si>
    <t>نظام مدیریتی</t>
  </si>
  <si>
    <t>نوع  و ترکیب مالکیت</t>
  </si>
  <si>
    <t>نظامنامه کیفیت</t>
  </si>
  <si>
    <t>استانداردها</t>
  </si>
  <si>
    <t>جوایز معتبر</t>
  </si>
  <si>
    <t>برنامه ریزی راهبردی</t>
  </si>
  <si>
    <t>استقرار حاکمیت شرکتی</t>
  </si>
  <si>
    <t>مدیریت زنجیره ارزش</t>
  </si>
  <si>
    <t>برنامه ریزی بلندمدت</t>
  </si>
  <si>
    <t>توجه به تحقیق و توسعه</t>
  </si>
  <si>
    <t>وضعیت تولید</t>
  </si>
  <si>
    <t>راندمان تولید</t>
  </si>
  <si>
    <t>وضعیت اشتغال</t>
  </si>
  <si>
    <t>تعداد افراد شاغل</t>
  </si>
  <si>
    <t>سطح تحصیلات افراد شاغل</t>
  </si>
  <si>
    <t>تخصص افراد شاغل</t>
  </si>
  <si>
    <t>تجربه افراد شاغل</t>
  </si>
  <si>
    <t>درآمد سرانه افراد شاغل</t>
  </si>
  <si>
    <t>وضعیت بهره وری</t>
  </si>
  <si>
    <t>بهره وری در انرژی و رقابت پذیری در آن</t>
  </si>
  <si>
    <t>بهره وری در نیروی کار . رقابت پذیری در آن</t>
  </si>
  <si>
    <t>تشکل گرایی</t>
  </si>
  <si>
    <t>توسعه مسئولیت پذیری اجتماعی</t>
  </si>
  <si>
    <t>رونق موضوع فعالیت</t>
  </si>
  <si>
    <t>پیش بینی رونق موضوع فعالیت در آینده</t>
  </si>
  <si>
    <t>تسهیم</t>
  </si>
  <si>
    <t>نمره زیرحوزه</t>
  </si>
  <si>
    <t>اعتبار یا کیفیت</t>
  </si>
  <si>
    <t>ضریب</t>
  </si>
  <si>
    <t>اهمیت (ارتباط)</t>
  </si>
  <si>
    <t>میزان رعایت</t>
  </si>
  <si>
    <t>ضریب انقضا</t>
  </si>
  <si>
    <t>مستندات مربوط به سرمايه گذاري در مناطق محروم و کمتر توسعه یافته</t>
  </si>
  <si>
    <t>مستندات مربوط به فعالیت های اجتماعی</t>
  </si>
  <si>
    <t>گواهی های مربوط به عضویت تشکل ها</t>
  </si>
  <si>
    <t>مستندات مربوط به تحقیق و توسعه در شرکت</t>
  </si>
  <si>
    <t>تقدیرنامه ها و گزارش های بازخورد جوایز (آخرین سال)</t>
  </si>
  <si>
    <t>کارت بازرگانی</t>
  </si>
  <si>
    <t>پروانه کسب</t>
  </si>
  <si>
    <t>لیست گواهینامه ها و تاییدیه ها</t>
  </si>
  <si>
    <t>مدارک تحصیلی پرسنل</t>
  </si>
  <si>
    <t>مستندات دوره های آموزشی پرسنل</t>
  </si>
  <si>
    <t>مستندات دوره های آموزشی اعضای هیئت مدیره و مدیرعامل</t>
  </si>
  <si>
    <t>رزومه و سابقه بیمه مدیرعامل</t>
  </si>
  <si>
    <t>رزومه و سابقه بیمه دیگر اعضای هیات مدیره</t>
  </si>
  <si>
    <t>رزومه و سابقه بیمه نایب رئیس هیات مدیره</t>
  </si>
  <si>
    <t>رزومه و سابقه بیمه رئیس هیات مدیره</t>
  </si>
  <si>
    <t>آخرین مدرک تحصیلی مدیرعامل</t>
  </si>
  <si>
    <t>آخرین مدرک تحصیلی نایب رئیس هیات مدیره</t>
  </si>
  <si>
    <t>آخرین مدرک تحصیلی رئیس هیات مدیره</t>
  </si>
  <si>
    <t>آخرین لیست بیمه</t>
  </si>
  <si>
    <t>اظهارنامه ثبتی</t>
  </si>
  <si>
    <t>اساسنامه</t>
  </si>
  <si>
    <t xml:space="preserve">چارت سازمانی </t>
  </si>
  <si>
    <t>فیش واریزی جهت رتبه بندی</t>
  </si>
  <si>
    <t>توضیحات یا تعداد</t>
  </si>
  <si>
    <t>لیست مدارک</t>
  </si>
  <si>
    <t>لیست مدارکی که متقاضی باید برای فرایند رتبه بندی ارائه دهد</t>
  </si>
  <si>
    <t>تعداد کارکنان=</t>
  </si>
  <si>
    <t>شناسه ملی:</t>
  </si>
  <si>
    <t>تاریخ:</t>
  </si>
  <si>
    <t>امتیاز بخش بهره وری نیروی کار بررسی شود درصورت عدم وجود داده های مالی صفر رد شود</t>
  </si>
  <si>
    <t>آخرین مدرک تحصیلی دیگر اعضای هیات مدیره</t>
  </si>
  <si>
    <t>آخرین مدرک تحصیلی دیگر مدیران</t>
  </si>
  <si>
    <t>رزومه و سابقه بیمه دیگر مدیران</t>
  </si>
  <si>
    <t>گلنار صمیمی- محمد خدابخش علیائی</t>
  </si>
  <si>
    <t>تحقیق و توسعه</t>
  </si>
  <si>
    <t>ساختار تحقیق و توسعه</t>
  </si>
  <si>
    <t>ساختار سازمان (وجود تیم R&amp;D در سازمان، شرکت‌های وابسته یا مشاور)</t>
  </si>
  <si>
    <t xml:space="preserve">منابع انسانی (متناسب بودن دانش کارکنان) </t>
  </si>
  <si>
    <t xml:space="preserve">هزینه‌های تحقیق و توسعه (شرکت در نمایشگاه، مشاور و ...) </t>
  </si>
  <si>
    <t>اسناد و خروجی‌های تحقیق و توسعه</t>
  </si>
  <si>
    <t>تحقیقات بازار</t>
  </si>
  <si>
    <t>Approved Vendors List (AVL)</t>
  </si>
  <si>
    <t>سایر اسناد</t>
  </si>
  <si>
    <t>فهرست سایر اسناد تحقیق و توسعه</t>
  </si>
  <si>
    <t>حاکمیت شرکتی</t>
  </si>
  <si>
    <t>ارزیابی قضاوتی</t>
  </si>
  <si>
    <t>امتیاز موزون</t>
  </si>
  <si>
    <t>مستندات</t>
  </si>
  <si>
    <t>بیانیه حاکمیت شرکتی</t>
  </si>
  <si>
    <t>چارت سازمانی</t>
  </si>
  <si>
    <t>شرح شغل</t>
  </si>
  <si>
    <t>اسناد مدیریت ریسک</t>
  </si>
  <si>
    <t>مستندات فرآیندی (نظام پاداش، دستورالعمل معاملات با اشخاص وابسته و ...)</t>
  </si>
  <si>
    <t>توضیحات</t>
  </si>
  <si>
    <t xml:space="preserve">رعایت حقوق ذینفعان بجز سهامداران </t>
  </si>
  <si>
    <t>آیا مدیر عامل عضو هیأت مدیره نیست؟</t>
  </si>
  <si>
    <t xml:space="preserve">  آیا مدیرعامل رئیس هیأت مدیره نمی باشد؟</t>
  </si>
  <si>
    <t>میلیارد ریال</t>
  </si>
  <si>
    <t xml:space="preserve">استاندارد </t>
  </si>
  <si>
    <t>نسبت گردش دارایی</t>
  </si>
  <si>
    <t>میزان تأثیر پذیری</t>
  </si>
  <si>
    <t>چشم انداز</t>
  </si>
  <si>
    <t>دامنه نوسان</t>
  </si>
  <si>
    <t>0-100%</t>
  </si>
  <si>
    <t>دامنه -100% تا +100%</t>
  </si>
  <si>
    <t>تغییر روابط بین الملل</t>
  </si>
  <si>
    <t>متغیرهای سیاست داخلی</t>
  </si>
  <si>
    <t>متغیرهای اجتماعی</t>
  </si>
  <si>
    <t>روابط کارگری</t>
  </si>
  <si>
    <t>اقتصاد جهانی</t>
  </si>
  <si>
    <t>میزان حمایت دولت</t>
  </si>
  <si>
    <t>تغییر نرخ ارز</t>
  </si>
  <si>
    <t>مرحله</t>
  </si>
  <si>
    <t>تغییر نرخ بهره</t>
  </si>
  <si>
    <t>مراحل چرخه عمر شرکت</t>
  </si>
  <si>
    <t>طفولیت</t>
  </si>
  <si>
    <t>تغییر تورم</t>
  </si>
  <si>
    <t>نوجوانی</t>
  </si>
  <si>
    <t>بودجه دولت</t>
  </si>
  <si>
    <t>تغییرات آب و هوا</t>
  </si>
  <si>
    <t>بلوغ</t>
  </si>
  <si>
    <t>مسائل محیط زیست</t>
  </si>
  <si>
    <t>افول</t>
  </si>
  <si>
    <t>چرخه های کسب و کار</t>
  </si>
  <si>
    <t>تغییر قوانین و مقررات</t>
  </si>
  <si>
    <t>قدرت چانه زنی خریداران</t>
  </si>
  <si>
    <t>میزان</t>
  </si>
  <si>
    <t>قدرت چانه زنی عرضه کنندگان</t>
  </si>
  <si>
    <t>سطوح رقابت</t>
  </si>
  <si>
    <t>مسائل فرهنگی</t>
  </si>
  <si>
    <t>کم</t>
  </si>
  <si>
    <t>تغییرات تکنولوژی</t>
  </si>
  <si>
    <t>دوره عمر شرکت</t>
  </si>
  <si>
    <t>دوره عمر صنعت</t>
  </si>
  <si>
    <t>دوره عمر محصول</t>
  </si>
  <si>
    <t>تهدید ورود رقبای جدید</t>
  </si>
  <si>
    <t>رقابت بین رقبای موجود</t>
  </si>
  <si>
    <t>فشار ناشی از محصولات جایگزین</t>
  </si>
  <si>
    <t>هزینه ثابت</t>
  </si>
  <si>
    <t>مجموع هزینه‌های متغیر</t>
  </si>
  <si>
    <t>امتیاز اهرم عملیاتی</t>
  </si>
  <si>
    <t>مجموع فروش</t>
  </si>
  <si>
    <t>نوع و ترکیب مالکیت</t>
  </si>
  <si>
    <t>نام مالک</t>
  </si>
  <si>
    <t>قوانین حاکم بر مالک</t>
  </si>
  <si>
    <t>میانگین امتیاز</t>
  </si>
  <si>
    <t>حقیقی</t>
  </si>
  <si>
    <t>سهامی عام پذیرفته شده</t>
  </si>
  <si>
    <t>سهامی عام پذیرفته نشده</t>
  </si>
  <si>
    <t>شخص حقیقی</t>
  </si>
  <si>
    <t>تضامنی</t>
  </si>
  <si>
    <t>سهامی خاص</t>
  </si>
  <si>
    <t>مسئولیت محدود</t>
  </si>
  <si>
    <t xml:space="preserve">سایر انواع شخصیت مالک </t>
  </si>
  <si>
    <t>http://tccim.ir/ImpExpStatsDetail_TarrifCustomCountry.aspx?mode=doit</t>
  </si>
  <si>
    <t>سایت مرجع واردات</t>
  </si>
  <si>
    <t xml:space="preserve"> آخرین ویرایش نظامنامه ها(شناسنامه فرایند، دستورالعمل و روش اجرایی)</t>
  </si>
  <si>
    <t>برنامه استراتژیک شرکت</t>
  </si>
  <si>
    <t xml:space="preserve"> مستندات مربوط به مدیریت زنجیره ارزش در شرکت</t>
  </si>
  <si>
    <t>گزارش هیات مدیره به مجمع عمومی (در صورت وجود)</t>
  </si>
  <si>
    <t>شرح وظایف شغلی مدیران طبق چارت سازمانی شرکت</t>
  </si>
  <si>
    <t>رتبه بندی اعتباری پارس کیان</t>
  </si>
  <si>
    <t>عضویت و مشارکت فعال در اتحادیه ها و تشکل های صنفی، هیأت نمایندگان، کمیسیون های  و اتاق های مشترک</t>
  </si>
  <si>
    <t>سال شروع فعالیت</t>
  </si>
  <si>
    <t>صنعت مربوطه</t>
  </si>
  <si>
    <t>نوع شرکت</t>
  </si>
  <si>
    <t>حسابرس معتمد بورس</t>
  </si>
  <si>
    <t>وضعیت شرح وظایف</t>
  </si>
  <si>
    <t>دارد</t>
  </si>
  <si>
    <t>ندارد</t>
  </si>
  <si>
    <t xml:space="preserve"> صورت مالی حسابرسی</t>
  </si>
  <si>
    <t>فعال اقتصادی ارزیابی شونده:</t>
  </si>
  <si>
    <t>رشد</t>
  </si>
  <si>
    <t>توجه :امتیازات میزان تاثیرپذیری و چشم انداز برای هر صنعت قابل تغییر است</t>
  </si>
  <si>
    <t>تدوین برنامه</t>
  </si>
  <si>
    <t>مستند سازی صحیح کلیه ارکان و اجزای برنامه استراتژیک</t>
  </si>
  <si>
    <t>بررسی اجرای برنامه</t>
  </si>
  <si>
    <t>سازگاری و تناسب اجزای برنامه</t>
  </si>
  <si>
    <t>تدوین مناسب سنجه ها و شاخص‌های عملکرد</t>
  </si>
  <si>
    <t>کیفیت گزارشات</t>
  </si>
  <si>
    <t>سازوکار اقدام اصلاحی (بررسی صورتجلسات و دستورالعمل‌ها)</t>
  </si>
  <si>
    <t>آموزش و مشارکت کارکنان</t>
  </si>
  <si>
    <t>کیفیت برنامه راهبردی</t>
  </si>
  <si>
    <t>بیانیه چشم انداز</t>
  </si>
  <si>
    <t>خیلی ضعیف</t>
  </si>
  <si>
    <t>برنامه ریزی بلند مدت</t>
  </si>
  <si>
    <t>تعریف مأموریت</t>
  </si>
  <si>
    <t>تعیین ارزشهای سازمانی</t>
  </si>
  <si>
    <t>تعریف اهداف بلند مدت متناسب با توان اجرایی سازمان</t>
  </si>
  <si>
    <t>تحلیل نقاط ضعف</t>
  </si>
  <si>
    <t xml:space="preserve">تحلیل نقاط قوت </t>
  </si>
  <si>
    <t>تحلیل تهدیدها</t>
  </si>
  <si>
    <t>تحلیل فرصت ها</t>
  </si>
  <si>
    <t>تعریف مناسب استراتژی با توجه به تحلیل های SWOT</t>
  </si>
  <si>
    <t>تعریف مناسب خط مشی ها</t>
  </si>
  <si>
    <t>تعریف اهداف کوتاه مدت در راستای اهداف بلند مدت</t>
  </si>
  <si>
    <t>تعریف اهداف بخشی در راستای اهداف کوتاه مدت و  بلند مدت</t>
  </si>
  <si>
    <t>تدوین برنامه ریزی عملیاتی در راستای اجرای اهداف کوتاه مدت و بخشی</t>
  </si>
  <si>
    <t>تدوین بودجه در راستای اجرای برنامه های عملیاتی</t>
  </si>
  <si>
    <t>آیا سنجه های مناسب برای کنترل اجرای برنامه ها و میزان وصول به اهداف تعریف شده اند؟</t>
  </si>
  <si>
    <t>آیا سیستم های اطلاعاتی مناسب برای اندازه گیری سنجه های کنترلی به شکل مؤثر طراحی و پیاده سازی شده اند؟</t>
  </si>
  <si>
    <t>اجرا، کنترل و بازخورد</t>
  </si>
  <si>
    <t>آیا مدیریت ارشد از برنامه راهبردی از درک عمیق برخوردار و به اجرای برنامه استراتژیک متعهد است؟</t>
  </si>
  <si>
    <t xml:space="preserve">آیا به مدیران میانی و کارکنان سازمان آموزش کافی برای فهم و اجرای برنامه راهبردی آموزش کافی داده شده است؟ </t>
  </si>
  <si>
    <t>مدیریت و کارکنان تا چه حد در تدوین برنامه راهبردی مشارکت داشته اند؟</t>
  </si>
  <si>
    <t>آیا در سازمان واحد مستقلی با جایگاه مناسب، نیروی انسانی صلاحیت دار و امکانات کافی صرفاً برای تدوین برنامه راهبردی و کنترل و اجرای آن و تهیه بازخورد اختصاص داده شده است؟</t>
  </si>
  <si>
    <t>آیا بصورت دوره ای اجرای برنامه راهبردی کنترل و انحرافات به موقع شناسایی و اقدام اصلاحی تعیین و اجرا می شود؟</t>
  </si>
  <si>
    <t>آیا نظام انگیزشی مناسب برای ترغیب مدیران و کارکنان به پیگیری اهداف و راهبردها طراحی و پیاده سازی شده است؟</t>
  </si>
  <si>
    <t>آیا انحرافات به موقع به مدیران مرتبط گزارش داده می شود؟</t>
  </si>
  <si>
    <t>آیا هیأت مدیره رأساً یا از طریق کمیته ای مستقل از مدیران اجرایی بر تدوین برنامه ریزی استراتژیک و اجرای آن نظارت دارد؟</t>
  </si>
  <si>
    <t>آیا انحراف از اهداف تعیین شده به میزانی قابل قبول بوده و از توجیه کافی از سوی مدیریت برخوردار است؟</t>
  </si>
  <si>
    <t>خیلی خوب</t>
  </si>
  <si>
    <t>خوب</t>
  </si>
  <si>
    <t>ضعیف</t>
  </si>
  <si>
    <t>فروش</t>
  </si>
  <si>
    <t>میزان تقریبی کمک</t>
  </si>
  <si>
    <t>درصد</t>
  </si>
  <si>
    <t>کارشناس تهیه کننده</t>
  </si>
  <si>
    <t xml:space="preserve">گواهی دوره های تخصصی </t>
  </si>
  <si>
    <t>تایید واریزی</t>
  </si>
  <si>
    <t>تایید کدال</t>
  </si>
  <si>
    <t>تایید کننده نهایی</t>
  </si>
  <si>
    <t>کارشناس ارشد تایید کننده</t>
  </si>
  <si>
    <t>کد ملی:</t>
  </si>
  <si>
    <t xml:space="preserve"> شخص حقیقی:</t>
  </si>
  <si>
    <t xml:space="preserve">تاریخ تولد: </t>
  </si>
  <si>
    <t xml:space="preserve">تاریخ: </t>
  </si>
  <si>
    <t>نام و امضا:</t>
  </si>
  <si>
    <t>تایید دریافت قرارداد:</t>
  </si>
  <si>
    <t xml:space="preserve">تاریخ کدال: </t>
  </si>
  <si>
    <t xml:space="preserve">شماره پیگیری: </t>
  </si>
  <si>
    <t>تاریخ ارجاع به کمیته:</t>
  </si>
  <si>
    <t>تاریخ درخواست:</t>
  </si>
  <si>
    <t>تاریخ شروع:</t>
  </si>
  <si>
    <t>نوع شرکت:</t>
  </si>
  <si>
    <t>ارزیابی وضعیت مدرک تحصیلی اعضای هیئت مدیره و مدیران ارشد</t>
  </si>
  <si>
    <t>تعداد هیئت مدیره</t>
  </si>
  <si>
    <t>موضوع فعالیت</t>
  </si>
  <si>
    <t>قضاوتی</t>
  </si>
  <si>
    <t>مدرک تحصیلی غیر قضاوتی</t>
  </si>
  <si>
    <t>مدرک تحصیلی قضاوتی</t>
  </si>
  <si>
    <t xml:space="preserve">کفایت مدرک با توجه به سوابق تجربی </t>
  </si>
  <si>
    <t>محاسبات</t>
  </si>
  <si>
    <t xml:space="preserve">عضو هیات مدیره /مدیر عامل / مدیر </t>
  </si>
  <si>
    <t xml:space="preserve">سمت </t>
  </si>
  <si>
    <t>عنوان مدرک</t>
  </si>
  <si>
    <t>دانشگاه</t>
  </si>
  <si>
    <t>تعدا هیئت مدیره</t>
  </si>
  <si>
    <t>رییس هیئت مدیره</t>
  </si>
  <si>
    <t>امتیاز ارتباط در تنوع</t>
  </si>
  <si>
    <t>ضریب مشارکت  هیات مدیره (شرکت های بورسی امتیاز کامل دریافت می گردد)</t>
  </si>
  <si>
    <t>پیوست شیوه نمره‌دهی قضاوتی - ضریب مشارکت</t>
  </si>
  <si>
    <t>فرمول</t>
  </si>
  <si>
    <t>تعداد کل هیئت مدیره</t>
  </si>
  <si>
    <t>بورسی</t>
  </si>
  <si>
    <t>بیشتر از 60 درصد</t>
  </si>
  <si>
    <t>یشتر از  50 درصد</t>
  </si>
  <si>
    <t>بیشتر و مساوی 40 درصد</t>
  </si>
  <si>
    <t>کمتر از 40 درصد</t>
  </si>
  <si>
    <t>تعداد موظف</t>
  </si>
  <si>
    <t>پیوست شیوه نمره‌دهی غیر قضاوتی</t>
  </si>
  <si>
    <t>پیوست شیوه نمره‌دهی قضاوتی - ارتباط مدرک با سمت</t>
  </si>
  <si>
    <t>بالاتر از دیپلم</t>
  </si>
  <si>
    <t>دیپلم و پایین تر</t>
  </si>
  <si>
    <t xml:space="preserve">خیلی مرتبط </t>
  </si>
  <si>
    <t>مرتبط</t>
  </si>
  <si>
    <t>غیر مرتبط</t>
  </si>
  <si>
    <t>مرتبط در حد دیپلم</t>
  </si>
  <si>
    <t>مرتبط در حد زیر دیپلم</t>
  </si>
  <si>
    <t>پیوست شیوه نمره‌دهی قضاوتی - کیفیت مرجع صدور</t>
  </si>
  <si>
    <t>دولتی درجه یک</t>
  </si>
  <si>
    <t>سایردولتی</t>
  </si>
  <si>
    <t>آزاد درجه یک</t>
  </si>
  <si>
    <t>سایر آزاد</t>
  </si>
  <si>
    <t xml:space="preserve">پیام نور </t>
  </si>
  <si>
    <t>علمی کاربردی</t>
  </si>
  <si>
    <t>آموزش و پرورش</t>
  </si>
  <si>
    <t>فنی حرفه ای</t>
  </si>
  <si>
    <t>زیر دیپلم</t>
  </si>
  <si>
    <t>پیوست شیوه نمره‌دهی قضاوتی -  کفایت سطح مدرک</t>
  </si>
  <si>
    <t>سطح بالاتر</t>
  </si>
  <si>
    <t xml:space="preserve">سطح فعلی </t>
  </si>
  <si>
    <t>موظف</t>
  </si>
  <si>
    <t>غیر موظف</t>
  </si>
  <si>
    <t>عضو هیئت مدیره</t>
  </si>
  <si>
    <t>مدیرعامل</t>
  </si>
  <si>
    <t xml:space="preserve">مدیر </t>
  </si>
  <si>
    <t>یک خیلی مرتبط و بقیه مرتبط</t>
  </si>
  <si>
    <t xml:space="preserve">همه مرتیط </t>
  </si>
  <si>
    <t>بیش از نصف مرتیط</t>
  </si>
  <si>
    <t>کمتر از نصف مرتبط</t>
  </si>
  <si>
    <t>ارزیابی وضعیت تجربه کاری اعضای هیئت مدیره و مدیران ارشد اجرایی</t>
  </si>
  <si>
    <t>سقف سابقه هیات مدیره</t>
  </si>
  <si>
    <t>سقف سابقه مدیران</t>
  </si>
  <si>
    <t>ارتباط  و کیفیت تجربه</t>
  </si>
  <si>
    <t xml:space="preserve"> مستندات'سایر</t>
  </si>
  <si>
    <t>روزنامه رسمی</t>
  </si>
  <si>
    <t>بیمه</t>
  </si>
  <si>
    <t>پیوست شیوه نمره‌دهی قضاوتی - ارتباط و کیفیت تجربه</t>
  </si>
  <si>
    <t>وضعیت ارتباط و کیفیت</t>
  </si>
  <si>
    <t>با کیفیت</t>
  </si>
  <si>
    <t>متناسب</t>
  </si>
  <si>
    <t>بی کیفیت</t>
  </si>
  <si>
    <t>امتیاز وضعیت</t>
  </si>
  <si>
    <t>جمع سوابق بیمه و روزنامه رسمی</t>
  </si>
  <si>
    <t>کمتر از 24 ماه</t>
  </si>
  <si>
    <t>ارزیابی وضعیت دوره‌های آموزشی اعضای هیئت مدیره و مدیران ارشد</t>
  </si>
  <si>
    <t>موضوع فعالیت شرکت</t>
  </si>
  <si>
    <t>نام افراد حاضر در دوره</t>
  </si>
  <si>
    <t xml:space="preserve">ضریب تنوع </t>
  </si>
  <si>
    <t>پیوست شیوه نمره‌دهی  ضریب ارتباط</t>
  </si>
  <si>
    <t>خیلی مرتبط</t>
  </si>
  <si>
    <t xml:space="preserve">مرتبط </t>
  </si>
  <si>
    <t xml:space="preserve">غیر مرتبط </t>
  </si>
  <si>
    <t>پیوست شیوه نمره‌دهی  ضریب اعتبار</t>
  </si>
  <si>
    <t>مدیریت صنعتی</t>
  </si>
  <si>
    <t>مرکز پژوهش سازمان ها</t>
  </si>
  <si>
    <t>اتاق بازرگانی</t>
  </si>
  <si>
    <t>سایر</t>
  </si>
  <si>
    <t>داخلی شرکت</t>
  </si>
  <si>
    <t>اظهارنامه مالیاتی (2 سال اخیر)</t>
  </si>
  <si>
    <t>صورت های مالی و یادداشت های حسابرسی شده (2 سال اخیر)</t>
  </si>
  <si>
    <t xml:space="preserve">فایل اکسل فایل اکسل ارزیابی " Main Data Analysis " </t>
  </si>
  <si>
    <t>آخرین تغییرات هیات مدیره در روزنامه رسمی</t>
  </si>
  <si>
    <t xml:space="preserve"> استاندارد های تدوین شده</t>
  </si>
  <si>
    <t>سایر مراکز معتبر بر اساس شناخت ارزیاب و نظر کمیته اعمال می شود.</t>
  </si>
  <si>
    <t>سایر مراکز معتبر</t>
  </si>
  <si>
    <t>شرکت</t>
  </si>
  <si>
    <t>حوزه ها</t>
  </si>
  <si>
    <t>ضرایب</t>
  </si>
  <si>
    <t>درصد امتیاز هر حوزه</t>
  </si>
  <si>
    <t>امتیاز هر حوزه</t>
  </si>
  <si>
    <t>وضعیت ارزیابی</t>
  </si>
  <si>
    <t>مجموع</t>
  </si>
  <si>
    <t>مجموع امتیاز ارزیابی از 800</t>
  </si>
  <si>
    <t>مجموع امتیاز ارزیابی از 250 (تقریبی)</t>
  </si>
  <si>
    <t>پیوست شیوه نمره‌دهی  ضریب تنوع</t>
  </si>
  <si>
    <t>هیئت مدیره</t>
  </si>
  <si>
    <t>مدیران ارشد</t>
  </si>
  <si>
    <t>نعداد نفرات هیات مدیره دارای گواهینامه آموزشی به تعداد کل نفرات هیات مدیره</t>
  </si>
  <si>
    <t>نعداد مدیران ارشد دارای گواهینامه آموزشی به تعداد کل مدیران ارشد</t>
  </si>
  <si>
    <t>سراسری درجه یک</t>
  </si>
  <si>
    <t>دانشگاه علوم و تحقیقات</t>
  </si>
  <si>
    <t>دانشگاه صنعتی شریف</t>
  </si>
  <si>
    <t xml:space="preserve">دانشگاه آزاد اسلامی واحد های تهران </t>
  </si>
  <si>
    <t>دانشگاه تهران</t>
  </si>
  <si>
    <t>دانشگاه آزاد اسلامی واحد قزوین</t>
  </si>
  <si>
    <t>دانشگاه امیرکبیر</t>
  </si>
  <si>
    <t>دانشگاه آزاد اسلامی واحد تبریز</t>
  </si>
  <si>
    <t>دانشگاه علم و صنعت</t>
  </si>
  <si>
    <t>دانشگاه آزاد اسلامی واحد کرج</t>
  </si>
  <si>
    <t>دانشگاه خواجه نصیر</t>
  </si>
  <si>
    <t>دانشگاه آزاد اسلامی واحد نجف آباد</t>
  </si>
  <si>
    <t>دانشگاه شهید بهشتی</t>
  </si>
  <si>
    <t xml:space="preserve">دانشگاه آزاد اسلامی واحد اصفهان </t>
  </si>
  <si>
    <t>دانشگاه صنعتی اصفهان</t>
  </si>
  <si>
    <t>دانشگاه فردوسی مشهد</t>
  </si>
  <si>
    <t>دانشگاه شیراز</t>
  </si>
  <si>
    <t>دانشگاه تربیت مدرس</t>
  </si>
  <si>
    <t>دانشگاه تبریز</t>
  </si>
  <si>
    <t>دانشگاه های  پزشکی تهران، تبریز، شیراز اصفهان</t>
  </si>
  <si>
    <t>اسامی دانشگاه های درجه یک به تفکیک آزاد و سراسری</t>
  </si>
  <si>
    <t>شرکت بورسی</t>
  </si>
  <si>
    <t>شرکت غیر بورسی</t>
  </si>
  <si>
    <t>بیش از 60 ماه</t>
  </si>
  <si>
    <t xml:space="preserve"> 24 تا 60 ماه</t>
  </si>
  <si>
    <t>توجه: دوره icdl , دوره TOFEL با نمره بالای 60  و IELTS با تمره بالای 6 مرتبط می باشد.</t>
  </si>
  <si>
    <t>0 ماه</t>
  </si>
  <si>
    <t>زهرا افشار</t>
  </si>
  <si>
    <t>اصغر بهزادی</t>
  </si>
  <si>
    <t>حمیدرضا تیغ بند</t>
  </si>
  <si>
    <t>فاطمه سعیدی</t>
  </si>
  <si>
    <t>ارسطو حسینی</t>
  </si>
  <si>
    <t>مدیر بازرگانی</t>
  </si>
  <si>
    <t>مدیریت بورس</t>
  </si>
  <si>
    <t>محرم اسدی</t>
  </si>
  <si>
    <t>مدير ارشد فنی و مهندسی</t>
  </si>
  <si>
    <t>مهندسی تکنولوژی ساخت و تولید گرایش قالب سازی</t>
  </si>
  <si>
    <t>دامون دریائی</t>
  </si>
  <si>
    <t xml:space="preserve">مدير خدمات بعد از فروش </t>
  </si>
  <si>
    <t>ریاضی</t>
  </si>
  <si>
    <t>خانم فاطمه سعیدی</t>
  </si>
  <si>
    <t>productivity</t>
  </si>
  <si>
    <t>organizational behavior</t>
  </si>
  <si>
    <t>رابطه خلاقیت مدیران با رضایت مندی مشتری و خدمات پس از فروش</t>
  </si>
  <si>
    <t>سمینار خلاقیت مدیران با رضایت مندی مشتری و خدمات پس از فروش</t>
  </si>
  <si>
    <t>seminar on creativity relationship management and after sales service with the organizations p rogress</t>
  </si>
  <si>
    <t>PPS Academy</t>
  </si>
  <si>
    <t>دومین سمینار علمی-تخصصی رابطه خلاقیت مدیران با رضایت مندی مشتری و خدمات پس از فروش</t>
  </si>
  <si>
    <t>مجتمع متخصصین ایران</t>
  </si>
  <si>
    <t>مرکز پیشرفته انرژی</t>
  </si>
  <si>
    <t>veri profi</t>
  </si>
  <si>
    <t>محل برگزاری</t>
  </si>
  <si>
    <t>آشنایی با  مبانی سیستم مدیریت کیفیت ISO 9001:2008</t>
  </si>
  <si>
    <t>تعمیرات و مگهداری PM</t>
  </si>
  <si>
    <t>تعیین نقطه سفارش قطعات یدکی در خدمات پس از فروش</t>
  </si>
  <si>
    <t>فرآیند بهبود پارسیان</t>
  </si>
  <si>
    <t>شرکت تولیدی موتور، گیربکس اکسل سایپا(سهامی خاص)</t>
  </si>
  <si>
    <t>همگامان بهینه سازی کسب وکار</t>
  </si>
  <si>
    <t>دستورالعمل ماهیت محصولات و قطعات یدکی</t>
  </si>
  <si>
    <t>داخلی</t>
  </si>
  <si>
    <t>ثبت اطلاعات مشتریان</t>
  </si>
  <si>
    <t>دستورالعمل شناسایی و ردیابی انبار</t>
  </si>
  <si>
    <t>دستورالعمل دریافت رضایت مشتریان</t>
  </si>
  <si>
    <t xml:space="preserve">ستورالععمل بازرسی قطعات یدکی </t>
  </si>
  <si>
    <t>روش اجرایی ممیزی داخلی</t>
  </si>
  <si>
    <t xml:space="preserve">روش اجرایی طرح ریزی اهداف کیفیت </t>
  </si>
  <si>
    <t>روش اجرایی استخدام</t>
  </si>
  <si>
    <t>روش اجرایی ارتباطات</t>
  </si>
  <si>
    <t>روش اجرایی اقدام اصلاحی</t>
  </si>
  <si>
    <t>روش اجرایی آموزش</t>
  </si>
  <si>
    <t>روش اجرایی بازنگری مدیریت</t>
  </si>
  <si>
    <t>ISO 9001:2015</t>
  </si>
  <si>
    <t>united Accreditation Foundation in usa</t>
  </si>
  <si>
    <t>ISO 11148-12:2012</t>
  </si>
  <si>
    <t>certification of conformity EC Council Directive 2006/42EC Machinary</t>
  </si>
  <si>
    <t>TUV Rheinland</t>
  </si>
  <si>
    <t>certification product identification</t>
  </si>
  <si>
    <t>گواهی ثبت اختراع</t>
  </si>
  <si>
    <t>سازمان ثبت املاک</t>
  </si>
  <si>
    <t>تندیس مشتریان برتر</t>
  </si>
  <si>
    <t>بانک ملت</t>
  </si>
  <si>
    <t>ابزار یراق توسن</t>
  </si>
  <si>
    <t>گزارش امکانسنجی تولید ابزارهای برشی و مانومتر</t>
  </si>
  <si>
    <t xml:space="preserve">شرکت مچزا تجت مالکیت </t>
  </si>
  <si>
    <t xml:space="preserve">اینستاگرام </t>
  </si>
  <si>
    <t>خبر نامه</t>
  </si>
  <si>
    <t>سایت مجهز</t>
  </si>
  <si>
    <t>جواز تاسیس و ایجاد کارخانه</t>
  </si>
  <si>
    <t>آیین نامه جامع منابع انسانی</t>
  </si>
  <si>
    <t>آیین نامه معاملات</t>
  </si>
  <si>
    <t>ایران و عراق</t>
  </si>
  <si>
    <t>ایران و چین</t>
  </si>
  <si>
    <t>ایران و ترکیه</t>
  </si>
  <si>
    <t>ایران و آلمان</t>
  </si>
  <si>
    <t>پروژه مدیریت فرایند، نرم افازر و سایت شرکت</t>
  </si>
  <si>
    <t>محصولات جدید طراحی و تولید</t>
  </si>
  <si>
    <t>مریم همتی</t>
  </si>
  <si>
    <t>کارشناس کمنرل کیفی</t>
  </si>
  <si>
    <t>حسابداری مهارت1</t>
  </si>
  <si>
    <t>حسابداری مهارت2</t>
  </si>
  <si>
    <t>کنترل کیفیت</t>
  </si>
  <si>
    <t>اصول مدیریت و بهره وری سازمانی</t>
  </si>
  <si>
    <t>مبانی بازاریابی و فروش، مشتری مداری، شیوه صحیح پاسخگویی تلفنی، زبان بدن و مدیریت شکایات</t>
  </si>
  <si>
    <t>مهدی کریمی</t>
  </si>
  <si>
    <t>کاردان فروش</t>
  </si>
  <si>
    <t>مدیریت ارتباط با مشتری</t>
  </si>
  <si>
    <t>عارفه اصلانی</t>
  </si>
  <si>
    <t>کارشناس حسابداری</t>
  </si>
  <si>
    <t>کارگاه عملی تنظیم اظهارنامه گمرکی و سامانه تجارت فرامرزی</t>
  </si>
  <si>
    <t>محمدرضا رضایی</t>
  </si>
  <si>
    <t>حسابدار</t>
  </si>
  <si>
    <t>نرم افزار هلو</t>
  </si>
  <si>
    <t>دوره جامع نرم افزار سپیدار همکاران سیستم</t>
  </si>
  <si>
    <t>مسعود پالیزوان</t>
  </si>
  <si>
    <t>کارشناس طراح</t>
  </si>
  <si>
    <t>مدلساز</t>
  </si>
  <si>
    <t>محمدامین حاجی سلطانی</t>
  </si>
  <si>
    <t>کارشناس مکانیک</t>
  </si>
  <si>
    <t>دوره آموزش کالیبراسیون عمومی و تائید سیستم اندازه شناسی</t>
  </si>
  <si>
    <t>after sales service</t>
  </si>
  <si>
    <t>Productivity</t>
  </si>
  <si>
    <t>Organization Behavior</t>
  </si>
  <si>
    <t xml:space="preserve">Service Marketing </t>
  </si>
  <si>
    <t>Sales And Marketing</t>
  </si>
  <si>
    <t>customer care</t>
  </si>
  <si>
    <t>the basic of commercial affairs and oversesas orders</t>
  </si>
  <si>
    <t>محسن مختاریان</t>
  </si>
  <si>
    <t>کارشناس تحقیق و توسعه</t>
  </si>
  <si>
    <t>theory of inventive problem solving</t>
  </si>
  <si>
    <t>درصد مالکیت</t>
  </si>
  <si>
    <t>صلاحیت مالک</t>
  </si>
  <si>
    <t>اهمیت راهبردی واحد اقتصادی برای مالک</t>
  </si>
  <si>
    <t>بخش اقتصادی</t>
  </si>
  <si>
    <t>نوع شخصیت مالک</t>
  </si>
  <si>
    <t>ضریب ترکیب مالکان</t>
  </si>
  <si>
    <t>مالک دارای واحدهای مشابه دیگری در این زمینه می باشد</t>
  </si>
  <si>
    <t>سابقه  مالک در واحد اقتصادی یا فعالیت مربوطه</t>
  </si>
  <si>
    <t>میزان تجربه و دانش مدیران منتخب مالک در واحد اقتصادی</t>
  </si>
  <si>
    <t>سایر عوامل تعیین کننده صلاحیت مالک بنابر شرایط فعالیت</t>
  </si>
  <si>
    <t>قوانین حاکم بر مالک (حمایت از چابکی در تصمیم)</t>
  </si>
  <si>
    <t>نوع شخص</t>
  </si>
  <si>
    <t>حقوقی-خصوصی</t>
  </si>
  <si>
    <t>حقوقی- دولتی</t>
  </si>
  <si>
    <t xml:space="preserve">تا چه میزان قوانین حاکم بر صنعت از چابکی مدیریت در اتخاذ تصمیمات حمایت کرده و مانع کمتری ایجاد می کند. </t>
  </si>
  <si>
    <t>میزان درآمد</t>
  </si>
  <si>
    <t xml:space="preserve">اعتبار </t>
  </si>
  <si>
    <t>تکمیل زنجیره ارزش</t>
  </si>
  <si>
    <t xml:space="preserve">تکمیل محصولات و خدمات </t>
  </si>
  <si>
    <t>سایر عوامل مربوطه با توجه به نوع فعالیت</t>
  </si>
  <si>
    <t xml:space="preserve">نوع شخصیت مالک </t>
  </si>
  <si>
    <t xml:space="preserve">از منظر حق مراجعه، چابکی تصمیم گیری </t>
  </si>
  <si>
    <t>70-85%</t>
  </si>
  <si>
    <t>سهامی خاص 85 مسئوولیت محدود 70</t>
  </si>
  <si>
    <t>مختلط</t>
  </si>
  <si>
    <t>از 40 تا 90 درصد</t>
  </si>
  <si>
    <t>بخش خصوصی</t>
  </si>
  <si>
    <t>بخش تعاونی - خصوصی</t>
  </si>
  <si>
    <t>خش تعاونی - دولتی/عمومی</t>
  </si>
  <si>
    <t>بخش عمومی</t>
  </si>
  <si>
    <t>از 40 تا 70 درصد</t>
  </si>
  <si>
    <t>بخش دولتی</t>
  </si>
  <si>
    <t>از 40 تا 50 درصد</t>
  </si>
  <si>
    <t>در سایت شرکت قابل مشاهده است</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</si>
</sst>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5" formatCode="&quot;$&quot;#,##0_);\(&quot;$&quot;#,##0\)"/>
    <numFmt numFmtId="6" formatCode="&quot;$&quot;#,##0_);[Red]\(&quot;$&quot;#,##0\)"/>
    <numFmt numFmtId="43" formatCode="_(* #,##0.00_);_(* \(#,##0.00\);_(* &quot;-&quot;??_);_(@_)"/>
    <numFmt numFmtId="164" formatCode="yyyy;@"/>
    <numFmt numFmtId="165" formatCode="0.0"/>
    <numFmt numFmtId="166" formatCode="0.0%"/>
    <numFmt numFmtId="167" formatCode="0.000%"/>
    <numFmt numFmtId="168" formatCode="_(* #,##0_);_(* \(#,##0\);_(* &quot;-&quot;??_);_(@_)"/>
    <numFmt numFmtId="169" formatCode="_(* #,##0.0_);_(* \(#,##0.0\);_(* &quot;-&quot;??_);_(@_)"/>
    <numFmt numFmtId="170" formatCode="[$-3000401]0"/>
    <numFmt numFmtId="171" formatCode="0.000000000000000%"/>
    <numFmt numFmtId="172" formatCode="0.0000000000000%"/>
  </numFmts>
  <fonts count="106" x14ac:knownFonts="1">
    <font>
      <sz val="11"/>
      <color theme="1"/>
      <name val="Calibri"/>
      <family val="2"/>
      <scheme val="minor"/>
    </font>
    <font>
      <sz val="11"/>
      <color theme="1"/>
      <name val="Calibri"/>
      <family val="2"/>
      <scheme val="minor"/>
    </font>
    <font>
      <sz val="11"/>
      <color theme="1"/>
      <name val="Calibri"/>
      <family val="2"/>
      <scheme val="minor"/>
    </font>
    <font>
      <u/>
      <sz val="11"/>
      <color theme="11"/>
      <name val="Calibri"/>
      <family val="2"/>
      <scheme val="minor"/>
    </font>
    <font>
      <sz val="11"/>
      <color theme="0"/>
      <name val="Calibri"/>
      <family val="2"/>
      <scheme val="minor"/>
    </font>
    <font>
      <b/>
      <sz val="11"/>
      <color theme="1"/>
      <name val="Calibri"/>
      <family val="2"/>
      <scheme val="minor"/>
    </font>
    <font>
      <sz val="12"/>
      <color theme="1"/>
      <name val="Segoe UI"/>
      <family val="2"/>
    </font>
    <font>
      <sz val="24"/>
      <color theme="1"/>
      <name val="Segoe UI"/>
      <family val="2"/>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006100"/>
      <name val="Calibri"/>
      <family val="2"/>
      <charset val="178"/>
      <scheme val="minor"/>
    </font>
    <font>
      <sz val="11"/>
      <color theme="1"/>
      <name val="B Nazanin"/>
      <charset val="178"/>
    </font>
    <font>
      <b/>
      <sz val="24"/>
      <color theme="1"/>
      <name val="B Nazanin"/>
      <charset val="178"/>
    </font>
    <font>
      <b/>
      <sz val="12"/>
      <color theme="1"/>
      <name val="B Nazanin"/>
      <charset val="178"/>
    </font>
    <font>
      <b/>
      <sz val="11"/>
      <color theme="1"/>
      <name val="B Nazanin"/>
      <charset val="178"/>
    </font>
    <font>
      <b/>
      <sz val="18"/>
      <color theme="1"/>
      <name val="B Nazanin"/>
      <charset val="178"/>
    </font>
    <font>
      <sz val="13"/>
      <color theme="1"/>
      <name val="B Mitra"/>
      <charset val="178"/>
    </font>
    <font>
      <b/>
      <sz val="12"/>
      <name val="B Nazanin"/>
      <charset val="178"/>
    </font>
    <font>
      <b/>
      <sz val="13"/>
      <name val="B Nazanin"/>
      <charset val="178"/>
    </font>
    <font>
      <sz val="13"/>
      <name val="B Nazanin"/>
      <charset val="178"/>
    </font>
    <font>
      <b/>
      <sz val="10"/>
      <name val="B Nazanin"/>
      <charset val="178"/>
    </font>
    <font>
      <sz val="8"/>
      <name val="B Nazanin"/>
      <charset val="178"/>
    </font>
    <font>
      <b/>
      <sz val="11"/>
      <name val="B Nazanin"/>
      <charset val="178"/>
    </font>
    <font>
      <b/>
      <sz val="9"/>
      <color theme="1"/>
      <name val="B Nazanin"/>
      <charset val="178"/>
    </font>
    <font>
      <sz val="10"/>
      <color theme="1"/>
      <name val="B Nazanin"/>
      <charset val="178"/>
    </font>
    <font>
      <sz val="10"/>
      <name val="B Nazanin"/>
      <charset val="178"/>
    </font>
    <font>
      <b/>
      <sz val="10"/>
      <color theme="1"/>
      <name val="B Nazanin"/>
      <charset val="178"/>
    </font>
    <font>
      <b/>
      <sz val="8"/>
      <color theme="1"/>
      <name val="B Mitra"/>
      <charset val="178"/>
    </font>
    <font>
      <sz val="11"/>
      <name val="B Nazanin"/>
      <charset val="178"/>
    </font>
    <font>
      <sz val="8"/>
      <color theme="1"/>
      <name val="B Nazanin"/>
      <charset val="178"/>
    </font>
    <font>
      <sz val="12"/>
      <color theme="1"/>
      <name val="B Nazanin"/>
      <charset val="178"/>
    </font>
    <font>
      <sz val="13"/>
      <color theme="1"/>
      <name val="B Nazanin"/>
      <charset val="178"/>
    </font>
    <font>
      <sz val="14"/>
      <color theme="1"/>
      <name val="B Nazanin"/>
      <charset val="178"/>
    </font>
    <font>
      <sz val="12"/>
      <color theme="1"/>
      <name val="B Mitra"/>
      <charset val="178"/>
    </font>
    <font>
      <b/>
      <sz val="14"/>
      <color theme="1"/>
      <name val="B Nazanin"/>
      <charset val="178"/>
    </font>
    <font>
      <sz val="10"/>
      <color theme="1"/>
      <name val="B Mitra"/>
      <charset val="178"/>
    </font>
    <font>
      <b/>
      <sz val="12"/>
      <color theme="1"/>
      <name val="B Mitra"/>
      <charset val="178"/>
    </font>
    <font>
      <sz val="14"/>
      <color theme="1"/>
      <name val="B Mitra"/>
      <charset val="178"/>
    </font>
    <font>
      <sz val="11"/>
      <color theme="1"/>
      <name val="B Mitra"/>
      <charset val="178"/>
    </font>
    <font>
      <sz val="10"/>
      <color theme="1"/>
      <name val="B Lotus"/>
      <charset val="178"/>
    </font>
    <font>
      <b/>
      <sz val="9"/>
      <color indexed="81"/>
      <name val="Tahoma"/>
      <family val="2"/>
    </font>
    <font>
      <sz val="9"/>
      <color indexed="81"/>
      <name val="Tahoma"/>
      <family val="2"/>
    </font>
    <font>
      <sz val="12"/>
      <name val="B Nazanin"/>
      <charset val="178"/>
    </font>
    <font>
      <b/>
      <sz val="11"/>
      <color theme="1"/>
      <name val="B Mitra"/>
      <charset val="178"/>
    </font>
    <font>
      <b/>
      <sz val="8"/>
      <name val="B Nazanin"/>
      <charset val="178"/>
    </font>
    <font>
      <sz val="14"/>
      <name val="B Nazanin"/>
      <charset val="178"/>
    </font>
    <font>
      <b/>
      <sz val="18"/>
      <color theme="1"/>
      <name val="B Mitra"/>
      <charset val="178"/>
    </font>
    <font>
      <b/>
      <sz val="14"/>
      <color theme="1"/>
      <name val="B Mitra"/>
      <charset val="178"/>
    </font>
    <font>
      <b/>
      <sz val="9"/>
      <name val="B Nazanin"/>
      <charset val="178"/>
    </font>
    <font>
      <sz val="9"/>
      <color theme="1"/>
      <name val="B Nazanin"/>
      <charset val="178"/>
    </font>
    <font>
      <sz val="10"/>
      <color theme="1"/>
      <name val="Calibri"/>
      <family val="2"/>
      <scheme val="minor"/>
    </font>
    <font>
      <b/>
      <sz val="10"/>
      <color theme="1"/>
      <name val="B Mitra"/>
      <charset val="178"/>
    </font>
    <font>
      <b/>
      <sz val="10"/>
      <color rgb="FFC00000"/>
      <name val="B Nazanin"/>
      <charset val="178"/>
    </font>
    <font>
      <b/>
      <sz val="11"/>
      <color rgb="FFC00000"/>
      <name val="B Nazanin"/>
      <charset val="178"/>
    </font>
    <font>
      <b/>
      <sz val="12"/>
      <color rgb="FFC00000"/>
      <name val="B Nazanin"/>
      <charset val="178"/>
    </font>
    <font>
      <b/>
      <sz val="14"/>
      <name val="B Nazanin"/>
      <charset val="178"/>
    </font>
    <font>
      <sz val="12"/>
      <name val="B Mitra"/>
      <charset val="178"/>
    </font>
    <font>
      <sz val="11"/>
      <color theme="1"/>
      <name val="Arial"/>
      <family val="2"/>
    </font>
    <font>
      <b/>
      <sz val="13"/>
      <color theme="1"/>
      <name val="B Mitra"/>
      <charset val="178"/>
    </font>
    <font>
      <sz val="13"/>
      <name val="B Mitra"/>
      <charset val="178"/>
    </font>
    <font>
      <sz val="8"/>
      <color theme="1"/>
      <name val="B Mitra"/>
      <charset val="178"/>
    </font>
    <font>
      <u/>
      <sz val="13"/>
      <color theme="1"/>
      <name val="B Mitra"/>
      <charset val="178"/>
    </font>
    <font>
      <b/>
      <sz val="14"/>
      <color theme="0"/>
      <name val="B Nazanin"/>
      <charset val="178"/>
    </font>
    <font>
      <u/>
      <sz val="11"/>
      <color theme="10"/>
      <name val="Calibri"/>
      <family val="2"/>
      <scheme val="minor"/>
    </font>
    <font>
      <sz val="14"/>
      <color rgb="FFFF0000"/>
      <name val="B Nazanin"/>
      <charset val="178"/>
    </font>
    <font>
      <b/>
      <sz val="16"/>
      <color theme="1"/>
      <name val="B Nazanin"/>
      <charset val="178"/>
    </font>
    <font>
      <sz val="12"/>
      <color rgb="FFFF0000"/>
      <name val="B Mitra"/>
      <charset val="178"/>
    </font>
    <font>
      <b/>
      <sz val="12"/>
      <color rgb="FFFF0000"/>
      <name val="B Mitra"/>
      <charset val="178"/>
    </font>
    <font>
      <sz val="14"/>
      <color theme="1"/>
      <name val="B Titr"/>
      <charset val="178"/>
    </font>
    <font>
      <b/>
      <sz val="16"/>
      <color theme="1"/>
      <name val="B Titr"/>
      <charset val="178"/>
    </font>
    <font>
      <b/>
      <sz val="10"/>
      <color theme="1"/>
      <name val="B Zar"/>
      <charset val="178"/>
    </font>
    <font>
      <b/>
      <sz val="14"/>
      <color theme="1"/>
      <name val="B Zar"/>
      <charset val="178"/>
    </font>
    <font>
      <b/>
      <sz val="12"/>
      <color theme="1"/>
      <name val="B Zar"/>
      <charset val="178"/>
    </font>
    <font>
      <sz val="16"/>
      <color theme="1"/>
      <name val="B Mitra"/>
      <charset val="178"/>
    </font>
    <font>
      <sz val="16"/>
      <color rgb="FFFF0000"/>
      <name val="B Mitra"/>
      <charset val="178"/>
    </font>
    <font>
      <sz val="16"/>
      <color theme="1"/>
      <name val="B Titr"/>
      <charset val="178"/>
    </font>
    <font>
      <b/>
      <sz val="12"/>
      <name val="B Mitra"/>
      <charset val="178"/>
    </font>
    <font>
      <b/>
      <sz val="14"/>
      <color rgb="FFFF0000"/>
      <name val="B Nazanin"/>
      <charset val="178"/>
    </font>
    <font>
      <sz val="14"/>
      <color theme="0"/>
      <name val="B Nazanin"/>
      <charset val="178"/>
    </font>
    <font>
      <sz val="9"/>
      <color theme="0"/>
      <name val="B Nazanin"/>
      <charset val="178"/>
    </font>
    <font>
      <sz val="10"/>
      <color theme="0"/>
      <name val="B Nazanin"/>
      <charset val="178"/>
    </font>
    <font>
      <sz val="13"/>
      <color rgb="FFFF0000"/>
      <name val="B Nazanin"/>
      <charset val="178"/>
    </font>
    <font>
      <sz val="9"/>
      <name val="B Nazanin"/>
      <charset val="178"/>
    </font>
    <font>
      <sz val="13"/>
      <color rgb="FFFF0000"/>
      <name val="B Mitra"/>
      <charset val="178"/>
    </font>
    <font>
      <b/>
      <sz val="16"/>
      <color theme="1"/>
      <name val="B Mitra"/>
      <charset val="178"/>
    </font>
    <font>
      <sz val="18"/>
      <name val="B Mitra"/>
      <charset val="178"/>
    </font>
    <font>
      <b/>
      <sz val="11"/>
      <name val="B Mitra"/>
      <charset val="178"/>
    </font>
    <font>
      <b/>
      <sz val="13"/>
      <name val="B Mitra"/>
      <charset val="178"/>
    </font>
    <font>
      <b/>
      <sz val="10"/>
      <name val="B Mitra"/>
      <charset val="178"/>
    </font>
    <font>
      <sz val="8"/>
      <name val="B Mitra"/>
      <charset val="178"/>
    </font>
    <font>
      <b/>
      <sz val="8"/>
      <name val="B Mitra"/>
      <charset val="178"/>
    </font>
    <font>
      <b/>
      <sz val="9"/>
      <name val="B Mitra"/>
      <charset val="178"/>
    </font>
    <font>
      <sz val="12"/>
      <color rgb="FF002060"/>
      <name val="B Nazanin"/>
      <charset val="178"/>
    </font>
    <font>
      <sz val="13"/>
      <color theme="0"/>
      <name val="B Mitra"/>
      <charset val="178"/>
    </font>
    <font>
      <b/>
      <sz val="9"/>
      <color indexed="81"/>
      <name val="B Nazanin"/>
      <charset val="178"/>
    </font>
    <font>
      <sz val="18"/>
      <color theme="1"/>
      <name val="B Mitra"/>
      <charset val="178"/>
    </font>
    <font>
      <sz val="11"/>
      <color rgb="FF006100"/>
      <name val="Calibri"/>
      <family val="2"/>
      <scheme val="minor"/>
    </font>
    <font>
      <sz val="14"/>
      <name val="B Mitra"/>
      <charset val="178"/>
    </font>
    <font>
      <sz val="14"/>
      <color rgb="FF00B050"/>
      <name val="B Mitra"/>
      <charset val="178"/>
    </font>
    <font>
      <b/>
      <sz val="12"/>
      <color theme="1"/>
      <name val="Calibri"/>
      <family val="2"/>
      <scheme val="minor"/>
    </font>
    <font>
      <b/>
      <sz val="11"/>
      <color theme="1"/>
      <name val="B Zar"/>
      <charset val="178"/>
    </font>
    <font>
      <b/>
      <sz val="12"/>
      <name val="B Zar"/>
      <charset val="178"/>
    </font>
    <font>
      <b/>
      <sz val="14"/>
      <color rgb="FFFF0000"/>
      <name val="B Zar"/>
      <charset val="178"/>
    </font>
  </fonts>
  <fills count="41">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
      <patternFill patternType="solid">
        <fgColor rgb="FFC6EFCE"/>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0"/>
        <bgColor indexed="64"/>
      </patternFill>
    </fill>
    <fill>
      <patternFill patternType="solid">
        <fgColor rgb="FFD8D8D8"/>
        <bgColor rgb="FFD8D8D8"/>
      </patternFill>
    </fill>
    <fill>
      <patternFill patternType="solid">
        <fgColor theme="0" tint="-0.14999847407452621"/>
        <bgColor rgb="FFF2F2F2"/>
      </patternFill>
    </fill>
    <fill>
      <patternFill patternType="solid">
        <fgColor theme="0"/>
        <bgColor rgb="FFD8D8D8"/>
      </patternFill>
    </fill>
    <fill>
      <patternFill patternType="solid">
        <fgColor theme="0"/>
        <bgColor rgb="FFF2F2F2"/>
      </patternFill>
    </fill>
    <fill>
      <patternFill patternType="solid">
        <fgColor theme="5" tint="0.79998168889431442"/>
        <bgColor indexed="64"/>
      </patternFill>
    </fill>
    <fill>
      <patternFill patternType="solid">
        <fgColor theme="0"/>
        <bgColor rgb="FFE2EFD9"/>
      </patternFill>
    </fill>
    <fill>
      <patternFill patternType="solid">
        <fgColor theme="0"/>
        <bgColor rgb="FFFFFF00"/>
      </patternFill>
    </fill>
    <fill>
      <patternFill patternType="solid">
        <fgColor rgb="FFF5F5F5"/>
        <bgColor rgb="FFF2F2F2"/>
      </patternFill>
    </fill>
    <fill>
      <patternFill patternType="solid">
        <fgColor rgb="FFF5F5F5"/>
        <bgColor indexed="64"/>
      </patternFill>
    </fill>
    <fill>
      <patternFill patternType="solid">
        <fgColor theme="6" tint="0.79998168889431442"/>
        <bgColor indexed="64"/>
      </patternFill>
    </fill>
    <fill>
      <patternFill patternType="solid">
        <fgColor theme="0" tint="-0.14999847407452621"/>
        <bgColor rgb="FFD8D8D8"/>
      </patternFill>
    </fill>
    <fill>
      <patternFill patternType="solid">
        <fgColor theme="0" tint="-0.14999847407452621"/>
        <bgColor rgb="FFDEEAF6"/>
      </patternFill>
    </fill>
    <fill>
      <patternFill patternType="solid">
        <fgColor rgb="FFE2EFD9"/>
        <bgColor rgb="FFE2EFD9"/>
      </patternFill>
    </fill>
    <fill>
      <patternFill patternType="solid">
        <fgColor rgb="FFFFFF00"/>
        <bgColor rgb="FFFFFF00"/>
      </patternFill>
    </fill>
    <fill>
      <patternFill patternType="solid">
        <fgColor rgb="FFFFFF00"/>
        <bgColor rgb="FFD8D8D8"/>
      </patternFill>
    </fill>
    <fill>
      <patternFill patternType="solid">
        <fgColor theme="3" tint="0.79998168889431442"/>
        <bgColor indexed="64"/>
      </patternFill>
    </fill>
    <fill>
      <patternFill patternType="solid">
        <fgColor theme="9" tint="0.39997558519241921"/>
        <bgColor indexed="64"/>
      </patternFill>
    </fill>
    <fill>
      <patternFill patternType="solid">
        <fgColor theme="3"/>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1"/>
        <bgColor indexed="64"/>
      </patternFill>
    </fill>
    <fill>
      <patternFill patternType="solid">
        <fgColor rgb="FFFFC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79998168889431442"/>
        <bgColor rgb="FFD8D8D8"/>
      </patternFill>
    </fill>
    <fill>
      <patternFill patternType="solid">
        <fgColor theme="7" tint="0.79998168889431442"/>
        <bgColor rgb="FFD8D8D8"/>
      </patternFill>
    </fill>
    <fill>
      <patternFill patternType="solid">
        <fgColor theme="0" tint="-4.9989318521683403E-2"/>
        <bgColor rgb="FFD8D8D8"/>
      </patternFill>
    </fill>
    <fill>
      <patternFill patternType="solid">
        <fgColor theme="8" tint="0.59999389629810485"/>
        <bgColor indexed="64"/>
      </patternFill>
    </fill>
    <fill>
      <patternFill patternType="solid">
        <fgColor theme="8" tint="0.79998168889431442"/>
        <bgColor indexed="64"/>
      </patternFill>
    </fill>
  </fills>
  <borders count="183">
    <border>
      <left/>
      <right/>
      <top/>
      <bottom/>
      <diagonal/>
    </border>
    <border>
      <left style="thick">
        <color rgb="FFF4B183"/>
      </left>
      <right style="thick">
        <color rgb="FFF4B183"/>
      </right>
      <top style="thick">
        <color rgb="FFF4B183"/>
      </top>
      <bottom style="thick">
        <color rgb="FFF4B183"/>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style="medium">
        <color auto="1"/>
      </top>
      <bottom style="medium">
        <color auto="1"/>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rgb="FF000000"/>
      </left>
      <right/>
      <top style="medium">
        <color rgb="FF000000"/>
      </top>
      <bottom/>
      <diagonal/>
    </border>
    <border>
      <left/>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thin">
        <color rgb="FF000000"/>
      </left>
      <right style="thin">
        <color rgb="FF000000"/>
      </right>
      <top/>
      <bottom style="medium">
        <color indexed="64"/>
      </bottom>
      <diagonal/>
    </border>
    <border>
      <left style="thin">
        <color rgb="FF000000"/>
      </left>
      <right style="medium">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rgb="FF000000"/>
      </left>
      <right style="medium">
        <color indexed="64"/>
      </right>
      <top/>
      <bottom/>
      <diagonal/>
    </border>
    <border>
      <left style="medium">
        <color indexed="64"/>
      </left>
      <right style="thin">
        <color auto="1"/>
      </right>
      <top style="medium">
        <color indexed="64"/>
      </top>
      <bottom style="thin">
        <color auto="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auto="1"/>
      </right>
      <top/>
      <bottom/>
      <diagonal/>
    </border>
    <border>
      <left style="medium">
        <color indexed="64"/>
      </left>
      <right style="thin">
        <color auto="1"/>
      </right>
      <top/>
      <bottom style="medium">
        <color auto="1"/>
      </bottom>
      <diagonal/>
    </border>
    <border>
      <left style="thin">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bottom/>
      <diagonal/>
    </border>
    <border>
      <left style="thin">
        <color auto="1"/>
      </left>
      <right style="medium">
        <color auto="1"/>
      </right>
      <top/>
      <bottom style="medium">
        <color auto="1"/>
      </bottom>
      <diagonal/>
    </border>
    <border>
      <left style="thin">
        <color indexed="64"/>
      </left>
      <right style="thin">
        <color auto="1"/>
      </right>
      <top style="thin">
        <color indexed="64"/>
      </top>
      <bottom/>
      <diagonal/>
    </border>
    <border>
      <left style="medium">
        <color indexed="64"/>
      </left>
      <right style="medium">
        <color rgb="FF000000"/>
      </right>
      <top style="medium">
        <color indexed="64"/>
      </top>
      <bottom style="thin">
        <color rgb="FF000000"/>
      </bottom>
      <diagonal/>
    </border>
    <border>
      <left style="medium">
        <color indexed="64"/>
      </left>
      <right style="medium">
        <color rgb="FF000000"/>
      </right>
      <top style="thin">
        <color rgb="FF000000"/>
      </top>
      <bottom style="thin">
        <color rgb="FF000000"/>
      </bottom>
      <diagonal/>
    </border>
    <border>
      <left style="medium">
        <color indexed="64"/>
      </left>
      <right style="medium">
        <color rgb="FF000000"/>
      </right>
      <top style="thin">
        <color rgb="FF000000"/>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style="thin">
        <color indexed="64"/>
      </left>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medium">
        <color indexed="64"/>
      </left>
      <right style="medium">
        <color indexed="64"/>
      </right>
      <top/>
      <bottom style="thin">
        <color indexed="64"/>
      </bottom>
      <diagonal/>
    </border>
    <border>
      <left style="medium">
        <color indexed="64"/>
      </left>
      <right style="thin">
        <color indexed="64"/>
      </right>
      <top style="hair">
        <color indexed="64"/>
      </top>
      <bottom/>
      <diagonal/>
    </border>
    <border>
      <left style="thin">
        <color indexed="64"/>
      </left>
      <right/>
      <top style="hair">
        <color indexed="64"/>
      </top>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top/>
      <bottom style="medium">
        <color indexed="64"/>
      </bottom>
      <diagonal/>
    </border>
    <border>
      <left style="thin">
        <color rgb="FF000000"/>
      </left>
      <right/>
      <top style="medium">
        <color indexed="64"/>
      </top>
      <bottom style="hair">
        <color rgb="FF000000"/>
      </bottom>
      <diagonal/>
    </border>
    <border>
      <left style="thin">
        <color rgb="FF000000"/>
      </left>
      <right/>
      <top style="hair">
        <color rgb="FF000000"/>
      </top>
      <bottom style="hair">
        <color rgb="FF000000"/>
      </bottom>
      <diagonal/>
    </border>
    <border>
      <left style="thin">
        <color rgb="FF000000"/>
      </left>
      <right/>
      <top style="hair">
        <color rgb="FF000000"/>
      </top>
      <bottom/>
      <diagonal/>
    </border>
    <border>
      <left style="thin">
        <color rgb="FF000000"/>
      </left>
      <right/>
      <top style="thin">
        <color indexed="64"/>
      </top>
      <bottom style="hair">
        <color rgb="FF000000"/>
      </bottom>
      <diagonal/>
    </border>
    <border>
      <left style="thin">
        <color rgb="FF000000"/>
      </left>
      <right style="thin">
        <color rgb="FF000000"/>
      </right>
      <top style="thin">
        <color indexed="64"/>
      </top>
      <bottom/>
      <diagonal/>
    </border>
    <border>
      <left style="thin">
        <color rgb="FF000000"/>
      </left>
      <right/>
      <top/>
      <bottom style="hair">
        <color rgb="FF000000"/>
      </bottom>
      <diagonal/>
    </border>
    <border>
      <left style="thin">
        <color rgb="FF000000"/>
      </left>
      <right/>
      <top style="hair">
        <color rgb="FF000000"/>
      </top>
      <bottom style="thin">
        <color indexed="64"/>
      </bottom>
      <diagonal/>
    </border>
    <border>
      <left style="thin">
        <color rgb="FF000000"/>
      </left>
      <right style="thin">
        <color rgb="FF000000"/>
      </right>
      <top/>
      <bottom style="thin">
        <color indexed="64"/>
      </bottom>
      <diagonal/>
    </border>
    <border>
      <left style="thin">
        <color rgb="FF000000"/>
      </left>
      <right/>
      <top/>
      <bottom style="medium">
        <color indexed="64"/>
      </bottom>
      <diagonal/>
    </border>
    <border>
      <left/>
      <right style="medium">
        <color rgb="FF000000"/>
      </right>
      <top style="medium">
        <color rgb="FF000000"/>
      </top>
      <bottom/>
      <diagonal/>
    </border>
    <border>
      <left/>
      <right style="medium">
        <color rgb="FF000000"/>
      </right>
      <top/>
      <bottom/>
      <diagonal/>
    </border>
    <border>
      <left/>
      <right style="thin">
        <color auto="1"/>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auto="1"/>
      </right>
      <top style="medium">
        <color indexed="64"/>
      </top>
      <bottom style="thin">
        <color auto="1"/>
      </bottom>
      <diagonal/>
    </border>
    <border>
      <left/>
      <right style="thin">
        <color auto="1"/>
      </right>
      <top/>
      <bottom/>
      <diagonal/>
    </border>
    <border>
      <left/>
      <right style="thin">
        <color auto="1"/>
      </right>
      <top/>
      <bottom style="medium">
        <color auto="1"/>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thin">
        <color theme="8"/>
      </left>
      <right style="thin">
        <color theme="8"/>
      </right>
      <top style="thin">
        <color theme="8"/>
      </top>
      <bottom style="thin">
        <color theme="8"/>
      </bottom>
      <diagonal/>
    </border>
    <border>
      <left style="thin">
        <color rgb="FF000000"/>
      </left>
      <right style="medium">
        <color indexed="64"/>
      </right>
      <top style="thin">
        <color indexed="64"/>
      </top>
      <bottom/>
      <diagonal/>
    </border>
    <border>
      <left style="thin">
        <color rgb="FF000000"/>
      </left>
      <right style="medium">
        <color indexed="64"/>
      </right>
      <top/>
      <bottom style="thin">
        <color indexed="64"/>
      </bottom>
      <diagonal/>
    </border>
    <border>
      <left style="thin">
        <color indexed="64"/>
      </left>
      <right style="thin">
        <color rgb="FF000000"/>
      </right>
      <top style="thin">
        <color indexed="64"/>
      </top>
      <bottom style="hair">
        <color indexed="64"/>
      </bottom>
      <diagonal/>
    </border>
    <border>
      <left style="medium">
        <color indexed="64"/>
      </left>
      <right style="hair">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right style="hair">
        <color auto="1"/>
      </right>
      <top style="medium">
        <color auto="1"/>
      </top>
      <bottom style="hair">
        <color auto="1"/>
      </bottom>
      <diagonal/>
    </border>
    <border>
      <left style="hair">
        <color auto="1"/>
      </left>
      <right style="hair">
        <color auto="1"/>
      </right>
      <top style="medium">
        <color auto="1"/>
      </top>
      <bottom/>
      <diagonal/>
    </border>
    <border>
      <left style="hair">
        <color indexed="64"/>
      </left>
      <right style="medium">
        <color indexed="64"/>
      </right>
      <top style="medium">
        <color indexed="64"/>
      </top>
      <bottom/>
      <diagonal/>
    </border>
    <border>
      <left style="hair">
        <color indexed="64"/>
      </left>
      <right style="medium">
        <color indexed="64"/>
      </right>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top style="hair">
        <color indexed="64"/>
      </top>
      <bottom style="hair">
        <color indexed="64"/>
      </bottom>
      <diagonal/>
    </border>
    <border>
      <left/>
      <right style="medium">
        <color indexed="64"/>
      </right>
      <top style="hair">
        <color indexed="64"/>
      </top>
      <bottom style="hair">
        <color indexed="64"/>
      </bottom>
      <diagonal/>
    </border>
    <border>
      <left style="thin">
        <color theme="1"/>
      </left>
      <right style="thin">
        <color theme="1"/>
      </right>
      <top style="thin">
        <color theme="1"/>
      </top>
      <bottom style="thin">
        <color theme="1"/>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thin">
        <color auto="1"/>
      </right>
      <top style="thin">
        <color auto="1"/>
      </top>
      <bottom style="medium">
        <color auto="1"/>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hair">
        <color indexed="64"/>
      </bottom>
      <diagonal/>
    </border>
    <border>
      <left style="thin">
        <color rgb="FF000000"/>
      </left>
      <right/>
      <top style="thin">
        <color indexed="64"/>
      </top>
      <bottom style="hair">
        <color indexed="64"/>
      </bottom>
      <diagonal/>
    </border>
    <border>
      <left style="hair">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hair">
        <color indexed="64"/>
      </bottom>
      <diagonal/>
    </border>
    <border>
      <left style="thin">
        <color auto="1"/>
      </left>
      <right style="thin">
        <color auto="1"/>
      </right>
      <top style="hair">
        <color indexed="64"/>
      </top>
      <bottom style="hair">
        <color indexed="64"/>
      </bottom>
      <diagonal/>
    </border>
    <border>
      <left style="medium">
        <color indexed="64"/>
      </left>
      <right/>
      <top style="double">
        <color indexed="64"/>
      </top>
      <bottom style="double">
        <color indexed="64"/>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right style="medium">
        <color indexed="64"/>
      </right>
      <top style="double">
        <color indexed="64"/>
      </top>
      <bottom style="double">
        <color indexed="64"/>
      </bottom>
      <diagonal/>
    </border>
    <border>
      <left/>
      <right style="medium">
        <color indexed="64"/>
      </right>
      <top style="double">
        <color indexed="64"/>
      </top>
      <bottom/>
      <diagonal/>
    </border>
    <border>
      <left/>
      <right/>
      <top style="double">
        <color indexed="64"/>
      </top>
      <bottom/>
      <diagonal/>
    </border>
    <border>
      <left style="medium">
        <color indexed="64"/>
      </left>
      <right/>
      <top style="double">
        <color indexed="64"/>
      </top>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medium">
        <color indexed="64"/>
      </top>
      <bottom style="thin">
        <color auto="1"/>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theme="8"/>
      </bottom>
      <diagonal/>
    </border>
    <border>
      <left/>
      <right/>
      <top style="thin">
        <color indexed="64"/>
      </top>
      <bottom style="thin">
        <color theme="8"/>
      </bottom>
      <diagonal/>
    </border>
    <border>
      <left/>
      <right style="thin">
        <color indexed="64"/>
      </right>
      <top style="thin">
        <color indexed="64"/>
      </top>
      <bottom style="thin">
        <color theme="8"/>
      </bottom>
      <diagonal/>
    </border>
    <border>
      <left style="thin">
        <color indexed="64"/>
      </left>
      <right style="thin">
        <color theme="8"/>
      </right>
      <top style="thin">
        <color theme="8"/>
      </top>
      <bottom style="thin">
        <color theme="8"/>
      </bottom>
      <diagonal/>
    </border>
    <border>
      <left style="thin">
        <color theme="8"/>
      </left>
      <right style="thin">
        <color indexed="64"/>
      </right>
      <top style="thin">
        <color theme="8"/>
      </top>
      <bottom style="thin">
        <color theme="8"/>
      </bottom>
      <diagonal/>
    </border>
    <border>
      <left style="thin">
        <color indexed="64"/>
      </left>
      <right style="thin">
        <color theme="8"/>
      </right>
      <top style="thin">
        <color theme="8"/>
      </top>
      <bottom style="thin">
        <color indexed="64"/>
      </bottom>
      <diagonal/>
    </border>
    <border>
      <left style="thin">
        <color theme="8"/>
      </left>
      <right style="thin">
        <color theme="8"/>
      </right>
      <top style="thin">
        <color theme="8"/>
      </top>
      <bottom style="thin">
        <color indexed="64"/>
      </bottom>
      <diagonal/>
    </border>
    <border>
      <left style="thin">
        <color theme="8"/>
      </left>
      <right style="thin">
        <color indexed="64"/>
      </right>
      <top style="thin">
        <color theme="8"/>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thin">
        <color auto="1"/>
      </left>
      <right/>
      <top style="thin">
        <color auto="1"/>
      </top>
      <bottom style="medium">
        <color auto="1"/>
      </bottom>
      <diagonal/>
    </border>
    <border>
      <left/>
      <right style="medium">
        <color indexed="64"/>
      </right>
      <top/>
      <bottom style="thin">
        <color indexed="64"/>
      </bottom>
      <diagonal/>
    </border>
    <border>
      <left style="medium">
        <color indexed="64"/>
      </left>
      <right/>
      <top/>
      <bottom style="thin">
        <color indexed="64"/>
      </bottom>
      <diagonal/>
    </border>
    <border>
      <left/>
      <right style="medium">
        <color indexed="64"/>
      </right>
      <top style="thin">
        <color indexed="64"/>
      </top>
      <bottom/>
      <diagonal/>
    </border>
    <border>
      <left style="medium">
        <color indexed="64"/>
      </left>
      <right style="thin">
        <color rgb="FFC00000"/>
      </right>
      <top style="thin">
        <color rgb="FFC00000"/>
      </top>
      <bottom style="thin">
        <color rgb="FFC00000"/>
      </bottom>
      <diagonal/>
    </border>
    <border>
      <left style="thin">
        <color rgb="FFC00000"/>
      </left>
      <right/>
      <top/>
      <bottom/>
      <diagonal/>
    </border>
  </borders>
  <cellStyleXfs count="34">
    <xf numFmtId="0" fontId="0" fillId="0" borderId="0"/>
    <xf numFmtId="0" fontId="3" fillId="0" borderId="0" applyNumberFormat="0" applyFill="0" applyBorder="0" applyAlignment="0" applyProtection="0"/>
    <xf numFmtId="0" fontId="3" fillId="0" borderId="0" applyNumberFormat="0" applyFill="0" applyBorder="0" applyAlignment="0" applyProtection="0"/>
    <xf numFmtId="0" fontId="2" fillId="3" borderId="0"/>
    <xf numFmtId="0" fontId="2" fillId="5" borderId="8"/>
    <xf numFmtId="0" fontId="2" fillId="3" borderId="1"/>
    <xf numFmtId="0" fontId="2" fillId="0" borderId="7"/>
    <xf numFmtId="5" fontId="2" fillId="0" borderId="0" applyFont="0" applyFill="0" applyBorder="0" applyAlignment="0" applyProtection="0"/>
    <xf numFmtId="0" fontId="4" fillId="0" borderId="0"/>
    <xf numFmtId="0" fontId="8" fillId="0" borderId="0" applyFill="0" applyBorder="0">
      <alignment wrapText="1"/>
    </xf>
    <xf numFmtId="0" fontId="11" fillId="6" borderId="0" applyNumberFormat="0" applyBorder="0" applyProtection="0">
      <alignment horizontal="left" indent="1"/>
    </xf>
    <xf numFmtId="0" fontId="12" fillId="6" borderId="0" applyNumberFormat="0" applyProtection="0">
      <alignment horizontal="left" wrapText="1" indent="4"/>
    </xf>
    <xf numFmtId="0" fontId="8" fillId="6" borderId="0" applyNumberFormat="0" applyProtection="0">
      <alignment horizontal="left" wrapText="1" indent="4"/>
    </xf>
    <xf numFmtId="0" fontId="4" fillId="2" borderId="0" applyNumberFormat="0" applyBorder="0" applyProtection="0"/>
    <xf numFmtId="0" fontId="5" fillId="0" borderId="0" applyNumberFormat="0" applyFill="0" applyBorder="0" applyAlignment="0" applyProtection="0"/>
    <xf numFmtId="0" fontId="2" fillId="0" borderId="9" applyNumberFormat="0" applyFont="0" applyFill="0" applyAlignment="0"/>
    <xf numFmtId="0" fontId="2" fillId="0" borderId="2" applyNumberFormat="0" applyFont="0" applyFill="0" applyAlignment="0"/>
    <xf numFmtId="0" fontId="2" fillId="0" borderId="3" applyNumberFormat="0" applyFont="0" applyFill="0" applyAlignment="0"/>
    <xf numFmtId="0" fontId="2" fillId="0" borderId="5" applyNumberFormat="0" applyFont="0" applyFill="0" applyAlignment="0"/>
    <xf numFmtId="0" fontId="2" fillId="0" borderId="4" applyNumberFormat="0" applyFont="0" applyFill="0"/>
    <xf numFmtId="0" fontId="2" fillId="0" borderId="6" applyNumberFormat="0" applyFont="0" applyFill="0" applyAlignment="0"/>
    <xf numFmtId="6" fontId="2" fillId="4" borderId="0" applyFont="0" applyBorder="0" applyAlignment="0"/>
    <xf numFmtId="14" fontId="2" fillId="0" borderId="0" applyFont="0" applyFill="0" applyBorder="0" applyAlignment="0"/>
    <xf numFmtId="164" fontId="2" fillId="0" borderId="0" applyFont="0" applyFill="0" applyBorder="0" applyAlignment="0"/>
    <xf numFmtId="9" fontId="2" fillId="0" borderId="0" applyFont="0" applyFill="0" applyBorder="0" applyAlignment="0" applyProtection="0"/>
    <xf numFmtId="0" fontId="13" fillId="7" borderId="0" applyNumberFormat="0" applyBorder="0" applyAlignment="0" applyProtection="0"/>
    <xf numFmtId="43" fontId="2" fillId="0" borderId="0" applyFont="0" applyFill="0" applyBorder="0" applyAlignment="0" applyProtection="0"/>
    <xf numFmtId="0" fontId="60" fillId="0" borderId="0"/>
    <xf numFmtId="0" fontId="1" fillId="0" borderId="0"/>
    <xf numFmtId="9" fontId="1" fillId="0" borderId="0" applyFont="0" applyFill="0" applyBorder="0" applyAlignment="0" applyProtection="0"/>
    <xf numFmtId="0" fontId="66" fillId="0" borderId="0" applyNumberFormat="0" applyFill="0" applyBorder="0" applyAlignment="0" applyProtection="0"/>
    <xf numFmtId="43" fontId="1" fillId="0" borderId="0" applyFont="0" applyFill="0" applyBorder="0" applyAlignment="0" applyProtection="0"/>
    <xf numFmtId="0" fontId="66" fillId="0" borderId="0" applyNumberFormat="0" applyFill="0" applyBorder="0" applyAlignment="0" applyProtection="0"/>
    <xf numFmtId="0" fontId="99" fillId="7" borderId="0" applyNumberFormat="0" applyBorder="0" applyAlignment="0" applyProtection="0"/>
  </cellStyleXfs>
  <cellXfs count="1693">
    <xf numFmtId="0" fontId="0" fillId="0" borderId="0" xfId="0"/>
    <xf numFmtId="0" fontId="0" fillId="0" borderId="0" xfId="0"/>
    <xf numFmtId="0" fontId="6" fillId="0" borderId="0" xfId="0" applyFont="1"/>
    <xf numFmtId="0" fontId="7" fillId="0" borderId="0" xfId="0" applyFont="1"/>
    <xf numFmtId="0" fontId="7" fillId="0" borderId="0" xfId="0" applyFont="1" applyAlignment="1">
      <alignment vertical="center"/>
    </xf>
    <xf numFmtId="0" fontId="4" fillId="0" borderId="0" xfId="8"/>
    <xf numFmtId="0" fontId="2" fillId="0" borderId="0" xfId="0" applyFont="1" applyAlignment="1"/>
    <xf numFmtId="0" fontId="2" fillId="0" borderId="0" xfId="0" applyFont="1" applyAlignment="1">
      <alignment horizontal="left"/>
    </xf>
    <xf numFmtId="0" fontId="2" fillId="0" borderId="0" xfId="0" applyFont="1"/>
    <xf numFmtId="0" fontId="9" fillId="0" borderId="0" xfId="0" applyFont="1" applyAlignment="1"/>
    <xf numFmtId="0" fontId="10" fillId="0" borderId="0" xfId="0" applyFont="1" applyAlignment="1"/>
    <xf numFmtId="0" fontId="10" fillId="0" borderId="0" xfId="0" applyFont="1" applyAlignment="1">
      <alignment horizontal="left"/>
    </xf>
    <xf numFmtId="0" fontId="4" fillId="0" borderId="0" xfId="8" applyAlignment="1">
      <alignment wrapText="1"/>
    </xf>
    <xf numFmtId="0" fontId="14" fillId="0" borderId="0" xfId="0" applyFont="1"/>
    <xf numFmtId="0" fontId="14" fillId="0" borderId="0" xfId="9" applyFont="1" applyFill="1">
      <alignment wrapText="1"/>
    </xf>
    <xf numFmtId="0" fontId="14" fillId="0" borderId="0" xfId="12" applyFont="1" applyFill="1" applyAlignment="1">
      <alignment horizontal="center" vertical="center" wrapText="1"/>
    </xf>
    <xf numFmtId="0" fontId="18" fillId="0" borderId="0" xfId="12" applyFont="1" applyFill="1" applyAlignment="1">
      <alignment horizontal="left" vertical="center" wrapText="1"/>
    </xf>
    <xf numFmtId="0" fontId="17" fillId="0" borderId="0" xfId="0" applyFont="1" applyAlignment="1">
      <alignment horizontal="left" vertical="center"/>
    </xf>
    <xf numFmtId="0" fontId="17" fillId="0" borderId="0" xfId="12" applyFont="1" applyFill="1" applyAlignment="1">
      <alignment horizontal="left" vertical="center" wrapText="1"/>
    </xf>
    <xf numFmtId="0" fontId="2" fillId="0" borderId="0" xfId="0" applyFont="1" applyFill="1" applyBorder="1" applyAlignment="1"/>
    <xf numFmtId="0" fontId="27" fillId="0" borderId="0" xfId="0" applyFont="1" applyAlignment="1">
      <alignment horizontal="center" vertical="center"/>
    </xf>
    <xf numFmtId="0" fontId="27" fillId="0" borderId="0" xfId="0" applyFont="1" applyBorder="1" applyAlignment="1">
      <alignment horizontal="center" vertical="center"/>
    </xf>
    <xf numFmtId="0" fontId="2" fillId="0" borderId="0" xfId="0" applyFont="1" applyFill="1" applyBorder="1" applyAlignment="1">
      <alignment horizontal="left"/>
    </xf>
    <xf numFmtId="0" fontId="30" fillId="0" borderId="0" xfId="0" applyFont="1" applyFill="1" applyBorder="1" applyAlignment="1">
      <alignment horizontal="center" vertical="center" wrapText="1" shrinkToFit="1"/>
    </xf>
    <xf numFmtId="0" fontId="17" fillId="0" borderId="0" xfId="0" applyFont="1" applyAlignment="1">
      <alignment horizontal="center"/>
    </xf>
    <xf numFmtId="0" fontId="14" fillId="0" borderId="0" xfId="0" applyFont="1" applyAlignment="1">
      <alignment horizontal="center"/>
    </xf>
    <xf numFmtId="9" fontId="14" fillId="0" borderId="0" xfId="0" applyNumberFormat="1" applyFont="1" applyAlignment="1">
      <alignment horizontal="center"/>
    </xf>
    <xf numFmtId="0" fontId="14" fillId="0" borderId="0" xfId="0" applyFont="1" applyAlignment="1"/>
    <xf numFmtId="0" fontId="14" fillId="0" borderId="0" xfId="0" applyFont="1" applyBorder="1" applyAlignment="1">
      <alignment horizontal="center" vertical="center"/>
    </xf>
    <xf numFmtId="0" fontId="14" fillId="11" borderId="0" xfId="0" applyFont="1" applyFill="1" applyBorder="1"/>
    <xf numFmtId="0" fontId="14" fillId="11" borderId="0" xfId="0" applyFont="1" applyFill="1" applyBorder="1" applyAlignment="1">
      <alignment horizontal="center"/>
    </xf>
    <xf numFmtId="9" fontId="14" fillId="11" borderId="0" xfId="24" applyFont="1" applyFill="1" applyBorder="1" applyAlignment="1">
      <alignment horizontal="center"/>
    </xf>
    <xf numFmtId="0" fontId="14" fillId="11" borderId="0" xfId="0" applyFont="1" applyFill="1" applyBorder="1" applyAlignment="1">
      <alignment horizontal="center" vertical="center"/>
    </xf>
    <xf numFmtId="0" fontId="2" fillId="11" borderId="0" xfId="0" applyFont="1" applyFill="1" applyBorder="1" applyAlignment="1">
      <alignment horizontal="left"/>
    </xf>
    <xf numFmtId="0" fontId="2" fillId="11" borderId="0" xfId="0" applyFont="1" applyFill="1" applyBorder="1" applyAlignment="1"/>
    <xf numFmtId="0" fontId="14" fillId="11" borderId="0" xfId="0" applyFont="1" applyFill="1" applyBorder="1" applyAlignment="1"/>
    <xf numFmtId="0" fontId="37" fillId="11" borderId="0" xfId="0" applyFont="1" applyFill="1" applyBorder="1" applyAlignment="1"/>
    <xf numFmtId="9" fontId="14" fillId="11" borderId="0" xfId="0" applyNumberFormat="1" applyFont="1" applyFill="1" applyBorder="1" applyAlignment="1">
      <alignment horizontal="center" vertical="center"/>
    </xf>
    <xf numFmtId="0" fontId="14" fillId="11" borderId="22" xfId="0" applyFont="1" applyFill="1" applyBorder="1" applyAlignment="1">
      <alignment horizontal="center" vertical="center"/>
    </xf>
    <xf numFmtId="0" fontId="17" fillId="8" borderId="17" xfId="0" applyFont="1" applyFill="1" applyBorder="1" applyAlignment="1">
      <alignment horizontal="center" vertical="center"/>
    </xf>
    <xf numFmtId="0" fontId="17" fillId="8" borderId="16" xfId="0" applyFont="1" applyFill="1" applyBorder="1" applyAlignment="1">
      <alignment horizontal="center" vertical="center"/>
    </xf>
    <xf numFmtId="0" fontId="14" fillId="11" borderId="10" xfId="0" applyFont="1" applyFill="1" applyBorder="1" applyAlignment="1">
      <alignment horizontal="center" vertical="center"/>
    </xf>
    <xf numFmtId="0" fontId="14" fillId="11" borderId="11" xfId="0" applyFont="1" applyFill="1" applyBorder="1" applyAlignment="1">
      <alignment horizontal="center" vertical="center"/>
    </xf>
    <xf numFmtId="0" fontId="14" fillId="11" borderId="22" xfId="0" applyFont="1" applyFill="1" applyBorder="1" applyAlignment="1">
      <alignment horizontal="center"/>
    </xf>
    <xf numFmtId="0" fontId="27" fillId="11" borderId="22" xfId="0" applyFont="1" applyFill="1" applyBorder="1" applyAlignment="1">
      <alignment horizontal="center"/>
    </xf>
    <xf numFmtId="0" fontId="27" fillId="11" borderId="13" xfId="0" applyFont="1" applyFill="1" applyBorder="1" applyAlignment="1">
      <alignment horizontal="center"/>
    </xf>
    <xf numFmtId="0" fontId="14" fillId="11" borderId="0" xfId="0" applyFont="1" applyFill="1" applyBorder="1" applyAlignment="1">
      <alignment horizontal="center" vertical="center" wrapText="1" readingOrder="2"/>
    </xf>
    <xf numFmtId="0" fontId="14" fillId="11" borderId="0" xfId="0" applyFont="1" applyFill="1" applyBorder="1" applyAlignment="1">
      <alignment horizontal="right" vertical="center" wrapText="1" indent="2" readingOrder="2"/>
    </xf>
    <xf numFmtId="0" fontId="14" fillId="11" borderId="22" xfId="0" applyFont="1" applyFill="1" applyBorder="1" applyAlignment="1">
      <alignment horizontal="center" vertical="center" wrapText="1" readingOrder="2"/>
    </xf>
    <xf numFmtId="0" fontId="14" fillId="11" borderId="19" xfId="0" applyFont="1" applyFill="1" applyBorder="1" applyAlignment="1">
      <alignment horizontal="center" vertical="center" wrapText="1" readingOrder="2"/>
    </xf>
    <xf numFmtId="49" fontId="14" fillId="11" borderId="22" xfId="0" applyNumberFormat="1" applyFont="1" applyFill="1" applyBorder="1" applyAlignment="1">
      <alignment horizontal="center" vertical="center" wrapText="1" readingOrder="2"/>
    </xf>
    <xf numFmtId="0" fontId="19" fillId="0" borderId="0" xfId="0" applyFont="1" applyFill="1" applyBorder="1" applyAlignment="1"/>
    <xf numFmtId="0" fontId="31" fillId="11" borderId="0" xfId="0" applyFont="1" applyFill="1" applyBorder="1" applyAlignment="1">
      <alignment horizontal="center"/>
    </xf>
    <xf numFmtId="0" fontId="31" fillId="11" borderId="22" xfId="0" applyFont="1" applyFill="1" applyBorder="1" applyAlignment="1">
      <alignment horizontal="center"/>
    </xf>
    <xf numFmtId="9" fontId="31" fillId="11" borderId="14" xfId="24" applyFont="1" applyFill="1" applyBorder="1" applyAlignment="1">
      <alignment horizontal="center" vertical="center"/>
    </xf>
    <xf numFmtId="0" fontId="17" fillId="8" borderId="18" xfId="0" applyFont="1" applyFill="1" applyBorder="1" applyAlignment="1">
      <alignment horizontal="center" vertical="center"/>
    </xf>
    <xf numFmtId="9" fontId="17" fillId="8" borderId="17" xfId="24" applyFont="1" applyFill="1" applyBorder="1" applyAlignment="1">
      <alignment horizontal="center" vertical="center"/>
    </xf>
    <xf numFmtId="0" fontId="41" fillId="0" borderId="0" xfId="0" applyFont="1" applyAlignment="1">
      <alignment horizontal="center"/>
    </xf>
    <xf numFmtId="0" fontId="46" fillId="0" borderId="0" xfId="0" applyFont="1" applyAlignment="1">
      <alignment horizontal="center"/>
    </xf>
    <xf numFmtId="0" fontId="39" fillId="0" borderId="21" xfId="0" applyFont="1" applyBorder="1" applyAlignment="1">
      <alignment horizontal="center" vertical="center"/>
    </xf>
    <xf numFmtId="0" fontId="36" fillId="0" borderId="0" xfId="0" applyFont="1" applyAlignment="1">
      <alignment horizontal="center"/>
    </xf>
    <xf numFmtId="9" fontId="46" fillId="0" borderId="20" xfId="0" applyNumberFormat="1" applyFont="1" applyBorder="1" applyAlignment="1">
      <alignment horizontal="center" vertical="center"/>
    </xf>
    <xf numFmtId="0" fontId="46" fillId="0" borderId="0" xfId="0" applyFont="1" applyAlignment="1">
      <alignment horizontal="center" vertical="center"/>
    </xf>
    <xf numFmtId="0" fontId="46" fillId="0" borderId="0" xfId="0" applyFont="1" applyAlignment="1">
      <alignment horizontal="center" readingOrder="2"/>
    </xf>
    <xf numFmtId="0" fontId="41" fillId="0" borderId="0" xfId="0" applyFont="1" applyAlignment="1"/>
    <xf numFmtId="0" fontId="14" fillId="11" borderId="0" xfId="0" applyFont="1" applyFill="1" applyBorder="1" applyAlignment="1">
      <alignment horizontal="center" vertical="center" wrapText="1"/>
    </xf>
    <xf numFmtId="0" fontId="14" fillId="11" borderId="0" xfId="0" applyFont="1" applyFill="1" applyBorder="1" applyAlignment="1">
      <alignment horizontal="center" vertical="distributed"/>
    </xf>
    <xf numFmtId="0" fontId="14" fillId="11" borderId="13" xfId="0" applyFont="1" applyFill="1" applyBorder="1" applyAlignment="1">
      <alignment horizontal="center" vertical="center" wrapText="1"/>
    </xf>
    <xf numFmtId="0" fontId="22" fillId="11" borderId="22" xfId="0" applyFont="1" applyFill="1" applyBorder="1" applyAlignment="1">
      <alignment horizontal="center" vertical="center"/>
    </xf>
    <xf numFmtId="0" fontId="28" fillId="11" borderId="0" xfId="0" applyFont="1" applyFill="1" applyBorder="1" applyAlignment="1">
      <alignment horizontal="center" vertical="center"/>
    </xf>
    <xf numFmtId="3" fontId="22" fillId="11" borderId="0" xfId="24" applyNumberFormat="1" applyFont="1" applyFill="1" applyBorder="1" applyAlignment="1">
      <alignment horizontal="center" vertical="center"/>
    </xf>
    <xf numFmtId="3" fontId="24" fillId="8" borderId="16" xfId="25" applyNumberFormat="1" applyFont="1" applyFill="1" applyBorder="1" applyAlignment="1">
      <alignment horizontal="center" vertical="center"/>
    </xf>
    <xf numFmtId="3" fontId="22" fillId="8" borderId="16" xfId="0" applyNumberFormat="1" applyFont="1" applyFill="1" applyBorder="1" applyAlignment="1">
      <alignment horizontal="center" vertical="center"/>
    </xf>
    <xf numFmtId="9" fontId="31" fillId="8" borderId="17" xfId="24" applyFont="1" applyFill="1" applyBorder="1" applyAlignment="1">
      <alignment horizontal="center" vertical="center"/>
    </xf>
    <xf numFmtId="0" fontId="23" fillId="8" borderId="44" xfId="0" applyFont="1" applyFill="1" applyBorder="1" applyAlignment="1">
      <alignment horizontal="center" vertical="center"/>
    </xf>
    <xf numFmtId="0" fontId="47" fillId="8" borderId="44" xfId="0" applyFont="1" applyFill="1" applyBorder="1" applyAlignment="1">
      <alignment horizontal="center" vertical="center"/>
    </xf>
    <xf numFmtId="0" fontId="21" fillId="8" borderId="45" xfId="0" applyFont="1" applyFill="1" applyBorder="1" applyAlignment="1">
      <alignment horizontal="center" vertical="center"/>
    </xf>
    <xf numFmtId="0" fontId="23" fillId="8" borderId="27" xfId="0" applyFont="1" applyFill="1" applyBorder="1" applyAlignment="1">
      <alignment horizontal="center" vertical="center"/>
    </xf>
    <xf numFmtId="9" fontId="25" fillId="8" borderId="27" xfId="24" applyFont="1" applyFill="1" applyBorder="1" applyAlignment="1">
      <alignment horizontal="center" vertical="center"/>
    </xf>
    <xf numFmtId="0" fontId="47" fillId="8" borderId="27" xfId="0" applyFont="1" applyFill="1" applyBorder="1" applyAlignment="1">
      <alignment horizontal="center" vertical="center"/>
    </xf>
    <xf numFmtId="0" fontId="23" fillId="8" borderId="28" xfId="0" applyFont="1" applyFill="1" applyBorder="1" applyAlignment="1">
      <alignment horizontal="center" vertical="center"/>
    </xf>
    <xf numFmtId="9" fontId="22" fillId="8" borderId="12" xfId="0" applyNumberFormat="1" applyFont="1" applyFill="1" applyBorder="1" applyAlignment="1">
      <alignment horizontal="center"/>
    </xf>
    <xf numFmtId="0" fontId="22" fillId="8" borderId="16" xfId="0" applyFont="1" applyFill="1" applyBorder="1" applyAlignment="1">
      <alignment horizontal="center" vertical="center" wrapText="1" readingOrder="2"/>
    </xf>
    <xf numFmtId="0" fontId="31" fillId="8" borderId="17" xfId="0" applyFont="1" applyFill="1" applyBorder="1" applyAlignment="1">
      <alignment horizontal="center" vertical="center" wrapText="1" readingOrder="2"/>
    </xf>
    <xf numFmtId="0" fontId="31" fillId="8" borderId="18" xfId="25" applyFont="1" applyFill="1" applyBorder="1" applyAlignment="1">
      <alignment horizontal="center" vertical="center" textRotation="90"/>
    </xf>
    <xf numFmtId="0" fontId="22" fillId="11" borderId="0" xfId="0" applyFont="1" applyFill="1" applyBorder="1" applyAlignment="1">
      <alignment horizontal="center" vertical="center" wrapText="1" readingOrder="2"/>
    </xf>
    <xf numFmtId="0" fontId="31" fillId="11" borderId="0" xfId="0" applyFont="1" applyFill="1" applyBorder="1" applyAlignment="1">
      <alignment horizontal="center" vertical="center" wrapText="1" readingOrder="2"/>
    </xf>
    <xf numFmtId="9" fontId="22" fillId="11" borderId="0" xfId="24" applyFont="1" applyFill="1" applyBorder="1" applyAlignment="1">
      <alignment horizontal="center"/>
    </xf>
    <xf numFmtId="9" fontId="22" fillId="11" borderId="19" xfId="0" applyNumberFormat="1" applyFont="1" applyFill="1" applyBorder="1" applyAlignment="1">
      <alignment horizontal="center"/>
    </xf>
    <xf numFmtId="0" fontId="45" fillId="8" borderId="18" xfId="0" applyFont="1" applyFill="1" applyBorder="1" applyAlignment="1">
      <alignment horizontal="center" vertical="center"/>
    </xf>
    <xf numFmtId="0" fontId="31" fillId="8" borderId="10" xfId="25" applyFont="1" applyFill="1" applyBorder="1" applyAlignment="1">
      <alignment horizontal="center" vertical="center" textRotation="90"/>
    </xf>
    <xf numFmtId="0" fontId="31" fillId="8" borderId="11" xfId="25" applyFont="1" applyFill="1" applyBorder="1" applyAlignment="1">
      <alignment horizontal="center"/>
    </xf>
    <xf numFmtId="0" fontId="22" fillId="8" borderId="11" xfId="0" applyFont="1" applyFill="1" applyBorder="1" applyAlignment="1">
      <alignment horizontal="center" vertical="center"/>
    </xf>
    <xf numFmtId="9" fontId="22" fillId="8" borderId="11" xfId="0" applyNumberFormat="1" applyFont="1" applyFill="1" applyBorder="1" applyAlignment="1">
      <alignment horizontal="center" vertical="center"/>
    </xf>
    <xf numFmtId="0" fontId="31" fillId="8" borderId="16" xfId="25" applyFont="1" applyFill="1" applyBorder="1" applyAlignment="1">
      <alignment horizontal="center"/>
    </xf>
    <xf numFmtId="9" fontId="48" fillId="8" borderId="17" xfId="24" applyFont="1" applyFill="1" applyBorder="1" applyAlignment="1">
      <alignment horizontal="center"/>
    </xf>
    <xf numFmtId="9" fontId="31" fillId="11" borderId="0" xfId="24" applyFont="1" applyFill="1" applyBorder="1" applyAlignment="1">
      <alignment horizontal="center"/>
    </xf>
    <xf numFmtId="0" fontId="17" fillId="8" borderId="18" xfId="0" applyFont="1" applyFill="1" applyBorder="1" applyAlignment="1">
      <alignment horizontal="center" vertical="center" wrapText="1" readingOrder="2"/>
    </xf>
    <xf numFmtId="0" fontId="17" fillId="8" borderId="16" xfId="0" applyFont="1" applyFill="1" applyBorder="1" applyAlignment="1">
      <alignment horizontal="center" vertical="center" wrapText="1" readingOrder="2"/>
    </xf>
    <xf numFmtId="9" fontId="14" fillId="11" borderId="0" xfId="0" applyNumberFormat="1" applyFont="1" applyFill="1" applyBorder="1" applyAlignment="1">
      <alignment horizontal="center" vertical="center" wrapText="1" readingOrder="2"/>
    </xf>
    <xf numFmtId="0" fontId="31" fillId="11" borderId="0" xfId="24" applyNumberFormat="1" applyFont="1" applyFill="1" applyBorder="1" applyAlignment="1">
      <alignment horizontal="center"/>
    </xf>
    <xf numFmtId="165" fontId="14" fillId="11" borderId="0" xfId="0" applyNumberFormat="1" applyFont="1" applyFill="1" applyBorder="1" applyAlignment="1">
      <alignment horizontal="center" vertical="center"/>
    </xf>
    <xf numFmtId="0" fontId="31" fillId="11" borderId="22" xfId="0" applyFont="1" applyFill="1" applyBorder="1" applyAlignment="1">
      <alignment horizontal="center" vertical="center" wrapText="1" readingOrder="2"/>
    </xf>
    <xf numFmtId="9" fontId="25" fillId="8" borderId="16" xfId="0" applyNumberFormat="1" applyFont="1" applyFill="1" applyBorder="1" applyAlignment="1">
      <alignment horizontal="center" vertical="center" wrapText="1" readingOrder="2"/>
    </xf>
    <xf numFmtId="1" fontId="25" fillId="8" borderId="17" xfId="0" applyNumberFormat="1" applyFont="1" applyFill="1" applyBorder="1" applyAlignment="1">
      <alignment horizontal="center" vertical="center" wrapText="1" readingOrder="2"/>
    </xf>
    <xf numFmtId="0" fontId="35" fillId="0" borderId="0" xfId="0" applyFont="1" applyAlignment="1"/>
    <xf numFmtId="10" fontId="31" fillId="11" borderId="0" xfId="24" applyNumberFormat="1" applyFont="1" applyFill="1" applyBorder="1" applyAlignment="1">
      <alignment horizontal="center"/>
    </xf>
    <xf numFmtId="1" fontId="31" fillId="11" borderId="0" xfId="24" applyNumberFormat="1" applyFont="1" applyFill="1" applyBorder="1" applyAlignment="1">
      <alignment horizontal="center"/>
    </xf>
    <xf numFmtId="165" fontId="31" fillId="11" borderId="0" xfId="24" applyNumberFormat="1" applyFont="1" applyFill="1" applyBorder="1" applyAlignment="1">
      <alignment horizontal="center"/>
    </xf>
    <xf numFmtId="10" fontId="31" fillId="11" borderId="19" xfId="24" applyNumberFormat="1" applyFont="1" applyFill="1" applyBorder="1" applyAlignment="1">
      <alignment horizontal="center" vertical="center" wrapText="1" readingOrder="2"/>
    </xf>
    <xf numFmtId="0" fontId="31" fillId="8" borderId="26" xfId="0" applyFont="1" applyFill="1" applyBorder="1" applyAlignment="1">
      <alignment horizontal="center" vertical="center" wrapText="1" readingOrder="2"/>
    </xf>
    <xf numFmtId="0" fontId="31" fillId="8" borderId="27" xfId="0" applyFont="1" applyFill="1" applyBorder="1" applyAlignment="1">
      <alignment horizontal="center" vertical="center" wrapText="1" readingOrder="2"/>
    </xf>
    <xf numFmtId="0" fontId="31" fillId="8" borderId="28" xfId="0" applyFont="1" applyFill="1" applyBorder="1" applyAlignment="1">
      <alignment horizontal="center" vertical="center" wrapText="1" readingOrder="2"/>
    </xf>
    <xf numFmtId="0" fontId="31" fillId="11" borderId="22" xfId="0" applyFont="1" applyFill="1" applyBorder="1" applyAlignment="1">
      <alignment horizontal="center" vertical="center" wrapText="1"/>
    </xf>
    <xf numFmtId="10" fontId="31" fillId="11" borderId="0" xfId="24" applyNumberFormat="1" applyFont="1" applyFill="1" applyBorder="1" applyAlignment="1">
      <alignment horizontal="center" vertical="center" wrapText="1"/>
    </xf>
    <xf numFmtId="9" fontId="31" fillId="11" borderId="0" xfId="24" applyFont="1" applyFill="1" applyBorder="1" applyAlignment="1">
      <alignment horizontal="center" vertical="center" wrapText="1"/>
    </xf>
    <xf numFmtId="166" fontId="31" fillId="11" borderId="0" xfId="24" applyNumberFormat="1" applyFont="1" applyFill="1" applyBorder="1" applyAlignment="1">
      <alignment horizontal="center" vertical="center" wrapText="1"/>
    </xf>
    <xf numFmtId="10" fontId="31" fillId="11" borderId="19" xfId="24" applyNumberFormat="1" applyFont="1" applyFill="1" applyBorder="1" applyAlignment="1">
      <alignment horizontal="center" vertical="center" wrapText="1"/>
    </xf>
    <xf numFmtId="0" fontId="14" fillId="11" borderId="0" xfId="0" applyFont="1" applyFill="1"/>
    <xf numFmtId="0" fontId="14" fillId="11" borderId="21" xfId="0" applyFont="1" applyFill="1" applyBorder="1" applyAlignment="1">
      <alignment horizontal="center" vertical="center" wrapText="1"/>
    </xf>
    <xf numFmtId="0" fontId="14" fillId="11" borderId="13" xfId="0" applyFont="1" applyFill="1" applyBorder="1" applyAlignment="1">
      <alignment vertical="distributed"/>
    </xf>
    <xf numFmtId="9" fontId="14" fillId="11" borderId="14" xfId="24" applyFont="1" applyFill="1" applyBorder="1" applyAlignment="1">
      <alignment horizontal="center" vertical="distributed"/>
    </xf>
    <xf numFmtId="9" fontId="14" fillId="11" borderId="15" xfId="24" applyFont="1" applyFill="1" applyBorder="1" applyAlignment="1">
      <alignment horizontal="center" vertical="distributed"/>
    </xf>
    <xf numFmtId="9" fontId="14" fillId="11" borderId="23" xfId="24" applyFont="1" applyFill="1" applyBorder="1" applyAlignment="1">
      <alignment horizontal="center" vertical="center" wrapText="1"/>
    </xf>
    <xf numFmtId="9" fontId="14" fillId="11" borderId="14" xfId="24" applyFont="1" applyFill="1" applyBorder="1" applyAlignment="1">
      <alignment horizontal="center" vertical="center" wrapText="1"/>
    </xf>
    <xf numFmtId="9" fontId="14" fillId="11" borderId="15" xfId="24" applyFont="1" applyFill="1" applyBorder="1" applyAlignment="1">
      <alignment horizontal="center" vertical="center" wrapText="1"/>
    </xf>
    <xf numFmtId="1" fontId="31" fillId="11" borderId="0" xfId="24" applyNumberFormat="1"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7" fillId="8" borderId="0" xfId="0" applyFont="1" applyFill="1" applyBorder="1" applyAlignment="1">
      <alignment horizontal="center" vertical="center" wrapText="1"/>
    </xf>
    <xf numFmtId="0" fontId="17" fillId="8" borderId="19" xfId="0" applyFont="1" applyFill="1" applyBorder="1" applyAlignment="1">
      <alignment horizontal="center" vertical="center" wrapText="1"/>
    </xf>
    <xf numFmtId="0" fontId="31" fillId="11" borderId="13" xfId="0" applyFont="1" applyFill="1" applyBorder="1" applyAlignment="1">
      <alignment horizontal="center" vertical="center"/>
    </xf>
    <xf numFmtId="0" fontId="31" fillId="11" borderId="14" xfId="0" applyFont="1" applyFill="1" applyBorder="1" applyAlignment="1">
      <alignment vertical="center"/>
    </xf>
    <xf numFmtId="10" fontId="31" fillId="11" borderId="15" xfId="0" applyNumberFormat="1" applyFont="1" applyFill="1" applyBorder="1" applyAlignment="1">
      <alignment horizontal="center" vertical="center"/>
    </xf>
    <xf numFmtId="0" fontId="31" fillId="11" borderId="14" xfId="0" applyFont="1" applyFill="1" applyBorder="1" applyAlignment="1">
      <alignment vertical="center" wrapText="1"/>
    </xf>
    <xf numFmtId="9" fontId="31" fillId="8" borderId="15" xfId="25" applyNumberFormat="1" applyFont="1" applyFill="1" applyBorder="1" applyAlignment="1">
      <alignment horizontal="center"/>
    </xf>
    <xf numFmtId="0" fontId="25" fillId="8" borderId="11" xfId="0" applyFont="1" applyFill="1" applyBorder="1" applyAlignment="1">
      <alignment horizontal="center"/>
    </xf>
    <xf numFmtId="0" fontId="25" fillId="8" borderId="12" xfId="0" applyFont="1" applyFill="1" applyBorder="1" applyAlignment="1">
      <alignment horizontal="center"/>
    </xf>
    <xf numFmtId="0" fontId="14" fillId="0" borderId="0" xfId="0" applyFont="1" applyAlignment="1"/>
    <xf numFmtId="0" fontId="14" fillId="11" borderId="0" xfId="0" applyFont="1" applyFill="1" applyBorder="1" applyAlignment="1">
      <alignment horizontal="center" vertical="center"/>
    </xf>
    <xf numFmtId="0" fontId="14" fillId="11" borderId="14" xfId="0" applyFont="1" applyFill="1" applyBorder="1" applyAlignment="1">
      <alignment horizontal="center" vertical="center"/>
    </xf>
    <xf numFmtId="0" fontId="14" fillId="0" borderId="0" xfId="0" applyFont="1" applyAlignment="1">
      <alignment horizontal="center" vertical="center"/>
    </xf>
    <xf numFmtId="0" fontId="0" fillId="4" borderId="0" xfId="0" applyFill="1"/>
    <xf numFmtId="0" fontId="0" fillId="9" borderId="0" xfId="0" applyFill="1"/>
    <xf numFmtId="0" fontId="0" fillId="16" borderId="0" xfId="0" applyFill="1"/>
    <xf numFmtId="1" fontId="0" fillId="0" borderId="0" xfId="0" applyNumberFormat="1"/>
    <xf numFmtId="168" fontId="0" fillId="0" borderId="0" xfId="26" applyNumberFormat="1" applyFont="1"/>
    <xf numFmtId="165" fontId="0" fillId="0" borderId="0" xfId="0" applyNumberFormat="1"/>
    <xf numFmtId="168" fontId="0" fillId="0" borderId="0" xfId="0" applyNumberFormat="1"/>
    <xf numFmtId="169" fontId="0" fillId="0" borderId="0" xfId="0" applyNumberFormat="1"/>
    <xf numFmtId="43" fontId="0" fillId="0" borderId="0" xfId="0" applyNumberFormat="1"/>
    <xf numFmtId="0" fontId="14" fillId="11" borderId="0" xfId="0" applyFont="1" applyFill="1" applyAlignment="1">
      <alignment horizontal="center" vertical="center"/>
    </xf>
    <xf numFmtId="0" fontId="14" fillId="17" borderId="0" xfId="0" applyFont="1" applyFill="1" applyAlignment="1">
      <alignment horizontal="center" vertical="center"/>
    </xf>
    <xf numFmtId="9" fontId="14" fillId="11" borderId="0" xfId="0" applyNumberFormat="1" applyFont="1" applyFill="1" applyAlignment="1">
      <alignment horizontal="center" vertical="center"/>
    </xf>
    <xf numFmtId="0" fontId="14" fillId="11" borderId="60" xfId="0" applyFont="1" applyFill="1" applyBorder="1" applyAlignment="1">
      <alignment horizontal="center" vertical="center"/>
    </xf>
    <xf numFmtId="0" fontId="14" fillId="11" borderId="12" xfId="0" applyFont="1" applyFill="1" applyBorder="1" applyAlignment="1">
      <alignment horizontal="center" vertical="center"/>
    </xf>
    <xf numFmtId="0" fontId="14" fillId="11" borderId="61" xfId="0" applyFont="1" applyFill="1" applyBorder="1" applyAlignment="1">
      <alignment horizontal="center" vertical="center"/>
    </xf>
    <xf numFmtId="1" fontId="14" fillId="11" borderId="19" xfId="0" applyNumberFormat="1" applyFont="1" applyFill="1" applyBorder="1" applyAlignment="1">
      <alignment horizontal="center" vertical="center"/>
    </xf>
    <xf numFmtId="0" fontId="14" fillId="11" borderId="62" xfId="0" applyFont="1" applyFill="1" applyBorder="1" applyAlignment="1">
      <alignment horizontal="center" vertical="center"/>
    </xf>
    <xf numFmtId="0" fontId="14" fillId="11" borderId="15" xfId="0" applyFont="1" applyFill="1" applyBorder="1" applyAlignment="1">
      <alignment horizontal="center" vertical="center"/>
    </xf>
    <xf numFmtId="0" fontId="17" fillId="11" borderId="11" xfId="0" applyFont="1" applyFill="1" applyBorder="1" applyAlignment="1">
      <alignment horizontal="center" vertical="center"/>
    </xf>
    <xf numFmtId="0" fontId="14" fillId="17" borderId="0" xfId="0" applyFont="1" applyFill="1" applyBorder="1" applyAlignment="1">
      <alignment horizontal="center" vertical="center"/>
    </xf>
    <xf numFmtId="9" fontId="14" fillId="18" borderId="0" xfId="0" applyNumberFormat="1" applyFont="1" applyFill="1" applyBorder="1" applyAlignment="1">
      <alignment horizontal="center" vertical="center"/>
    </xf>
    <xf numFmtId="9" fontId="14" fillId="11" borderId="19" xfId="0" applyNumberFormat="1" applyFont="1" applyFill="1" applyBorder="1" applyAlignment="1">
      <alignment horizontal="center" vertical="center"/>
    </xf>
    <xf numFmtId="0" fontId="14" fillId="11" borderId="18" xfId="0" applyFont="1" applyFill="1" applyBorder="1" applyAlignment="1">
      <alignment horizontal="center" vertical="center"/>
    </xf>
    <xf numFmtId="0" fontId="14" fillId="11" borderId="16" xfId="0" applyFont="1" applyFill="1" applyBorder="1" applyAlignment="1">
      <alignment horizontal="center" vertical="center"/>
    </xf>
    <xf numFmtId="0" fontId="14" fillId="11" borderId="17" xfId="0" applyFont="1" applyFill="1" applyBorder="1" applyAlignment="1">
      <alignment horizontal="center" vertical="center"/>
    </xf>
    <xf numFmtId="0" fontId="19" fillId="0" borderId="0" xfId="0" applyFont="1" applyFill="1" applyBorder="1" applyAlignment="1">
      <alignment horizontal="center"/>
    </xf>
    <xf numFmtId="0" fontId="14" fillId="11" borderId="0" xfId="0" applyFont="1" applyFill="1" applyBorder="1" applyAlignment="1">
      <alignment horizontal="center" vertical="center"/>
    </xf>
    <xf numFmtId="0" fontId="14" fillId="11" borderId="0" xfId="0" applyFont="1" applyFill="1" applyBorder="1" applyAlignment="1">
      <alignment horizontal="center"/>
    </xf>
    <xf numFmtId="9" fontId="14" fillId="11" borderId="19" xfId="24" applyFont="1" applyFill="1" applyBorder="1" applyAlignment="1">
      <alignment horizontal="center" vertical="center"/>
    </xf>
    <xf numFmtId="0" fontId="2" fillId="11" borderId="0" xfId="0" applyFont="1" applyFill="1" applyAlignment="1"/>
    <xf numFmtId="0" fontId="9" fillId="11" borderId="0" xfId="0" applyFont="1" applyFill="1" applyAlignment="1"/>
    <xf numFmtId="0" fontId="10" fillId="11" borderId="0" xfId="0" applyFont="1" applyFill="1" applyAlignment="1"/>
    <xf numFmtId="0" fontId="2" fillId="11" borderId="0" xfId="0" applyFont="1" applyFill="1" applyAlignment="1">
      <alignment horizontal="left"/>
    </xf>
    <xf numFmtId="0" fontId="10" fillId="11" borderId="0" xfId="0" applyFont="1" applyFill="1" applyAlignment="1">
      <alignment horizontal="left"/>
    </xf>
    <xf numFmtId="0" fontId="30" fillId="11" borderId="0" xfId="0" applyFont="1" applyFill="1" applyBorder="1" applyAlignment="1">
      <alignment horizontal="center" vertical="center" wrapText="1" shrinkToFit="1"/>
    </xf>
    <xf numFmtId="0" fontId="19" fillId="11" borderId="0" xfId="0" applyFont="1" applyFill="1" applyBorder="1" applyAlignment="1">
      <alignment horizontal="center"/>
    </xf>
    <xf numFmtId="0" fontId="2" fillId="11" borderId="0" xfId="0" applyFont="1" applyFill="1"/>
    <xf numFmtId="0" fontId="17" fillId="11" borderId="0" xfId="0" applyFont="1" applyFill="1" applyAlignment="1">
      <alignment horizontal="left" vertical="center"/>
    </xf>
    <xf numFmtId="0" fontId="19" fillId="0" borderId="0" xfId="0" applyFont="1" applyFill="1" applyBorder="1" applyAlignment="1">
      <alignment horizontal="center"/>
    </xf>
    <xf numFmtId="0" fontId="14" fillId="0" borderId="0" xfId="0" applyFont="1" applyAlignment="1"/>
    <xf numFmtId="0" fontId="31" fillId="8" borderId="16" xfId="0" applyFont="1" applyFill="1" applyBorder="1" applyAlignment="1">
      <alignment horizontal="center" vertical="center" wrapText="1" readingOrder="2"/>
    </xf>
    <xf numFmtId="0" fontId="17" fillId="8" borderId="14" xfId="0" applyFont="1" applyFill="1" applyBorder="1" applyAlignment="1">
      <alignment horizontal="center" vertical="center"/>
    </xf>
    <xf numFmtId="0" fontId="14" fillId="11" borderId="0" xfId="0" applyFont="1" applyFill="1" applyBorder="1" applyAlignment="1">
      <alignment horizontal="center"/>
    </xf>
    <xf numFmtId="0" fontId="17" fillId="8" borderId="15" xfId="0" applyFont="1" applyFill="1" applyBorder="1" applyAlignment="1">
      <alignment horizontal="center" vertical="center"/>
    </xf>
    <xf numFmtId="0" fontId="17" fillId="8" borderId="13" xfId="0" applyFont="1" applyFill="1" applyBorder="1" applyAlignment="1">
      <alignment horizontal="center" vertical="center"/>
    </xf>
    <xf numFmtId="9" fontId="14" fillId="11" borderId="11" xfId="24" applyFont="1" applyFill="1" applyBorder="1" applyAlignment="1">
      <alignment horizontal="center" vertical="center"/>
    </xf>
    <xf numFmtId="9" fontId="14" fillId="11" borderId="12" xfId="24" applyFont="1" applyFill="1" applyBorder="1" applyAlignment="1">
      <alignment horizontal="center" vertical="center"/>
    </xf>
    <xf numFmtId="9" fontId="14" fillId="11" borderId="0" xfId="24" applyFont="1" applyFill="1" applyBorder="1" applyAlignment="1">
      <alignment horizontal="center" vertical="center"/>
    </xf>
    <xf numFmtId="9" fontId="14" fillId="11" borderId="19" xfId="24" applyFont="1" applyFill="1" applyBorder="1" applyAlignment="1">
      <alignment horizontal="center" vertical="center"/>
    </xf>
    <xf numFmtId="9" fontId="14" fillId="11" borderId="14" xfId="24" applyFont="1" applyFill="1" applyBorder="1" applyAlignment="1">
      <alignment horizontal="center" vertical="center"/>
    </xf>
    <xf numFmtId="9" fontId="14" fillId="11" borderId="15" xfId="24" applyFont="1" applyFill="1" applyBorder="1" applyAlignment="1">
      <alignment horizontal="center" vertical="center"/>
    </xf>
    <xf numFmtId="1" fontId="25" fillId="8" borderId="16" xfId="0" applyNumberFormat="1" applyFont="1" applyFill="1" applyBorder="1" applyAlignment="1">
      <alignment horizontal="center" vertical="center" wrapText="1" readingOrder="2"/>
    </xf>
    <xf numFmtId="0" fontId="17" fillId="0" borderId="0" xfId="12" applyFont="1" applyFill="1" applyAlignment="1">
      <alignment horizontal="right" vertical="center" wrapText="1"/>
    </xf>
    <xf numFmtId="0" fontId="2" fillId="0" borderId="0" xfId="0" applyFont="1" applyFill="1" applyAlignment="1"/>
    <xf numFmtId="0" fontId="14" fillId="0" borderId="0" xfId="0" applyFont="1" applyFill="1" applyAlignment="1"/>
    <xf numFmtId="0" fontId="14" fillId="0" borderId="0" xfId="0" applyFont="1" applyFill="1"/>
    <xf numFmtId="0" fontId="17" fillId="0" borderId="0" xfId="0" applyFont="1" applyFill="1" applyAlignment="1">
      <alignment horizontal="center"/>
    </xf>
    <xf numFmtId="0" fontId="14" fillId="0" borderId="0" xfId="0" applyFont="1" applyFill="1" applyAlignment="1">
      <alignment horizontal="center"/>
    </xf>
    <xf numFmtId="9" fontId="14" fillId="0" borderId="0" xfId="0" applyNumberFormat="1" applyFont="1" applyFill="1" applyAlignment="1">
      <alignment horizontal="center"/>
    </xf>
    <xf numFmtId="0" fontId="14" fillId="11" borderId="22" xfId="0" applyFont="1" applyFill="1" applyBorder="1" applyAlignment="1">
      <alignment horizontal="center" vertical="center"/>
    </xf>
    <xf numFmtId="0" fontId="14" fillId="11" borderId="13" xfId="0" applyFont="1" applyFill="1" applyBorder="1" applyAlignment="1">
      <alignment horizontal="center" vertical="center"/>
    </xf>
    <xf numFmtId="0" fontId="17" fillId="11" borderId="14" xfId="0" applyFont="1" applyFill="1" applyBorder="1" applyAlignment="1">
      <alignment horizontal="center" vertical="center"/>
    </xf>
    <xf numFmtId="0" fontId="17" fillId="11" borderId="15" xfId="0" applyFont="1" applyFill="1" applyBorder="1" applyAlignment="1">
      <alignment horizontal="center" vertical="center"/>
    </xf>
    <xf numFmtId="0" fontId="14" fillId="0" borderId="0" xfId="0" applyFont="1" applyFill="1" applyBorder="1" applyAlignment="1"/>
    <xf numFmtId="0" fontId="33" fillId="11" borderId="22" xfId="0" applyFont="1" applyFill="1" applyBorder="1" applyAlignment="1">
      <alignment horizontal="center" vertical="center"/>
    </xf>
    <xf numFmtId="0" fontId="33" fillId="11" borderId="0" xfId="0" applyFont="1" applyFill="1" applyBorder="1" applyAlignment="1">
      <alignment horizontal="center" vertical="center" wrapText="1"/>
    </xf>
    <xf numFmtId="0" fontId="33" fillId="11" borderId="0" xfId="0" applyFont="1" applyFill="1" applyBorder="1" applyAlignment="1">
      <alignment horizontal="center" vertical="center"/>
    </xf>
    <xf numFmtId="9" fontId="33" fillId="11" borderId="19" xfId="24" applyFont="1" applyFill="1" applyBorder="1" applyAlignment="1">
      <alignment horizontal="center" vertical="center"/>
    </xf>
    <xf numFmtId="0" fontId="16" fillId="8" borderId="13" xfId="0" applyFont="1" applyFill="1" applyBorder="1" applyAlignment="1">
      <alignment horizontal="center" vertical="center"/>
    </xf>
    <xf numFmtId="0" fontId="16" fillId="8" borderId="14" xfId="0" applyFont="1" applyFill="1" applyBorder="1" applyAlignment="1">
      <alignment horizontal="center" vertical="center"/>
    </xf>
    <xf numFmtId="166" fontId="16" fillId="8" borderId="14" xfId="24" applyNumberFormat="1" applyFont="1" applyFill="1" applyBorder="1" applyAlignment="1">
      <alignment horizontal="center" vertical="center"/>
    </xf>
    <xf numFmtId="9" fontId="16" fillId="13" borderId="15" xfId="0" applyNumberFormat="1" applyFont="1" applyFill="1" applyBorder="1" applyAlignment="1">
      <alignment horizontal="center" vertical="center"/>
    </xf>
    <xf numFmtId="9" fontId="17" fillId="15" borderId="12" xfId="0" applyNumberFormat="1" applyFont="1" applyFill="1" applyBorder="1" applyAlignment="1">
      <alignment horizontal="center" vertical="center"/>
    </xf>
    <xf numFmtId="1" fontId="17" fillId="15" borderId="19" xfId="0" applyNumberFormat="1" applyFont="1" applyFill="1" applyBorder="1" applyAlignment="1">
      <alignment horizontal="center" vertical="center"/>
    </xf>
    <xf numFmtId="1" fontId="17" fillId="15" borderId="15" xfId="0" applyNumberFormat="1" applyFont="1" applyFill="1" applyBorder="1" applyAlignment="1">
      <alignment horizontal="center" vertical="center"/>
    </xf>
    <xf numFmtId="0" fontId="26" fillId="8" borderId="38" xfId="0" applyFont="1" applyFill="1" applyBorder="1" applyAlignment="1">
      <alignment horizontal="center" vertical="center" wrapText="1"/>
    </xf>
    <xf numFmtId="9" fontId="26" fillId="8" borderId="27" xfId="24" applyFont="1" applyFill="1" applyBorder="1" applyAlignment="1">
      <alignment horizontal="center" vertical="center" wrapText="1"/>
    </xf>
    <xf numFmtId="0" fontId="14" fillId="0" borderId="0" xfId="0" applyFont="1" applyFill="1" applyBorder="1" applyAlignment="1">
      <alignment horizontal="center"/>
    </xf>
    <xf numFmtId="0" fontId="14" fillId="0" borderId="0" xfId="0" applyFont="1" applyFill="1" applyBorder="1"/>
    <xf numFmtId="0" fontId="2" fillId="0" borderId="0" xfId="0" applyFont="1" applyFill="1"/>
    <xf numFmtId="0" fontId="16" fillId="0" borderId="0" xfId="0" applyFont="1" applyFill="1" applyBorder="1" applyAlignment="1">
      <alignment horizontal="right" vertical="center"/>
    </xf>
    <xf numFmtId="0" fontId="14" fillId="0" borderId="0" xfId="0" applyFont="1" applyFill="1" applyBorder="1" applyAlignment="1">
      <alignment horizontal="right" vertical="center"/>
    </xf>
    <xf numFmtId="0" fontId="17" fillId="0" borderId="0" xfId="0" applyFont="1" applyFill="1" applyBorder="1" applyAlignment="1">
      <alignment horizontal="center"/>
    </xf>
    <xf numFmtId="9" fontId="14" fillId="0" borderId="0" xfId="0" applyNumberFormat="1" applyFont="1" applyFill="1" applyBorder="1" applyAlignment="1">
      <alignment horizontal="center"/>
    </xf>
    <xf numFmtId="0" fontId="2" fillId="0" borderId="0" xfId="0" applyFont="1" applyFill="1" applyBorder="1"/>
    <xf numFmtId="0" fontId="32" fillId="11" borderId="22" xfId="0" applyFont="1" applyFill="1" applyBorder="1" applyAlignment="1">
      <alignment horizontal="center" vertical="center" wrapText="1"/>
    </xf>
    <xf numFmtId="0" fontId="33" fillId="11" borderId="22" xfId="0" applyFont="1" applyFill="1" applyBorder="1" applyAlignment="1">
      <alignment horizontal="center" vertical="center" wrapText="1"/>
    </xf>
    <xf numFmtId="0" fontId="16" fillId="8" borderId="15" xfId="0" applyFont="1" applyFill="1" applyBorder="1" applyAlignment="1">
      <alignment horizontal="center" vertical="center"/>
    </xf>
    <xf numFmtId="0" fontId="26" fillId="8" borderId="65" xfId="0" applyFont="1" applyFill="1" applyBorder="1" applyAlignment="1">
      <alignment horizontal="center" vertical="center" wrapText="1"/>
    </xf>
    <xf numFmtId="9" fontId="27" fillId="11" borderId="0" xfId="24" applyFont="1" applyFill="1" applyBorder="1" applyAlignment="1">
      <alignment horizontal="center" vertical="center"/>
    </xf>
    <xf numFmtId="9" fontId="27" fillId="11" borderId="0" xfId="24" applyFont="1" applyFill="1" applyBorder="1" applyAlignment="1">
      <alignment horizontal="center"/>
    </xf>
    <xf numFmtId="9" fontId="27" fillId="11" borderId="19" xfId="24" applyFont="1" applyFill="1" applyBorder="1" applyAlignment="1">
      <alignment horizontal="center" vertical="center"/>
    </xf>
    <xf numFmtId="9" fontId="27" fillId="8" borderId="17" xfId="24" applyFont="1" applyFill="1" applyBorder="1" applyAlignment="1">
      <alignment horizontal="center"/>
    </xf>
    <xf numFmtId="0" fontId="17" fillId="0" borderId="0" xfId="0" applyFont="1" applyFill="1" applyBorder="1"/>
    <xf numFmtId="0" fontId="14" fillId="0" borderId="0" xfId="0" applyFont="1" applyFill="1" applyBorder="1" applyAlignment="1">
      <alignment horizontal="center" vertical="center"/>
    </xf>
    <xf numFmtId="0" fontId="2" fillId="0" borderId="0" xfId="0" applyFont="1" applyFill="1" applyAlignment="1">
      <alignment horizontal="left"/>
    </xf>
    <xf numFmtId="49" fontId="17" fillId="0" borderId="0" xfId="12" applyNumberFormat="1" applyFont="1" applyFill="1" applyAlignment="1">
      <alignment vertical="center" wrapText="1"/>
    </xf>
    <xf numFmtId="0" fontId="37" fillId="0" borderId="0" xfId="0" applyFont="1" applyFill="1" applyBorder="1" applyAlignment="1"/>
    <xf numFmtId="9" fontId="14" fillId="0" borderId="0" xfId="24" applyFont="1" applyFill="1" applyBorder="1" applyAlignment="1">
      <alignment horizontal="center"/>
    </xf>
    <xf numFmtId="0" fontId="53" fillId="0" borderId="0" xfId="0" applyFont="1" applyAlignment="1">
      <alignment horizontal="left"/>
    </xf>
    <xf numFmtId="0" fontId="14" fillId="11" borderId="0" xfId="0" applyFont="1" applyFill="1" applyAlignment="1">
      <alignment horizontal="center"/>
    </xf>
    <xf numFmtId="0" fontId="27" fillId="11" borderId="0" xfId="0" applyFont="1" applyFill="1" applyBorder="1" applyAlignment="1">
      <alignment horizontal="center"/>
    </xf>
    <xf numFmtId="9" fontId="27" fillId="11" borderId="19" xfId="24" applyFont="1" applyFill="1" applyBorder="1" applyAlignment="1">
      <alignment horizontal="center"/>
    </xf>
    <xf numFmtId="0" fontId="27" fillId="11" borderId="22" xfId="0" applyFont="1" applyFill="1" applyBorder="1" applyAlignment="1">
      <alignment horizontal="center" vertical="center"/>
    </xf>
    <xf numFmtId="0" fontId="38" fillId="0" borderId="0" xfId="0" applyFont="1" applyAlignment="1">
      <alignment horizontal="center"/>
    </xf>
    <xf numFmtId="0" fontId="29" fillId="8" borderId="63" xfId="0" applyFont="1" applyFill="1" applyBorder="1" applyAlignment="1">
      <alignment horizontal="center" vertical="center" wrapText="1"/>
    </xf>
    <xf numFmtId="0" fontId="29" fillId="8" borderId="64" xfId="0" applyFont="1" applyFill="1" applyBorder="1" applyAlignment="1">
      <alignment horizontal="center" vertical="center" wrapText="1"/>
    </xf>
    <xf numFmtId="0" fontId="29" fillId="8" borderId="65" xfId="0" applyFont="1" applyFill="1" applyBorder="1" applyAlignment="1">
      <alignment horizontal="center" vertical="center" wrapText="1"/>
    </xf>
    <xf numFmtId="9" fontId="27" fillId="8" borderId="24" xfId="24" applyFont="1" applyFill="1" applyBorder="1" applyAlignment="1">
      <alignment horizontal="center"/>
    </xf>
    <xf numFmtId="9" fontId="29" fillId="8" borderId="17" xfId="24" applyFont="1" applyFill="1" applyBorder="1" applyAlignment="1">
      <alignment horizontal="center" vertical="center"/>
    </xf>
    <xf numFmtId="9" fontId="29" fillId="8" borderId="24" xfId="24" applyFont="1" applyFill="1" applyBorder="1" applyAlignment="1">
      <alignment horizontal="center" vertical="center"/>
    </xf>
    <xf numFmtId="0" fontId="17" fillId="8" borderId="24" xfId="0" applyFont="1" applyFill="1" applyBorder="1" applyAlignment="1">
      <alignment horizontal="center" vertical="center"/>
    </xf>
    <xf numFmtId="166" fontId="14" fillId="11" borderId="15" xfId="24" applyNumberFormat="1" applyFont="1" applyFill="1" applyBorder="1" applyAlignment="1">
      <alignment horizontal="center" vertical="center"/>
    </xf>
    <xf numFmtId="0" fontId="14" fillId="11" borderId="19" xfId="0" applyFont="1" applyFill="1" applyBorder="1" applyAlignment="1">
      <alignment horizontal="center"/>
    </xf>
    <xf numFmtId="0" fontId="14" fillId="11" borderId="15" xfId="0" applyFont="1" applyFill="1" applyBorder="1" applyAlignment="1">
      <alignment horizontal="center"/>
    </xf>
    <xf numFmtId="0" fontId="19" fillId="11" borderId="0" xfId="0" applyFont="1" applyFill="1" applyBorder="1" applyAlignment="1"/>
    <xf numFmtId="49" fontId="17" fillId="11" borderId="0" xfId="12" applyNumberFormat="1" applyFont="1" applyFill="1" applyAlignment="1">
      <alignment vertical="center" wrapText="1"/>
    </xf>
    <xf numFmtId="0" fontId="17" fillId="8" borderId="17" xfId="0" applyFont="1" applyFill="1" applyBorder="1" applyAlignment="1">
      <alignment horizontal="center" vertical="center" wrapText="1" readingOrder="2"/>
    </xf>
    <xf numFmtId="9" fontId="14" fillId="11" borderId="22" xfId="0" applyNumberFormat="1" applyFont="1" applyFill="1" applyBorder="1" applyAlignment="1">
      <alignment horizontal="center" vertical="center" wrapText="1" readingOrder="2"/>
    </xf>
    <xf numFmtId="0" fontId="14" fillId="8" borderId="21" xfId="0" applyFont="1" applyFill="1" applyBorder="1" applyAlignment="1">
      <alignment horizontal="center" vertical="center"/>
    </xf>
    <xf numFmtId="0" fontId="14" fillId="8" borderId="20" xfId="0" applyFont="1" applyFill="1" applyBorder="1" applyAlignment="1">
      <alignment horizontal="center" vertical="center"/>
    </xf>
    <xf numFmtId="0" fontId="14" fillId="8" borderId="23" xfId="0" applyFont="1" applyFill="1" applyBorder="1" applyAlignment="1">
      <alignment horizontal="center" vertical="center"/>
    </xf>
    <xf numFmtId="0" fontId="31" fillId="11" borderId="0" xfId="25" applyFont="1" applyFill="1" applyBorder="1" applyAlignment="1">
      <alignment horizontal="center" vertical="center" textRotation="90"/>
    </xf>
    <xf numFmtId="0" fontId="14" fillId="0" borderId="0" xfId="0" applyFont="1" applyFill="1" applyBorder="1" applyAlignment="1">
      <alignment horizontal="center" vertical="center" wrapText="1" readingOrder="2"/>
    </xf>
    <xf numFmtId="9" fontId="14" fillId="0" borderId="0" xfId="24" applyFont="1" applyFill="1" applyBorder="1" applyAlignment="1">
      <alignment horizontal="center" vertical="center"/>
    </xf>
    <xf numFmtId="0" fontId="17" fillId="0" borderId="0" xfId="0" applyFont="1" applyFill="1" applyBorder="1" applyAlignment="1">
      <alignment horizontal="center" vertical="center" wrapText="1" readingOrder="2"/>
    </xf>
    <xf numFmtId="0" fontId="17" fillId="0" borderId="0" xfId="0" applyFont="1" applyFill="1" applyBorder="1" applyAlignment="1">
      <alignment horizontal="center" vertical="center"/>
    </xf>
    <xf numFmtId="0" fontId="17" fillId="11" borderId="0" xfId="0" applyFont="1" applyFill="1" applyBorder="1" applyAlignment="1">
      <alignment horizontal="center" vertical="center" wrapText="1" readingOrder="2"/>
    </xf>
    <xf numFmtId="0" fontId="25" fillId="8" borderId="13" xfId="0" applyFont="1" applyFill="1" applyBorder="1" applyAlignment="1">
      <alignment horizontal="center"/>
    </xf>
    <xf numFmtId="0" fontId="25" fillId="8" borderId="14" xfId="0" applyFont="1" applyFill="1" applyBorder="1" applyAlignment="1">
      <alignment horizontal="center"/>
    </xf>
    <xf numFmtId="9" fontId="57" fillId="8" borderId="15" xfId="24" applyFont="1" applyFill="1" applyBorder="1" applyAlignment="1">
      <alignment horizontal="center"/>
    </xf>
    <xf numFmtId="9" fontId="31" fillId="8" borderId="16" xfId="0" applyNumberFormat="1" applyFont="1" applyFill="1" applyBorder="1" applyAlignment="1">
      <alignment horizontal="center" vertical="center" wrapText="1" readingOrder="2"/>
    </xf>
    <xf numFmtId="9" fontId="31" fillId="8" borderId="17" xfId="24" applyFont="1" applyFill="1" applyBorder="1" applyAlignment="1">
      <alignment horizontal="center" vertical="center" wrapText="1" readingOrder="2"/>
    </xf>
    <xf numFmtId="0" fontId="31" fillId="11" borderId="13" xfId="0" applyFont="1" applyFill="1" applyBorder="1" applyAlignment="1">
      <alignment horizontal="center" vertical="center" wrapText="1" readingOrder="2"/>
    </xf>
    <xf numFmtId="0" fontId="31" fillId="11" borderId="14" xfId="0" applyFont="1" applyFill="1" applyBorder="1" applyAlignment="1">
      <alignment horizontal="center" vertical="center" wrapText="1" readingOrder="2"/>
    </xf>
    <xf numFmtId="10" fontId="31" fillId="11" borderId="14" xfId="24" applyNumberFormat="1" applyFont="1" applyFill="1" applyBorder="1" applyAlignment="1">
      <alignment horizontal="center"/>
    </xf>
    <xf numFmtId="165" fontId="31" fillId="11" borderId="14" xfId="24" applyNumberFormat="1" applyFont="1" applyFill="1" applyBorder="1" applyAlignment="1">
      <alignment horizontal="center"/>
    </xf>
    <xf numFmtId="10" fontId="31" fillId="11" borderId="15" xfId="24" applyNumberFormat="1" applyFont="1" applyFill="1" applyBorder="1" applyAlignment="1">
      <alignment horizontal="center" vertical="center" wrapText="1" readingOrder="2"/>
    </xf>
    <xf numFmtId="0" fontId="14" fillId="0" borderId="0" xfId="0" applyFont="1" applyFill="1" applyBorder="1" applyAlignment="1">
      <alignment horizontal="center" vertical="center" wrapText="1"/>
    </xf>
    <xf numFmtId="9" fontId="14" fillId="21" borderId="18" xfId="24" applyFont="1" applyFill="1" applyBorder="1" applyAlignment="1">
      <alignment horizontal="center" vertical="center"/>
    </xf>
    <xf numFmtId="9" fontId="14" fillId="21" borderId="16" xfId="24" applyFont="1" applyFill="1" applyBorder="1" applyAlignment="1">
      <alignment horizontal="center" vertical="center"/>
    </xf>
    <xf numFmtId="9" fontId="14" fillId="21" borderId="17" xfId="24" applyFont="1" applyFill="1" applyBorder="1" applyAlignment="1">
      <alignment horizontal="center" vertical="center"/>
    </xf>
    <xf numFmtId="0" fontId="17" fillId="21" borderId="16" xfId="0" applyFont="1" applyFill="1" applyBorder="1" applyAlignment="1">
      <alignment horizontal="center" vertical="center"/>
    </xf>
    <xf numFmtId="0" fontId="52" fillId="11" borderId="0" xfId="0" applyFont="1" applyFill="1" applyBorder="1" applyAlignment="1">
      <alignment vertical="center" wrapText="1"/>
    </xf>
    <xf numFmtId="9" fontId="52" fillId="11" borderId="22" xfId="24" applyNumberFormat="1" applyFont="1" applyFill="1" applyBorder="1" applyAlignment="1">
      <alignment horizontal="center" vertical="center"/>
    </xf>
    <xf numFmtId="9" fontId="52" fillId="11" borderId="0" xfId="24" applyNumberFormat="1" applyFont="1" applyFill="1" applyBorder="1" applyAlignment="1">
      <alignment horizontal="center" vertical="center"/>
    </xf>
    <xf numFmtId="9" fontId="52" fillId="11" borderId="19" xfId="24" applyNumberFormat="1" applyFont="1" applyFill="1" applyBorder="1" applyAlignment="1">
      <alignment horizontal="center" vertical="center"/>
    </xf>
    <xf numFmtId="0" fontId="33" fillId="0" borderId="21" xfId="0" applyFont="1" applyBorder="1" applyAlignment="1">
      <alignment horizontal="center" vertical="center"/>
    </xf>
    <xf numFmtId="0" fontId="33" fillId="0" borderId="12" xfId="0" applyFont="1" applyBorder="1" applyAlignment="1">
      <alignment horizontal="center" vertical="center"/>
    </xf>
    <xf numFmtId="0" fontId="33" fillId="0" borderId="20" xfId="0" applyFont="1" applyBorder="1" applyAlignment="1">
      <alignment horizontal="center" vertical="center"/>
    </xf>
    <xf numFmtId="0" fontId="33" fillId="0" borderId="19" xfId="0" applyFont="1" applyBorder="1" applyAlignment="1">
      <alignment horizontal="center" vertical="center"/>
    </xf>
    <xf numFmtId="0" fontId="33" fillId="0" borderId="23" xfId="0" applyFont="1" applyBorder="1" applyAlignment="1">
      <alignment horizontal="center" vertical="center"/>
    </xf>
    <xf numFmtId="0" fontId="33" fillId="0" borderId="15" xfId="0" applyFont="1" applyBorder="1" applyAlignment="1">
      <alignment horizontal="center" vertical="center"/>
    </xf>
    <xf numFmtId="0" fontId="49" fillId="0" borderId="0" xfId="0" applyFont="1" applyFill="1" applyAlignment="1">
      <alignment horizontal="center" vertical="center"/>
    </xf>
    <xf numFmtId="0" fontId="19" fillId="0" borderId="0" xfId="0" applyFont="1" applyFill="1" applyAlignment="1">
      <alignment vertical="center"/>
    </xf>
    <xf numFmtId="0" fontId="19" fillId="0" borderId="0" xfId="0" applyFont="1" applyFill="1"/>
    <xf numFmtId="9" fontId="36" fillId="0" borderId="68" xfId="24" applyFont="1" applyBorder="1" applyAlignment="1">
      <alignment horizontal="center" vertical="center"/>
    </xf>
    <xf numFmtId="9" fontId="36" fillId="0" borderId="69" xfId="24" applyFont="1" applyBorder="1" applyAlignment="1">
      <alignment horizontal="center" vertical="center"/>
    </xf>
    <xf numFmtId="9" fontId="36" fillId="0" borderId="71" xfId="24" applyFont="1" applyBorder="1" applyAlignment="1">
      <alignment horizontal="center" vertical="center"/>
    </xf>
    <xf numFmtId="9" fontId="36" fillId="0" borderId="78" xfId="24" applyFont="1" applyBorder="1" applyAlignment="1">
      <alignment horizontal="center" vertical="center"/>
    </xf>
    <xf numFmtId="9" fontId="14" fillId="0" borderId="0" xfId="24" applyFont="1" applyBorder="1" applyAlignment="1">
      <alignment horizontal="center" vertical="center"/>
    </xf>
    <xf numFmtId="9" fontId="14" fillId="0" borderId="0" xfId="24" applyFont="1" applyAlignment="1">
      <alignment horizontal="center" vertical="center"/>
    </xf>
    <xf numFmtId="0" fontId="27" fillId="0" borderId="70" xfId="0" applyFont="1" applyBorder="1" applyAlignment="1">
      <alignment horizontal="right" vertical="center"/>
    </xf>
    <xf numFmtId="9" fontId="33" fillId="0" borderId="82" xfId="0" applyNumberFormat="1" applyFont="1" applyBorder="1" applyAlignment="1">
      <alignment horizontal="center" vertical="center"/>
    </xf>
    <xf numFmtId="9" fontId="33" fillId="0" borderId="83" xfId="0" applyNumberFormat="1" applyFont="1" applyBorder="1" applyAlignment="1">
      <alignment horizontal="center" vertical="center"/>
    </xf>
    <xf numFmtId="9" fontId="37" fillId="0" borderId="39" xfId="0" applyNumberFormat="1" applyFont="1" applyBorder="1" applyAlignment="1">
      <alignment horizontal="center" vertical="center"/>
    </xf>
    <xf numFmtId="9" fontId="33" fillId="0" borderId="84" xfId="0" applyNumberFormat="1" applyFont="1" applyBorder="1" applyAlignment="1">
      <alignment horizontal="center" vertical="center"/>
    </xf>
    <xf numFmtId="9" fontId="33" fillId="0" borderId="85" xfId="0" applyNumberFormat="1" applyFont="1" applyBorder="1" applyAlignment="1">
      <alignment horizontal="center" vertical="center"/>
    </xf>
    <xf numFmtId="9" fontId="33" fillId="0" borderId="87" xfId="0" applyNumberFormat="1" applyFont="1" applyBorder="1" applyAlignment="1">
      <alignment horizontal="center" vertical="center"/>
    </xf>
    <xf numFmtId="9" fontId="33" fillId="0" borderId="88" xfId="0" applyNumberFormat="1" applyFont="1" applyBorder="1" applyAlignment="1">
      <alignment horizontal="center" vertical="center"/>
    </xf>
    <xf numFmtId="9" fontId="37" fillId="0" borderId="89" xfId="0" applyNumberFormat="1" applyFont="1" applyBorder="1" applyAlignment="1">
      <alignment horizontal="center" vertical="center"/>
    </xf>
    <xf numFmtId="9" fontId="59" fillId="0" borderId="74" xfId="24" applyFont="1" applyFill="1" applyBorder="1" applyAlignment="1">
      <alignment horizontal="center" vertical="center"/>
    </xf>
    <xf numFmtId="9" fontId="45" fillId="0" borderId="85" xfId="0" applyNumberFormat="1" applyFont="1" applyFill="1" applyBorder="1" applyAlignment="1">
      <alignment horizontal="center" vertical="center"/>
    </xf>
    <xf numFmtId="9" fontId="59" fillId="0" borderId="69" xfId="24" applyFont="1" applyFill="1" applyBorder="1" applyAlignment="1">
      <alignment horizontal="center" vertical="center"/>
    </xf>
    <xf numFmtId="9" fontId="45" fillId="0" borderId="83" xfId="0" applyNumberFormat="1" applyFont="1" applyFill="1" applyBorder="1" applyAlignment="1">
      <alignment horizontal="center" vertical="center"/>
    </xf>
    <xf numFmtId="9" fontId="59" fillId="0" borderId="71" xfId="24" applyFont="1" applyFill="1" applyBorder="1" applyAlignment="1">
      <alignment horizontal="center" vertical="center"/>
    </xf>
    <xf numFmtId="9" fontId="45" fillId="0" borderId="88" xfId="0" applyNumberFormat="1" applyFont="1" applyFill="1" applyBorder="1" applyAlignment="1">
      <alignment horizontal="center" vertical="center"/>
    </xf>
    <xf numFmtId="9" fontId="59" fillId="0" borderId="75" xfId="24" applyFont="1" applyFill="1" applyBorder="1" applyAlignment="1">
      <alignment horizontal="center" vertical="center"/>
    </xf>
    <xf numFmtId="9" fontId="59" fillId="0" borderId="81" xfId="24" applyFont="1" applyFill="1" applyBorder="1" applyAlignment="1">
      <alignment horizontal="center" vertical="center"/>
    </xf>
    <xf numFmtId="9" fontId="45" fillId="0" borderId="90" xfId="0" applyNumberFormat="1" applyFont="1" applyFill="1" applyBorder="1" applyAlignment="1">
      <alignment horizontal="center" vertical="center"/>
    </xf>
    <xf numFmtId="9" fontId="58" fillId="0" borderId="42" xfId="0" applyNumberFormat="1" applyFont="1" applyFill="1" applyBorder="1" applyAlignment="1">
      <alignment horizontal="center" vertical="center"/>
    </xf>
    <xf numFmtId="167" fontId="14" fillId="11" borderId="14" xfId="24" applyNumberFormat="1" applyFont="1" applyFill="1" applyBorder="1" applyAlignment="1">
      <alignment horizontal="center" vertical="center"/>
    </xf>
    <xf numFmtId="0" fontId="31" fillId="11" borderId="0" xfId="0" applyFont="1" applyFill="1" applyAlignment="1">
      <alignment horizontal="center" vertical="center" wrapText="1" readingOrder="2"/>
    </xf>
    <xf numFmtId="0" fontId="14" fillId="22" borderId="31" xfId="0" applyFont="1" applyFill="1" applyBorder="1" applyAlignment="1">
      <alignment vertical="center"/>
    </xf>
    <xf numFmtId="0" fontId="17" fillId="22" borderId="32" xfId="0" applyFont="1" applyFill="1" applyBorder="1" applyAlignment="1">
      <alignment horizontal="center" vertical="center" wrapText="1" readingOrder="2"/>
    </xf>
    <xf numFmtId="0" fontId="17" fillId="22" borderId="33" xfId="0" applyFont="1" applyFill="1" applyBorder="1" applyAlignment="1">
      <alignment horizontal="center" vertical="center" wrapText="1" readingOrder="2"/>
    </xf>
    <xf numFmtId="0" fontId="14" fillId="14" borderId="29" xfId="0" applyFont="1" applyFill="1" applyBorder="1" applyAlignment="1">
      <alignment horizontal="center"/>
    </xf>
    <xf numFmtId="0" fontId="14" fillId="14" borderId="30" xfId="0" applyFont="1" applyFill="1" applyBorder="1" applyAlignment="1">
      <alignment horizontal="left" vertical="center" wrapText="1" readingOrder="2"/>
    </xf>
    <xf numFmtId="0" fontId="14" fillId="11" borderId="30" xfId="0" applyFont="1" applyFill="1" applyBorder="1" applyAlignment="1">
      <alignment horizontal="center" vertical="center" wrapText="1" readingOrder="2"/>
    </xf>
    <xf numFmtId="9" fontId="14" fillId="14" borderId="0" xfId="0" applyNumberFormat="1" applyFont="1" applyFill="1" applyAlignment="1">
      <alignment horizontal="center"/>
    </xf>
    <xf numFmtId="9" fontId="14" fillId="14" borderId="91" xfId="0" applyNumberFormat="1" applyFont="1" applyFill="1" applyBorder="1" applyAlignment="1">
      <alignment horizontal="center"/>
    </xf>
    <xf numFmtId="0" fontId="14" fillId="14" borderId="37" xfId="0" applyFont="1" applyFill="1" applyBorder="1" applyAlignment="1">
      <alignment horizontal="center"/>
    </xf>
    <xf numFmtId="0" fontId="14" fillId="14" borderId="0" xfId="0" applyFont="1" applyFill="1" applyAlignment="1">
      <alignment horizontal="left" vertical="center" wrapText="1" readingOrder="2"/>
    </xf>
    <xf numFmtId="0" fontId="14" fillId="11" borderId="0" xfId="0" applyFont="1" applyFill="1" applyAlignment="1">
      <alignment horizontal="center" vertical="center" wrapText="1" readingOrder="2"/>
    </xf>
    <xf numFmtId="9" fontId="14" fillId="14" borderId="92" xfId="0" applyNumberFormat="1" applyFont="1" applyFill="1" applyBorder="1" applyAlignment="1">
      <alignment horizontal="center"/>
    </xf>
    <xf numFmtId="0" fontId="14" fillId="14" borderId="34" xfId="0" applyFont="1" applyFill="1" applyBorder="1" applyAlignment="1">
      <alignment horizontal="center"/>
    </xf>
    <xf numFmtId="0" fontId="14" fillId="14" borderId="35" xfId="0" applyFont="1" applyFill="1" applyBorder="1" applyAlignment="1">
      <alignment horizontal="left" vertical="center" wrapText="1" readingOrder="2"/>
    </xf>
    <xf numFmtId="0" fontId="14" fillId="11" borderId="35" xfId="0" applyFont="1" applyFill="1" applyBorder="1" applyAlignment="1">
      <alignment horizontal="center" vertical="center" wrapText="1" readingOrder="2"/>
    </xf>
    <xf numFmtId="9" fontId="14" fillId="14" borderId="36" xfId="0" applyNumberFormat="1" applyFont="1" applyFill="1" applyBorder="1" applyAlignment="1">
      <alignment horizontal="center"/>
    </xf>
    <xf numFmtId="0" fontId="17" fillId="22" borderId="31" xfId="0" applyFont="1" applyFill="1" applyBorder="1" applyAlignment="1">
      <alignment horizontal="center" vertical="center" textRotation="90"/>
    </xf>
    <xf numFmtId="0" fontId="17" fillId="22" borderId="32" xfId="0" applyFont="1" applyFill="1" applyBorder="1"/>
    <xf numFmtId="0" fontId="17" fillId="22" borderId="32" xfId="0" applyFont="1" applyFill="1" applyBorder="1" applyAlignment="1">
      <alignment horizontal="center"/>
    </xf>
    <xf numFmtId="9" fontId="17" fillId="22" borderId="32" xfId="0" applyNumberFormat="1" applyFont="1" applyFill="1" applyBorder="1" applyAlignment="1">
      <alignment horizontal="center" vertical="center"/>
    </xf>
    <xf numFmtId="9" fontId="17" fillId="22" borderId="33" xfId="0" applyNumberFormat="1" applyFont="1" applyFill="1" applyBorder="1" applyAlignment="1">
      <alignment horizontal="center"/>
    </xf>
    <xf numFmtId="0" fontId="17" fillId="12" borderId="34" xfId="0" applyFont="1" applyFill="1" applyBorder="1" applyAlignment="1">
      <alignment horizontal="center" vertical="center" textRotation="90"/>
    </xf>
    <xf numFmtId="0" fontId="17" fillId="12" borderId="35" xfId="0" applyFont="1" applyFill="1" applyBorder="1"/>
    <xf numFmtId="9" fontId="37" fillId="12" borderId="36" xfId="0" applyNumberFormat="1" applyFont="1" applyFill="1" applyBorder="1" applyAlignment="1">
      <alignment horizontal="center"/>
    </xf>
    <xf numFmtId="0" fontId="37" fillId="11" borderId="0" xfId="0" applyFont="1" applyFill="1"/>
    <xf numFmtId="0" fontId="17" fillId="11" borderId="22" xfId="0" applyFont="1" applyFill="1" applyBorder="1" applyAlignment="1">
      <alignment horizontal="center" vertical="center"/>
    </xf>
    <xf numFmtId="0" fontId="17" fillId="11" borderId="0" xfId="0" applyFont="1" applyFill="1" applyBorder="1" applyAlignment="1">
      <alignment horizontal="center" vertical="center"/>
    </xf>
    <xf numFmtId="0" fontId="17" fillId="8" borderId="18" xfId="0" applyFont="1" applyFill="1" applyBorder="1" applyAlignment="1">
      <alignment horizontal="center" vertical="center"/>
    </xf>
    <xf numFmtId="0" fontId="17" fillId="8" borderId="16" xfId="0" applyFont="1" applyFill="1" applyBorder="1" applyAlignment="1">
      <alignment horizontal="center" vertical="center"/>
    </xf>
    <xf numFmtId="0" fontId="27" fillId="11" borderId="0" xfId="0" applyFont="1" applyFill="1" applyBorder="1" applyAlignment="1">
      <alignment horizontal="center" vertical="center"/>
    </xf>
    <xf numFmtId="0" fontId="14" fillId="11" borderId="0" xfId="0" applyFont="1" applyFill="1" applyAlignment="1">
      <alignment horizontal="center" vertical="center"/>
    </xf>
    <xf numFmtId="0" fontId="27" fillId="11" borderId="0" xfId="24" applyNumberFormat="1" applyFont="1" applyFill="1" applyBorder="1" applyAlignment="1">
      <alignment horizontal="center"/>
    </xf>
    <xf numFmtId="0" fontId="14" fillId="11" borderId="26" xfId="0" applyFont="1" applyFill="1" applyBorder="1" applyAlignment="1">
      <alignment horizontal="center" vertical="center"/>
    </xf>
    <xf numFmtId="0" fontId="9" fillId="0" borderId="0" xfId="0" applyFont="1"/>
    <xf numFmtId="0" fontId="17" fillId="11" borderId="0" xfId="0" applyFont="1" applyFill="1"/>
    <xf numFmtId="0" fontId="10" fillId="0" borderId="0" xfId="0" applyFont="1"/>
    <xf numFmtId="0" fontId="14" fillId="13" borderId="20" xfId="0" applyFont="1" applyFill="1" applyBorder="1" applyAlignment="1">
      <alignment horizontal="center" vertical="center"/>
    </xf>
    <xf numFmtId="0" fontId="14" fillId="13" borderId="23" xfId="0" applyFont="1" applyFill="1" applyBorder="1" applyAlignment="1">
      <alignment horizontal="center" vertical="center"/>
    </xf>
    <xf numFmtId="0" fontId="30" fillId="0" borderId="0" xfId="0" applyFont="1" applyAlignment="1">
      <alignment horizontal="center" vertical="center" wrapText="1" shrinkToFit="1"/>
    </xf>
    <xf numFmtId="0" fontId="19" fillId="0" borderId="0" xfId="0" applyFont="1" applyAlignment="1">
      <alignment horizontal="center"/>
    </xf>
    <xf numFmtId="0" fontId="17" fillId="8" borderId="38" xfId="0" applyFont="1" applyFill="1" applyBorder="1" applyAlignment="1">
      <alignment horizontal="center" vertical="center"/>
    </xf>
    <xf numFmtId="1" fontId="37" fillId="11" borderId="19" xfId="0" applyNumberFormat="1" applyFont="1" applyFill="1" applyBorder="1" applyAlignment="1">
      <alignment horizontal="center" vertical="center"/>
    </xf>
    <xf numFmtId="0" fontId="37" fillId="8" borderId="13" xfId="0" applyFont="1" applyFill="1" applyBorder="1" applyAlignment="1">
      <alignment horizontal="center" vertical="center"/>
    </xf>
    <xf numFmtId="0" fontId="37" fillId="8" borderId="14" xfId="0" applyFont="1" applyFill="1" applyBorder="1" applyAlignment="1">
      <alignment horizontal="center" vertical="center"/>
    </xf>
    <xf numFmtId="0" fontId="14" fillId="13" borderId="24" xfId="0" applyFont="1" applyFill="1" applyBorder="1" applyAlignment="1">
      <alignment horizontal="center" vertical="center"/>
    </xf>
    <xf numFmtId="0" fontId="37" fillId="8" borderId="15" xfId="0" applyFont="1" applyFill="1" applyBorder="1" applyAlignment="1">
      <alignment horizontal="center" vertical="center"/>
    </xf>
    <xf numFmtId="0" fontId="14" fillId="13" borderId="21" xfId="0" applyFont="1" applyFill="1" applyBorder="1" applyAlignment="1">
      <alignment vertical="center"/>
    </xf>
    <xf numFmtId="9" fontId="14" fillId="15" borderId="12" xfId="0" applyNumberFormat="1" applyFont="1" applyFill="1" applyBorder="1" applyAlignment="1">
      <alignment horizontal="center"/>
    </xf>
    <xf numFmtId="0" fontId="14" fillId="13" borderId="20" xfId="0" applyFont="1" applyFill="1" applyBorder="1" applyAlignment="1">
      <alignment vertical="center"/>
    </xf>
    <xf numFmtId="1" fontId="14" fillId="15" borderId="19" xfId="0" applyNumberFormat="1" applyFont="1" applyFill="1" applyBorder="1" applyAlignment="1">
      <alignment horizontal="center"/>
    </xf>
    <xf numFmtId="0" fontId="14" fillId="13" borderId="23" xfId="0" applyFont="1" applyFill="1" applyBorder="1" applyAlignment="1">
      <alignment vertical="center"/>
    </xf>
    <xf numFmtId="1" fontId="14" fillId="15" borderId="15" xfId="0" applyNumberFormat="1" applyFont="1" applyFill="1" applyBorder="1" applyAlignment="1">
      <alignment horizontal="center"/>
    </xf>
    <xf numFmtId="9" fontId="17" fillId="11" borderId="0" xfId="24" applyFont="1" applyFill="1" applyBorder="1" applyAlignment="1">
      <alignment horizontal="center" vertical="center"/>
    </xf>
    <xf numFmtId="9" fontId="17" fillId="11" borderId="0" xfId="0" applyNumberFormat="1" applyFont="1" applyFill="1" applyBorder="1" applyAlignment="1">
      <alignment horizontal="center" vertical="center"/>
    </xf>
    <xf numFmtId="0" fontId="17" fillId="11" borderId="19" xfId="24" applyNumberFormat="1" applyFont="1" applyFill="1" applyBorder="1" applyAlignment="1">
      <alignment horizontal="center" vertical="center"/>
    </xf>
    <xf numFmtId="9" fontId="17" fillId="8" borderId="16" xfId="0" applyNumberFormat="1" applyFont="1" applyFill="1" applyBorder="1" applyAlignment="1">
      <alignment horizontal="center" vertical="center"/>
    </xf>
    <xf numFmtId="0" fontId="14" fillId="0" borderId="0" xfId="27" applyFont="1"/>
    <xf numFmtId="0" fontId="14" fillId="0" borderId="0" xfId="27" applyFont="1" applyAlignment="1">
      <alignment horizontal="center"/>
    </xf>
    <xf numFmtId="0" fontId="14" fillId="0" borderId="0" xfId="27" applyFont="1" applyAlignment="1">
      <alignment horizontal="center" vertical="center"/>
    </xf>
    <xf numFmtId="9" fontId="14" fillId="0" borderId="0" xfId="27" applyNumberFormat="1" applyFont="1"/>
    <xf numFmtId="9" fontId="14" fillId="0" borderId="0" xfId="27" applyNumberFormat="1" applyFont="1" applyAlignment="1">
      <alignment horizontal="center"/>
    </xf>
    <xf numFmtId="0" fontId="14" fillId="24" borderId="0" xfId="27" applyFont="1" applyFill="1" applyAlignment="1">
      <alignment horizontal="center" vertical="center"/>
    </xf>
    <xf numFmtId="0" fontId="14" fillId="24" borderId="0" xfId="27" applyFont="1" applyFill="1" applyAlignment="1">
      <alignment horizontal="center"/>
    </xf>
    <xf numFmtId="9" fontId="14" fillId="25" borderId="0" xfId="27" applyNumberFormat="1" applyFont="1" applyFill="1" applyAlignment="1">
      <alignment horizontal="center"/>
    </xf>
    <xf numFmtId="0" fontId="35" fillId="0" borderId="101" xfId="27" applyFont="1" applyBorder="1"/>
    <xf numFmtId="0" fontId="35" fillId="0" borderId="102" xfId="27" applyFont="1" applyBorder="1"/>
    <xf numFmtId="0" fontId="17" fillId="0" borderId="0" xfId="27" applyFont="1" applyAlignment="1">
      <alignment horizontal="center" vertical="center"/>
    </xf>
    <xf numFmtId="0" fontId="17" fillId="0" borderId="0" xfId="27" applyFont="1"/>
    <xf numFmtId="0" fontId="35" fillId="0" borderId="103" xfId="27" applyFont="1" applyBorder="1"/>
    <xf numFmtId="0" fontId="35" fillId="0" borderId="0" xfId="27" applyFont="1"/>
    <xf numFmtId="1" fontId="14" fillId="0" borderId="0" xfId="27" applyNumberFormat="1" applyFont="1"/>
    <xf numFmtId="0" fontId="14" fillId="0" borderId="0" xfId="0" applyFont="1" applyAlignment="1"/>
    <xf numFmtId="0" fontId="14" fillId="11" borderId="0" xfId="0" applyFont="1" applyFill="1" applyBorder="1" applyAlignment="1">
      <alignment horizontal="center" vertical="center"/>
    </xf>
    <xf numFmtId="2" fontId="17" fillId="11" borderId="0" xfId="12" applyNumberFormat="1" applyFont="1" applyFill="1" applyAlignment="1">
      <alignment vertical="center" wrapText="1"/>
    </xf>
    <xf numFmtId="0" fontId="14" fillId="3" borderId="104" xfId="0" applyFont="1" applyFill="1" applyBorder="1"/>
    <xf numFmtId="0" fontId="14" fillId="3" borderId="104" xfId="27" applyFont="1" applyFill="1" applyBorder="1" applyAlignment="1">
      <alignment horizontal="right"/>
    </xf>
    <xf numFmtId="0" fontId="14" fillId="3" borderId="104" xfId="27" applyFont="1" applyFill="1" applyBorder="1" applyAlignment="1">
      <alignment horizontal="center"/>
    </xf>
    <xf numFmtId="0" fontId="14" fillId="11" borderId="104" xfId="0" applyFont="1" applyFill="1" applyBorder="1"/>
    <xf numFmtId="0" fontId="14" fillId="11" borderId="104" xfId="27" applyFont="1" applyFill="1" applyBorder="1" applyAlignment="1">
      <alignment horizontal="right"/>
    </xf>
    <xf numFmtId="0" fontId="14" fillId="0" borderId="104" xfId="0" applyFont="1" applyBorder="1"/>
    <xf numFmtId="0" fontId="14" fillId="0" borderId="104" xfId="27" applyFont="1" applyBorder="1" applyAlignment="1">
      <alignment horizontal="right"/>
    </xf>
    <xf numFmtId="0" fontId="14" fillId="0" borderId="104" xfId="27" applyFont="1" applyBorder="1" applyAlignment="1">
      <alignment horizontal="center" vertical="center"/>
    </xf>
    <xf numFmtId="0" fontId="14" fillId="3" borderId="104" xfId="27" applyFont="1" applyFill="1" applyBorder="1" applyAlignment="1">
      <alignment horizontal="center" vertical="center"/>
    </xf>
    <xf numFmtId="0" fontId="19" fillId="0" borderId="0" xfId="0" applyFont="1" applyAlignment="1"/>
    <xf numFmtId="0" fontId="14" fillId="0" borderId="0" xfId="0" applyFont="1" applyAlignment="1">
      <alignment horizontal="center"/>
    </xf>
    <xf numFmtId="0" fontId="14" fillId="0" borderId="0" xfId="27" applyFont="1" applyAlignment="1">
      <alignment horizontal="center"/>
    </xf>
    <xf numFmtId="9" fontId="58" fillId="0" borderId="86" xfId="0" applyNumberFormat="1" applyFont="1" applyFill="1" applyBorder="1" applyAlignment="1">
      <alignment horizontal="center" vertical="center"/>
    </xf>
    <xf numFmtId="9" fontId="58" fillId="0" borderId="39" xfId="0" applyNumberFormat="1" applyFont="1" applyFill="1" applyBorder="1" applyAlignment="1">
      <alignment horizontal="center" vertical="center"/>
    </xf>
    <xf numFmtId="9" fontId="58" fillId="0" borderId="89" xfId="0" applyNumberFormat="1" applyFont="1" applyFill="1" applyBorder="1" applyAlignment="1">
      <alignment horizontal="center" vertical="center"/>
    </xf>
    <xf numFmtId="9" fontId="37" fillId="0" borderId="40" xfId="0" applyNumberFormat="1" applyFont="1" applyBorder="1" applyAlignment="1">
      <alignment horizontal="center" vertical="center"/>
    </xf>
    <xf numFmtId="9" fontId="37" fillId="0" borderId="86" xfId="0" applyNumberFormat="1" applyFont="1" applyBorder="1" applyAlignment="1">
      <alignment horizontal="center" vertical="center"/>
    </xf>
    <xf numFmtId="9" fontId="58" fillId="0" borderId="43" xfId="0" applyNumberFormat="1" applyFont="1" applyFill="1" applyBorder="1" applyAlignment="1">
      <alignment horizontal="center" vertical="center"/>
    </xf>
    <xf numFmtId="9" fontId="14" fillId="4" borderId="15" xfId="24" applyFont="1" applyFill="1" applyBorder="1" applyAlignment="1">
      <alignment horizontal="center" vertical="center" wrapText="1"/>
    </xf>
    <xf numFmtId="9" fontId="36" fillId="0" borderId="75" xfId="24" applyFont="1" applyBorder="1" applyAlignment="1">
      <alignment horizontal="center" vertical="center"/>
    </xf>
    <xf numFmtId="9" fontId="36" fillId="0" borderId="107" xfId="24" applyFont="1" applyBorder="1" applyAlignment="1">
      <alignment horizontal="center" vertical="center"/>
    </xf>
    <xf numFmtId="167" fontId="41" fillId="0" borderId="0" xfId="0" applyNumberFormat="1" applyFont="1" applyAlignment="1">
      <alignment horizontal="center"/>
    </xf>
    <xf numFmtId="9" fontId="22" fillId="4" borderId="0" xfId="24" applyFont="1" applyFill="1" applyBorder="1" applyAlignment="1">
      <alignment horizontal="center"/>
    </xf>
    <xf numFmtId="9" fontId="14" fillId="26" borderId="30" xfId="0" applyNumberFormat="1" applyFont="1" applyFill="1" applyBorder="1" applyAlignment="1">
      <alignment horizontal="center"/>
    </xf>
    <xf numFmtId="9" fontId="14" fillId="26" borderId="0" xfId="0" applyNumberFormat="1" applyFont="1" applyFill="1" applyAlignment="1">
      <alignment horizontal="center"/>
    </xf>
    <xf numFmtId="9" fontId="14" fillId="26" borderId="35" xfId="0" applyNumberFormat="1" applyFont="1" applyFill="1" applyBorder="1" applyAlignment="1">
      <alignment horizontal="center"/>
    </xf>
    <xf numFmtId="0" fontId="14" fillId="11" borderId="0" xfId="0" applyFont="1" applyFill="1" applyBorder="1" applyAlignment="1">
      <alignment horizontal="center" vertical="center"/>
    </xf>
    <xf numFmtId="0" fontId="19" fillId="0" borderId="0" xfId="28" applyFont="1"/>
    <xf numFmtId="0" fontId="19" fillId="0" borderId="0" xfId="28" applyFont="1" applyAlignment="1">
      <alignment horizontal="center" vertical="center"/>
    </xf>
    <xf numFmtId="0" fontId="19" fillId="0" borderId="0" xfId="28" applyFont="1" applyAlignment="1">
      <alignment horizontal="center"/>
    </xf>
    <xf numFmtId="0" fontId="61" fillId="0" borderId="0" xfId="28" applyFont="1"/>
    <xf numFmtId="0" fontId="54" fillId="0" borderId="0" xfId="28" applyFont="1" applyAlignment="1">
      <alignment horizontal="center"/>
    </xf>
    <xf numFmtId="0" fontId="63" fillId="0" borderId="0" xfId="28" applyFont="1" applyAlignment="1">
      <alignment horizontal="right"/>
    </xf>
    <xf numFmtId="0" fontId="61" fillId="0" borderId="0" xfId="28" applyFont="1" applyAlignment="1">
      <alignment horizontal="right"/>
    </xf>
    <xf numFmtId="0" fontId="49" fillId="0" borderId="0" xfId="28" applyFont="1"/>
    <xf numFmtId="0" fontId="61" fillId="8" borderId="18" xfId="28" applyFont="1" applyFill="1" applyBorder="1" applyAlignment="1">
      <alignment horizontal="center"/>
    </xf>
    <xf numFmtId="0" fontId="61" fillId="8" borderId="16" xfId="28" applyFont="1" applyFill="1" applyBorder="1" applyAlignment="1">
      <alignment horizontal="center" vertical="center"/>
    </xf>
    <xf numFmtId="0" fontId="61" fillId="8" borderId="17" xfId="28" applyFont="1" applyFill="1" applyBorder="1" applyAlignment="1">
      <alignment horizontal="center" vertical="center"/>
    </xf>
    <xf numFmtId="0" fontId="19" fillId="8" borderId="22" xfId="28" applyFont="1" applyFill="1" applyBorder="1" applyAlignment="1">
      <alignment horizontal="center"/>
    </xf>
    <xf numFmtId="0" fontId="62" fillId="8" borderId="0" xfId="28" applyFont="1" applyFill="1" applyAlignment="1">
      <alignment horizontal="right" vertical="center" readingOrder="2"/>
    </xf>
    <xf numFmtId="9" fontId="19" fillId="0" borderId="0" xfId="29" applyFont="1" applyFill="1" applyBorder="1" applyAlignment="1">
      <alignment horizontal="center" vertical="center"/>
    </xf>
    <xf numFmtId="9" fontId="19" fillId="8" borderId="0" xfId="29" applyFont="1" applyFill="1" applyBorder="1" applyAlignment="1">
      <alignment horizontal="center" vertical="center"/>
    </xf>
    <xf numFmtId="9" fontId="19" fillId="8" borderId="19" xfId="29" applyFont="1" applyFill="1" applyBorder="1" applyAlignment="1">
      <alignment horizontal="center" vertical="center"/>
    </xf>
    <xf numFmtId="0" fontId="64" fillId="0" borderId="0" xfId="28" applyFont="1"/>
    <xf numFmtId="3" fontId="14" fillId="0" borderId="22" xfId="28" applyNumberFormat="1" applyFont="1" applyBorder="1" applyProtection="1">
      <protection locked="0"/>
    </xf>
    <xf numFmtId="9" fontId="19" fillId="8" borderId="17" xfId="29" applyFont="1" applyFill="1" applyBorder="1" applyAlignment="1">
      <alignment horizontal="center" vertical="center"/>
    </xf>
    <xf numFmtId="0" fontId="19" fillId="0" borderId="0" xfId="28" applyFont="1" applyAlignment="1">
      <alignment horizontal="center" vertical="center" readingOrder="2"/>
    </xf>
    <xf numFmtId="0" fontId="19" fillId="8" borderId="18" xfId="28" applyFont="1" applyFill="1" applyBorder="1" applyAlignment="1">
      <alignment horizontal="center" vertical="center"/>
    </xf>
    <xf numFmtId="0" fontId="19" fillId="8" borderId="16" xfId="28" applyFont="1" applyFill="1" applyBorder="1" applyAlignment="1">
      <alignment horizontal="center" vertical="center"/>
    </xf>
    <xf numFmtId="0" fontId="19" fillId="8" borderId="17" xfId="28" applyFont="1" applyFill="1" applyBorder="1" applyAlignment="1">
      <alignment horizontal="center" vertical="center"/>
    </xf>
    <xf numFmtId="0" fontId="19" fillId="8" borderId="0" xfId="28" applyFont="1" applyFill="1" applyAlignment="1">
      <alignment horizontal="right" vertical="center" readingOrder="2"/>
    </xf>
    <xf numFmtId="9" fontId="19" fillId="8" borderId="17" xfId="29" applyFont="1" applyFill="1" applyBorder="1" applyAlignment="1">
      <alignment horizontal="center"/>
    </xf>
    <xf numFmtId="9" fontId="19" fillId="0" borderId="0" xfId="29" applyFont="1" applyFill="1" applyBorder="1" applyAlignment="1">
      <alignment horizontal="center"/>
    </xf>
    <xf numFmtId="9" fontId="19" fillId="8" borderId="16" xfId="29" applyFont="1" applyFill="1" applyBorder="1" applyAlignment="1">
      <alignment horizontal="center" vertical="center"/>
    </xf>
    <xf numFmtId="0" fontId="19" fillId="0" borderId="0" xfId="28" applyFont="1" applyAlignment="1">
      <alignment horizontal="right" vertical="center" readingOrder="2"/>
    </xf>
    <xf numFmtId="9" fontId="19" fillId="28" borderId="17" xfId="29" applyFont="1" applyFill="1" applyBorder="1" applyAlignment="1">
      <alignment horizontal="center"/>
    </xf>
    <xf numFmtId="0" fontId="1" fillId="0" borderId="130" xfId="28" applyBorder="1" applyAlignment="1" applyProtection="1">
      <alignment horizontal="right" vertical="center"/>
      <protection locked="0"/>
    </xf>
    <xf numFmtId="0" fontId="1" fillId="0" borderId="130" xfId="28" applyBorder="1" applyAlignment="1" applyProtection="1">
      <alignment horizontal="right" vertical="center" wrapText="1"/>
      <protection locked="0"/>
    </xf>
    <xf numFmtId="0" fontId="1" fillId="0" borderId="130" xfId="28" applyBorder="1" applyAlignment="1" applyProtection="1">
      <alignment horizontal="right"/>
      <protection locked="0"/>
    </xf>
    <xf numFmtId="0" fontId="1" fillId="0" borderId="130" xfId="28" applyBorder="1" applyProtection="1">
      <protection locked="0"/>
    </xf>
    <xf numFmtId="0" fontId="1" fillId="0" borderId="130" xfId="28" applyBorder="1" applyAlignment="1" applyProtection="1">
      <alignment horizontal="right" wrapText="1"/>
      <protection locked="0"/>
    </xf>
    <xf numFmtId="0" fontId="14" fillId="8" borderId="18" xfId="0" applyFont="1" applyFill="1" applyBorder="1" applyAlignment="1">
      <alignment horizontal="center" vertical="center"/>
    </xf>
    <xf numFmtId="0" fontId="14" fillId="8" borderId="16" xfId="0" applyFont="1" applyFill="1" applyBorder="1" applyAlignment="1">
      <alignment horizontal="center" vertical="center"/>
    </xf>
    <xf numFmtId="0" fontId="14" fillId="11" borderId="0" xfId="0" applyFont="1" applyFill="1" applyAlignment="1">
      <alignment horizontal="center" vertical="top"/>
    </xf>
    <xf numFmtId="0" fontId="14" fillId="13" borderId="21" xfId="0" applyFont="1" applyFill="1" applyBorder="1" applyAlignment="1">
      <alignment horizontal="center" vertical="center"/>
    </xf>
    <xf numFmtId="9" fontId="17" fillId="15" borderId="12" xfId="0" applyNumberFormat="1" applyFont="1" applyFill="1" applyBorder="1" applyAlignment="1">
      <alignment horizontal="center"/>
    </xf>
    <xf numFmtId="1" fontId="17" fillId="15" borderId="19" xfId="0" applyNumberFormat="1" applyFont="1" applyFill="1" applyBorder="1" applyAlignment="1">
      <alignment horizontal="center"/>
    </xf>
    <xf numFmtId="1" fontId="17" fillId="15" borderId="15" xfId="0" applyNumberFormat="1" applyFont="1" applyFill="1" applyBorder="1" applyAlignment="1">
      <alignment horizontal="center"/>
    </xf>
    <xf numFmtId="0" fontId="35" fillId="0" borderId="0" xfId="0" applyFont="1"/>
    <xf numFmtId="9" fontId="69" fillId="0" borderId="71" xfId="24" applyFont="1" applyFill="1" applyBorder="1" applyAlignment="1">
      <alignment horizontal="center" vertical="center"/>
    </xf>
    <xf numFmtId="0" fontId="14" fillId="16" borderId="0" xfId="0" applyFont="1" applyFill="1" applyAlignment="1">
      <alignment horizontal="left"/>
    </xf>
    <xf numFmtId="1" fontId="31" fillId="16" borderId="0" xfId="24" applyNumberFormat="1" applyFont="1" applyFill="1" applyBorder="1" applyAlignment="1">
      <alignment horizontal="center" vertical="center" wrapText="1"/>
    </xf>
    <xf numFmtId="0" fontId="0" fillId="0" borderId="0" xfId="0" applyFont="1" applyAlignment="1">
      <alignment horizontal="left"/>
    </xf>
    <xf numFmtId="0" fontId="46" fillId="0" borderId="22" xfId="26" applyNumberFormat="1" applyFont="1" applyFill="1" applyBorder="1" applyAlignment="1">
      <alignment horizontal="center" vertical="center"/>
    </xf>
    <xf numFmtId="9" fontId="46" fillId="0" borderId="13" xfId="0" applyNumberFormat="1" applyFont="1" applyBorder="1" applyAlignment="1">
      <alignment horizontal="center" vertical="center"/>
    </xf>
    <xf numFmtId="0" fontId="39" fillId="0" borderId="0" xfId="28" applyFont="1"/>
    <xf numFmtId="0" fontId="39" fillId="0" borderId="0" xfId="28" applyFont="1" applyAlignment="1">
      <alignment horizontal="center" vertical="center"/>
    </xf>
    <xf numFmtId="0" fontId="39" fillId="0" borderId="0" xfId="28" applyFont="1" applyAlignment="1">
      <alignment horizontal="center"/>
    </xf>
    <xf numFmtId="0" fontId="39" fillId="8" borderId="10" xfId="28" applyFont="1" applyFill="1" applyBorder="1" applyAlignment="1">
      <alignment horizontal="center" vertical="center" wrapText="1"/>
    </xf>
    <xf numFmtId="0" fontId="39" fillId="8" borderId="11" xfId="28" applyFont="1" applyFill="1" applyBorder="1" applyAlignment="1">
      <alignment horizontal="center" vertical="center" wrapText="1"/>
    </xf>
    <xf numFmtId="10" fontId="39" fillId="8" borderId="14" xfId="28" applyNumberFormat="1" applyFont="1" applyFill="1" applyBorder="1" applyAlignment="1">
      <alignment horizontal="center" vertical="center" wrapText="1"/>
    </xf>
    <xf numFmtId="0" fontId="39" fillId="8" borderId="14" xfId="28" applyFont="1" applyFill="1" applyBorder="1" applyAlignment="1">
      <alignment horizontal="center" vertical="center" wrapText="1"/>
    </xf>
    <xf numFmtId="0" fontId="39" fillId="8" borderId="22" xfId="28" applyFont="1" applyFill="1" applyBorder="1" applyAlignment="1">
      <alignment vertical="center" wrapText="1"/>
    </xf>
    <xf numFmtId="0" fontId="39" fillId="8" borderId="0" xfId="28" applyFont="1" applyFill="1" applyAlignment="1">
      <alignment vertical="center" wrapText="1"/>
    </xf>
    <xf numFmtId="9" fontId="39" fillId="0" borderId="0" xfId="29" applyFont="1" applyFill="1" applyBorder="1" applyAlignment="1">
      <alignment horizontal="center" vertical="center" wrapText="1"/>
    </xf>
    <xf numFmtId="0" fontId="39" fillId="0" borderId="0" xfId="29" applyNumberFormat="1" applyFont="1" applyFill="1" applyBorder="1" applyAlignment="1">
      <alignment horizontal="center" vertical="center" wrapText="1"/>
    </xf>
    <xf numFmtId="166" fontId="39" fillId="8" borderId="0" xfId="29" applyNumberFormat="1" applyFont="1" applyFill="1" applyBorder="1" applyAlignment="1">
      <alignment horizontal="center" vertical="center" wrapText="1"/>
    </xf>
    <xf numFmtId="9" fontId="39" fillId="8" borderId="19" xfId="29" applyFont="1" applyFill="1" applyBorder="1" applyAlignment="1">
      <alignment horizontal="center" vertical="center" wrapText="1"/>
    </xf>
    <xf numFmtId="9" fontId="39" fillId="0" borderId="0" xfId="28" applyNumberFormat="1" applyFont="1"/>
    <xf numFmtId="9" fontId="39" fillId="0" borderId="0" xfId="29" applyFont="1" applyFill="1" applyBorder="1" applyAlignment="1">
      <alignment horizontal="center"/>
    </xf>
    <xf numFmtId="0" fontId="39" fillId="0" borderId="10" xfId="28" applyFont="1" applyBorder="1"/>
    <xf numFmtId="0" fontId="39" fillId="0" borderId="11" xfId="28" applyFont="1" applyBorder="1"/>
    <xf numFmtId="0" fontId="39" fillId="0" borderId="12" xfId="28" applyFont="1" applyBorder="1"/>
    <xf numFmtId="0" fontId="39" fillId="0" borderId="22" xfId="28" applyFont="1" applyBorder="1" applyAlignment="1">
      <alignment horizontal="center" vertical="distributed"/>
    </xf>
    <xf numFmtId="9" fontId="39" fillId="0" borderId="19" xfId="28" applyNumberFormat="1" applyFont="1" applyBorder="1"/>
    <xf numFmtId="0" fontId="39" fillId="0" borderId="13" xfId="28" applyFont="1" applyBorder="1" applyAlignment="1">
      <alignment horizontal="center" vertical="distributed"/>
    </xf>
    <xf numFmtId="0" fontId="39" fillId="0" borderId="14" xfId="28" applyFont="1" applyBorder="1"/>
    <xf numFmtId="9" fontId="39" fillId="0" borderId="15" xfId="28" applyNumberFormat="1" applyFont="1" applyBorder="1"/>
    <xf numFmtId="0" fontId="39" fillId="0" borderId="22" xfId="28" applyFont="1" applyBorder="1" applyAlignment="1">
      <alignment horizontal="center" vertical="center"/>
    </xf>
    <xf numFmtId="9" fontId="39" fillId="0" borderId="19" xfId="29" applyFont="1" applyFill="1" applyBorder="1"/>
    <xf numFmtId="0" fontId="39" fillId="0" borderId="13" xfId="28" applyFont="1" applyBorder="1" applyAlignment="1">
      <alignment horizontal="center" vertical="center"/>
    </xf>
    <xf numFmtId="9" fontId="39" fillId="0" borderId="15" xfId="29" applyFont="1" applyFill="1" applyBorder="1"/>
    <xf numFmtId="0" fontId="39" fillId="8" borderId="10" xfId="28" applyFont="1" applyFill="1" applyBorder="1" applyAlignment="1">
      <alignment vertical="center" wrapText="1"/>
    </xf>
    <xf numFmtId="0" fontId="39" fillId="8" borderId="11" xfId="28" applyFont="1" applyFill="1" applyBorder="1" applyAlignment="1">
      <alignment vertical="center" wrapText="1"/>
    </xf>
    <xf numFmtId="0" fontId="39" fillId="0" borderId="11" xfId="28" applyFont="1" applyBorder="1" applyAlignment="1">
      <alignment horizontal="center" vertical="center" wrapText="1"/>
    </xf>
    <xf numFmtId="9" fontId="39" fillId="8" borderId="11" xfId="29" applyFont="1" applyFill="1" applyBorder="1" applyAlignment="1">
      <alignment horizontal="center" vertical="center" wrapText="1"/>
    </xf>
    <xf numFmtId="9" fontId="39" fillId="8" borderId="12" xfId="29" applyFont="1" applyFill="1" applyBorder="1" applyAlignment="1">
      <alignment horizontal="center" vertical="center" wrapText="1"/>
    </xf>
    <xf numFmtId="9" fontId="39" fillId="8" borderId="0" xfId="29" applyFont="1" applyFill="1" applyBorder="1" applyAlignment="1">
      <alignment horizontal="center" vertical="center" wrapText="1"/>
    </xf>
    <xf numFmtId="0" fontId="39" fillId="0" borderId="0" xfId="28" applyFont="1" applyAlignment="1">
      <alignment horizontal="center" vertical="center" wrapText="1"/>
    </xf>
    <xf numFmtId="0" fontId="39" fillId="8" borderId="16" xfId="28" applyFont="1" applyFill="1" applyBorder="1" applyAlignment="1">
      <alignment horizontal="center"/>
    </xf>
    <xf numFmtId="9" fontId="39" fillId="8" borderId="17" xfId="29" applyFont="1" applyFill="1" applyBorder="1" applyAlignment="1">
      <alignment horizontal="center" vertical="center" wrapText="1"/>
    </xf>
    <xf numFmtId="0" fontId="39" fillId="8" borderId="12" xfId="28" applyFont="1" applyFill="1" applyBorder="1" applyAlignment="1">
      <alignment horizontal="center" vertical="center" wrapText="1"/>
    </xf>
    <xf numFmtId="0" fontId="39" fillId="8" borderId="22" xfId="28" applyFont="1" applyFill="1" applyBorder="1" applyAlignment="1">
      <alignment horizontal="center" vertical="center" wrapText="1"/>
    </xf>
    <xf numFmtId="0" fontId="39" fillId="8" borderId="0" xfId="28" applyFont="1" applyFill="1" applyAlignment="1">
      <alignment horizontal="center" vertical="center" wrapText="1"/>
    </xf>
    <xf numFmtId="168" fontId="39" fillId="0" borderId="0" xfId="31" applyNumberFormat="1" applyFont="1" applyFill="1" applyBorder="1" applyAlignment="1">
      <alignment horizontal="center" vertical="center" wrapText="1"/>
    </xf>
    <xf numFmtId="0" fontId="70" fillId="8" borderId="10" xfId="28" applyFont="1" applyFill="1" applyBorder="1" applyAlignment="1">
      <alignment horizontal="center" vertical="center" wrapText="1"/>
    </xf>
    <xf numFmtId="165" fontId="70" fillId="8" borderId="11" xfId="28" applyNumberFormat="1" applyFont="1" applyFill="1" applyBorder="1" applyAlignment="1">
      <alignment horizontal="center" vertical="center" wrapText="1"/>
    </xf>
    <xf numFmtId="0" fontId="39" fillId="8" borderId="19" xfId="28" applyFont="1" applyFill="1" applyBorder="1" applyAlignment="1">
      <alignment horizontal="center" vertical="center" wrapText="1"/>
    </xf>
    <xf numFmtId="0" fontId="39" fillId="8" borderId="13" xfId="28" applyFont="1" applyFill="1" applyBorder="1" applyAlignment="1">
      <alignment horizontal="center" vertical="center" wrapText="1"/>
    </xf>
    <xf numFmtId="168" fontId="39" fillId="0" borderId="14" xfId="31" applyNumberFormat="1" applyFont="1" applyFill="1" applyBorder="1" applyAlignment="1">
      <alignment horizontal="center" vertical="center" wrapText="1"/>
    </xf>
    <xf numFmtId="9" fontId="39" fillId="8" borderId="14" xfId="29" applyFont="1" applyFill="1" applyBorder="1" applyAlignment="1">
      <alignment horizontal="center" vertical="center" wrapText="1"/>
    </xf>
    <xf numFmtId="0" fontId="39" fillId="8" borderId="15" xfId="28" applyFont="1" applyFill="1" applyBorder="1" applyAlignment="1">
      <alignment horizontal="center" vertical="center" wrapText="1"/>
    </xf>
    <xf numFmtId="3" fontId="39" fillId="0" borderId="0" xfId="28" applyNumberFormat="1" applyFont="1"/>
    <xf numFmtId="3" fontId="19" fillId="0" borderId="0" xfId="28" applyNumberFormat="1" applyFont="1"/>
    <xf numFmtId="0" fontId="71" fillId="0" borderId="0" xfId="28" applyFont="1"/>
    <xf numFmtId="0" fontId="71" fillId="0" borderId="0" xfId="28" applyFont="1" applyAlignment="1">
      <alignment horizontal="right" vertical="center"/>
    </xf>
    <xf numFmtId="0" fontId="61" fillId="0" borderId="0" xfId="28" applyFont="1" applyAlignment="1">
      <alignment vertical="top" wrapText="1"/>
    </xf>
    <xf numFmtId="0" fontId="74" fillId="0" borderId="0" xfId="28" applyFont="1" applyAlignment="1">
      <alignment vertical="center"/>
    </xf>
    <xf numFmtId="0" fontId="74" fillId="0" borderId="0" xfId="28" applyFont="1" applyAlignment="1">
      <alignment horizontal="center" vertical="center"/>
    </xf>
    <xf numFmtId="0" fontId="19" fillId="0" borderId="0" xfId="28" applyFont="1" applyAlignment="1">
      <alignment vertical="center"/>
    </xf>
    <xf numFmtId="0" fontId="76" fillId="0" borderId="0" xfId="28" applyFont="1" applyAlignment="1">
      <alignment vertical="center" wrapText="1"/>
    </xf>
    <xf numFmtId="3" fontId="76" fillId="0" borderId="0" xfId="28" applyNumberFormat="1" applyFont="1" applyAlignment="1">
      <alignment vertical="center" wrapText="1"/>
    </xf>
    <xf numFmtId="0" fontId="76" fillId="0" borderId="0" xfId="28" applyFont="1" applyAlignment="1">
      <alignment wrapText="1"/>
    </xf>
    <xf numFmtId="3" fontId="76" fillId="0" borderId="0" xfId="28" applyNumberFormat="1" applyFont="1" applyAlignment="1">
      <alignment wrapText="1"/>
    </xf>
    <xf numFmtId="0" fontId="75" fillId="0" borderId="0" xfId="28" applyFont="1" applyAlignment="1">
      <alignment horizontal="center" vertical="center"/>
    </xf>
    <xf numFmtId="0" fontId="77" fillId="0" borderId="0" xfId="28" applyFont="1" applyAlignment="1">
      <alignment wrapText="1"/>
    </xf>
    <xf numFmtId="3" fontId="77" fillId="0" borderId="0" xfId="28" applyNumberFormat="1" applyFont="1" applyAlignment="1">
      <alignment wrapText="1"/>
    </xf>
    <xf numFmtId="0" fontId="76" fillId="0" borderId="0" xfId="28" applyFont="1"/>
    <xf numFmtId="0" fontId="0" fillId="0" borderId="0" xfId="0" applyFont="1" applyAlignment="1"/>
    <xf numFmtId="0" fontId="23" fillId="20" borderId="0" xfId="0" applyFont="1" applyFill="1" applyBorder="1" applyAlignment="1">
      <alignment horizontal="center" vertical="center"/>
    </xf>
    <xf numFmtId="0" fontId="25" fillId="20" borderId="0" xfId="0" applyFont="1" applyFill="1" applyBorder="1" applyAlignment="1">
      <alignment horizontal="center" vertical="center"/>
    </xf>
    <xf numFmtId="9" fontId="25" fillId="20" borderId="0" xfId="24" applyFont="1" applyFill="1" applyBorder="1" applyAlignment="1">
      <alignment horizontal="center" vertical="center"/>
    </xf>
    <xf numFmtId="0" fontId="25" fillId="20" borderId="19" xfId="0" applyFont="1" applyFill="1" applyBorder="1" applyAlignment="1">
      <alignment horizontal="center" vertical="center"/>
    </xf>
    <xf numFmtId="0" fontId="20" fillId="20" borderId="63" xfId="0" applyFont="1" applyFill="1" applyBorder="1" applyAlignment="1">
      <alignment horizontal="center" vertical="center"/>
    </xf>
    <xf numFmtId="9" fontId="20" fillId="20" borderId="66" xfId="24" applyFont="1" applyFill="1" applyBorder="1" applyAlignment="1">
      <alignment horizontal="center" vertical="center"/>
    </xf>
    <xf numFmtId="9" fontId="20" fillId="20" borderId="64" xfId="24" applyFont="1" applyFill="1" applyBorder="1" applyAlignment="1">
      <alignment horizontal="center" vertical="center" wrapText="1" shrinkToFit="1"/>
    </xf>
    <xf numFmtId="0" fontId="20" fillId="20" borderId="65" xfId="0" applyFont="1" applyFill="1" applyBorder="1" applyAlignment="1">
      <alignment horizontal="center" vertical="center" wrapText="1" shrinkToFit="1"/>
    </xf>
    <xf numFmtId="0" fontId="14" fillId="20" borderId="12" xfId="0" applyFont="1" applyFill="1" applyBorder="1" applyAlignment="1">
      <alignment horizontal="center" vertical="center"/>
    </xf>
    <xf numFmtId="9" fontId="59" fillId="0" borderId="107" xfId="24" applyFont="1" applyFill="1" applyBorder="1" applyAlignment="1">
      <alignment horizontal="center" vertical="center" wrapText="1"/>
    </xf>
    <xf numFmtId="9" fontId="45" fillId="0" borderId="87" xfId="0" applyNumberFormat="1" applyFont="1" applyFill="1" applyBorder="1" applyAlignment="1">
      <alignment horizontal="center" vertical="center"/>
    </xf>
    <xf numFmtId="9" fontId="45" fillId="0" borderId="138" xfId="0" applyNumberFormat="1" applyFont="1" applyFill="1" applyBorder="1" applyAlignment="1">
      <alignment horizontal="center" vertical="center"/>
    </xf>
    <xf numFmtId="0" fontId="27" fillId="0" borderId="73" xfId="0" applyFont="1" applyBorder="1" applyAlignment="1">
      <alignment horizontal="right" vertical="center" wrapText="1"/>
    </xf>
    <xf numFmtId="0" fontId="14" fillId="0" borderId="51" xfId="0" applyFont="1" applyBorder="1" applyAlignment="1">
      <alignment horizontal="right" vertical="center"/>
    </xf>
    <xf numFmtId="0" fontId="14" fillId="0" borderId="52" xfId="0" applyFont="1" applyBorder="1" applyAlignment="1">
      <alignment horizontal="right" vertical="center"/>
    </xf>
    <xf numFmtId="0" fontId="14" fillId="0" borderId="70" xfId="0" applyFont="1" applyBorder="1" applyAlignment="1">
      <alignment horizontal="right" vertical="center"/>
    </xf>
    <xf numFmtId="0" fontId="14" fillId="0" borderId="54" xfId="0" applyFont="1" applyBorder="1" applyAlignment="1">
      <alignment horizontal="right" vertical="center"/>
    </xf>
    <xf numFmtId="0" fontId="14" fillId="0" borderId="67" xfId="0" applyFont="1" applyBorder="1" applyAlignment="1">
      <alignment horizontal="right" vertical="center"/>
    </xf>
    <xf numFmtId="0" fontId="14" fillId="0" borderId="77" xfId="0" applyFont="1" applyBorder="1" applyAlignment="1">
      <alignment horizontal="right" vertical="center"/>
    </xf>
    <xf numFmtId="0" fontId="14" fillId="0" borderId="73" xfId="0" applyFont="1" applyBorder="1" applyAlignment="1">
      <alignment horizontal="right" vertical="center"/>
    </xf>
    <xf numFmtId="0" fontId="17" fillId="0" borderId="137" xfId="0" applyFont="1" applyBorder="1" applyAlignment="1">
      <alignment horizontal="center" vertical="center"/>
    </xf>
    <xf numFmtId="0" fontId="17" fillId="0" borderId="54" xfId="0" applyFont="1" applyBorder="1" applyAlignment="1">
      <alignment horizontal="center" vertical="center"/>
    </xf>
    <xf numFmtId="0" fontId="39" fillId="0" borderId="18" xfId="28" applyFont="1" applyBorder="1"/>
    <xf numFmtId="0" fontId="39" fillId="8" borderId="18" xfId="28" applyFont="1" applyFill="1" applyBorder="1" applyAlignment="1">
      <alignment horizontal="center"/>
    </xf>
    <xf numFmtId="1" fontId="27" fillId="11" borderId="0" xfId="24" applyNumberFormat="1" applyFont="1" applyFill="1" applyBorder="1" applyAlignment="1">
      <alignment horizontal="center" vertical="center"/>
    </xf>
    <xf numFmtId="0" fontId="18" fillId="0" borderId="38" xfId="12" applyFont="1" applyFill="1" applyBorder="1" applyAlignment="1">
      <alignment horizontal="center" vertical="center" wrapText="1"/>
    </xf>
    <xf numFmtId="9" fontId="35" fillId="11" borderId="111" xfId="29" applyFont="1" applyFill="1" applyBorder="1" applyAlignment="1" applyProtection="1">
      <alignment horizontal="center" vertical="center"/>
      <protection locked="0"/>
    </xf>
    <xf numFmtId="0" fontId="35" fillId="0" borderId="113" xfId="28" applyFont="1" applyBorder="1" applyAlignment="1" applyProtection="1">
      <alignment horizontal="center" vertical="center"/>
      <protection locked="0"/>
    </xf>
    <xf numFmtId="9" fontId="35" fillId="11" borderId="114" xfId="29" applyFont="1" applyFill="1" applyBorder="1" applyAlignment="1" applyProtection="1">
      <alignment horizontal="center" vertical="center"/>
      <protection locked="0"/>
    </xf>
    <xf numFmtId="0" fontId="35" fillId="0" borderId="0" xfId="28" applyFont="1" applyAlignment="1" applyProtection="1">
      <alignment horizontal="center" vertical="center"/>
      <protection locked="0"/>
    </xf>
    <xf numFmtId="0" fontId="33" fillId="0" borderId="0" xfId="28" applyFont="1" applyAlignment="1" applyProtection="1">
      <alignment horizontal="center" vertical="center"/>
      <protection locked="0"/>
    </xf>
    <xf numFmtId="0" fontId="35" fillId="3" borderId="119" xfId="28" applyFont="1" applyFill="1" applyBorder="1" applyAlignment="1" applyProtection="1">
      <alignment horizontal="center" vertical="center"/>
      <protection locked="0"/>
    </xf>
    <xf numFmtId="0" fontId="37" fillId="3" borderId="120" xfId="28" applyFont="1" applyFill="1" applyBorder="1" applyAlignment="1" applyProtection="1">
      <alignment horizontal="center" vertical="center"/>
      <protection locked="0"/>
    </xf>
    <xf numFmtId="0" fontId="35" fillId="3" borderId="113" xfId="28" applyFont="1" applyFill="1" applyBorder="1" applyAlignment="1" applyProtection="1">
      <alignment horizontal="center" vertical="center"/>
      <protection locked="0"/>
    </xf>
    <xf numFmtId="0" fontId="37" fillId="3" borderId="114" xfId="28" applyFont="1" applyFill="1" applyBorder="1" applyAlignment="1" applyProtection="1">
      <alignment horizontal="center" vertical="center"/>
      <protection locked="0"/>
    </xf>
    <xf numFmtId="0" fontId="35" fillId="10" borderId="114" xfId="28" applyFont="1" applyFill="1" applyBorder="1" applyAlignment="1" applyProtection="1">
      <alignment horizontal="center" vertical="center"/>
      <protection locked="0"/>
    </xf>
    <xf numFmtId="0" fontId="35" fillId="3" borderId="114" xfId="28" applyFont="1" applyFill="1" applyBorder="1" applyAlignment="1" applyProtection="1">
      <alignment horizontal="center" vertical="center"/>
      <protection locked="0"/>
    </xf>
    <xf numFmtId="0" fontId="68" fillId="3" borderId="114" xfId="28" applyFont="1" applyFill="1" applyBorder="1" applyAlignment="1" applyProtection="1">
      <alignment horizontal="center" vertical="center"/>
      <protection locked="0"/>
    </xf>
    <xf numFmtId="0" fontId="33" fillId="3" borderId="127" xfId="28" applyFont="1" applyFill="1" applyBorder="1" applyAlignment="1" applyProtection="1">
      <alignment horizontal="center" vertical="center"/>
      <protection locked="0"/>
    </xf>
    <xf numFmtId="0" fontId="37" fillId="30" borderId="114" xfId="28" applyFont="1" applyFill="1" applyBorder="1" applyAlignment="1" applyProtection="1">
      <alignment horizontal="center" vertical="center" wrapText="1" readingOrder="2"/>
      <protection locked="0"/>
    </xf>
    <xf numFmtId="0" fontId="33" fillId="0" borderId="127" xfId="28" applyFont="1" applyBorder="1" applyAlignment="1" applyProtection="1">
      <alignment horizontal="center" vertical="center"/>
      <protection locked="0"/>
    </xf>
    <xf numFmtId="49" fontId="35" fillId="0" borderId="113" xfId="28" applyNumberFormat="1" applyFont="1" applyBorder="1" applyAlignment="1" applyProtection="1">
      <alignment horizontal="center" vertical="center"/>
      <protection locked="0"/>
    </xf>
    <xf numFmtId="0" fontId="35" fillId="0" borderId="114" xfId="28" applyFont="1" applyBorder="1" applyAlignment="1" applyProtection="1">
      <alignment horizontal="center" vertical="center" wrapText="1" readingOrder="2"/>
      <protection locked="0"/>
    </xf>
    <xf numFmtId="0" fontId="35" fillId="0" borderId="114" xfId="28" applyFont="1" applyBorder="1" applyAlignment="1" applyProtection="1">
      <alignment horizontal="center" vertical="center"/>
      <protection locked="0"/>
    </xf>
    <xf numFmtId="9" fontId="68" fillId="27" borderId="114" xfId="29" applyFont="1" applyFill="1" applyBorder="1" applyAlignment="1" applyProtection="1">
      <alignment horizontal="center" vertical="center"/>
      <protection locked="0"/>
    </xf>
    <xf numFmtId="9" fontId="35" fillId="0" borderId="114" xfId="29" applyFont="1" applyFill="1" applyBorder="1" applyAlignment="1" applyProtection="1">
      <alignment horizontal="center" vertical="center"/>
      <protection locked="0"/>
    </xf>
    <xf numFmtId="9" fontId="68" fillId="10" borderId="114" xfId="29" applyFont="1" applyFill="1" applyBorder="1" applyAlignment="1" applyProtection="1">
      <alignment horizontal="center" vertical="center"/>
      <protection locked="0"/>
    </xf>
    <xf numFmtId="0" fontId="33" fillId="0" borderId="127" xfId="29" applyNumberFormat="1" applyFont="1" applyFill="1" applyBorder="1" applyAlignment="1" applyProtection="1">
      <alignment horizontal="right" vertical="center" wrapText="1"/>
      <protection locked="0"/>
    </xf>
    <xf numFmtId="9" fontId="33" fillId="0" borderId="127" xfId="29" applyFont="1" applyFill="1" applyBorder="1" applyAlignment="1" applyProtection="1">
      <alignment horizontal="center" vertical="center"/>
      <protection locked="0"/>
    </xf>
    <xf numFmtId="49" fontId="35" fillId="9" borderId="113" xfId="28" applyNumberFormat="1" applyFont="1" applyFill="1" applyBorder="1" applyAlignment="1" applyProtection="1">
      <alignment horizontal="center" vertical="center"/>
      <protection locked="0"/>
    </xf>
    <xf numFmtId="0" fontId="35" fillId="9" borderId="114" xfId="28" applyFont="1" applyFill="1" applyBorder="1" applyAlignment="1" applyProtection="1">
      <alignment horizontal="center" vertical="center" wrapText="1" readingOrder="2"/>
      <protection locked="0"/>
    </xf>
    <xf numFmtId="0" fontId="35" fillId="9" borderId="114" xfId="28" applyFont="1" applyFill="1" applyBorder="1" applyAlignment="1" applyProtection="1">
      <alignment horizontal="center" vertical="center"/>
      <protection locked="0"/>
    </xf>
    <xf numFmtId="9" fontId="68" fillId="27" borderId="114" xfId="28" applyNumberFormat="1" applyFont="1" applyFill="1" applyBorder="1" applyAlignment="1" applyProtection="1">
      <alignment horizontal="center" vertical="center" wrapText="1" readingOrder="2"/>
      <protection locked="0"/>
    </xf>
    <xf numFmtId="0" fontId="35" fillId="9" borderId="128" xfId="28" applyFont="1" applyFill="1" applyBorder="1" applyAlignment="1" applyProtection="1">
      <alignment horizontal="center" vertical="center" wrapText="1" readingOrder="2"/>
      <protection locked="0"/>
    </xf>
    <xf numFmtId="0" fontId="33" fillId="9" borderId="129" xfId="28" applyFont="1" applyFill="1" applyBorder="1" applyAlignment="1" applyProtection="1">
      <alignment horizontal="center" vertical="center" wrapText="1" readingOrder="2"/>
      <protection locked="0"/>
    </xf>
    <xf numFmtId="9" fontId="33" fillId="0" borderId="127" xfId="29" applyFont="1" applyFill="1" applyBorder="1" applyAlignment="1" applyProtection="1">
      <alignment horizontal="center" vertical="center" wrapText="1"/>
      <protection locked="0"/>
    </xf>
    <xf numFmtId="9" fontId="35" fillId="9" borderId="114" xfId="29" applyFont="1" applyFill="1" applyBorder="1" applyAlignment="1" applyProtection="1">
      <alignment horizontal="center" vertical="center"/>
      <protection locked="0"/>
    </xf>
    <xf numFmtId="9" fontId="35" fillId="9" borderId="128" xfId="29" applyFont="1" applyFill="1" applyBorder="1" applyAlignment="1" applyProtection="1">
      <alignment horizontal="center" vertical="center"/>
      <protection locked="0"/>
    </xf>
    <xf numFmtId="9" fontId="33" fillId="9" borderId="129" xfId="29" applyFont="1" applyFill="1" applyBorder="1" applyAlignment="1" applyProtection="1">
      <alignment horizontal="center" vertical="center"/>
      <protection locked="0"/>
    </xf>
    <xf numFmtId="166" fontId="68" fillId="10" borderId="114" xfId="29" applyNumberFormat="1" applyFont="1" applyFill="1" applyBorder="1" applyAlignment="1" applyProtection="1">
      <alignment horizontal="center" vertical="center"/>
      <protection locked="0"/>
    </xf>
    <xf numFmtId="9" fontId="33" fillId="9" borderId="127" xfId="29" applyFont="1" applyFill="1" applyBorder="1" applyAlignment="1" applyProtection="1">
      <alignment horizontal="center" vertical="center"/>
      <protection locked="0"/>
    </xf>
    <xf numFmtId="0" fontId="33" fillId="0" borderId="127" xfId="29" applyNumberFormat="1" applyFont="1" applyFill="1" applyBorder="1" applyAlignment="1" applyProtection="1">
      <alignment horizontal="right" vertical="center"/>
      <protection locked="0"/>
    </xf>
    <xf numFmtId="9" fontId="68" fillId="9" borderId="114" xfId="29" applyFont="1" applyFill="1" applyBorder="1" applyAlignment="1" applyProtection="1">
      <alignment horizontal="center" vertical="center"/>
      <protection locked="0"/>
    </xf>
    <xf numFmtId="0" fontId="33" fillId="0" borderId="127" xfId="29" applyNumberFormat="1" applyFont="1" applyBorder="1" applyAlignment="1" applyProtection="1">
      <alignment horizontal="right" vertical="center"/>
      <protection locked="0"/>
    </xf>
    <xf numFmtId="9" fontId="35" fillId="0" borderId="114" xfId="28" applyNumberFormat="1" applyFont="1" applyBorder="1" applyAlignment="1" applyProtection="1">
      <alignment horizontal="center" vertical="center"/>
      <protection locked="0"/>
    </xf>
    <xf numFmtId="9" fontId="33" fillId="0" borderId="127" xfId="29" applyFont="1" applyBorder="1" applyAlignment="1" applyProtection="1">
      <alignment horizontal="center" vertical="center" wrapText="1"/>
      <protection locked="0"/>
    </xf>
    <xf numFmtId="9" fontId="33" fillId="0" borderId="127" xfId="29" applyFont="1" applyBorder="1" applyAlignment="1" applyProtection="1">
      <alignment horizontal="center" vertical="center"/>
      <protection locked="0"/>
    </xf>
    <xf numFmtId="9" fontId="66" fillId="0" borderId="127" xfId="30" applyNumberFormat="1" applyFill="1" applyBorder="1" applyAlignment="1" applyProtection="1">
      <alignment horizontal="center" vertical="center"/>
      <protection locked="0"/>
    </xf>
    <xf numFmtId="49" fontId="35" fillId="9" borderId="131" xfId="28" applyNumberFormat="1" applyFont="1" applyFill="1" applyBorder="1" applyAlignment="1" applyProtection="1">
      <alignment horizontal="center" vertical="center"/>
      <protection locked="0"/>
    </xf>
    <xf numFmtId="0" fontId="35" fillId="9" borderId="115" xfId="28" applyFont="1" applyFill="1" applyBorder="1" applyAlignment="1" applyProtection="1">
      <alignment horizontal="center" vertical="center" wrapText="1" readingOrder="2"/>
      <protection locked="0"/>
    </xf>
    <xf numFmtId="0" fontId="35" fillId="9" borderId="115" xfId="28" applyFont="1" applyFill="1" applyBorder="1" applyAlignment="1" applyProtection="1">
      <alignment horizontal="center" vertical="center"/>
      <protection locked="0"/>
    </xf>
    <xf numFmtId="9" fontId="68" fillId="9" borderId="115" xfId="29" applyFont="1" applyFill="1" applyBorder="1" applyAlignment="1" applyProtection="1">
      <alignment horizontal="center" vertical="center"/>
      <protection locked="0"/>
    </xf>
    <xf numFmtId="9" fontId="35" fillId="9" borderId="115" xfId="29" applyFont="1" applyFill="1" applyBorder="1" applyAlignment="1" applyProtection="1">
      <alignment horizontal="center" vertical="center"/>
      <protection locked="0"/>
    </xf>
    <xf numFmtId="9" fontId="68" fillId="10" borderId="115" xfId="29" applyFont="1" applyFill="1" applyBorder="1" applyAlignment="1" applyProtection="1">
      <alignment horizontal="center" vertical="center"/>
      <protection locked="0"/>
    </xf>
    <xf numFmtId="9" fontId="33" fillId="9" borderId="132" xfId="29" applyFont="1" applyFill="1" applyBorder="1" applyAlignment="1" applyProtection="1">
      <alignment horizontal="center" vertical="center"/>
      <protection locked="0"/>
    </xf>
    <xf numFmtId="0" fontId="35" fillId="0" borderId="128" xfId="28" applyFont="1" applyBorder="1" applyAlignment="1" applyProtection="1">
      <alignment horizontal="center" vertical="center" wrapText="1" readingOrder="2"/>
      <protection locked="0"/>
    </xf>
    <xf numFmtId="0" fontId="67" fillId="0" borderId="0" xfId="28" applyFont="1" applyAlignment="1" applyProtection="1">
      <alignment horizontal="center" vertical="center"/>
      <protection locked="0"/>
    </xf>
    <xf numFmtId="2" fontId="35" fillId="0" borderId="0" xfId="29" applyNumberFormat="1" applyFont="1" applyFill="1" applyBorder="1" applyAlignment="1" applyProtection="1">
      <alignment horizontal="center" vertical="center"/>
      <protection locked="0"/>
    </xf>
    <xf numFmtId="0" fontId="37" fillId="0" borderId="0" xfId="28" applyFont="1" applyAlignment="1" applyProtection="1">
      <alignment horizontal="center" vertical="center"/>
      <protection locked="0"/>
    </xf>
    <xf numFmtId="0" fontId="65" fillId="0" borderId="0" xfId="28" applyFont="1" applyAlignment="1" applyProtection="1">
      <alignment horizontal="center" vertical="center"/>
    </xf>
    <xf numFmtId="0" fontId="84" fillId="0" borderId="141" xfId="0" applyFont="1" applyBorder="1" applyProtection="1">
      <protection locked="0"/>
    </xf>
    <xf numFmtId="0" fontId="84" fillId="0" borderId="143" xfId="0" applyFont="1" applyBorder="1" applyProtection="1">
      <protection locked="0"/>
    </xf>
    <xf numFmtId="9" fontId="35" fillId="11" borderId="114" xfId="29" applyFont="1" applyFill="1" applyBorder="1" applyAlignment="1" applyProtection="1">
      <alignment horizontal="center" vertical="center"/>
    </xf>
    <xf numFmtId="9" fontId="35" fillId="11" borderId="115" xfId="29" applyFont="1" applyFill="1" applyBorder="1" applyAlignment="1" applyProtection="1">
      <alignment horizontal="center" vertical="center"/>
    </xf>
    <xf numFmtId="0" fontId="65" fillId="29" borderId="0" xfId="28" applyFont="1" applyFill="1" applyAlignment="1" applyProtection="1">
      <alignment horizontal="center" vertical="center"/>
    </xf>
    <xf numFmtId="0" fontId="35" fillId="0" borderId="0" xfId="28" applyFont="1" applyAlignment="1" applyProtection="1">
      <alignment horizontal="center" vertical="center"/>
    </xf>
    <xf numFmtId="0" fontId="33" fillId="0" borderId="0" xfId="28" applyFont="1" applyAlignment="1" applyProtection="1">
      <alignment horizontal="center" vertical="center"/>
    </xf>
    <xf numFmtId="0" fontId="37" fillId="0" borderId="0" xfId="28" applyFont="1" applyAlignment="1" applyProtection="1">
      <alignment horizontal="center" vertical="center"/>
    </xf>
    <xf numFmtId="0" fontId="16" fillId="0" borderId="0" xfId="28" applyFont="1" applyAlignment="1" applyProtection="1">
      <alignment horizontal="center" vertical="center"/>
    </xf>
    <xf numFmtId="0" fontId="35" fillId="3" borderId="108" xfId="28" applyFont="1" applyFill="1" applyBorder="1" applyAlignment="1" applyProtection="1">
      <alignment horizontal="center" vertical="center"/>
    </xf>
    <xf numFmtId="0" fontId="37" fillId="3" borderId="109" xfId="28" applyFont="1" applyFill="1" applyBorder="1" applyAlignment="1" applyProtection="1">
      <alignment horizontal="center" vertical="center" wrapText="1" shrinkToFit="1"/>
    </xf>
    <xf numFmtId="9" fontId="37" fillId="3" borderId="109" xfId="28" applyNumberFormat="1" applyFont="1" applyFill="1" applyBorder="1" applyAlignment="1" applyProtection="1">
      <alignment horizontal="center" vertical="center" wrapText="1" shrinkToFit="1"/>
    </xf>
    <xf numFmtId="0" fontId="37" fillId="3" borderId="109" xfId="28" applyFont="1" applyFill="1" applyBorder="1" applyAlignment="1" applyProtection="1">
      <alignment horizontal="center" vertical="center"/>
    </xf>
    <xf numFmtId="0" fontId="37" fillId="3" borderId="96" xfId="28" applyFont="1" applyFill="1" applyBorder="1" applyAlignment="1" applyProtection="1">
      <alignment horizontal="center" vertical="center"/>
    </xf>
    <xf numFmtId="0" fontId="35" fillId="0" borderId="110" xfId="28" applyFont="1" applyBorder="1" applyAlignment="1" applyProtection="1">
      <alignment horizontal="center" vertical="center"/>
    </xf>
    <xf numFmtId="0" fontId="37" fillId="0" borderId="111" xfId="28" applyFont="1" applyBorder="1" applyAlignment="1" applyProtection="1">
      <alignment horizontal="center" vertical="center" wrapText="1" readingOrder="2"/>
    </xf>
    <xf numFmtId="9" fontId="35" fillId="9" borderId="111" xfId="28" applyNumberFormat="1" applyFont="1" applyFill="1" applyBorder="1" applyAlignment="1" applyProtection="1">
      <alignment horizontal="center" vertical="center"/>
    </xf>
    <xf numFmtId="166" fontId="35" fillId="9" borderId="111" xfId="28" applyNumberFormat="1" applyFont="1" applyFill="1" applyBorder="1" applyAlignment="1" applyProtection="1">
      <alignment horizontal="center" vertical="center"/>
    </xf>
    <xf numFmtId="0" fontId="37" fillId="0" borderId="38" xfId="28" applyFont="1" applyBorder="1" applyAlignment="1" applyProtection="1">
      <alignment vertical="center"/>
    </xf>
    <xf numFmtId="0" fontId="82" fillId="0" borderId="140" xfId="28" applyFont="1" applyBorder="1" applyAlignment="1" applyProtection="1">
      <alignment vertical="center"/>
    </xf>
    <xf numFmtId="0" fontId="4" fillId="0" borderId="0" xfId="30" applyFont="1" applyAlignment="1" applyProtection="1">
      <alignment horizontal="center" vertical="center"/>
    </xf>
    <xf numFmtId="0" fontId="35" fillId="0" borderId="113" xfId="28" applyFont="1" applyBorder="1" applyAlignment="1" applyProtection="1">
      <alignment horizontal="center" vertical="center"/>
    </xf>
    <xf numFmtId="0" fontId="37" fillId="0" borderId="114" xfId="28" applyFont="1" applyBorder="1" applyAlignment="1" applyProtection="1">
      <alignment horizontal="center" vertical="center" wrapText="1" readingOrder="2"/>
    </xf>
    <xf numFmtId="9" fontId="35" fillId="9" borderId="114" xfId="28" applyNumberFormat="1" applyFont="1" applyFill="1" applyBorder="1" applyAlignment="1" applyProtection="1">
      <alignment horizontal="center" vertical="center"/>
    </xf>
    <xf numFmtId="166" fontId="35" fillId="9" borderId="114" xfId="28" applyNumberFormat="1" applyFont="1" applyFill="1" applyBorder="1" applyAlignment="1" applyProtection="1">
      <alignment horizontal="center" vertical="center"/>
    </xf>
    <xf numFmtId="0" fontId="81" fillId="0" borderId="0" xfId="28" applyFont="1" applyAlignment="1" applyProtection="1">
      <alignment horizontal="center" vertical="center"/>
    </xf>
    <xf numFmtId="0" fontId="83" fillId="0" borderId="140" xfId="28" applyFont="1" applyBorder="1" applyAlignment="1" applyProtection="1">
      <alignment vertical="center"/>
    </xf>
    <xf numFmtId="0" fontId="81" fillId="0" borderId="0" xfId="28" applyFont="1" applyAlignment="1" applyProtection="1">
      <alignment vertical="center" wrapText="1"/>
    </xf>
    <xf numFmtId="0" fontId="37" fillId="0" borderId="38" xfId="28" applyFont="1" applyBorder="1" applyAlignment="1" applyProtection="1">
      <alignment vertical="center" wrapText="1"/>
    </xf>
    <xf numFmtId="0" fontId="83" fillId="0" borderId="142" xfId="28" applyFont="1" applyBorder="1" applyAlignment="1" applyProtection="1">
      <alignment vertical="center"/>
    </xf>
    <xf numFmtId="0" fontId="35" fillId="0" borderId="22" xfId="28" applyFont="1" applyBorder="1" applyAlignment="1" applyProtection="1">
      <alignment vertical="center" wrapText="1"/>
    </xf>
    <xf numFmtId="0" fontId="83" fillId="0" borderId="0" xfId="28" applyFont="1" applyBorder="1" applyAlignment="1" applyProtection="1">
      <alignment vertical="center"/>
    </xf>
    <xf numFmtId="0" fontId="0" fillId="0" borderId="0" xfId="0" applyBorder="1" applyProtection="1"/>
    <xf numFmtId="0" fontId="35" fillId="0" borderId="0" xfId="28" applyFont="1" applyAlignment="1" applyProtection="1">
      <alignment vertical="center" wrapText="1"/>
    </xf>
    <xf numFmtId="0" fontId="35" fillId="0" borderId="13" xfId="28" applyFont="1" applyBorder="1" applyAlignment="1" applyProtection="1">
      <alignment horizontal="center" vertical="center"/>
    </xf>
    <xf numFmtId="0" fontId="37" fillId="0" borderId="115" xfId="28" applyFont="1" applyBorder="1" applyAlignment="1" applyProtection="1">
      <alignment horizontal="center" vertical="center" wrapText="1" readingOrder="2"/>
    </xf>
    <xf numFmtId="9" fontId="35" fillId="9" borderId="115" xfId="28" applyNumberFormat="1" applyFont="1" applyFill="1" applyBorder="1" applyAlignment="1" applyProtection="1">
      <alignment horizontal="center" vertical="center"/>
    </xf>
    <xf numFmtId="166" fontId="35" fillId="9" borderId="115" xfId="28" applyNumberFormat="1" applyFont="1" applyFill="1" applyBorder="1" applyAlignment="1" applyProtection="1">
      <alignment horizontal="center" vertical="center"/>
    </xf>
    <xf numFmtId="0" fontId="37" fillId="0" borderId="96" xfId="28" applyFont="1" applyBorder="1" applyAlignment="1" applyProtection="1">
      <alignment horizontal="center" vertical="center"/>
    </xf>
    <xf numFmtId="0" fontId="48" fillId="0" borderId="22" xfId="28" applyFont="1" applyBorder="1" applyAlignment="1" applyProtection="1">
      <alignment horizontal="center" vertical="center"/>
    </xf>
    <xf numFmtId="9" fontId="35" fillId="9" borderId="111" xfId="29" applyFont="1" applyFill="1" applyBorder="1" applyAlignment="1" applyProtection="1">
      <alignment horizontal="center" vertical="center"/>
    </xf>
    <xf numFmtId="9" fontId="35" fillId="9" borderId="114" xfId="29" applyFont="1" applyFill="1" applyBorder="1" applyAlignment="1" applyProtection="1">
      <alignment horizontal="center" vertical="center"/>
    </xf>
    <xf numFmtId="0" fontId="48" fillId="0" borderId="13" xfId="28" applyFont="1" applyBorder="1" applyAlignment="1" applyProtection="1">
      <alignment horizontal="center" vertical="center"/>
    </xf>
    <xf numFmtId="9" fontId="35" fillId="9" borderId="115" xfId="29" applyFont="1" applyFill="1" applyBorder="1" applyAlignment="1" applyProtection="1">
      <alignment horizontal="center" vertical="center"/>
    </xf>
    <xf numFmtId="0" fontId="37" fillId="3" borderId="117" xfId="28" applyFont="1" applyFill="1" applyBorder="1" applyAlignment="1" applyProtection="1">
      <alignment horizontal="center" vertical="center"/>
    </xf>
    <xf numFmtId="0" fontId="37" fillId="3" borderId="118" xfId="28" applyFont="1" applyFill="1" applyBorder="1" applyAlignment="1" applyProtection="1">
      <alignment horizontal="center" vertical="center"/>
    </xf>
    <xf numFmtId="9" fontId="37" fillId="3" borderId="118" xfId="28" applyNumberFormat="1" applyFont="1" applyFill="1" applyBorder="1" applyAlignment="1" applyProtection="1">
      <alignment horizontal="center" vertical="center"/>
    </xf>
    <xf numFmtId="9" fontId="18" fillId="3" borderId="118" xfId="29" applyFont="1" applyFill="1" applyBorder="1" applyAlignment="1" applyProtection="1">
      <alignment horizontal="center" vertical="center"/>
    </xf>
    <xf numFmtId="9" fontId="37" fillId="0" borderId="17" xfId="29" applyFont="1" applyBorder="1" applyAlignment="1" applyProtection="1">
      <alignment horizontal="center" vertical="center"/>
    </xf>
    <xf numFmtId="0" fontId="80" fillId="0" borderId="0" xfId="28" applyFont="1" applyAlignment="1" applyProtection="1">
      <alignment horizontal="center" vertical="center"/>
      <protection locked="0"/>
    </xf>
    <xf numFmtId="0" fontId="17" fillId="0" borderId="38" xfId="0" applyFont="1" applyBorder="1" applyAlignment="1">
      <alignment horizontal="right"/>
    </xf>
    <xf numFmtId="0" fontId="14" fillId="0" borderId="38" xfId="0" applyFont="1" applyBorder="1" applyAlignment="1">
      <alignment horizontal="center"/>
    </xf>
    <xf numFmtId="0" fontId="39" fillId="16" borderId="17" xfId="28" applyFont="1" applyFill="1" applyBorder="1"/>
    <xf numFmtId="0" fontId="39" fillId="32" borderId="0" xfId="28" applyFont="1" applyFill="1"/>
    <xf numFmtId="0" fontId="79" fillId="32" borderId="0" xfId="28" applyFont="1" applyFill="1"/>
    <xf numFmtId="0" fontId="14" fillId="8" borderId="59" xfId="0" applyFont="1" applyFill="1" applyBorder="1" applyAlignment="1">
      <alignment horizontal="center" vertical="center"/>
    </xf>
    <xf numFmtId="0" fontId="14" fillId="11" borderId="55" xfId="0" applyFont="1" applyFill="1" applyBorder="1" applyAlignment="1">
      <alignment horizontal="center" vertical="center"/>
    </xf>
    <xf numFmtId="0" fontId="14" fillId="11" borderId="144" xfId="0" applyFont="1" applyFill="1" applyBorder="1" applyAlignment="1">
      <alignment horizontal="center" vertical="center"/>
    </xf>
    <xf numFmtId="0" fontId="14" fillId="11" borderId="145" xfId="0" applyFont="1" applyFill="1" applyBorder="1" applyAlignment="1">
      <alignment horizontal="center" vertical="center"/>
    </xf>
    <xf numFmtId="0" fontId="14" fillId="8" borderId="146" xfId="0" applyFont="1" applyFill="1" applyBorder="1" applyAlignment="1">
      <alignment horizontal="center" vertical="center" wrapText="1" readingOrder="2"/>
    </xf>
    <xf numFmtId="0" fontId="17" fillId="8" borderId="147" xfId="0" applyFont="1" applyFill="1" applyBorder="1" applyAlignment="1">
      <alignment horizontal="right" vertical="center" wrapText="1" readingOrder="2"/>
    </xf>
    <xf numFmtId="0" fontId="14" fillId="8" borderId="148" xfId="0" applyFont="1" applyFill="1" applyBorder="1" applyAlignment="1">
      <alignment horizontal="center" vertical="center"/>
    </xf>
    <xf numFmtId="0" fontId="14" fillId="8" borderId="147" xfId="0" applyFont="1" applyFill="1" applyBorder="1" applyAlignment="1">
      <alignment horizontal="center" vertical="center"/>
    </xf>
    <xf numFmtId="0" fontId="14" fillId="8" borderId="149" xfId="0" applyFont="1" applyFill="1" applyBorder="1" applyAlignment="1">
      <alignment horizontal="center" vertical="center" wrapText="1" readingOrder="2"/>
    </xf>
    <xf numFmtId="0" fontId="14" fillId="13" borderId="147" xfId="0" applyFont="1" applyFill="1" applyBorder="1" applyAlignment="1">
      <alignment horizontal="center" vertical="center"/>
    </xf>
    <xf numFmtId="0" fontId="14" fillId="13" borderId="149" xfId="0" applyFont="1" applyFill="1" applyBorder="1" applyAlignment="1">
      <alignment horizontal="center" vertical="center" wrapText="1" readingOrder="2"/>
    </xf>
    <xf numFmtId="0" fontId="14" fillId="20" borderId="151" xfId="0" applyFont="1" applyFill="1" applyBorder="1" applyAlignment="1">
      <alignment horizontal="right" vertical="center" wrapText="1" indent="2" readingOrder="2"/>
    </xf>
    <xf numFmtId="0" fontId="14" fillId="19" borderId="151" xfId="0" applyFont="1" applyFill="1" applyBorder="1" applyAlignment="1">
      <alignment horizontal="center" vertical="center"/>
    </xf>
    <xf numFmtId="0" fontId="14" fillId="19" borderId="150" xfId="0" applyFont="1" applyFill="1" applyBorder="1" applyAlignment="1">
      <alignment horizontal="center" vertical="center" wrapText="1" readingOrder="2"/>
    </xf>
    <xf numFmtId="0" fontId="14" fillId="20" borderId="152" xfId="0" applyFont="1" applyFill="1" applyBorder="1" applyAlignment="1">
      <alignment horizontal="center" vertical="center" wrapText="1" readingOrder="2"/>
    </xf>
    <xf numFmtId="0" fontId="42" fillId="8" borderId="153" xfId="0" applyFont="1" applyFill="1" applyBorder="1" applyAlignment="1">
      <alignment horizontal="center" vertical="center" wrapText="1" readingOrder="2"/>
    </xf>
    <xf numFmtId="0" fontId="42" fillId="8" borderId="154" xfId="0" applyFont="1" applyFill="1" applyBorder="1" applyAlignment="1">
      <alignment horizontal="right" vertical="center" wrapText="1" indent="2" readingOrder="2"/>
    </xf>
    <xf numFmtId="0" fontId="34" fillId="8" borderId="154" xfId="0" applyFont="1" applyFill="1" applyBorder="1" applyAlignment="1">
      <alignment horizontal="center" vertical="center"/>
    </xf>
    <xf numFmtId="9" fontId="27" fillId="8" borderId="155" xfId="24" applyFont="1" applyFill="1" applyBorder="1" applyAlignment="1">
      <alignment horizontal="center" vertical="center" wrapText="1" readingOrder="2"/>
    </xf>
    <xf numFmtId="0" fontId="14" fillId="11" borderId="146" xfId="0" applyFont="1" applyFill="1" applyBorder="1" applyAlignment="1">
      <alignment horizontal="center" vertical="center"/>
    </xf>
    <xf numFmtId="0" fontId="17" fillId="11" borderId="147" xfId="0" applyFont="1" applyFill="1" applyBorder="1" applyAlignment="1">
      <alignment horizontal="center" vertical="center"/>
    </xf>
    <xf numFmtId="0" fontId="14" fillId="11" borderId="148" xfId="0" applyFont="1" applyFill="1" applyBorder="1" applyAlignment="1">
      <alignment horizontal="center" vertical="center"/>
    </xf>
    <xf numFmtId="0" fontId="14" fillId="11" borderId="147" xfId="0" applyFont="1" applyFill="1" applyBorder="1" applyAlignment="1">
      <alignment horizontal="center" vertical="center"/>
    </xf>
    <xf numFmtId="0" fontId="17" fillId="11" borderId="149" xfId="0" applyFont="1" applyFill="1" applyBorder="1" applyAlignment="1">
      <alignment horizontal="center" vertical="center"/>
    </xf>
    <xf numFmtId="0" fontId="51" fillId="8" borderId="19" xfId="0" applyFont="1" applyFill="1" applyBorder="1" applyAlignment="1">
      <alignment horizontal="center" vertical="center" wrapText="1" readingOrder="2"/>
    </xf>
    <xf numFmtId="1" fontId="25" fillId="8" borderId="15" xfId="0" applyNumberFormat="1" applyFont="1" applyFill="1" applyBorder="1" applyAlignment="1">
      <alignment horizontal="center" vertical="center" wrapText="1" readingOrder="2"/>
    </xf>
    <xf numFmtId="0" fontId="51" fillId="8" borderId="18" xfId="0" applyFont="1" applyFill="1" applyBorder="1" applyAlignment="1">
      <alignment horizontal="center" vertical="center" wrapText="1" readingOrder="2"/>
    </xf>
    <xf numFmtId="0" fontId="51" fillId="8" borderId="16" xfId="0" applyFont="1" applyFill="1" applyBorder="1" applyAlignment="1">
      <alignment horizontal="center" vertical="center" wrapText="1" readingOrder="2"/>
    </xf>
    <xf numFmtId="0" fontId="51" fillId="8" borderId="17" xfId="0" applyFont="1" applyFill="1" applyBorder="1" applyAlignment="1">
      <alignment horizontal="center" vertical="center" wrapText="1" readingOrder="2"/>
    </xf>
    <xf numFmtId="0" fontId="14" fillId="4" borderId="19" xfId="0" applyFont="1" applyFill="1" applyBorder="1" applyAlignment="1">
      <alignment horizontal="center" vertical="center" wrapText="1" readingOrder="2"/>
    </xf>
    <xf numFmtId="9" fontId="31" fillId="11" borderId="14" xfId="24" applyFont="1" applyFill="1" applyBorder="1" applyAlignment="1">
      <alignment horizontal="center"/>
    </xf>
    <xf numFmtId="165" fontId="14" fillId="11" borderId="14" xfId="0" applyNumberFormat="1" applyFont="1" applyFill="1" applyBorder="1" applyAlignment="1">
      <alignment horizontal="center" vertical="center"/>
    </xf>
    <xf numFmtId="0" fontId="31" fillId="11" borderId="10" xfId="0" applyFont="1" applyFill="1" applyBorder="1" applyAlignment="1">
      <alignment horizontal="center" vertical="center" wrapText="1" readingOrder="2"/>
    </xf>
    <xf numFmtId="0" fontId="31" fillId="11" borderId="11" xfId="0" applyFont="1" applyFill="1" applyBorder="1" applyAlignment="1">
      <alignment horizontal="center" vertical="center" wrapText="1" readingOrder="2"/>
    </xf>
    <xf numFmtId="9" fontId="31" fillId="11" borderId="11" xfId="24" applyFont="1" applyFill="1" applyBorder="1" applyAlignment="1">
      <alignment horizontal="center"/>
    </xf>
    <xf numFmtId="165" fontId="14" fillId="11" borderId="11" xfId="0" applyNumberFormat="1" applyFont="1" applyFill="1" applyBorder="1" applyAlignment="1">
      <alignment horizontal="center" vertical="center"/>
    </xf>
    <xf numFmtId="0" fontId="14" fillId="4" borderId="12" xfId="0" applyFont="1" applyFill="1" applyBorder="1" applyAlignment="1">
      <alignment horizontal="center"/>
    </xf>
    <xf numFmtId="0" fontId="14" fillId="4" borderId="19" xfId="0" applyFont="1" applyFill="1" applyBorder="1" applyAlignment="1">
      <alignment horizontal="center"/>
    </xf>
    <xf numFmtId="0" fontId="51" fillId="8" borderId="22" xfId="0" applyFont="1" applyFill="1" applyBorder="1" applyAlignment="1">
      <alignment horizontal="center" vertical="center" wrapText="1" readingOrder="2"/>
    </xf>
    <xf numFmtId="0" fontId="51" fillId="8" borderId="0" xfId="0" applyFont="1" applyFill="1" applyBorder="1" applyAlignment="1">
      <alignment horizontal="center" vertical="center" wrapText="1" readingOrder="2"/>
    </xf>
    <xf numFmtId="9" fontId="25" fillId="8" borderId="14" xfId="0" applyNumberFormat="1" applyFont="1" applyFill="1" applyBorder="1" applyAlignment="1">
      <alignment horizontal="center" vertical="center" wrapText="1" readingOrder="2"/>
    </xf>
    <xf numFmtId="1" fontId="25" fillId="8" borderId="14" xfId="0" applyNumberFormat="1" applyFont="1" applyFill="1" applyBorder="1" applyAlignment="1">
      <alignment horizontal="center" vertical="center" wrapText="1" readingOrder="2"/>
    </xf>
    <xf numFmtId="0" fontId="14" fillId="4" borderId="15" xfId="0" applyFont="1" applyFill="1" applyBorder="1" applyAlignment="1">
      <alignment horizontal="center"/>
    </xf>
    <xf numFmtId="0" fontId="39" fillId="33" borderId="0" xfId="28" applyFont="1" applyFill="1"/>
    <xf numFmtId="0" fontId="14" fillId="0" borderId="0" xfId="0" applyFont="1"/>
    <xf numFmtId="0" fontId="1" fillId="11" borderId="0" xfId="0" applyFont="1" applyFill="1"/>
    <xf numFmtId="0" fontId="1" fillId="0" borderId="0" xfId="0" applyFont="1"/>
    <xf numFmtId="0" fontId="9" fillId="11" borderId="0" xfId="0" applyFont="1" applyFill="1"/>
    <xf numFmtId="0" fontId="19" fillId="9" borderId="47" xfId="28" applyFont="1" applyFill="1" applyBorder="1" applyAlignment="1">
      <alignment horizontal="center" vertical="center"/>
    </xf>
    <xf numFmtId="0" fontId="61" fillId="9" borderId="44" xfId="28" applyFont="1" applyFill="1" applyBorder="1" applyAlignment="1">
      <alignment horizontal="center"/>
    </xf>
    <xf numFmtId="0" fontId="61" fillId="9" borderId="45" xfId="28" applyFont="1" applyFill="1" applyBorder="1" applyAlignment="1">
      <alignment horizontal="center"/>
    </xf>
    <xf numFmtId="170" fontId="19" fillId="0" borderId="22" xfId="28" applyNumberFormat="1" applyFont="1" applyBorder="1" applyAlignment="1">
      <alignment horizontal="center"/>
    </xf>
    <xf numFmtId="0" fontId="19" fillId="0" borderId="38" xfId="28" applyFont="1" applyBorder="1" applyAlignment="1">
      <alignment horizontal="center"/>
    </xf>
    <xf numFmtId="9" fontId="19" fillId="34" borderId="38" xfId="29" applyFont="1" applyFill="1" applyBorder="1" applyAlignment="1">
      <alignment horizontal="center" vertical="center"/>
    </xf>
    <xf numFmtId="9" fontId="19" fillId="8" borderId="38" xfId="29" applyFont="1" applyFill="1" applyBorder="1" applyAlignment="1">
      <alignment horizontal="center"/>
    </xf>
    <xf numFmtId="9" fontId="19" fillId="8" borderId="97" xfId="29" applyFont="1" applyFill="1" applyBorder="1" applyAlignment="1">
      <alignment horizontal="center"/>
    </xf>
    <xf numFmtId="0" fontId="19" fillId="9" borderId="80" xfId="28" applyFont="1" applyFill="1" applyBorder="1" applyAlignment="1">
      <alignment horizontal="center"/>
    </xf>
    <xf numFmtId="0" fontId="61" fillId="9" borderId="38" xfId="28" applyFont="1" applyFill="1" applyBorder="1" applyAlignment="1">
      <alignment horizontal="center"/>
    </xf>
    <xf numFmtId="9" fontId="61" fillId="9" borderId="38" xfId="29" applyFont="1" applyFill="1" applyBorder="1" applyAlignment="1">
      <alignment horizontal="center"/>
    </xf>
    <xf numFmtId="0" fontId="61" fillId="9" borderId="97" xfId="28" applyFont="1" applyFill="1" applyBorder="1" applyAlignment="1">
      <alignment horizontal="center"/>
    </xf>
    <xf numFmtId="170" fontId="19" fillId="0" borderId="38" xfId="28" applyNumberFormat="1" applyFont="1" applyBorder="1" applyAlignment="1">
      <alignment horizontal="center"/>
    </xf>
    <xf numFmtId="9" fontId="62" fillId="11" borderId="38" xfId="29" applyFont="1" applyFill="1" applyBorder="1" applyAlignment="1">
      <alignment horizontal="center" vertical="center"/>
    </xf>
    <xf numFmtId="9" fontId="19" fillId="35" borderId="38" xfId="29" applyFont="1" applyFill="1" applyBorder="1" applyAlignment="1">
      <alignment horizontal="center" vertical="center"/>
    </xf>
    <xf numFmtId="9" fontId="19" fillId="4" borderId="38" xfId="29" applyFont="1" applyFill="1" applyBorder="1" applyAlignment="1">
      <alignment horizontal="center" vertical="center"/>
    </xf>
    <xf numFmtId="9" fontId="19" fillId="3" borderId="38" xfId="29" applyFont="1" applyFill="1" applyBorder="1" applyAlignment="1">
      <alignment horizontal="center" vertical="center"/>
    </xf>
    <xf numFmtId="9" fontId="19" fillId="16" borderId="38" xfId="29" applyFont="1" applyFill="1" applyBorder="1" applyAlignment="1">
      <alignment horizontal="center" vertical="center"/>
    </xf>
    <xf numFmtId="9" fontId="19" fillId="8" borderId="59" xfId="29" applyFont="1" applyFill="1" applyBorder="1" applyAlignment="1">
      <alignment horizontal="center"/>
    </xf>
    <xf numFmtId="0" fontId="19" fillId="9" borderId="54" xfId="28" applyFont="1" applyFill="1" applyBorder="1" applyAlignment="1">
      <alignment horizontal="center"/>
    </xf>
    <xf numFmtId="0" fontId="61" fillId="9" borderId="14" xfId="28" applyFont="1" applyFill="1" applyBorder="1" applyAlignment="1">
      <alignment horizontal="center"/>
    </xf>
    <xf numFmtId="0" fontId="19" fillId="9" borderId="14" xfId="28" applyFont="1" applyFill="1" applyBorder="1" applyAlignment="1">
      <alignment horizontal="center"/>
    </xf>
    <xf numFmtId="0" fontId="19" fillId="9" borderId="17" xfId="28" applyFont="1" applyFill="1" applyBorder="1" applyAlignment="1">
      <alignment horizontal="center"/>
    </xf>
    <xf numFmtId="9" fontId="19" fillId="9" borderId="17" xfId="28" applyNumberFormat="1" applyFont="1" applyFill="1" applyBorder="1" applyAlignment="1">
      <alignment horizontal="center"/>
    </xf>
    <xf numFmtId="0" fontId="53" fillId="11" borderId="0" xfId="0" applyFont="1" applyFill="1"/>
    <xf numFmtId="0" fontId="29" fillId="0" borderId="0" xfId="0" applyFont="1"/>
    <xf numFmtId="0" fontId="53" fillId="0" borderId="0" xfId="0" applyFont="1"/>
    <xf numFmtId="0" fontId="10" fillId="11" borderId="0" xfId="0" applyFont="1" applyFill="1"/>
    <xf numFmtId="0" fontId="23" fillId="8" borderId="18" xfId="0" applyFont="1" applyFill="1" applyBorder="1" applyAlignment="1">
      <alignment horizontal="center" vertical="center"/>
    </xf>
    <xf numFmtId="0" fontId="23" fillId="8" borderId="16" xfId="0" applyFont="1" applyFill="1" applyBorder="1" applyAlignment="1">
      <alignment horizontal="center" vertical="center"/>
    </xf>
    <xf numFmtId="0" fontId="23" fillId="8" borderId="16" xfId="0" applyFont="1" applyFill="1" applyBorder="1" applyAlignment="1">
      <alignment horizontal="center" vertical="center" wrapText="1" shrinkToFit="1"/>
    </xf>
    <xf numFmtId="0" fontId="23" fillId="8" borderId="17" xfId="0" applyFont="1" applyFill="1" applyBorder="1" applyAlignment="1">
      <alignment horizontal="center" vertical="center"/>
    </xf>
    <xf numFmtId="0" fontId="17" fillId="0" borderId="0" xfId="0" applyFont="1"/>
    <xf numFmtId="0" fontId="85" fillId="11" borderId="0" xfId="0" applyFont="1" applyFill="1" applyAlignment="1">
      <alignment horizontal="right" vertical="center" wrapText="1" readingOrder="2"/>
    </xf>
    <xf numFmtId="0" fontId="52" fillId="11" borderId="0" xfId="0" applyFont="1" applyFill="1" applyAlignment="1">
      <alignment horizontal="center" vertical="center"/>
    </xf>
    <xf numFmtId="9" fontId="52" fillId="36" borderId="0" xfId="0" applyNumberFormat="1" applyFont="1" applyFill="1" applyAlignment="1">
      <alignment horizontal="center" vertical="center"/>
    </xf>
    <xf numFmtId="9" fontId="26" fillId="36" borderId="19" xfId="0" applyNumberFormat="1" applyFont="1" applyFill="1" applyBorder="1" applyAlignment="1">
      <alignment horizontal="center" vertical="center"/>
    </xf>
    <xf numFmtId="0" fontId="1" fillId="11" borderId="0" xfId="0" applyFont="1" applyFill="1" applyAlignment="1">
      <alignment horizontal="left"/>
    </xf>
    <xf numFmtId="0" fontId="1" fillId="0" borderId="0" xfId="0" applyFont="1" applyAlignment="1">
      <alignment horizontal="left"/>
    </xf>
    <xf numFmtId="9" fontId="14" fillId="0" borderId="0" xfId="29" applyFont="1" applyFill="1" applyBorder="1" applyAlignment="1">
      <alignment horizontal="center"/>
    </xf>
    <xf numFmtId="9" fontId="52" fillId="37" borderId="0" xfId="0" applyNumberFormat="1" applyFont="1" applyFill="1" applyAlignment="1">
      <alignment horizontal="center" vertical="center"/>
    </xf>
    <xf numFmtId="9" fontId="26" fillId="37" borderId="19" xfId="0" applyNumberFormat="1" applyFont="1" applyFill="1" applyBorder="1" applyAlignment="1">
      <alignment horizontal="center" vertical="center"/>
    </xf>
    <xf numFmtId="0" fontId="53" fillId="11" borderId="0" xfId="0" applyFont="1" applyFill="1" applyAlignment="1">
      <alignment horizontal="left"/>
    </xf>
    <xf numFmtId="0" fontId="38" fillId="0" borderId="0" xfId="0" applyFont="1"/>
    <xf numFmtId="9" fontId="23" fillId="8" borderId="14" xfId="29" applyFont="1" applyFill="1" applyBorder="1" applyAlignment="1">
      <alignment horizontal="center" vertical="center"/>
    </xf>
    <xf numFmtId="0" fontId="85" fillId="11" borderId="22" xfId="0" applyFont="1" applyFill="1" applyBorder="1" applyAlignment="1">
      <alignment horizontal="center"/>
    </xf>
    <xf numFmtId="9" fontId="52" fillId="38" borderId="0" xfId="0" applyNumberFormat="1" applyFont="1" applyFill="1" applyAlignment="1">
      <alignment horizontal="center" vertical="center"/>
    </xf>
    <xf numFmtId="9" fontId="26" fillId="38" borderId="19" xfId="0" applyNumberFormat="1" applyFont="1" applyFill="1" applyBorder="1" applyAlignment="1">
      <alignment horizontal="center" vertical="center"/>
    </xf>
    <xf numFmtId="9" fontId="52" fillId="26" borderId="0" xfId="0" applyNumberFormat="1" applyFont="1" applyFill="1" applyAlignment="1">
      <alignment horizontal="center" vertical="center"/>
    </xf>
    <xf numFmtId="9" fontId="26" fillId="26" borderId="19" xfId="0" applyNumberFormat="1" applyFont="1" applyFill="1" applyBorder="1" applyAlignment="1">
      <alignment horizontal="center" vertical="center"/>
    </xf>
    <xf numFmtId="9" fontId="31" fillId="8" borderId="14" xfId="29" applyFont="1" applyFill="1" applyBorder="1" applyAlignment="1">
      <alignment horizontal="center" vertical="center"/>
    </xf>
    <xf numFmtId="9" fontId="25" fillId="8" borderId="15" xfId="29" applyFont="1" applyFill="1" applyBorder="1" applyAlignment="1">
      <alignment horizontal="center" vertical="center"/>
    </xf>
    <xf numFmtId="0" fontId="4" fillId="0" borderId="0" xfId="0" applyFont="1"/>
    <xf numFmtId="0" fontId="19" fillId="8" borderId="21" xfId="0" applyFont="1" applyFill="1" applyBorder="1"/>
    <xf numFmtId="0" fontId="19" fillId="0" borderId="12" xfId="0" applyFont="1" applyBorder="1" applyAlignment="1">
      <alignment horizontal="center" vertical="center"/>
    </xf>
    <xf numFmtId="0" fontId="19" fillId="8" borderId="20" xfId="0" applyFont="1" applyFill="1" applyBorder="1"/>
    <xf numFmtId="0" fontId="19" fillId="0" borderId="19" xfId="0" applyFont="1" applyBorder="1" applyAlignment="1">
      <alignment horizontal="center" vertical="center"/>
    </xf>
    <xf numFmtId="0" fontId="19" fillId="8" borderId="23" xfId="0" applyFont="1" applyFill="1" applyBorder="1"/>
    <xf numFmtId="0" fontId="19" fillId="0" borderId="15" xfId="0" applyFont="1" applyBorder="1" applyAlignment="1">
      <alignment horizontal="center" vertical="center"/>
    </xf>
    <xf numFmtId="43" fontId="14" fillId="16" borderId="38" xfId="0" applyNumberFormat="1" applyFont="1" applyFill="1" applyBorder="1" applyAlignment="1">
      <alignment horizontal="right"/>
    </xf>
    <xf numFmtId="3" fontId="2" fillId="0" borderId="0" xfId="0" applyNumberFormat="1" applyFont="1" applyAlignment="1">
      <alignment horizontal="left"/>
    </xf>
    <xf numFmtId="0" fontId="2" fillId="0" borderId="0" xfId="0" applyFont="1" applyBorder="1" applyAlignment="1">
      <alignment horizontal="left"/>
    </xf>
    <xf numFmtId="0" fontId="53" fillId="0" borderId="0" xfId="0" applyFont="1" applyBorder="1" applyAlignment="1">
      <alignment horizontal="left"/>
    </xf>
    <xf numFmtId="0" fontId="54" fillId="0" borderId="10" xfId="0" applyFont="1" applyBorder="1" applyAlignment="1">
      <alignment horizontal="center" vertical="center"/>
    </xf>
    <xf numFmtId="0" fontId="46" fillId="0" borderId="22" xfId="0" applyFont="1" applyBorder="1" applyAlignment="1">
      <alignment horizontal="center" vertical="center"/>
    </xf>
    <xf numFmtId="0" fontId="46" fillId="0" borderId="13" xfId="0" applyFont="1" applyBorder="1" applyAlignment="1">
      <alignment horizontal="center" vertical="center"/>
    </xf>
    <xf numFmtId="0" fontId="16" fillId="11" borderId="140" xfId="0" applyFont="1" applyFill="1" applyBorder="1" applyAlignment="1">
      <alignment horizontal="center" vertical="center"/>
    </xf>
    <xf numFmtId="0" fontId="16" fillId="11" borderId="156" xfId="0" applyFont="1" applyFill="1" applyBorder="1" applyAlignment="1">
      <alignment horizontal="center" vertical="center"/>
    </xf>
    <xf numFmtId="0" fontId="2" fillId="0" borderId="156" xfId="0" applyFont="1" applyBorder="1" applyAlignment="1">
      <alignment horizontal="left"/>
    </xf>
    <xf numFmtId="0" fontId="2" fillId="0" borderId="141" xfId="0" applyFont="1" applyBorder="1" applyAlignment="1">
      <alignment horizontal="left"/>
    </xf>
    <xf numFmtId="0" fontId="16" fillId="0" borderId="7" xfId="0" applyFont="1" applyBorder="1" applyAlignment="1">
      <alignment horizontal="center" vertical="center"/>
    </xf>
    <xf numFmtId="0" fontId="16" fillId="0" borderId="0" xfId="0" applyFont="1" applyBorder="1" applyAlignment="1">
      <alignment horizontal="center" vertical="center"/>
    </xf>
    <xf numFmtId="0" fontId="53" fillId="0" borderId="99" xfId="0" applyFont="1" applyBorder="1" applyAlignment="1">
      <alignment horizontal="left"/>
    </xf>
    <xf numFmtId="0" fontId="2" fillId="0" borderId="99" xfId="0" applyFont="1" applyBorder="1" applyAlignment="1">
      <alignment horizontal="left"/>
    </xf>
    <xf numFmtId="0" fontId="16" fillId="0" borderId="7" xfId="0" applyFont="1" applyBorder="1" applyAlignment="1">
      <alignment horizontal="center"/>
    </xf>
    <xf numFmtId="0" fontId="16" fillId="0" borderId="0" xfId="0" applyFont="1" applyBorder="1" applyAlignment="1">
      <alignment horizontal="center"/>
    </xf>
    <xf numFmtId="0" fontId="2" fillId="0" borderId="7" xfId="0" applyFont="1" applyBorder="1" applyAlignment="1">
      <alignment horizontal="left"/>
    </xf>
    <xf numFmtId="0" fontId="33" fillId="11" borderId="99" xfId="0" applyFont="1" applyFill="1" applyBorder="1" applyAlignment="1">
      <alignment horizontal="center" vertical="center"/>
    </xf>
    <xf numFmtId="0" fontId="33" fillId="11" borderId="9" xfId="0" applyFont="1" applyFill="1" applyBorder="1" applyAlignment="1">
      <alignment horizontal="left" vertical="center"/>
    </xf>
    <xf numFmtId="0" fontId="33" fillId="11" borderId="9" xfId="0" applyFont="1" applyFill="1" applyBorder="1" applyAlignment="1">
      <alignment horizontal="left"/>
    </xf>
    <xf numFmtId="0" fontId="33" fillId="11" borderId="158" xfId="0" applyFont="1" applyFill="1" applyBorder="1" applyAlignment="1">
      <alignment horizontal="left"/>
    </xf>
    <xf numFmtId="9" fontId="19" fillId="0" borderId="0" xfId="28" applyNumberFormat="1" applyFont="1"/>
    <xf numFmtId="171" fontId="19" fillId="0" borderId="0" xfId="28" applyNumberFormat="1" applyFont="1"/>
    <xf numFmtId="9" fontId="86" fillId="0" borderId="0" xfId="28" applyNumberFormat="1" applyFont="1"/>
    <xf numFmtId="0" fontId="0" fillId="11" borderId="0" xfId="0" applyFont="1" applyFill="1"/>
    <xf numFmtId="0" fontId="14" fillId="11" borderId="47" xfId="0" applyFont="1" applyFill="1" applyBorder="1" applyAlignment="1">
      <alignment horizontal="center" vertical="center"/>
    </xf>
    <xf numFmtId="168" fontId="19" fillId="11" borderId="97" xfId="26" applyNumberFormat="1" applyFont="1" applyFill="1" applyBorder="1" applyAlignment="1">
      <alignment horizontal="right" vertical="center"/>
    </xf>
    <xf numFmtId="0" fontId="14" fillId="11" borderId="80" xfId="0" applyFont="1" applyFill="1" applyBorder="1" applyAlignment="1">
      <alignment horizontal="center" vertical="center"/>
    </xf>
    <xf numFmtId="0" fontId="19" fillId="11" borderId="97" xfId="0" applyFont="1" applyFill="1" applyBorder="1" applyAlignment="1">
      <alignment horizontal="right" vertical="center"/>
    </xf>
    <xf numFmtId="0" fontId="38" fillId="11" borderId="97" xfId="0" applyFont="1" applyFill="1" applyBorder="1" applyAlignment="1">
      <alignment horizontal="right" vertical="center"/>
    </xf>
    <xf numFmtId="0" fontId="0" fillId="0" borderId="0" xfId="0" applyFont="1" applyFill="1" applyAlignment="1">
      <alignment horizontal="left"/>
    </xf>
    <xf numFmtId="0" fontId="27" fillId="0" borderId="0" xfId="0" applyFont="1" applyAlignment="1">
      <alignment horizontal="right" vertical="center"/>
    </xf>
    <xf numFmtId="0" fontId="19" fillId="0" borderId="0" xfId="0" applyFont="1" applyAlignment="1">
      <alignment horizontal="center"/>
    </xf>
    <xf numFmtId="0" fontId="19" fillId="11" borderId="0" xfId="0" applyFont="1" applyFill="1" applyBorder="1" applyAlignment="1">
      <alignment horizontal="center"/>
    </xf>
    <xf numFmtId="0" fontId="29" fillId="0" borderId="47" xfId="0" applyFont="1" applyBorder="1" applyAlignment="1">
      <alignment horizontal="center" vertical="center"/>
    </xf>
    <xf numFmtId="0" fontId="17" fillId="0" borderId="44" xfId="0" applyFont="1" applyBorder="1" applyAlignment="1">
      <alignment horizontal="center" vertical="center"/>
    </xf>
    <xf numFmtId="9" fontId="17" fillId="0" borderId="44" xfId="24" applyFont="1" applyBorder="1" applyAlignment="1">
      <alignment horizontal="center" vertical="center"/>
    </xf>
    <xf numFmtId="9" fontId="17" fillId="0" borderId="45" xfId="24" applyFont="1" applyBorder="1" applyAlignment="1">
      <alignment horizontal="center" vertical="center"/>
    </xf>
    <xf numFmtId="0" fontId="27" fillId="0" borderId="97" xfId="0" applyFont="1" applyBorder="1" applyAlignment="1">
      <alignment horizontal="right" vertical="top"/>
    </xf>
    <xf numFmtId="0" fontId="27" fillId="0" borderId="28" xfId="0" applyFont="1" applyBorder="1" applyAlignment="1">
      <alignment horizontal="right" vertical="top"/>
    </xf>
    <xf numFmtId="9" fontId="33" fillId="11" borderId="18" xfId="24" applyFont="1" applyFill="1" applyBorder="1" applyAlignment="1">
      <alignment horizontal="right" vertical="center"/>
    </xf>
    <xf numFmtId="0" fontId="27" fillId="0" borderId="136" xfId="0" applyFont="1" applyBorder="1" applyAlignment="1">
      <alignment horizontal="right" vertical="top"/>
    </xf>
    <xf numFmtId="0" fontId="14" fillId="11" borderId="58" xfId="0" applyFont="1" applyFill="1" applyBorder="1" applyAlignment="1">
      <alignment horizontal="right" vertical="center"/>
    </xf>
    <xf numFmtId="0" fontId="14" fillId="11" borderId="65" xfId="0" applyFont="1" applyFill="1" applyBorder="1" applyAlignment="1">
      <alignment horizontal="right" vertical="center"/>
    </xf>
    <xf numFmtId="9" fontId="14" fillId="11" borderId="64" xfId="24" applyFont="1" applyFill="1" applyBorder="1" applyAlignment="1">
      <alignment horizontal="right" vertical="center"/>
    </xf>
    <xf numFmtId="0" fontId="33" fillId="11" borderId="13" xfId="0" applyFont="1" applyFill="1" applyBorder="1" applyAlignment="1">
      <alignment vertical="center"/>
    </xf>
    <xf numFmtId="9" fontId="14" fillId="11" borderId="56" xfId="24" applyFont="1" applyFill="1" applyBorder="1" applyAlignment="1">
      <alignment horizontal="right" vertical="center"/>
    </xf>
    <xf numFmtId="0" fontId="18" fillId="0" borderId="38" xfId="12" applyFont="1" applyFill="1" applyBorder="1" applyAlignment="1">
      <alignment horizontal="right" vertical="center" wrapText="1"/>
    </xf>
    <xf numFmtId="0" fontId="27" fillId="0" borderId="79" xfId="0" applyFont="1" applyBorder="1" applyAlignment="1">
      <alignment vertical="top"/>
    </xf>
    <xf numFmtId="0" fontId="27" fillId="0" borderId="59" xfId="0" applyFont="1" applyBorder="1" applyAlignment="1">
      <alignment vertical="top"/>
    </xf>
    <xf numFmtId="9" fontId="27" fillId="0" borderId="59" xfId="24" applyFont="1" applyBorder="1" applyAlignment="1">
      <alignment vertical="top"/>
    </xf>
    <xf numFmtId="1" fontId="33" fillId="11" borderId="17" xfId="24" applyNumberFormat="1" applyFont="1" applyFill="1" applyBorder="1" applyAlignment="1">
      <alignment horizontal="center" vertical="center"/>
    </xf>
    <xf numFmtId="0" fontId="16" fillId="11" borderId="64" xfId="0" applyFont="1" applyFill="1" applyBorder="1" applyAlignment="1">
      <alignment horizontal="center" vertical="center"/>
    </xf>
    <xf numFmtId="0" fontId="16" fillId="11" borderId="56" xfId="0" applyFont="1" applyFill="1" applyBorder="1" applyAlignment="1">
      <alignment horizontal="center" vertical="center"/>
    </xf>
    <xf numFmtId="0" fontId="19" fillId="0" borderId="0" xfId="0" applyFont="1"/>
    <xf numFmtId="0" fontId="41" fillId="0" borderId="0" xfId="0" applyFont="1"/>
    <xf numFmtId="0" fontId="49" fillId="0" borderId="0" xfId="0" applyFont="1"/>
    <xf numFmtId="0" fontId="88" fillId="11" borderId="16" xfId="0" applyFont="1" applyFill="1" applyBorder="1" applyAlignment="1">
      <alignment vertical="center"/>
    </xf>
    <xf numFmtId="0" fontId="88" fillId="11" borderId="17" xfId="0" applyFont="1" applyFill="1" applyBorder="1" applyAlignment="1">
      <alignment vertical="center"/>
    </xf>
    <xf numFmtId="0" fontId="19" fillId="0" borderId="0" xfId="0" applyFont="1" applyAlignment="1">
      <alignment horizontal="center" vertical="center"/>
    </xf>
    <xf numFmtId="0" fontId="63" fillId="0" borderId="0" xfId="0" applyFont="1" applyAlignment="1">
      <alignment horizontal="center" vertical="center"/>
    </xf>
    <xf numFmtId="0" fontId="79" fillId="11" borderId="27" xfId="0" applyFont="1" applyFill="1" applyBorder="1" applyAlignment="1">
      <alignment horizontal="center" vertical="center"/>
    </xf>
    <xf numFmtId="0" fontId="91" fillId="11" borderId="28" xfId="0" applyFont="1" applyFill="1" applyBorder="1" applyAlignment="1">
      <alignment horizontal="center" vertical="center"/>
    </xf>
    <xf numFmtId="0" fontId="92" fillId="11" borderId="27" xfId="0" applyFont="1" applyFill="1" applyBorder="1" applyAlignment="1">
      <alignment horizontal="center" vertical="center" wrapText="1" shrinkToFit="1"/>
    </xf>
    <xf numFmtId="0" fontId="93" fillId="11" borderId="27" xfId="0" applyFont="1" applyFill="1" applyBorder="1" applyAlignment="1">
      <alignment horizontal="center" vertical="center" wrapText="1" shrinkToFit="1"/>
    </xf>
    <xf numFmtId="0" fontId="91" fillId="11" borderId="27" xfId="0" applyFont="1" applyFill="1" applyBorder="1" applyAlignment="1">
      <alignment horizontal="center" vertical="center"/>
    </xf>
    <xf numFmtId="0" fontId="49" fillId="0" borderId="0" xfId="0" applyFont="1" applyAlignment="1">
      <alignment horizontal="center" vertical="center"/>
    </xf>
    <xf numFmtId="0" fontId="89" fillId="11" borderId="55" xfId="0" applyFont="1" applyFill="1" applyBorder="1" applyAlignment="1">
      <alignment vertical="center"/>
    </xf>
    <xf numFmtId="0" fontId="89" fillId="11" borderId="55" xfId="0" applyFont="1" applyFill="1" applyBorder="1" applyAlignment="1">
      <alignment horizontal="center" vertical="center"/>
    </xf>
    <xf numFmtId="0" fontId="93" fillId="11" borderId="55" xfId="0" applyFont="1" applyFill="1" applyBorder="1" applyAlignment="1">
      <alignment horizontal="center" vertical="center" wrapText="1" shrinkToFit="1"/>
    </xf>
    <xf numFmtId="0" fontId="20" fillId="11" borderId="55" xfId="0" applyFont="1" applyFill="1" applyBorder="1" applyAlignment="1">
      <alignment horizontal="center" vertical="center"/>
    </xf>
    <xf numFmtId="9" fontId="23" fillId="11" borderId="55" xfId="29" applyFont="1" applyFill="1" applyBorder="1" applyAlignment="1">
      <alignment horizontal="center" vertical="center"/>
    </xf>
    <xf numFmtId="9" fontId="23" fillId="11" borderId="55" xfId="29" applyFont="1" applyFill="1" applyBorder="1" applyAlignment="1">
      <alignment horizontal="center" vertical="center" wrapText="1" shrinkToFit="1"/>
    </xf>
    <xf numFmtId="9" fontId="26" fillId="11" borderId="7" xfId="0" applyNumberFormat="1" applyFont="1" applyFill="1" applyBorder="1" applyAlignment="1">
      <alignment horizontal="center" vertical="center"/>
    </xf>
    <xf numFmtId="9" fontId="23" fillId="11" borderId="57" xfId="29" applyFont="1" applyFill="1" applyBorder="1" applyAlignment="1">
      <alignment horizontal="center" vertical="center"/>
    </xf>
    <xf numFmtId="0" fontId="19" fillId="3" borderId="38" xfId="0" applyFont="1" applyFill="1" applyBorder="1" applyAlignment="1">
      <alignment horizontal="center"/>
    </xf>
    <xf numFmtId="0" fontId="0" fillId="3" borderId="38" xfId="0" applyFill="1" applyBorder="1"/>
    <xf numFmtId="0" fontId="36" fillId="9" borderId="44" xfId="0" applyFont="1" applyFill="1" applyBorder="1" applyAlignment="1" applyProtection="1">
      <alignment horizontal="center" vertical="center"/>
      <protection locked="0"/>
    </xf>
    <xf numFmtId="0" fontId="36" fillId="9" borderId="44" xfId="0" applyFont="1" applyFill="1" applyBorder="1" applyAlignment="1">
      <alignment horizontal="center" vertical="center"/>
    </xf>
    <xf numFmtId="0" fontId="41" fillId="9" borderId="44" xfId="0" applyFont="1" applyFill="1" applyBorder="1" applyAlignment="1">
      <alignment horizontal="center" vertical="center"/>
    </xf>
    <xf numFmtId="0" fontId="33" fillId="11" borderId="44" xfId="0" applyFont="1" applyFill="1" applyBorder="1" applyAlignment="1">
      <alignment horizontal="center" vertical="center"/>
    </xf>
    <xf numFmtId="0" fontId="36" fillId="0" borderId="38" xfId="0" applyFont="1" applyFill="1" applyBorder="1" applyAlignment="1">
      <alignment horizontal="center" vertical="center"/>
    </xf>
    <xf numFmtId="0" fontId="95" fillId="0" borderId="44" xfId="29" applyNumberFormat="1" applyFont="1" applyFill="1" applyBorder="1" applyAlignment="1">
      <alignment horizontal="center" vertical="center"/>
    </xf>
    <xf numFmtId="1" fontId="33" fillId="0" borderId="44" xfId="29" applyNumberFormat="1" applyFont="1" applyFill="1" applyBorder="1" applyAlignment="1">
      <alignment horizontal="center" vertical="center"/>
    </xf>
    <xf numFmtId="0" fontId="36" fillId="9" borderId="38" xfId="0" applyFont="1" applyFill="1" applyBorder="1" applyAlignment="1" applyProtection="1">
      <alignment horizontal="center" vertical="center"/>
      <protection locked="0"/>
    </xf>
    <xf numFmtId="0" fontId="36" fillId="9" borderId="38" xfId="0" applyFont="1" applyFill="1" applyBorder="1" applyAlignment="1">
      <alignment horizontal="center" vertical="center"/>
    </xf>
    <xf numFmtId="0" fontId="41" fillId="9" borderId="38" xfId="0" applyFont="1" applyFill="1" applyBorder="1" applyAlignment="1">
      <alignment horizontal="center" vertical="center"/>
    </xf>
    <xf numFmtId="0" fontId="33" fillId="11" borderId="38" xfId="0" applyFont="1" applyFill="1" applyBorder="1" applyAlignment="1">
      <alignment horizontal="center" vertical="center"/>
    </xf>
    <xf numFmtId="0" fontId="95" fillId="0" borderId="38" xfId="29" applyNumberFormat="1" applyFont="1" applyFill="1" applyBorder="1" applyAlignment="1">
      <alignment horizontal="center" vertical="center"/>
    </xf>
    <xf numFmtId="1" fontId="33" fillId="0" borderId="38" xfId="29" applyNumberFormat="1" applyFont="1" applyFill="1" applyBorder="1" applyAlignment="1">
      <alignment horizontal="center" vertical="center"/>
    </xf>
    <xf numFmtId="0" fontId="36" fillId="9" borderId="27" xfId="0" applyFont="1" applyFill="1" applyBorder="1" applyAlignment="1">
      <alignment horizontal="center" vertical="center"/>
    </xf>
    <xf numFmtId="0" fontId="41" fillId="9" borderId="27" xfId="0" applyFont="1" applyFill="1" applyBorder="1" applyAlignment="1">
      <alignment horizontal="center" vertical="center"/>
    </xf>
    <xf numFmtId="0" fontId="33" fillId="11" borderId="27" xfId="0" applyFont="1" applyFill="1" applyBorder="1" applyAlignment="1">
      <alignment horizontal="center" vertical="center"/>
    </xf>
    <xf numFmtId="0" fontId="36" fillId="0" borderId="27" xfId="0" applyFont="1" applyFill="1" applyBorder="1" applyAlignment="1">
      <alignment horizontal="center" vertical="center"/>
    </xf>
    <xf numFmtId="0" fontId="95" fillId="0" borderId="27" xfId="29" applyNumberFormat="1" applyFont="1" applyFill="1" applyBorder="1" applyAlignment="1">
      <alignment horizontal="center" vertical="center"/>
    </xf>
    <xf numFmtId="1" fontId="33" fillId="0" borderId="27" xfId="29" applyNumberFormat="1" applyFont="1" applyFill="1" applyBorder="1" applyAlignment="1">
      <alignment horizontal="center" vertical="center"/>
    </xf>
    <xf numFmtId="0" fontId="0" fillId="3" borderId="59" xfId="0" applyFill="1" applyBorder="1"/>
    <xf numFmtId="0" fontId="96" fillId="0" borderId="0" xfId="0" applyFont="1" applyBorder="1"/>
    <xf numFmtId="0" fontId="59" fillId="9" borderId="38" xfId="0" applyFont="1" applyFill="1" applyBorder="1" applyAlignment="1">
      <alignment horizontal="center" vertical="center"/>
    </xf>
    <xf numFmtId="1" fontId="19" fillId="0" borderId="0" xfId="0" applyNumberFormat="1" applyFont="1"/>
    <xf numFmtId="0" fontId="36" fillId="9" borderId="59" xfId="0" applyFont="1" applyFill="1" applyBorder="1" applyAlignment="1">
      <alignment horizontal="center" vertical="center"/>
    </xf>
    <xf numFmtId="0" fontId="41" fillId="9" borderId="59" xfId="0" applyFont="1" applyFill="1" applyBorder="1" applyAlignment="1">
      <alignment horizontal="center" vertical="center"/>
    </xf>
    <xf numFmtId="0" fontId="33" fillId="11" borderId="59" xfId="0" applyFont="1" applyFill="1" applyBorder="1" applyAlignment="1">
      <alignment horizontal="center" vertical="center"/>
    </xf>
    <xf numFmtId="0" fontId="14" fillId="0" borderId="0" xfId="0" applyFont="1" applyBorder="1" applyAlignment="1" applyProtection="1">
      <alignment horizontal="center" vertical="center"/>
      <protection locked="0"/>
    </xf>
    <xf numFmtId="0" fontId="19" fillId="0" borderId="0" xfId="0" applyFont="1" applyBorder="1"/>
    <xf numFmtId="0" fontId="5" fillId="0" borderId="0" xfId="0" applyFont="1"/>
    <xf numFmtId="0" fontId="61" fillId="0" borderId="0" xfId="0" applyFont="1"/>
    <xf numFmtId="0" fontId="41" fillId="0" borderId="0" xfId="0" applyFont="1" applyBorder="1"/>
    <xf numFmtId="9" fontId="0" fillId="0" borderId="0" xfId="29" applyFont="1"/>
    <xf numFmtId="0" fontId="30" fillId="8" borderId="0" xfId="0" applyFont="1" applyFill="1" applyBorder="1" applyAlignment="1">
      <alignment horizontal="center" vertical="center" wrapText="1" shrinkToFit="1"/>
    </xf>
    <xf numFmtId="0" fontId="14" fillId="34" borderId="25" xfId="0" applyFont="1" applyFill="1" applyBorder="1" applyAlignment="1">
      <alignment horizontal="center"/>
    </xf>
    <xf numFmtId="0" fontId="14" fillId="34" borderId="159" xfId="0" applyFont="1" applyFill="1" applyBorder="1" applyAlignment="1">
      <alignment horizontal="center"/>
    </xf>
    <xf numFmtId="0" fontId="30" fillId="0" borderId="19" xfId="0" applyFont="1" applyFill="1" applyBorder="1" applyAlignment="1">
      <alignment horizontal="center" vertical="center" wrapText="1" shrinkToFit="1"/>
    </xf>
    <xf numFmtId="0" fontId="14" fillId="34" borderId="26" xfId="0" applyFont="1" applyFill="1" applyBorder="1" applyAlignment="1">
      <alignment horizontal="center"/>
    </xf>
    <xf numFmtId="0" fontId="14" fillId="34" borderId="27" xfId="0" applyFont="1" applyFill="1" applyBorder="1" applyAlignment="1">
      <alignment horizontal="center"/>
    </xf>
    <xf numFmtId="0" fontId="30" fillId="0" borderId="14" xfId="0" applyFont="1" applyFill="1" applyBorder="1" applyAlignment="1">
      <alignment horizontal="center" vertical="center" wrapText="1" shrinkToFit="1"/>
    </xf>
    <xf numFmtId="0" fontId="30" fillId="0" borderId="15" xfId="0" applyFont="1" applyFill="1" applyBorder="1" applyAlignment="1">
      <alignment horizontal="center" vertical="center" wrapText="1" shrinkToFit="1"/>
    </xf>
    <xf numFmtId="0" fontId="30" fillId="34" borderId="80" xfId="0" applyFont="1" applyFill="1" applyBorder="1" applyAlignment="1">
      <alignment horizontal="center" vertical="center" wrapText="1" shrinkToFit="1"/>
    </xf>
    <xf numFmtId="0" fontId="30" fillId="34" borderId="38" xfId="0" applyFont="1" applyFill="1" applyBorder="1" applyAlignment="1">
      <alignment horizontal="center" vertical="center" wrapText="1" shrinkToFit="1"/>
    </xf>
    <xf numFmtId="0" fontId="30" fillId="34" borderId="97" xfId="0" applyFont="1" applyFill="1" applyBorder="1" applyAlignment="1">
      <alignment horizontal="center" vertical="center" wrapText="1" shrinkToFit="1"/>
    </xf>
    <xf numFmtId="0" fontId="19" fillId="0" borderId="26" xfId="0" applyFont="1" applyFill="1" applyBorder="1" applyAlignment="1">
      <alignment horizontal="center"/>
    </xf>
    <xf numFmtId="0" fontId="19" fillId="0" borderId="27" xfId="0" applyFont="1" applyFill="1" applyBorder="1" applyAlignment="1">
      <alignment horizontal="center"/>
    </xf>
    <xf numFmtId="0" fontId="19" fillId="0" borderId="28" xfId="0" applyFont="1" applyFill="1" applyBorder="1" applyAlignment="1">
      <alignment horizontal="center"/>
    </xf>
    <xf numFmtId="0" fontId="19" fillId="34" borderId="22" xfId="0" applyFont="1" applyFill="1" applyBorder="1"/>
    <xf numFmtId="0" fontId="30" fillId="34" borderId="160" xfId="0" applyFont="1" applyFill="1" applyBorder="1" applyAlignment="1">
      <alignment horizontal="center" vertical="center" wrapText="1" shrinkToFit="1"/>
    </xf>
    <xf numFmtId="0" fontId="30" fillId="0" borderId="159" xfId="0" applyFont="1" applyFill="1" applyBorder="1" applyAlignment="1">
      <alignment horizontal="center" vertical="center" wrapText="1" shrinkToFit="1"/>
    </xf>
    <xf numFmtId="0" fontId="30" fillId="0" borderId="135" xfId="0" applyFont="1" applyFill="1" applyBorder="1" applyAlignment="1">
      <alignment horizontal="center" vertical="center" wrapText="1" shrinkToFit="1"/>
    </xf>
    <xf numFmtId="0" fontId="30" fillId="34" borderId="161" xfId="0" applyFont="1" applyFill="1" applyBorder="1" applyAlignment="1">
      <alignment horizontal="center" vertical="center" wrapText="1" shrinkToFit="1"/>
    </xf>
    <xf numFmtId="0" fontId="30" fillId="0" borderId="27" xfId="0" applyFont="1" applyFill="1" applyBorder="1" applyAlignment="1">
      <alignment horizontal="center" vertical="center" wrapText="1" shrinkToFit="1"/>
    </xf>
    <xf numFmtId="0" fontId="30" fillId="0" borderId="28" xfId="0" applyFont="1" applyFill="1" applyBorder="1" applyAlignment="1">
      <alignment horizontal="center" vertical="center" wrapText="1" shrinkToFit="1"/>
    </xf>
    <xf numFmtId="0" fontId="30" fillId="0" borderId="11" xfId="0" applyFont="1" applyFill="1" applyBorder="1" applyAlignment="1">
      <alignment vertical="center" wrapText="1" shrinkToFit="1"/>
    </xf>
    <xf numFmtId="0" fontId="30" fillId="0" borderId="0" xfId="0" applyFont="1" applyFill="1" applyBorder="1" applyAlignment="1">
      <alignment vertical="center" wrapText="1" shrinkToFit="1"/>
    </xf>
    <xf numFmtId="0" fontId="30" fillId="34" borderId="44" xfId="0" applyFont="1" applyFill="1" applyBorder="1" applyAlignment="1">
      <alignment horizontal="center" vertical="center" wrapText="1" shrinkToFit="1"/>
    </xf>
    <xf numFmtId="0" fontId="30" fillId="34" borderId="45" xfId="0" applyFont="1" applyFill="1" applyBorder="1" applyAlignment="1">
      <alignment horizontal="center" vertical="center" wrapText="1" shrinkToFit="1"/>
    </xf>
    <xf numFmtId="0" fontId="30" fillId="11" borderId="27" xfId="0" applyFont="1" applyFill="1" applyBorder="1" applyAlignment="1">
      <alignment horizontal="center" vertical="center" wrapText="1" shrinkToFit="1"/>
    </xf>
    <xf numFmtId="0" fontId="30" fillId="11" borderId="28" xfId="0" applyFont="1" applyFill="1" applyBorder="1" applyAlignment="1">
      <alignment horizontal="center" vertical="center" wrapText="1" shrinkToFit="1"/>
    </xf>
    <xf numFmtId="0" fontId="19" fillId="34" borderId="80" xfId="0" applyFont="1" applyFill="1" applyBorder="1" applyAlignment="1">
      <alignment horizontal="center"/>
    </xf>
    <xf numFmtId="0" fontId="30" fillId="34" borderId="25" xfId="0" applyFont="1" applyFill="1" applyBorder="1" applyAlignment="1">
      <alignment horizontal="center" vertical="center" wrapText="1" shrinkToFit="1"/>
    </xf>
    <xf numFmtId="0" fontId="30" fillId="11" borderId="159" xfId="0" applyFont="1" applyFill="1" applyBorder="1" applyAlignment="1">
      <alignment horizontal="center" vertical="center" wrapText="1" shrinkToFit="1"/>
    </xf>
    <xf numFmtId="0" fontId="30" fillId="11" borderId="135" xfId="0" applyFont="1" applyFill="1" applyBorder="1" applyAlignment="1">
      <alignment horizontal="center" vertical="center" wrapText="1" shrinkToFit="1"/>
    </xf>
    <xf numFmtId="0" fontId="19" fillId="11" borderId="38" xfId="0" applyFont="1" applyFill="1" applyBorder="1" applyAlignment="1">
      <alignment horizontal="center"/>
    </xf>
    <xf numFmtId="0" fontId="19" fillId="11" borderId="97" xfId="0" applyFont="1" applyFill="1" applyBorder="1" applyAlignment="1">
      <alignment horizontal="center"/>
    </xf>
    <xf numFmtId="0" fontId="30" fillId="34" borderId="54" xfId="0" applyFont="1" applyFill="1" applyBorder="1" applyAlignment="1">
      <alignment horizontal="center" vertical="center" wrapText="1" shrinkToFit="1"/>
    </xf>
    <xf numFmtId="0" fontId="19" fillId="11" borderId="27" xfId="0" applyFont="1" applyFill="1" applyBorder="1" applyAlignment="1">
      <alignment horizontal="center"/>
    </xf>
    <xf numFmtId="0" fontId="19" fillId="11" borderId="28" xfId="0" applyFont="1" applyFill="1" applyBorder="1" applyAlignment="1">
      <alignment horizontal="center"/>
    </xf>
    <xf numFmtId="0" fontId="19" fillId="34" borderId="63" xfId="0" applyFont="1" applyFill="1" applyBorder="1" applyAlignment="1">
      <alignment horizontal="center"/>
    </xf>
    <xf numFmtId="0" fontId="19" fillId="34" borderId="64" xfId="0" applyFont="1" applyFill="1" applyBorder="1" applyAlignment="1">
      <alignment horizontal="center"/>
    </xf>
    <xf numFmtId="0" fontId="19" fillId="34" borderId="65" xfId="0" applyFont="1" applyFill="1" applyBorder="1" applyAlignment="1">
      <alignment horizontal="center"/>
    </xf>
    <xf numFmtId="0" fontId="19" fillId="11" borderId="54" xfId="0" applyFont="1" applyFill="1" applyBorder="1" applyAlignment="1">
      <alignment horizontal="center"/>
    </xf>
    <xf numFmtId="0" fontId="19" fillId="11" borderId="23" xfId="0" applyFont="1" applyFill="1" applyBorder="1" applyAlignment="1">
      <alignment horizontal="center"/>
    </xf>
    <xf numFmtId="0" fontId="49" fillId="11" borderId="0" xfId="0" applyFont="1" applyFill="1"/>
    <xf numFmtId="0" fontId="54" fillId="11" borderId="38" xfId="0" applyFont="1" applyFill="1" applyBorder="1" applyAlignment="1">
      <alignment horizontal="center" vertical="center" wrapText="1" shrinkToFit="1"/>
    </xf>
    <xf numFmtId="0" fontId="54" fillId="11" borderId="38" xfId="0" applyFont="1" applyFill="1" applyBorder="1" applyAlignment="1">
      <alignment horizontal="center" vertical="center"/>
    </xf>
    <xf numFmtId="0" fontId="54" fillId="11" borderId="97" xfId="0" applyFont="1" applyFill="1" applyBorder="1" applyAlignment="1">
      <alignment horizontal="center" vertical="center"/>
    </xf>
    <xf numFmtId="1" fontId="39" fillId="11" borderId="44" xfId="0" applyNumberFormat="1" applyFont="1" applyFill="1" applyBorder="1" applyAlignment="1">
      <alignment horizontal="center"/>
    </xf>
    <xf numFmtId="0" fontId="39" fillId="11" borderId="44" xfId="0" applyFont="1" applyFill="1" applyBorder="1" applyAlignment="1">
      <alignment horizontal="center"/>
    </xf>
    <xf numFmtId="0" fontId="36" fillId="11" borderId="44" xfId="29" applyNumberFormat="1" applyFont="1" applyFill="1" applyBorder="1" applyAlignment="1">
      <alignment horizontal="center" vertical="center"/>
    </xf>
    <xf numFmtId="0" fontId="36" fillId="11" borderId="38" xfId="29" applyNumberFormat="1" applyFont="1" applyFill="1" applyBorder="1" applyAlignment="1">
      <alignment horizontal="center" vertical="center"/>
    </xf>
    <xf numFmtId="1" fontId="36" fillId="9" borderId="38" xfId="0" applyNumberFormat="1" applyFont="1" applyFill="1" applyBorder="1" applyAlignment="1">
      <alignment horizontal="center" vertical="center"/>
    </xf>
    <xf numFmtId="9" fontId="50" fillId="3" borderId="65" xfId="29" applyNumberFormat="1" applyFont="1" applyFill="1" applyBorder="1" applyAlignment="1">
      <alignment horizontal="center" vertical="center"/>
    </xf>
    <xf numFmtId="0" fontId="0" fillId="11" borderId="0" xfId="0" applyFill="1"/>
    <xf numFmtId="0" fontId="19" fillId="11" borderId="0" xfId="0" applyFont="1" applyFill="1"/>
    <xf numFmtId="0" fontId="33" fillId="0" borderId="0" xfId="0" applyFont="1"/>
    <xf numFmtId="0" fontId="49" fillId="11" borderId="13" xfId="0" applyFont="1" applyFill="1" applyBorder="1" applyAlignment="1">
      <alignment vertical="center"/>
    </xf>
    <xf numFmtId="0" fontId="49" fillId="11" borderId="15" xfId="0" applyFont="1" applyFill="1" applyBorder="1" applyAlignment="1">
      <alignment vertical="center"/>
    </xf>
    <xf numFmtId="0" fontId="49" fillId="11" borderId="14" xfId="0" applyFont="1" applyFill="1" applyBorder="1" applyAlignment="1">
      <alignment vertical="center"/>
    </xf>
    <xf numFmtId="0" fontId="54" fillId="11" borderId="22" xfId="0" applyFont="1" applyFill="1" applyBorder="1" applyAlignment="1">
      <alignment horizontal="center" vertical="center" wrapText="1" readingOrder="2"/>
    </xf>
    <xf numFmtId="0" fontId="54" fillId="11" borderId="20" xfId="0" applyFont="1" applyFill="1" applyBorder="1" applyAlignment="1">
      <alignment horizontal="center" vertical="center" wrapText="1" readingOrder="2"/>
    </xf>
    <xf numFmtId="0" fontId="54" fillId="11" borderId="0" xfId="0" applyFont="1" applyFill="1" applyBorder="1" applyAlignment="1">
      <alignment horizontal="center" vertical="center" wrapText="1" readingOrder="2"/>
    </xf>
    <xf numFmtId="0" fontId="54" fillId="11" borderId="19" xfId="0" applyFont="1" applyFill="1" applyBorder="1" applyAlignment="1">
      <alignment horizontal="center" vertical="center" wrapText="1" readingOrder="2"/>
    </xf>
    <xf numFmtId="0" fontId="46" fillId="11" borderId="25" xfId="0" applyFont="1" applyFill="1" applyBorder="1" applyAlignment="1">
      <alignment horizontal="center" vertical="center"/>
    </xf>
    <xf numFmtId="0" fontId="46" fillId="11" borderId="159" xfId="0" applyFont="1" applyFill="1" applyBorder="1" applyAlignment="1">
      <alignment horizontal="center" vertical="center"/>
    </xf>
    <xf numFmtId="0" fontId="46" fillId="11" borderId="135" xfId="0" applyFont="1" applyFill="1" applyBorder="1" applyAlignment="1">
      <alignment horizontal="center" vertical="center"/>
    </xf>
    <xf numFmtId="0" fontId="19" fillId="0" borderId="160" xfId="0" applyFont="1" applyFill="1" applyBorder="1" applyAlignment="1">
      <alignment horizontal="center" vertical="center" wrapText="1" readingOrder="2"/>
    </xf>
    <xf numFmtId="0" fontId="100" fillId="9" borderId="163" xfId="0" applyFont="1" applyFill="1" applyBorder="1" applyAlignment="1">
      <alignment horizontal="right" vertical="center" wrapText="1" readingOrder="2"/>
    </xf>
    <xf numFmtId="0" fontId="19" fillId="9" borderId="143" xfId="0" applyFont="1" applyFill="1" applyBorder="1" applyAlignment="1">
      <alignment horizontal="center" vertical="center" wrapText="1" readingOrder="2"/>
    </xf>
    <xf numFmtId="0" fontId="19" fillId="9" borderId="38" xfId="0" applyFont="1" applyFill="1" applyBorder="1" applyAlignment="1">
      <alignment horizontal="center" vertical="center" wrapText="1" readingOrder="2"/>
    </xf>
    <xf numFmtId="0" fontId="19" fillId="11" borderId="38" xfId="0" applyFont="1" applyFill="1" applyBorder="1" applyAlignment="1">
      <alignment horizontal="center" vertical="center" wrapText="1" readingOrder="2"/>
    </xf>
    <xf numFmtId="9" fontId="19" fillId="9" borderId="38" xfId="0" applyNumberFormat="1" applyFont="1" applyFill="1" applyBorder="1" applyAlignment="1">
      <alignment horizontal="center" vertical="center" wrapText="1" readingOrder="2"/>
    </xf>
    <xf numFmtId="9" fontId="19" fillId="11" borderId="38" xfId="0" applyNumberFormat="1" applyFont="1" applyFill="1" applyBorder="1" applyAlignment="1">
      <alignment horizontal="center" vertical="center" wrapText="1" readingOrder="2"/>
    </xf>
    <xf numFmtId="9" fontId="19" fillId="0" borderId="38" xfId="0" applyNumberFormat="1" applyFont="1" applyFill="1" applyBorder="1" applyAlignment="1">
      <alignment horizontal="center" vertical="center" wrapText="1" readingOrder="2"/>
    </xf>
    <xf numFmtId="9" fontId="19" fillId="11" borderId="142" xfId="0" applyNumberFormat="1" applyFont="1" applyFill="1" applyBorder="1" applyAlignment="1">
      <alignment horizontal="center" vertical="center" wrapText="1" readingOrder="2"/>
    </xf>
    <xf numFmtId="1" fontId="46" fillId="11" borderId="38" xfId="0" applyNumberFormat="1" applyFont="1" applyFill="1" applyBorder="1" applyAlignment="1">
      <alignment horizontal="center" vertical="center"/>
    </xf>
    <xf numFmtId="0" fontId="46" fillId="11" borderId="97" xfId="0" applyFont="1" applyFill="1" applyBorder="1" applyAlignment="1">
      <alignment horizontal="center" vertical="center"/>
    </xf>
    <xf numFmtId="1" fontId="46" fillId="11" borderId="27" xfId="0" applyNumberFormat="1" applyFont="1" applyFill="1" applyBorder="1" applyAlignment="1">
      <alignment horizontal="center" vertical="center"/>
    </xf>
    <xf numFmtId="1" fontId="76" fillId="9" borderId="27" xfId="0" applyNumberFormat="1" applyFont="1" applyFill="1" applyBorder="1" applyAlignment="1">
      <alignment horizontal="center" vertical="center"/>
    </xf>
    <xf numFmtId="0" fontId="46" fillId="11" borderId="28" xfId="0" applyFont="1" applyFill="1" applyBorder="1" applyAlignment="1">
      <alignment horizontal="center" vertical="center"/>
    </xf>
    <xf numFmtId="0" fontId="19" fillId="11" borderId="0" xfId="0" applyFont="1" applyFill="1" applyAlignment="1">
      <alignment horizontal="center" vertical="center"/>
    </xf>
    <xf numFmtId="0" fontId="19" fillId="31" borderId="16" xfId="0" applyFont="1" applyFill="1" applyBorder="1" applyAlignment="1">
      <alignment horizontal="center" vertical="center"/>
    </xf>
    <xf numFmtId="0" fontId="19" fillId="31" borderId="17" xfId="0" applyFont="1" applyFill="1" applyBorder="1" applyAlignment="1">
      <alignment horizontal="center" vertical="center"/>
    </xf>
    <xf numFmtId="0" fontId="101" fillId="9" borderId="163" xfId="0" applyFont="1" applyFill="1" applyBorder="1" applyAlignment="1">
      <alignment horizontal="center" vertical="center" wrapText="1" readingOrder="2"/>
    </xf>
    <xf numFmtId="0" fontId="19" fillId="11" borderId="44" xfId="0" applyFont="1" applyFill="1" applyBorder="1" applyAlignment="1">
      <alignment horizontal="center" vertical="center"/>
    </xf>
    <xf numFmtId="0" fontId="19" fillId="11" borderId="45" xfId="0" applyFont="1" applyFill="1" applyBorder="1" applyAlignment="1">
      <alignment horizontal="center" vertical="center"/>
    </xf>
    <xf numFmtId="0" fontId="19" fillId="11" borderId="80" xfId="0" applyFont="1" applyFill="1" applyBorder="1" applyAlignment="1">
      <alignment vertical="center"/>
    </xf>
    <xf numFmtId="0" fontId="19" fillId="11" borderId="38" xfId="0" applyFont="1" applyFill="1" applyBorder="1" applyAlignment="1">
      <alignment horizontal="center" vertical="center"/>
    </xf>
    <xf numFmtId="9" fontId="19" fillId="11" borderId="97" xfId="0" applyNumberFormat="1" applyFont="1" applyFill="1" applyBorder="1" applyAlignment="1">
      <alignment horizontal="center" vertical="center"/>
    </xf>
    <xf numFmtId="0" fontId="41" fillId="11" borderId="80" xfId="0" applyFont="1" applyFill="1" applyBorder="1" applyAlignment="1">
      <alignment vertical="center"/>
    </xf>
    <xf numFmtId="0" fontId="19" fillId="0" borderId="164" xfId="0" applyFont="1" applyFill="1" applyBorder="1" applyAlignment="1">
      <alignment horizontal="center" vertical="center" wrapText="1" readingOrder="2"/>
    </xf>
    <xf numFmtId="0" fontId="40" fillId="9" borderId="72" xfId="0" applyFont="1" applyFill="1" applyBorder="1" applyAlignment="1">
      <alignment horizontal="center" vertical="center" wrapText="1" readingOrder="2"/>
    </xf>
    <xf numFmtId="0" fontId="19" fillId="9" borderId="141" xfId="0" applyFont="1" applyFill="1" applyBorder="1" applyAlignment="1">
      <alignment horizontal="center" vertical="center" wrapText="1" readingOrder="2"/>
    </xf>
    <xf numFmtId="0" fontId="19" fillId="9" borderId="59" xfId="0" applyFont="1" applyFill="1" applyBorder="1" applyAlignment="1">
      <alignment horizontal="center" vertical="center" wrapText="1" readingOrder="2"/>
    </xf>
    <xf numFmtId="0" fontId="19" fillId="11" borderId="59" xfId="0" applyFont="1" applyFill="1" applyBorder="1" applyAlignment="1">
      <alignment horizontal="center" vertical="center" wrapText="1" readingOrder="2"/>
    </xf>
    <xf numFmtId="9" fontId="19" fillId="11" borderId="140" xfId="0" applyNumberFormat="1" applyFont="1" applyFill="1" applyBorder="1" applyAlignment="1">
      <alignment horizontal="center" vertical="center" wrapText="1" readingOrder="2"/>
    </xf>
    <xf numFmtId="0" fontId="19" fillId="0" borderId="0" xfId="0" applyFont="1" applyFill="1" applyBorder="1" applyAlignment="1">
      <alignment horizontal="center" vertical="center"/>
    </xf>
    <xf numFmtId="0" fontId="0" fillId="0" borderId="0" xfId="32" applyFont="1" applyFill="1" applyBorder="1" applyAlignment="1">
      <alignment vertical="center" wrapText="1"/>
    </xf>
    <xf numFmtId="0" fontId="33" fillId="0" borderId="0" xfId="0" applyFont="1" applyFill="1" applyBorder="1" applyAlignment="1">
      <alignment horizontal="center" vertical="center" wrapText="1"/>
    </xf>
    <xf numFmtId="0" fontId="19" fillId="0" borderId="80" xfId="0" applyFont="1" applyBorder="1" applyAlignment="1">
      <alignment horizontal="center" vertical="center"/>
    </xf>
    <xf numFmtId="0" fontId="19" fillId="0" borderId="38" xfId="0" applyFont="1" applyBorder="1" applyAlignment="1">
      <alignment horizontal="center" vertical="center"/>
    </xf>
    <xf numFmtId="0" fontId="19" fillId="0" borderId="97" xfId="0" applyFont="1" applyBorder="1" applyAlignment="1">
      <alignment horizontal="center" vertical="center"/>
    </xf>
    <xf numFmtId="0" fontId="19" fillId="35" borderId="161" xfId="0" applyFont="1" applyFill="1" applyBorder="1" applyAlignment="1">
      <alignment vertical="center"/>
    </xf>
    <xf numFmtId="0" fontId="19" fillId="35" borderId="165" xfId="0" applyFont="1" applyFill="1" applyBorder="1" applyAlignment="1">
      <alignment vertical="center"/>
    </xf>
    <xf numFmtId="0" fontId="19" fillId="35" borderId="166" xfId="0" applyFont="1" applyFill="1" applyBorder="1" applyAlignment="1">
      <alignment vertical="center"/>
    </xf>
    <xf numFmtId="0" fontId="0" fillId="9" borderId="167" xfId="0" applyFill="1" applyBorder="1"/>
    <xf numFmtId="0" fontId="29" fillId="9" borderId="168" xfId="27" applyFont="1" applyFill="1" applyBorder="1" applyAlignment="1">
      <alignment horizontal="center" vertical="center" wrapText="1"/>
    </xf>
    <xf numFmtId="0" fontId="29" fillId="9" borderId="168" xfId="27" applyFont="1" applyFill="1" applyBorder="1" applyAlignment="1">
      <alignment horizontal="left" vertical="center" wrapText="1"/>
    </xf>
    <xf numFmtId="3" fontId="29" fillId="9" borderId="169" xfId="27" applyNumberFormat="1" applyFont="1" applyFill="1" applyBorder="1" applyAlignment="1">
      <alignment horizontal="center" vertical="center" wrapText="1"/>
    </xf>
    <xf numFmtId="0" fontId="14" fillId="3" borderId="170" xfId="27" applyFont="1" applyFill="1" applyBorder="1" applyAlignment="1">
      <alignment horizontal="center"/>
    </xf>
    <xf numFmtId="0" fontId="14" fillId="3" borderId="171" xfId="27" applyFont="1" applyFill="1" applyBorder="1" applyAlignment="1">
      <alignment horizontal="center"/>
    </xf>
    <xf numFmtId="0" fontId="14" fillId="0" borderId="170" xfId="27" applyFont="1" applyBorder="1" applyAlignment="1">
      <alignment horizontal="center"/>
    </xf>
    <xf numFmtId="0" fontId="14" fillId="0" borderId="171" xfId="27" applyFont="1" applyBorder="1" applyAlignment="1">
      <alignment horizontal="center" vertical="center"/>
    </xf>
    <xf numFmtId="0" fontId="14" fillId="3" borderId="171" xfId="27" applyFont="1" applyFill="1" applyBorder="1" applyAlignment="1">
      <alignment horizontal="center" vertical="center"/>
    </xf>
    <xf numFmtId="0" fontId="0" fillId="3" borderId="171" xfId="0" applyFill="1" applyBorder="1"/>
    <xf numFmtId="0" fontId="0" fillId="0" borderId="171" xfId="0" applyBorder="1"/>
    <xf numFmtId="0" fontId="0" fillId="11" borderId="171" xfId="0" applyFill="1" applyBorder="1"/>
    <xf numFmtId="0" fontId="14" fillId="0" borderId="172" xfId="27" applyFont="1" applyBorder="1" applyAlignment="1">
      <alignment horizontal="center"/>
    </xf>
    <xf numFmtId="0" fontId="14" fillId="3" borderId="173" xfId="27" applyFont="1" applyFill="1" applyBorder="1" applyAlignment="1">
      <alignment horizontal="right"/>
    </xf>
    <xf numFmtId="0" fontId="14" fillId="3" borderId="173" xfId="0" applyFont="1" applyFill="1" applyBorder="1"/>
    <xf numFmtId="0" fontId="0" fillId="3" borderId="174" xfId="0" applyFill="1" applyBorder="1"/>
    <xf numFmtId="0" fontId="88" fillId="34" borderId="18" xfId="0" applyFont="1" applyFill="1" applyBorder="1" applyAlignment="1">
      <alignment horizontal="center" vertical="center"/>
    </xf>
    <xf numFmtId="0" fontId="19" fillId="0" borderId="79" xfId="0" applyFont="1" applyBorder="1" applyAlignment="1">
      <alignment horizontal="center" vertical="center"/>
    </xf>
    <xf numFmtId="0" fontId="19" fillId="0" borderId="59" xfId="0" applyFont="1" applyBorder="1" applyAlignment="1">
      <alignment horizontal="center" vertical="center"/>
    </xf>
    <xf numFmtId="0" fontId="19" fillId="0" borderId="136" xfId="0" applyFont="1" applyBorder="1" applyAlignment="1">
      <alignment horizontal="center" vertical="center"/>
    </xf>
    <xf numFmtId="0" fontId="36" fillId="0" borderId="44" xfId="0" applyFont="1" applyFill="1" applyBorder="1" applyAlignment="1">
      <alignment horizontal="center" vertical="center"/>
    </xf>
    <xf numFmtId="0" fontId="14" fillId="0" borderId="0" xfId="0" applyFont="1"/>
    <xf numFmtId="0" fontId="33" fillId="0" borderId="38" xfId="0" applyFont="1" applyBorder="1" applyAlignment="1">
      <alignment horizontal="right" vertical="center"/>
    </xf>
    <xf numFmtId="0" fontId="16" fillId="0" borderId="38" xfId="0" applyFont="1" applyBorder="1" applyAlignment="1">
      <alignment horizontal="center" vertical="center"/>
    </xf>
    <xf numFmtId="0" fontId="16" fillId="0" borderId="142" xfId="0" applyFont="1" applyBorder="1" applyAlignment="1">
      <alignment horizontal="center" vertical="center"/>
    </xf>
    <xf numFmtId="0" fontId="102" fillId="0" borderId="38" xfId="0" applyFont="1" applyBorder="1" applyAlignment="1">
      <alignment horizontal="center"/>
    </xf>
    <xf numFmtId="0" fontId="4" fillId="0" borderId="0" xfId="0" applyFont="1" applyFill="1" applyBorder="1"/>
    <xf numFmtId="1" fontId="33" fillId="0" borderId="142" xfId="0" applyNumberFormat="1" applyFont="1" applyBorder="1" applyAlignment="1">
      <alignment horizontal="center" vertical="center"/>
    </xf>
    <xf numFmtId="1" fontId="33" fillId="0" borderId="38" xfId="0" applyNumberFormat="1" applyFont="1" applyBorder="1" applyAlignment="1">
      <alignment horizontal="center" vertical="center"/>
    </xf>
    <xf numFmtId="1" fontId="33" fillId="0" borderId="140" xfId="0" applyNumberFormat="1" applyFont="1" applyBorder="1" applyAlignment="1">
      <alignment horizontal="center" vertical="center"/>
    </xf>
    <xf numFmtId="9" fontId="17" fillId="0" borderId="38" xfId="0" applyNumberFormat="1" applyFont="1" applyBorder="1" applyAlignment="1">
      <alignment horizontal="center" vertical="top"/>
    </xf>
    <xf numFmtId="0" fontId="17" fillId="0" borderId="38" xfId="0" applyFont="1" applyBorder="1" applyAlignment="1">
      <alignment horizontal="center"/>
    </xf>
    <xf numFmtId="0" fontId="35" fillId="11" borderId="142" xfId="0" applyFont="1" applyFill="1" applyBorder="1" applyAlignment="1">
      <alignment horizontal="center" vertical="center"/>
    </xf>
    <xf numFmtId="0" fontId="16" fillId="39" borderId="38" xfId="0" applyFont="1" applyFill="1" applyBorder="1" applyAlignment="1">
      <alignment horizontal="right" vertical="center"/>
    </xf>
    <xf numFmtId="0" fontId="17" fillId="0" borderId="38" xfId="0" applyFont="1" applyBorder="1" applyAlignment="1">
      <alignment horizontal="right" vertical="top"/>
    </xf>
    <xf numFmtId="9" fontId="74" fillId="0" borderId="0" xfId="29" applyFont="1" applyAlignment="1">
      <alignment vertical="center"/>
    </xf>
    <xf numFmtId="9" fontId="19" fillId="0" borderId="0" xfId="29" applyFont="1"/>
    <xf numFmtId="9" fontId="19" fillId="0" borderId="0" xfId="29" applyNumberFormat="1" applyFont="1" applyAlignment="1">
      <alignment horizontal="center" vertical="center"/>
    </xf>
    <xf numFmtId="0" fontId="89" fillId="11" borderId="59" xfId="0" applyFont="1" applyFill="1" applyBorder="1" applyAlignment="1">
      <alignment vertical="center"/>
    </xf>
    <xf numFmtId="0" fontId="93" fillId="9" borderId="59" xfId="0" quotePrefix="1" applyFont="1" applyFill="1" applyBorder="1" applyAlignment="1">
      <alignment horizontal="center" vertical="center" shrinkToFit="1"/>
    </xf>
    <xf numFmtId="0" fontId="93" fillId="11" borderId="59" xfId="0" quotePrefix="1" applyFont="1" applyFill="1" applyBorder="1" applyAlignment="1">
      <alignment horizontal="center" vertical="center" wrapText="1" shrinkToFit="1"/>
    </xf>
    <xf numFmtId="0" fontId="91" fillId="11" borderId="59" xfId="0" applyFont="1" applyFill="1" applyBorder="1" applyAlignment="1">
      <alignment horizontal="center" vertical="center"/>
    </xf>
    <xf numFmtId="0" fontId="91" fillId="11" borderId="136" xfId="0" applyFont="1" applyFill="1" applyBorder="1" applyAlignment="1">
      <alignment horizontal="center" vertical="center"/>
    </xf>
    <xf numFmtId="0" fontId="94" fillId="40" borderId="59" xfId="0" quotePrefix="1" applyFont="1" applyFill="1" applyBorder="1" applyAlignment="1">
      <alignment horizontal="center" vertical="center" shrinkToFit="1"/>
    </xf>
    <xf numFmtId="0" fontId="14" fillId="0" borderId="0" xfId="0" applyFont="1"/>
    <xf numFmtId="0" fontId="19" fillId="0" borderId="0" xfId="0" applyFont="1" applyAlignment="1">
      <alignment horizontal="center"/>
    </xf>
    <xf numFmtId="0" fontId="14" fillId="11" borderId="0" xfId="0" applyFont="1" applyFill="1" applyAlignment="1">
      <alignment horizontal="center" vertical="center"/>
    </xf>
    <xf numFmtId="1" fontId="36" fillId="40" borderId="44" xfId="0" applyNumberFormat="1" applyFont="1" applyFill="1" applyBorder="1" applyAlignment="1">
      <alignment horizontal="center" vertical="center"/>
    </xf>
    <xf numFmtId="1" fontId="36" fillId="9" borderId="44" xfId="0" applyNumberFormat="1" applyFont="1" applyFill="1" applyBorder="1" applyAlignment="1">
      <alignment horizontal="center" vertical="center"/>
    </xf>
    <xf numFmtId="1" fontId="36" fillId="40" borderId="38" xfId="0" applyNumberFormat="1" applyFont="1" applyFill="1" applyBorder="1" applyAlignment="1">
      <alignment horizontal="center" vertical="center"/>
    </xf>
    <xf numFmtId="1" fontId="36" fillId="9" borderId="27" xfId="0" applyNumberFormat="1" applyFont="1" applyFill="1" applyBorder="1" applyAlignment="1">
      <alignment horizontal="center" vertical="center"/>
    </xf>
    <xf numFmtId="1" fontId="76" fillId="9" borderId="38" xfId="0" applyNumberFormat="1" applyFont="1" applyFill="1" applyBorder="1" applyAlignment="1">
      <alignment horizontal="center" vertical="center"/>
    </xf>
    <xf numFmtId="0" fontId="19" fillId="0" borderId="26" xfId="0" applyFont="1" applyBorder="1" applyAlignment="1">
      <alignment horizontal="center" vertical="center"/>
    </xf>
    <xf numFmtId="0" fontId="61" fillId="34" borderId="24" xfId="0" applyFont="1" applyFill="1" applyBorder="1" applyAlignment="1"/>
    <xf numFmtId="0" fontId="96" fillId="0" borderId="7" xfId="0" applyFont="1" applyFill="1" applyBorder="1" applyAlignment="1">
      <alignment horizontal="center"/>
    </xf>
    <xf numFmtId="0" fontId="36" fillId="9" borderId="59" xfId="0" applyFont="1" applyFill="1" applyBorder="1" applyAlignment="1" applyProtection="1">
      <alignment horizontal="center" vertical="center"/>
      <protection locked="0"/>
    </xf>
    <xf numFmtId="0" fontId="36" fillId="0" borderId="59" xfId="0" applyFont="1" applyFill="1" applyBorder="1" applyAlignment="1">
      <alignment horizontal="center" vertical="center"/>
    </xf>
    <xf numFmtId="0" fontId="95" fillId="0" borderId="59" xfId="29" applyNumberFormat="1" applyFont="1" applyFill="1" applyBorder="1" applyAlignment="1">
      <alignment horizontal="center" vertical="center"/>
    </xf>
    <xf numFmtId="1" fontId="33" fillId="0" borderId="59" xfId="29" applyNumberFormat="1" applyFont="1" applyFill="1" applyBorder="1" applyAlignment="1">
      <alignment horizontal="center" vertical="center"/>
    </xf>
    <xf numFmtId="0" fontId="59" fillId="9" borderId="27" xfId="0" applyFont="1" applyFill="1" applyBorder="1" applyAlignment="1">
      <alignment horizontal="center" vertical="center"/>
    </xf>
    <xf numFmtId="0" fontId="36" fillId="0" borderId="38" xfId="0" applyFont="1" applyBorder="1" applyAlignment="1">
      <alignment horizontal="center" vertical="center"/>
    </xf>
    <xf numFmtId="0" fontId="36" fillId="0" borderId="38" xfId="0" applyFont="1" applyBorder="1" applyAlignment="1">
      <alignment horizontal="center" vertical="center" readingOrder="2"/>
    </xf>
    <xf numFmtId="0" fontId="19" fillId="0" borderId="0" xfId="0" applyFont="1" applyBorder="1" applyAlignment="1">
      <alignment horizontal="center" vertical="center"/>
    </xf>
    <xf numFmtId="0" fontId="19" fillId="0" borderId="25" xfId="0" applyFont="1" applyFill="1" applyBorder="1" applyAlignment="1">
      <alignment horizontal="center"/>
    </xf>
    <xf numFmtId="0" fontId="19" fillId="0" borderId="159" xfId="0" applyFont="1" applyFill="1" applyBorder="1" applyAlignment="1">
      <alignment horizontal="center"/>
    </xf>
    <xf numFmtId="0" fontId="19" fillId="0" borderId="159" xfId="0" applyFont="1" applyBorder="1" applyAlignment="1">
      <alignment horizontal="center" vertical="center"/>
    </xf>
    <xf numFmtId="0" fontId="19" fillId="0" borderId="135" xfId="0" applyFont="1" applyFill="1" applyBorder="1" applyAlignment="1">
      <alignment horizontal="center"/>
    </xf>
    <xf numFmtId="166" fontId="17" fillId="8" borderId="27" xfId="29" applyNumberFormat="1" applyFont="1" applyFill="1" applyBorder="1" applyAlignment="1">
      <alignment horizontal="center" vertical="center" wrapText="1"/>
    </xf>
    <xf numFmtId="9" fontId="14" fillId="11" borderId="0" xfId="29" applyFont="1" applyFill="1" applyBorder="1" applyAlignment="1">
      <alignment horizontal="center" vertical="center"/>
    </xf>
    <xf numFmtId="9" fontId="14" fillId="11" borderId="19" xfId="29" applyFont="1" applyFill="1" applyBorder="1" applyAlignment="1">
      <alignment horizontal="center" vertical="center"/>
    </xf>
    <xf numFmtId="9" fontId="37" fillId="11" borderId="0" xfId="29" applyFont="1" applyFill="1" applyBorder="1" applyAlignment="1">
      <alignment horizontal="center" vertical="center"/>
    </xf>
    <xf numFmtId="9" fontId="33" fillId="11" borderId="19" xfId="29" applyFont="1" applyFill="1" applyBorder="1" applyAlignment="1">
      <alignment horizontal="center" vertical="center"/>
    </xf>
    <xf numFmtId="9" fontId="33" fillId="11" borderId="0" xfId="29" applyFont="1" applyFill="1" applyBorder="1" applyAlignment="1">
      <alignment horizontal="center" vertical="center"/>
    </xf>
    <xf numFmtId="166" fontId="37" fillId="8" borderId="14" xfId="29" applyNumberFormat="1" applyFont="1" applyFill="1" applyBorder="1" applyAlignment="1">
      <alignment horizontal="center" vertical="center"/>
    </xf>
    <xf numFmtId="9" fontId="37" fillId="8" borderId="15" xfId="29" applyFont="1" applyFill="1" applyBorder="1" applyAlignment="1">
      <alignment horizontal="center" vertical="center"/>
    </xf>
    <xf numFmtId="9" fontId="14" fillId="11" borderId="0" xfId="29" applyFont="1" applyFill="1" applyBorder="1" applyAlignment="1">
      <alignment horizontal="center"/>
    </xf>
    <xf numFmtId="0" fontId="14" fillId="11" borderId="19" xfId="29" applyNumberFormat="1" applyFont="1" applyFill="1" applyBorder="1" applyAlignment="1">
      <alignment horizontal="center" vertical="center"/>
    </xf>
    <xf numFmtId="9" fontId="14" fillId="8" borderId="17" xfId="29" applyFont="1" applyFill="1" applyBorder="1" applyAlignment="1">
      <alignment horizontal="center" vertical="center"/>
    </xf>
    <xf numFmtId="0" fontId="36" fillId="0" borderId="38" xfId="0" applyFont="1" applyBorder="1" applyAlignment="1">
      <alignment horizontal="center"/>
    </xf>
    <xf numFmtId="0" fontId="30" fillId="11" borderId="38" xfId="0" applyFont="1" applyFill="1" applyBorder="1" applyAlignment="1">
      <alignment horizontal="center" vertical="center" wrapText="1" shrinkToFit="1"/>
    </xf>
    <xf numFmtId="1" fontId="39" fillId="11" borderId="38" xfId="0" applyNumberFormat="1" applyFont="1" applyFill="1" applyBorder="1" applyAlignment="1">
      <alignment horizontal="center"/>
    </xf>
    <xf numFmtId="0" fontId="39" fillId="11" borderId="38" xfId="0" applyFont="1" applyFill="1" applyBorder="1" applyAlignment="1">
      <alignment horizontal="center"/>
    </xf>
    <xf numFmtId="0" fontId="36" fillId="11" borderId="47" xfId="0" applyFont="1" applyFill="1" applyBorder="1" applyAlignment="1" applyProtection="1">
      <alignment horizontal="right" vertical="center"/>
      <protection locked="0"/>
    </xf>
    <xf numFmtId="0" fontId="36" fillId="11" borderId="80" xfId="0" applyFont="1" applyFill="1" applyBorder="1" applyAlignment="1" applyProtection="1">
      <alignment horizontal="right" vertical="center"/>
      <protection locked="0"/>
    </xf>
    <xf numFmtId="0" fontId="36" fillId="11" borderId="26" xfId="0" applyFont="1" applyFill="1" applyBorder="1" applyAlignment="1" applyProtection="1">
      <alignment horizontal="right" vertical="center"/>
      <protection locked="0"/>
    </xf>
    <xf numFmtId="1" fontId="39" fillId="11" borderId="27" xfId="0" applyNumberFormat="1" applyFont="1" applyFill="1" applyBorder="1" applyAlignment="1">
      <alignment horizontal="center"/>
    </xf>
    <xf numFmtId="0" fontId="39" fillId="11" borderId="27" xfId="0" applyFont="1" applyFill="1" applyBorder="1" applyAlignment="1">
      <alignment horizontal="center"/>
    </xf>
    <xf numFmtId="0" fontId="36" fillId="11" borderId="27" xfId="29" applyNumberFormat="1" applyFont="1" applyFill="1" applyBorder="1" applyAlignment="1">
      <alignment horizontal="center" vertical="center"/>
    </xf>
    <xf numFmtId="0" fontId="27" fillId="11" borderId="0" xfId="0" applyFont="1" applyFill="1" applyBorder="1" applyAlignment="1">
      <alignment horizontal="center" vertical="center"/>
    </xf>
    <xf numFmtId="0" fontId="27" fillId="11" borderId="0" xfId="0" applyFont="1" applyFill="1" applyBorder="1" applyAlignment="1">
      <alignment horizontal="center" vertical="center" wrapText="1"/>
    </xf>
    <xf numFmtId="0" fontId="14" fillId="11" borderId="0" xfId="0" applyFont="1" applyFill="1" applyAlignment="1">
      <alignment horizontal="center" vertical="center"/>
    </xf>
    <xf numFmtId="0" fontId="19" fillId="0" borderId="38" xfId="0" applyFont="1" applyBorder="1"/>
    <xf numFmtId="0" fontId="45" fillId="0" borderId="38" xfId="0" applyFont="1" applyBorder="1"/>
    <xf numFmtId="0" fontId="59" fillId="11" borderId="45" xfId="0" applyNumberFormat="1" applyFont="1" applyFill="1" applyBorder="1" applyAlignment="1">
      <alignment horizontal="center" vertical="center"/>
    </xf>
    <xf numFmtId="0" fontId="59" fillId="11" borderId="97" xfId="0" applyNumberFormat="1" applyFont="1" applyFill="1" applyBorder="1" applyAlignment="1">
      <alignment horizontal="center" vertical="center"/>
    </xf>
    <xf numFmtId="1" fontId="36" fillId="40" borderId="27" xfId="0" applyNumberFormat="1" applyFont="1" applyFill="1" applyBorder="1" applyAlignment="1">
      <alignment horizontal="center" vertical="center"/>
    </xf>
    <xf numFmtId="0" fontId="59" fillId="11" borderId="28" xfId="0" applyNumberFormat="1" applyFont="1" applyFill="1" applyBorder="1" applyAlignment="1">
      <alignment horizontal="center" vertical="center"/>
    </xf>
    <xf numFmtId="0" fontId="19" fillId="31" borderId="11" xfId="0" applyFont="1" applyFill="1" applyBorder="1" applyAlignment="1">
      <alignment horizontal="center" vertical="center"/>
    </xf>
    <xf numFmtId="0" fontId="19" fillId="31" borderId="12" xfId="0" applyFont="1" applyFill="1" applyBorder="1" applyAlignment="1">
      <alignment horizontal="center" vertical="center"/>
    </xf>
    <xf numFmtId="0" fontId="19" fillId="0" borderId="142" xfId="0" applyFont="1" applyBorder="1" applyAlignment="1">
      <alignment horizontal="center" vertical="center"/>
    </xf>
    <xf numFmtId="0" fontId="35" fillId="9" borderId="160" xfId="0" applyFont="1" applyFill="1" applyBorder="1" applyAlignment="1" applyProtection="1">
      <alignment horizontal="center" vertical="center"/>
      <protection locked="0"/>
    </xf>
    <xf numFmtId="0" fontId="31" fillId="9" borderId="38" xfId="0" applyFont="1" applyFill="1" applyBorder="1" applyAlignment="1">
      <alignment horizontal="center" vertical="center"/>
    </xf>
    <xf numFmtId="0" fontId="31" fillId="9" borderId="38" xfId="0" applyFont="1" applyFill="1" applyBorder="1" applyAlignment="1">
      <alignment horizontal="center" vertical="center" wrapText="1"/>
    </xf>
    <xf numFmtId="2" fontId="19" fillId="9" borderId="38" xfId="0" applyNumberFormat="1" applyFont="1" applyFill="1" applyBorder="1" applyAlignment="1">
      <alignment horizontal="center" vertical="center"/>
    </xf>
    <xf numFmtId="0" fontId="100" fillId="9" borderId="160" xfId="0" applyFont="1" applyFill="1" applyBorder="1" applyAlignment="1">
      <alignment horizontal="right" vertical="center" wrapText="1" readingOrder="2"/>
    </xf>
    <xf numFmtId="0" fontId="14" fillId="9" borderId="142" xfId="0" applyFont="1" applyFill="1" applyBorder="1" applyAlignment="1">
      <alignment horizontal="right" vertical="center"/>
    </xf>
    <xf numFmtId="0" fontId="14" fillId="9" borderId="177" xfId="0" applyFont="1" applyFill="1" applyBorder="1" applyAlignment="1">
      <alignment horizontal="right" vertical="center"/>
    </xf>
    <xf numFmtId="0" fontId="46" fillId="11" borderId="143" xfId="0" applyFont="1" applyFill="1" applyBorder="1" applyAlignment="1">
      <alignment horizontal="center" vertical="center"/>
    </xf>
    <xf numFmtId="0" fontId="46" fillId="11" borderId="133" xfId="0" applyFont="1" applyFill="1" applyBorder="1" applyAlignment="1">
      <alignment horizontal="center" vertical="center"/>
    </xf>
    <xf numFmtId="0" fontId="19" fillId="11" borderId="98" xfId="0" applyFont="1" applyFill="1" applyBorder="1" applyAlignment="1">
      <alignment horizontal="center" vertical="center"/>
    </xf>
    <xf numFmtId="0" fontId="101" fillId="9" borderId="76" xfId="0" applyFont="1" applyFill="1" applyBorder="1" applyAlignment="1">
      <alignment horizontal="center" vertical="center" wrapText="1" readingOrder="2"/>
    </xf>
    <xf numFmtId="0" fontId="35" fillId="9" borderId="179" xfId="0" applyFont="1" applyFill="1" applyBorder="1" applyAlignment="1" applyProtection="1">
      <alignment horizontal="center" vertical="center"/>
      <protection locked="0"/>
    </xf>
    <xf numFmtId="0" fontId="19" fillId="9" borderId="158" xfId="0" applyFont="1" applyFill="1" applyBorder="1" applyAlignment="1">
      <alignment horizontal="center" vertical="center" wrapText="1" readingOrder="2"/>
    </xf>
    <xf numFmtId="0" fontId="19" fillId="9" borderId="159" xfId="0" applyFont="1" applyFill="1" applyBorder="1" applyAlignment="1">
      <alignment horizontal="center" vertical="center" wrapText="1" readingOrder="2"/>
    </xf>
    <xf numFmtId="0" fontId="19" fillId="11" borderId="159" xfId="0" applyFont="1" applyFill="1" applyBorder="1" applyAlignment="1">
      <alignment horizontal="center" vertical="center" wrapText="1" readingOrder="2"/>
    </xf>
    <xf numFmtId="9" fontId="19" fillId="9" borderId="159" xfId="0" applyNumberFormat="1" applyFont="1" applyFill="1" applyBorder="1" applyAlignment="1">
      <alignment horizontal="center" vertical="center" wrapText="1" readingOrder="2"/>
    </xf>
    <xf numFmtId="9" fontId="19" fillId="11" borderId="159" xfId="0" applyNumberFormat="1" applyFont="1" applyFill="1" applyBorder="1" applyAlignment="1">
      <alignment horizontal="center" vertical="center" wrapText="1" readingOrder="2"/>
    </xf>
    <xf numFmtId="9" fontId="19" fillId="0" borderId="159" xfId="0" applyNumberFormat="1" applyFont="1" applyFill="1" applyBorder="1" applyAlignment="1">
      <alignment horizontal="center" vertical="center" wrapText="1" readingOrder="2"/>
    </xf>
    <xf numFmtId="9" fontId="19" fillId="11" borderId="157" xfId="0" applyNumberFormat="1" applyFont="1" applyFill="1" applyBorder="1" applyAlignment="1">
      <alignment horizontal="center" vertical="center" wrapText="1" readingOrder="2"/>
    </xf>
    <xf numFmtId="0" fontId="35" fillId="9" borderId="38" xfId="0" applyFont="1" applyFill="1" applyBorder="1" applyAlignment="1" applyProtection="1">
      <alignment horizontal="center" vertical="center"/>
      <protection locked="0"/>
    </xf>
    <xf numFmtId="0" fontId="100" fillId="9" borderId="38" xfId="0" applyFont="1" applyFill="1" applyBorder="1" applyAlignment="1">
      <alignment horizontal="right" vertical="center" wrapText="1" readingOrder="2"/>
    </xf>
    <xf numFmtId="0" fontId="101" fillId="9" borderId="38" xfId="0" applyFont="1" applyFill="1" applyBorder="1" applyAlignment="1">
      <alignment horizontal="center" vertical="center" wrapText="1" readingOrder="2"/>
    </xf>
    <xf numFmtId="0" fontId="14" fillId="9" borderId="38" xfId="0" applyFont="1" applyFill="1" applyBorder="1" applyAlignment="1">
      <alignment horizontal="center" vertical="center"/>
    </xf>
    <xf numFmtId="166" fontId="74" fillId="9" borderId="76" xfId="29" applyNumberFormat="1" applyFont="1" applyFill="1" applyBorder="1" applyAlignment="1">
      <alignment horizontal="center" vertical="center"/>
    </xf>
    <xf numFmtId="166" fontId="74" fillId="9" borderId="163" xfId="29" applyNumberFormat="1" applyFont="1" applyFill="1" applyBorder="1" applyAlignment="1">
      <alignment horizontal="center" vertical="center"/>
    </xf>
    <xf numFmtId="9" fontId="17" fillId="11" borderId="0" xfId="29" applyFont="1" applyFill="1" applyBorder="1" applyAlignment="1">
      <alignment horizontal="center" vertical="center"/>
    </xf>
    <xf numFmtId="0" fontId="17" fillId="11" borderId="19" xfId="29" applyNumberFormat="1" applyFont="1" applyFill="1" applyBorder="1" applyAlignment="1">
      <alignment horizontal="center" vertical="center"/>
    </xf>
    <xf numFmtId="9" fontId="59" fillId="4" borderId="71" xfId="24" applyFont="1" applyFill="1" applyBorder="1" applyAlignment="1">
      <alignment horizontal="center" vertical="center"/>
    </xf>
    <xf numFmtId="9" fontId="14" fillId="4" borderId="0" xfId="0" applyNumberFormat="1" applyFont="1" applyFill="1" applyAlignment="1">
      <alignment horizontal="center" vertical="center"/>
    </xf>
    <xf numFmtId="0" fontId="17" fillId="21" borderId="18" xfId="0" applyFont="1" applyFill="1" applyBorder="1" applyAlignment="1">
      <alignment horizontal="center" vertical="center"/>
    </xf>
    <xf numFmtId="9" fontId="67" fillId="11" borderId="114" xfId="29" applyFont="1" applyFill="1" applyBorder="1" applyAlignment="1" applyProtection="1">
      <alignment horizontal="center" vertical="center"/>
      <protection locked="0"/>
    </xf>
    <xf numFmtId="9" fontId="14" fillId="8" borderId="13" xfId="24" applyFont="1" applyFill="1" applyBorder="1" applyAlignment="1">
      <alignment horizontal="center" vertical="center"/>
    </xf>
    <xf numFmtId="9" fontId="14" fillId="8" borderId="14" xfId="24" applyFont="1" applyFill="1" applyBorder="1" applyAlignment="1">
      <alignment horizontal="center" vertical="center"/>
    </xf>
    <xf numFmtId="9" fontId="14" fillId="8" borderId="15" xfId="24" applyFont="1" applyFill="1" applyBorder="1" applyAlignment="1">
      <alignment horizontal="center" vertical="center"/>
    </xf>
    <xf numFmtId="0" fontId="14" fillId="3" borderId="22" xfId="0" applyFont="1" applyFill="1" applyBorder="1" applyAlignment="1">
      <alignment horizontal="center"/>
    </xf>
    <xf numFmtId="0" fontId="14" fillId="3" borderId="0" xfId="0" applyFont="1" applyFill="1" applyBorder="1"/>
    <xf numFmtId="9" fontId="14" fillId="3" borderId="0" xfId="24" applyFont="1" applyFill="1" applyBorder="1" applyAlignment="1">
      <alignment horizontal="center"/>
    </xf>
    <xf numFmtId="0" fontId="14" fillId="11" borderId="44" xfId="0" applyFont="1" applyFill="1" applyBorder="1" applyAlignment="1">
      <alignment horizontal="center" vertical="center"/>
    </xf>
    <xf numFmtId="9" fontId="14" fillId="11" borderId="44" xfId="24" applyFont="1" applyFill="1" applyBorder="1" applyAlignment="1">
      <alignment horizontal="center" vertical="center"/>
    </xf>
    <xf numFmtId="9" fontId="14" fillId="11" borderId="45" xfId="24" applyFont="1" applyFill="1" applyBorder="1" applyAlignment="1">
      <alignment horizontal="center" vertical="center"/>
    </xf>
    <xf numFmtId="0" fontId="52" fillId="11" borderId="0" xfId="0" applyFont="1" applyFill="1" applyBorder="1" applyAlignment="1">
      <alignment wrapText="1"/>
    </xf>
    <xf numFmtId="0" fontId="52" fillId="11" borderId="0" xfId="0" applyFont="1" applyFill="1" applyBorder="1"/>
    <xf numFmtId="0" fontId="52" fillId="11" borderId="0" xfId="0" applyFont="1" applyFill="1" applyBorder="1" applyAlignment="1">
      <alignment shrinkToFit="1"/>
    </xf>
    <xf numFmtId="9" fontId="14" fillId="3" borderId="15" xfId="0" applyNumberFormat="1" applyFont="1" applyFill="1" applyBorder="1" applyAlignment="1">
      <alignment horizontal="center"/>
    </xf>
    <xf numFmtId="9" fontId="14" fillId="11" borderId="19" xfId="29" applyNumberFormat="1" applyFont="1" applyFill="1" applyBorder="1" applyAlignment="1">
      <alignment horizontal="center" vertical="center"/>
    </xf>
    <xf numFmtId="9" fontId="14" fillId="11" borderId="179" xfId="0" applyNumberFormat="1" applyFont="1" applyFill="1" applyBorder="1" applyAlignment="1">
      <alignment horizontal="center" vertical="center" wrapText="1" readingOrder="2"/>
    </xf>
    <xf numFmtId="9" fontId="14" fillId="11" borderId="178" xfId="0" applyNumberFormat="1" applyFont="1" applyFill="1" applyBorder="1" applyAlignment="1">
      <alignment horizontal="center" vertical="center" wrapText="1" readingOrder="2"/>
    </xf>
    <xf numFmtId="1" fontId="37" fillId="11" borderId="38" xfId="0" applyNumberFormat="1" applyFont="1" applyFill="1" applyBorder="1" applyAlignment="1">
      <alignment horizontal="center" vertical="center"/>
    </xf>
    <xf numFmtId="9" fontId="33" fillId="0" borderId="38" xfId="24" applyFont="1" applyBorder="1" applyAlignment="1">
      <alignment horizontal="center" vertical="center"/>
    </xf>
    <xf numFmtId="9" fontId="35" fillId="11" borderId="142" xfId="24" applyFont="1" applyFill="1" applyBorder="1" applyAlignment="1">
      <alignment horizontal="center" vertical="center"/>
    </xf>
    <xf numFmtId="9" fontId="37" fillId="11" borderId="38" xfId="24" applyFont="1" applyFill="1" applyBorder="1" applyAlignment="1">
      <alignment horizontal="center" vertical="center"/>
    </xf>
    <xf numFmtId="0" fontId="74" fillId="3" borderId="17" xfId="28" applyFont="1" applyFill="1" applyBorder="1" applyAlignment="1">
      <alignment horizontal="center" vertical="center"/>
    </xf>
    <xf numFmtId="0" fontId="0" fillId="0" borderId="0" xfId="0" applyAlignment="1">
      <alignment horizontal="center"/>
    </xf>
    <xf numFmtId="3" fontId="71" fillId="0" borderId="0" xfId="28" applyNumberFormat="1" applyFont="1"/>
    <xf numFmtId="0" fontId="73" fillId="8" borderId="47" xfId="28" applyFont="1" applyFill="1" applyBorder="1" applyAlignment="1">
      <alignment horizontal="center" vertical="center"/>
    </xf>
    <xf numFmtId="0" fontId="74" fillId="8" borderId="44" xfId="28" applyFont="1" applyFill="1" applyBorder="1" applyAlignment="1">
      <alignment horizontal="center" vertical="center"/>
    </xf>
    <xf numFmtId="2" fontId="74" fillId="8" borderId="44" xfId="28" applyNumberFormat="1" applyFont="1" applyFill="1" applyBorder="1" applyAlignment="1">
      <alignment horizontal="center" vertical="center" wrapText="1" shrinkToFit="1"/>
    </xf>
    <xf numFmtId="0" fontId="73" fillId="8" borderId="44" xfId="28" applyFont="1" applyFill="1" applyBorder="1" applyAlignment="1">
      <alignment horizontal="center" vertical="center" wrapText="1"/>
    </xf>
    <xf numFmtId="0" fontId="73" fillId="8" borderId="45" xfId="28" applyFont="1" applyFill="1" applyBorder="1" applyAlignment="1">
      <alignment horizontal="center" vertical="center" wrapText="1"/>
    </xf>
    <xf numFmtId="3" fontId="61" fillId="0" borderId="0" xfId="28" applyNumberFormat="1" applyFont="1" applyAlignment="1">
      <alignment vertical="top" wrapText="1"/>
    </xf>
    <xf numFmtId="0" fontId="74" fillId="8" borderId="80" xfId="28" applyFont="1" applyFill="1" applyBorder="1" applyAlignment="1">
      <alignment horizontal="center" vertical="center"/>
    </xf>
    <xf numFmtId="9" fontId="74" fillId="0" borderId="38" xfId="29" applyFont="1" applyBorder="1" applyAlignment="1">
      <alignment horizontal="center" vertical="center"/>
    </xf>
    <xf numFmtId="166" fontId="74" fillId="0" borderId="38" xfId="29" applyNumberFormat="1" applyFont="1" applyFill="1" applyBorder="1" applyAlignment="1">
      <alignment horizontal="center" vertical="center"/>
    </xf>
    <xf numFmtId="166" fontId="74" fillId="8" borderId="97" xfId="28" applyNumberFormat="1" applyFont="1" applyFill="1" applyBorder="1" applyAlignment="1">
      <alignment horizontal="center" vertical="center"/>
    </xf>
    <xf numFmtId="9" fontId="61" fillId="0" borderId="0" xfId="29" applyFont="1" applyAlignment="1">
      <alignment vertical="top" wrapText="1"/>
    </xf>
    <xf numFmtId="0" fontId="74" fillId="8" borderId="79" xfId="28" applyFont="1" applyFill="1" applyBorder="1" applyAlignment="1">
      <alignment horizontal="center" vertical="center"/>
    </xf>
    <xf numFmtId="0" fontId="74" fillId="8" borderId="26" xfId="28" applyFont="1" applyFill="1" applyBorder="1" applyAlignment="1">
      <alignment horizontal="center" vertical="center"/>
    </xf>
    <xf numFmtId="0" fontId="74" fillId="8" borderId="27" xfId="28" applyFont="1" applyFill="1" applyBorder="1" applyAlignment="1">
      <alignment horizontal="center" vertical="center"/>
    </xf>
    <xf numFmtId="9" fontId="74" fillId="8" borderId="27" xfId="28" applyNumberFormat="1" applyFont="1" applyFill="1" applyBorder="1" applyAlignment="1">
      <alignment horizontal="center" vertical="center"/>
    </xf>
    <xf numFmtId="166" fontId="74" fillId="8" borderId="28" xfId="28" applyNumberFormat="1" applyFont="1" applyFill="1" applyBorder="1" applyAlignment="1">
      <alignment horizontal="center" vertical="center"/>
    </xf>
    <xf numFmtId="0" fontId="19" fillId="0" borderId="22" xfId="28" applyFont="1" applyBorder="1" applyAlignment="1">
      <alignment horizontal="center" vertical="center"/>
    </xf>
    <xf numFmtId="0" fontId="75" fillId="8" borderId="10" xfId="28" applyFont="1" applyFill="1" applyBorder="1" applyAlignment="1">
      <alignment vertical="center"/>
    </xf>
    <xf numFmtId="0" fontId="75" fillId="8" borderId="11" xfId="28" applyFont="1" applyFill="1" applyBorder="1" applyAlignment="1">
      <alignment vertical="center"/>
    </xf>
    <xf numFmtId="2" fontId="74" fillId="0" borderId="50" xfId="28" applyNumberFormat="1" applyFont="1" applyBorder="1" applyAlignment="1">
      <alignment horizontal="center" vertical="center"/>
    </xf>
    <xf numFmtId="9" fontId="86" fillId="0" borderId="181" xfId="29" applyFont="1" applyBorder="1" applyAlignment="1">
      <alignment horizontal="center" vertical="center"/>
    </xf>
    <xf numFmtId="0" fontId="19" fillId="0" borderId="182" xfId="28" applyFont="1" applyBorder="1" applyAlignment="1">
      <alignment vertical="center"/>
    </xf>
    <xf numFmtId="166" fontId="0" fillId="0" borderId="0" xfId="0" applyNumberFormat="1"/>
    <xf numFmtId="172" fontId="19" fillId="0" borderId="0" xfId="28" applyNumberFormat="1" applyFont="1"/>
    <xf numFmtId="0" fontId="74" fillId="8" borderId="13" xfId="28" applyFont="1" applyFill="1" applyBorder="1" applyAlignment="1">
      <alignment vertical="center"/>
    </xf>
    <xf numFmtId="0" fontId="19" fillId="8" borderId="14" xfId="28" applyFont="1" applyFill="1" applyBorder="1"/>
    <xf numFmtId="9" fontId="74" fillId="28" borderId="24" xfId="28" applyNumberFormat="1" applyFont="1" applyFill="1" applyBorder="1" applyAlignment="1">
      <alignment horizontal="center" vertical="center"/>
    </xf>
    <xf numFmtId="10" fontId="0" fillId="0" borderId="0" xfId="0" applyNumberFormat="1"/>
    <xf numFmtId="0" fontId="74" fillId="3" borderId="63" xfId="28" applyFont="1" applyFill="1" applyBorder="1" applyAlignment="1">
      <alignment horizontal="center" vertical="center"/>
    </xf>
    <xf numFmtId="0" fontId="74" fillId="3" borderId="134" xfId="28" applyFont="1" applyFill="1" applyBorder="1" applyAlignment="1">
      <alignment horizontal="center" vertical="center"/>
    </xf>
    <xf numFmtId="0" fontId="75" fillId="3" borderId="134" xfId="28" applyFont="1" applyFill="1" applyBorder="1" applyAlignment="1">
      <alignment horizontal="center" vertical="center"/>
    </xf>
    <xf numFmtId="0" fontId="75" fillId="3" borderId="17" xfId="28" applyFont="1" applyFill="1" applyBorder="1" applyAlignment="1">
      <alignment horizontal="center" vertical="center"/>
    </xf>
    <xf numFmtId="0" fontId="40" fillId="0" borderId="22" xfId="28" applyFont="1" applyBorder="1"/>
    <xf numFmtId="0" fontId="19" fillId="0" borderId="19" xfId="28" applyFont="1" applyBorder="1"/>
    <xf numFmtId="0" fontId="40" fillId="0" borderId="13" xfId="28" applyFont="1" applyBorder="1"/>
    <xf numFmtId="0" fontId="19" fillId="0" borderId="14" xfId="28" applyFont="1" applyBorder="1"/>
    <xf numFmtId="0" fontId="19" fillId="0" borderId="15" xfId="28" applyFont="1" applyBorder="1"/>
    <xf numFmtId="0" fontId="74" fillId="3" borderId="18" xfId="28" applyFont="1" applyFill="1" applyBorder="1" applyAlignment="1">
      <alignment horizontal="center" vertical="center" wrapText="1"/>
    </xf>
    <xf numFmtId="0" fontId="103" fillId="31" borderId="10" xfId="28" applyFont="1" applyFill="1" applyBorder="1" applyAlignment="1">
      <alignment horizontal="center" vertical="center"/>
    </xf>
    <xf numFmtId="0" fontId="75" fillId="31" borderId="12" xfId="28" applyFont="1" applyFill="1" applyBorder="1" applyAlignment="1">
      <alignment horizontal="center" vertical="center"/>
    </xf>
    <xf numFmtId="0" fontId="75" fillId="0" borderId="22" xfId="28" applyFont="1" applyBorder="1" applyAlignment="1">
      <alignment horizontal="center" vertical="center"/>
    </xf>
    <xf numFmtId="0" fontId="74" fillId="3" borderId="10" xfId="28" applyFont="1" applyFill="1" applyBorder="1" applyAlignment="1">
      <alignment horizontal="center" vertical="center" wrapText="1"/>
    </xf>
    <xf numFmtId="0" fontId="103" fillId="31" borderId="22" xfId="28" applyFont="1" applyFill="1" applyBorder="1" applyAlignment="1">
      <alignment horizontal="center" vertical="center"/>
    </xf>
    <xf numFmtId="0" fontId="75" fillId="31" borderId="19" xfId="28" applyFont="1" applyFill="1" applyBorder="1" applyAlignment="1">
      <alignment horizontal="center" vertical="center"/>
    </xf>
    <xf numFmtId="0" fontId="74" fillId="3" borderId="22" xfId="28" applyFont="1" applyFill="1" applyBorder="1" applyAlignment="1">
      <alignment horizontal="center" vertical="center" wrapText="1"/>
    </xf>
    <xf numFmtId="0" fontId="19" fillId="0" borderId="13" xfId="28" applyFont="1" applyBorder="1"/>
    <xf numFmtId="0" fontId="46" fillId="31" borderId="13" xfId="28" applyFont="1" applyFill="1" applyBorder="1" applyAlignment="1">
      <alignment horizontal="center"/>
    </xf>
    <xf numFmtId="0" fontId="19" fillId="31" borderId="15" xfId="28" applyFont="1" applyFill="1" applyBorder="1" applyAlignment="1">
      <alignment horizontal="center"/>
    </xf>
    <xf numFmtId="0" fontId="19" fillId="0" borderId="22" xfId="28" applyFont="1" applyBorder="1"/>
    <xf numFmtId="0" fontId="104" fillId="3" borderId="63" xfId="28" applyFont="1" applyFill="1" applyBorder="1" applyAlignment="1">
      <alignment horizontal="center" vertical="center" wrapText="1"/>
    </xf>
    <xf numFmtId="0" fontId="105" fillId="3" borderId="134" xfId="28" applyFont="1" applyFill="1" applyBorder="1" applyAlignment="1">
      <alignment horizontal="center" vertical="center"/>
    </xf>
    <xf numFmtId="3" fontId="76" fillId="0" borderId="0" xfId="28" applyNumberFormat="1" applyFont="1"/>
    <xf numFmtId="0" fontId="75" fillId="3" borderId="48" xfId="28" applyFont="1" applyFill="1" applyBorder="1" applyAlignment="1">
      <alignment horizontal="center" vertical="center" wrapText="1"/>
    </xf>
    <xf numFmtId="0" fontId="74" fillId="3" borderId="12" xfId="28" applyFont="1" applyFill="1" applyBorder="1" applyAlignment="1">
      <alignment horizontal="center" vertical="center"/>
    </xf>
    <xf numFmtId="0" fontId="75" fillId="3" borderId="54" xfId="28" applyFont="1" applyFill="1" applyBorder="1" applyAlignment="1">
      <alignment horizontal="center" vertical="center" wrapText="1"/>
    </xf>
    <xf numFmtId="0" fontId="74" fillId="3" borderId="15" xfId="28" applyFont="1" applyFill="1" applyBorder="1" applyAlignment="1">
      <alignment horizontal="center" vertical="center"/>
    </xf>
    <xf numFmtId="0" fontId="36" fillId="0" borderId="25" xfId="28" applyFont="1" applyBorder="1" applyAlignment="1">
      <alignment wrapText="1"/>
    </xf>
    <xf numFmtId="9" fontId="76" fillId="0" borderId="135" xfId="29" applyFont="1" applyBorder="1" applyAlignment="1">
      <alignment horizontal="center"/>
    </xf>
    <xf numFmtId="0" fontId="36" fillId="0" borderId="80" xfId="28" applyFont="1" applyBorder="1" applyAlignment="1">
      <alignment wrapText="1"/>
    </xf>
    <xf numFmtId="9" fontId="76" fillId="0" borderId="97" xfId="29" applyFont="1" applyBorder="1" applyAlignment="1">
      <alignment horizontal="center"/>
    </xf>
    <xf numFmtId="0" fontId="19" fillId="4" borderId="0" xfId="28" applyFont="1" applyFill="1"/>
    <xf numFmtId="0" fontId="36" fillId="0" borderId="80" xfId="28" applyFont="1" applyBorder="1" applyAlignment="1">
      <alignment horizontal="right" vertical="center" wrapText="1"/>
    </xf>
    <xf numFmtId="9" fontId="76" fillId="0" borderId="97" xfId="29" applyFont="1" applyBorder="1" applyAlignment="1">
      <alignment horizontal="center" vertical="center"/>
    </xf>
    <xf numFmtId="3" fontId="19" fillId="0" borderId="0" xfId="28" applyNumberFormat="1" applyFont="1" applyAlignment="1">
      <alignment horizontal="center" vertical="center"/>
    </xf>
    <xf numFmtId="0" fontId="36" fillId="0" borderId="79" xfId="28" applyFont="1" applyBorder="1" applyAlignment="1">
      <alignment wrapText="1"/>
    </xf>
    <xf numFmtId="9" fontId="76" fillId="0" borderId="136" xfId="29" applyFont="1" applyBorder="1" applyAlignment="1">
      <alignment horizontal="center"/>
    </xf>
    <xf numFmtId="0" fontId="36" fillId="0" borderId="26" xfId="28" applyFont="1" applyBorder="1" applyAlignment="1">
      <alignment wrapText="1"/>
    </xf>
    <xf numFmtId="9" fontId="76" fillId="0" borderId="28" xfId="29" applyFont="1" applyBorder="1" applyAlignment="1">
      <alignment horizontal="center"/>
    </xf>
    <xf numFmtId="0" fontId="74" fillId="3" borderId="63" xfId="28" applyFont="1" applyFill="1" applyBorder="1" applyAlignment="1">
      <alignment horizontal="center" vertical="center" wrapText="1"/>
    </xf>
    <xf numFmtId="0" fontId="17" fillId="0" borderId="0" xfId="0" applyFont="1" applyAlignment="1">
      <alignment horizontal="right" vertical="top"/>
    </xf>
    <xf numFmtId="0" fontId="15" fillId="0" borderId="0" xfId="10" applyFont="1" applyFill="1" applyAlignment="1">
      <alignment horizontal="center" vertical="center" readingOrder="2"/>
    </xf>
    <xf numFmtId="0" fontId="16" fillId="0" borderId="0" xfId="11" applyFont="1" applyFill="1" applyAlignment="1">
      <alignment horizontal="center" vertical="center" wrapText="1"/>
    </xf>
    <xf numFmtId="0" fontId="29" fillId="11" borderId="170" xfId="27" applyFont="1" applyFill="1" applyBorder="1" applyAlignment="1">
      <alignment horizontal="center" vertical="center" wrapText="1"/>
    </xf>
    <xf numFmtId="0" fontId="29" fillId="11" borderId="104" xfId="27" applyFont="1" applyFill="1" applyBorder="1" applyAlignment="1">
      <alignment horizontal="center" vertical="center" wrapText="1"/>
    </xf>
    <xf numFmtId="0" fontId="29" fillId="11" borderId="171" xfId="27" applyFont="1" applyFill="1" applyBorder="1" applyAlignment="1">
      <alignment horizontal="center" vertical="center" wrapText="1"/>
    </xf>
    <xf numFmtId="0" fontId="36" fillId="0" borderId="25" xfId="0" applyFont="1" applyBorder="1" applyAlignment="1">
      <alignment horizontal="center"/>
    </xf>
    <xf numFmtId="0" fontId="36" fillId="0" borderId="157" xfId="0" applyFont="1" applyBorder="1" applyAlignment="1">
      <alignment horizontal="center"/>
    </xf>
    <xf numFmtId="0" fontId="39" fillId="16" borderId="48" xfId="0" applyFont="1" applyFill="1" applyBorder="1" applyAlignment="1">
      <alignment horizontal="center"/>
    </xf>
    <xf numFmtId="0" fontId="39" fillId="16" borderId="49" xfId="0" applyFont="1" applyFill="1" applyBorder="1" applyAlignment="1">
      <alignment horizontal="center"/>
    </xf>
    <xf numFmtId="0" fontId="39" fillId="16" borderId="50" xfId="0" applyFont="1" applyFill="1" applyBorder="1" applyAlignment="1">
      <alignment horizontal="center"/>
    </xf>
    <xf numFmtId="0" fontId="36" fillId="0" borderId="47" xfId="0" applyFont="1" applyBorder="1" applyAlignment="1">
      <alignment horizontal="center"/>
    </xf>
    <xf numFmtId="0" fontId="36" fillId="0" borderId="44" xfId="0" applyFont="1" applyBorder="1" applyAlignment="1">
      <alignment horizontal="center"/>
    </xf>
    <xf numFmtId="0" fontId="36" fillId="0" borderId="45" xfId="0" applyFont="1" applyBorder="1" applyAlignment="1">
      <alignment horizontal="center"/>
    </xf>
    <xf numFmtId="0" fontId="36" fillId="0" borderId="80" xfId="0" applyFont="1" applyBorder="1" applyAlignment="1">
      <alignment horizontal="center"/>
    </xf>
    <xf numFmtId="0" fontId="36" fillId="0" borderId="38" xfId="0" applyFont="1" applyBorder="1" applyAlignment="1">
      <alignment horizontal="center"/>
    </xf>
    <xf numFmtId="0" fontId="36" fillId="0" borderId="97" xfId="0" applyFont="1" applyBorder="1" applyAlignment="1">
      <alignment horizontal="center"/>
    </xf>
    <xf numFmtId="0" fontId="89" fillId="0" borderId="47" xfId="0" applyFont="1" applyFill="1" applyBorder="1" applyAlignment="1">
      <alignment horizontal="center" vertical="center" textRotation="90"/>
    </xf>
    <xf numFmtId="0" fontId="89" fillId="0" borderId="80" xfId="0" applyFont="1" applyFill="1" applyBorder="1" applyAlignment="1">
      <alignment horizontal="center" vertical="center" textRotation="90"/>
    </xf>
    <xf numFmtId="0" fontId="89" fillId="0" borderId="26" xfId="0" applyFont="1" applyFill="1" applyBorder="1" applyAlignment="1">
      <alignment horizontal="center" vertical="center" textRotation="90"/>
    </xf>
    <xf numFmtId="9" fontId="90" fillId="0" borderId="44" xfId="29" applyFont="1" applyFill="1" applyBorder="1" applyAlignment="1">
      <alignment horizontal="center" vertical="center" textRotation="90"/>
    </xf>
    <xf numFmtId="9" fontId="90" fillId="0" borderId="38" xfId="29" applyFont="1" applyFill="1" applyBorder="1" applyAlignment="1">
      <alignment horizontal="center" vertical="center" textRotation="90"/>
    </xf>
    <xf numFmtId="9" fontId="90" fillId="0" borderId="27" xfId="29" applyFont="1" applyFill="1" applyBorder="1" applyAlignment="1">
      <alignment horizontal="center" vertical="center" textRotation="90"/>
    </xf>
    <xf numFmtId="1" fontId="20" fillId="11" borderId="44" xfId="0" applyNumberFormat="1" applyFont="1" applyFill="1" applyBorder="1" applyAlignment="1">
      <alignment horizontal="center" vertical="center"/>
    </xf>
    <xf numFmtId="1" fontId="20" fillId="11" borderId="38" xfId="0" applyNumberFormat="1" applyFont="1" applyFill="1" applyBorder="1" applyAlignment="1">
      <alignment horizontal="center" vertical="center"/>
    </xf>
    <xf numFmtId="1" fontId="20" fillId="11" borderId="27" xfId="0" applyNumberFormat="1" applyFont="1" applyFill="1" applyBorder="1" applyAlignment="1">
      <alignment horizontal="center" vertical="center"/>
    </xf>
    <xf numFmtId="1" fontId="16" fillId="0" borderId="45" xfId="29" applyNumberFormat="1" applyFont="1" applyFill="1" applyBorder="1" applyAlignment="1">
      <alignment horizontal="center" vertical="center"/>
    </xf>
    <xf numFmtId="1" fontId="16" fillId="0" borderId="97" xfId="29" applyNumberFormat="1" applyFont="1" applyFill="1" applyBorder="1" applyAlignment="1">
      <alignment horizontal="center" vertical="center"/>
    </xf>
    <xf numFmtId="1" fontId="16" fillId="0" borderId="28" xfId="29" applyNumberFormat="1" applyFont="1" applyFill="1" applyBorder="1" applyAlignment="1">
      <alignment horizontal="center" vertical="center"/>
    </xf>
    <xf numFmtId="0" fontId="59" fillId="11" borderId="54" xfId="0" applyFont="1" applyFill="1" applyBorder="1" applyAlignment="1">
      <alignment horizontal="center"/>
    </xf>
    <xf numFmtId="0" fontId="59" fillId="11" borderId="56" xfId="0" applyFont="1" applyFill="1" applyBorder="1" applyAlignment="1">
      <alignment horizontal="center"/>
    </xf>
    <xf numFmtId="0" fontId="16" fillId="11" borderId="56" xfId="0" applyFont="1" applyFill="1" applyBorder="1" applyAlignment="1">
      <alignment horizontal="center"/>
    </xf>
    <xf numFmtId="0" fontId="16" fillId="11" borderId="58" xfId="0" applyFont="1" applyFill="1" applyBorder="1" applyAlignment="1">
      <alignment horizontal="center"/>
    </xf>
    <xf numFmtId="0" fontId="36" fillId="11" borderId="13" xfId="0" applyFont="1" applyFill="1" applyBorder="1" applyAlignment="1">
      <alignment horizontal="center"/>
    </xf>
    <xf numFmtId="0" fontId="36" fillId="11" borderId="14" xfId="0" applyFont="1" applyFill="1" applyBorder="1" applyAlignment="1">
      <alignment horizontal="center"/>
    </xf>
    <xf numFmtId="0" fontId="36" fillId="11" borderId="15" xfId="0" applyFont="1" applyFill="1" applyBorder="1" applyAlignment="1">
      <alignment horizontal="center"/>
    </xf>
    <xf numFmtId="0" fontId="39" fillId="11" borderId="13" xfId="0" applyFont="1" applyFill="1" applyBorder="1" applyAlignment="1">
      <alignment horizontal="center"/>
    </xf>
    <xf numFmtId="0" fontId="39" fillId="11" borderId="15" xfId="0" applyFont="1" applyFill="1" applyBorder="1" applyAlignment="1">
      <alignment horizontal="center"/>
    </xf>
    <xf numFmtId="0" fontId="79" fillId="3" borderId="13" xfId="0" applyFont="1" applyFill="1" applyBorder="1" applyAlignment="1">
      <alignment horizontal="center" vertical="center"/>
    </xf>
    <xf numFmtId="0" fontId="79" fillId="3" borderId="14" xfId="0" applyFont="1" applyFill="1" applyBorder="1" applyAlignment="1">
      <alignment horizontal="center" vertical="center"/>
    </xf>
    <xf numFmtId="0" fontId="79" fillId="3" borderId="15" xfId="0" applyFont="1" applyFill="1" applyBorder="1" applyAlignment="1">
      <alignment horizontal="center" vertical="center"/>
    </xf>
    <xf numFmtId="9" fontId="39" fillId="3" borderId="18" xfId="29" applyFont="1" applyFill="1" applyBorder="1" applyAlignment="1">
      <alignment horizontal="center" vertical="center"/>
    </xf>
    <xf numFmtId="9" fontId="39" fillId="3" borderId="16" xfId="29" applyFont="1" applyFill="1" applyBorder="1" applyAlignment="1">
      <alignment horizontal="center" vertical="center"/>
    </xf>
    <xf numFmtId="9" fontId="39" fillId="3" borderId="17" xfId="29" applyFont="1" applyFill="1" applyBorder="1" applyAlignment="1">
      <alignment horizontal="center" vertical="center"/>
    </xf>
    <xf numFmtId="0" fontId="39" fillId="16" borderId="18" xfId="0" applyFont="1" applyFill="1" applyBorder="1" applyAlignment="1">
      <alignment horizontal="center"/>
    </xf>
    <xf numFmtId="0" fontId="39" fillId="16" borderId="16" xfId="0" applyFont="1" applyFill="1" applyBorder="1" applyAlignment="1">
      <alignment horizontal="center"/>
    </xf>
    <xf numFmtId="0" fontId="39" fillId="16" borderId="17" xfId="0" applyFont="1" applyFill="1" applyBorder="1" applyAlignment="1">
      <alignment horizontal="center"/>
    </xf>
    <xf numFmtId="0" fontId="61" fillId="34" borderId="18" xfId="0" applyFont="1" applyFill="1" applyBorder="1" applyAlignment="1">
      <alignment horizontal="center"/>
    </xf>
    <xf numFmtId="0" fontId="61" fillId="34" borderId="16" xfId="0" applyFont="1" applyFill="1" applyBorder="1" applyAlignment="1">
      <alignment horizontal="center"/>
    </xf>
    <xf numFmtId="0" fontId="61" fillId="34" borderId="17" xfId="0" applyFont="1" applyFill="1" applyBorder="1" applyAlignment="1">
      <alignment horizontal="center"/>
    </xf>
    <xf numFmtId="0" fontId="39" fillId="16" borderId="63" xfId="0" applyFont="1" applyFill="1" applyBorder="1" applyAlignment="1">
      <alignment horizontal="center"/>
    </xf>
    <xf numFmtId="0" fontId="39" fillId="16" borderId="65" xfId="0" applyFont="1" applyFill="1" applyBorder="1" applyAlignment="1">
      <alignment horizontal="center"/>
    </xf>
    <xf numFmtId="0" fontId="87" fillId="11" borderId="10" xfId="0" applyFont="1" applyFill="1" applyBorder="1" applyAlignment="1">
      <alignment horizontal="center"/>
    </xf>
    <xf numFmtId="0" fontId="87" fillId="11" borderId="11" xfId="0" applyFont="1" applyFill="1" applyBorder="1" applyAlignment="1">
      <alignment horizontal="center"/>
    </xf>
    <xf numFmtId="0" fontId="87" fillId="11" borderId="16" xfId="0" applyFont="1" applyFill="1" applyBorder="1" applyAlignment="1">
      <alignment horizontal="center"/>
    </xf>
    <xf numFmtId="0" fontId="87" fillId="11" borderId="17" xfId="0" applyFont="1" applyFill="1" applyBorder="1" applyAlignment="1">
      <alignment horizontal="center"/>
    </xf>
    <xf numFmtId="0" fontId="87" fillId="11" borderId="18" xfId="0" applyFont="1" applyFill="1" applyBorder="1" applyAlignment="1">
      <alignment horizontal="center"/>
    </xf>
    <xf numFmtId="0" fontId="88" fillId="9" borderId="18" xfId="0" applyFont="1" applyFill="1" applyBorder="1" applyAlignment="1">
      <alignment horizontal="center" vertical="center"/>
    </xf>
    <xf numFmtId="0" fontId="88" fillId="9" borderId="16" xfId="0" applyFont="1" applyFill="1" applyBorder="1" applyAlignment="1">
      <alignment horizontal="center" vertical="center"/>
    </xf>
    <xf numFmtId="0" fontId="88" fillId="9" borderId="17" xfId="0" applyFont="1" applyFill="1" applyBorder="1" applyAlignment="1">
      <alignment horizontal="center" vertical="center"/>
    </xf>
    <xf numFmtId="0" fontId="89" fillId="11" borderId="10" xfId="0" applyFont="1" applyFill="1" applyBorder="1" applyAlignment="1">
      <alignment horizontal="center" vertical="center"/>
    </xf>
    <xf numFmtId="0" fontId="89" fillId="11" borderId="11" xfId="0" applyFont="1" applyFill="1" applyBorder="1" applyAlignment="1">
      <alignment horizontal="center" vertical="center"/>
    </xf>
    <xf numFmtId="0" fontId="89" fillId="11" borderId="13" xfId="0" applyFont="1" applyFill="1" applyBorder="1" applyAlignment="1">
      <alignment horizontal="center" vertical="center"/>
    </xf>
    <xf numFmtId="0" fontId="89" fillId="11" borderId="14" xfId="0" applyFont="1" applyFill="1" applyBorder="1" applyAlignment="1">
      <alignment horizontal="center" vertical="center"/>
    </xf>
    <xf numFmtId="0" fontId="79" fillId="11" borderId="10" xfId="0" applyFont="1" applyFill="1" applyBorder="1" applyAlignment="1">
      <alignment horizontal="center" vertical="center"/>
    </xf>
    <xf numFmtId="0" fontId="79" fillId="11" borderId="11" xfId="0" applyFont="1" applyFill="1" applyBorder="1" applyAlignment="1">
      <alignment horizontal="center" vertical="center"/>
    </xf>
    <xf numFmtId="0" fontId="79" fillId="11" borderId="12" xfId="0" applyFont="1" applyFill="1" applyBorder="1" applyAlignment="1">
      <alignment horizontal="center" vertical="center"/>
    </xf>
    <xf numFmtId="0" fontId="90" fillId="11" borderId="10" xfId="0" applyFont="1" applyFill="1" applyBorder="1" applyAlignment="1">
      <alignment horizontal="center" vertical="center"/>
    </xf>
    <xf numFmtId="0" fontId="90" fillId="11" borderId="11" xfId="0" applyFont="1" applyFill="1" applyBorder="1" applyAlignment="1">
      <alignment horizontal="center" vertical="center"/>
    </xf>
    <xf numFmtId="0" fontId="90" fillId="11" borderId="12" xfId="0" applyFont="1" applyFill="1" applyBorder="1" applyAlignment="1">
      <alignment horizontal="center" vertical="center"/>
    </xf>
    <xf numFmtId="0" fontId="79" fillId="11" borderId="26" xfId="0" applyFont="1" applyFill="1" applyBorder="1" applyAlignment="1">
      <alignment horizontal="center" vertical="center"/>
    </xf>
    <xf numFmtId="0" fontId="79" fillId="11" borderId="27" xfId="0" applyFont="1" applyFill="1" applyBorder="1" applyAlignment="1">
      <alignment horizontal="center" vertical="center"/>
    </xf>
    <xf numFmtId="0" fontId="38" fillId="3" borderId="38" xfId="0" applyFont="1" applyFill="1" applyBorder="1" applyAlignment="1">
      <alignment horizontal="center" vertical="center"/>
    </xf>
    <xf numFmtId="0" fontId="89" fillId="11" borderId="55" xfId="0" applyFont="1" applyFill="1" applyBorder="1" applyAlignment="1">
      <alignment horizontal="center" vertical="center"/>
    </xf>
    <xf numFmtId="0" fontId="94" fillId="0" borderId="47" xfId="0" applyFont="1" applyFill="1" applyBorder="1" applyAlignment="1">
      <alignment horizontal="center" vertical="center" textRotation="90"/>
    </xf>
    <xf numFmtId="0" fontId="94" fillId="0" borderId="80" xfId="0" applyFont="1" applyFill="1" applyBorder="1" applyAlignment="1">
      <alignment horizontal="center" vertical="center" textRotation="90"/>
    </xf>
    <xf numFmtId="0" fontId="94" fillId="0" borderId="79" xfId="0" applyFont="1" applyFill="1" applyBorder="1" applyAlignment="1">
      <alignment horizontal="center" vertical="center" textRotation="90"/>
    </xf>
    <xf numFmtId="9" fontId="90" fillId="0" borderId="59" xfId="29" applyFont="1" applyFill="1" applyBorder="1" applyAlignment="1">
      <alignment horizontal="center" vertical="center" textRotation="90"/>
    </xf>
    <xf numFmtId="1" fontId="16" fillId="11" borderId="44" xfId="0" applyNumberFormat="1" applyFont="1" applyFill="1" applyBorder="1" applyAlignment="1">
      <alignment horizontal="center" vertical="center"/>
    </xf>
    <xf numFmtId="1" fontId="16" fillId="11" borderId="38" xfId="0" applyNumberFormat="1" applyFont="1" applyFill="1" applyBorder="1" applyAlignment="1">
      <alignment horizontal="center" vertical="center"/>
    </xf>
    <xf numFmtId="1" fontId="16" fillId="11" borderId="59" xfId="0" applyNumberFormat="1" applyFont="1" applyFill="1" applyBorder="1" applyAlignment="1">
      <alignment horizontal="center" vertical="center"/>
    </xf>
    <xf numFmtId="1" fontId="16" fillId="0" borderId="136" xfId="29" applyNumberFormat="1" applyFont="1" applyFill="1" applyBorder="1" applyAlignment="1">
      <alignment horizontal="center" vertical="center"/>
    </xf>
    <xf numFmtId="0" fontId="61" fillId="34" borderId="94" xfId="0" applyFont="1" applyFill="1" applyBorder="1" applyAlignment="1">
      <alignment horizontal="center"/>
    </xf>
    <xf numFmtId="0" fontId="61" fillId="34" borderId="95" xfId="0" applyFont="1" applyFill="1" applyBorder="1" applyAlignment="1">
      <alignment horizontal="center"/>
    </xf>
    <xf numFmtId="0" fontId="61" fillId="34" borderId="96" xfId="0" applyFont="1" applyFill="1" applyBorder="1" applyAlignment="1">
      <alignment horizontal="center"/>
    </xf>
    <xf numFmtId="0" fontId="61" fillId="34" borderId="10" xfId="0" applyFont="1" applyFill="1" applyBorder="1" applyAlignment="1">
      <alignment horizontal="center"/>
    </xf>
    <xf numFmtId="0" fontId="61" fillId="34" borderId="11" xfId="0" applyFont="1" applyFill="1" applyBorder="1" applyAlignment="1">
      <alignment horizontal="center"/>
    </xf>
    <xf numFmtId="0" fontId="61" fillId="34" borderId="12" xfId="0" applyFont="1" applyFill="1" applyBorder="1" applyAlignment="1">
      <alignment horizontal="center"/>
    </xf>
    <xf numFmtId="0" fontId="19" fillId="34" borderId="18" xfId="0" applyFont="1" applyFill="1" applyBorder="1" applyAlignment="1">
      <alignment horizontal="center"/>
    </xf>
    <xf numFmtId="0" fontId="19" fillId="34" borderId="16" xfId="0" applyFont="1" applyFill="1" applyBorder="1" applyAlignment="1">
      <alignment horizontal="center"/>
    </xf>
    <xf numFmtId="0" fontId="19" fillId="34" borderId="17" xfId="0" applyFont="1" applyFill="1" applyBorder="1" applyAlignment="1">
      <alignment horizontal="center"/>
    </xf>
    <xf numFmtId="0" fontId="36" fillId="0" borderId="142" xfId="0" applyFont="1" applyBorder="1" applyAlignment="1">
      <alignment horizontal="center"/>
    </xf>
    <xf numFmtId="0" fontId="36" fillId="0" borderId="26" xfId="0" applyFont="1" applyBorder="1" applyAlignment="1">
      <alignment horizontal="center" wrapText="1"/>
    </xf>
    <xf numFmtId="0" fontId="36" fillId="0" borderId="27" xfId="0" applyFont="1" applyBorder="1" applyAlignment="1">
      <alignment horizontal="center" wrapText="1"/>
    </xf>
    <xf numFmtId="0" fontId="36" fillId="0" borderId="28" xfId="0" applyFont="1" applyBorder="1" applyAlignment="1">
      <alignment horizontal="center" wrapText="1"/>
    </xf>
    <xf numFmtId="0" fontId="30" fillId="34" borderId="47" xfId="0" applyFont="1" applyFill="1" applyBorder="1" applyAlignment="1">
      <alignment horizontal="center" vertical="center" wrapText="1" shrinkToFit="1"/>
    </xf>
    <xf numFmtId="0" fontId="30" fillId="34" borderId="26" xfId="0" applyFont="1" applyFill="1" applyBorder="1" applyAlignment="1">
      <alignment horizontal="center" vertical="center" wrapText="1" shrinkToFit="1"/>
    </xf>
    <xf numFmtId="0" fontId="36" fillId="0" borderId="26" xfId="0" applyFont="1" applyBorder="1" applyAlignment="1">
      <alignment horizontal="center"/>
    </xf>
    <xf numFmtId="0" fontId="36" fillId="0" borderId="177" xfId="0" applyFont="1" applyBorder="1" applyAlignment="1">
      <alignment horizontal="center"/>
    </xf>
    <xf numFmtId="0" fontId="50" fillId="11" borderId="63" xfId="0" applyFont="1" applyFill="1" applyBorder="1" applyAlignment="1">
      <alignment horizontal="center"/>
    </xf>
    <xf numFmtId="0" fontId="50" fillId="11" borderId="64" xfId="0" applyFont="1" applyFill="1" applyBorder="1" applyAlignment="1">
      <alignment horizontal="center"/>
    </xf>
    <xf numFmtId="0" fontId="50" fillId="11" borderId="65" xfId="0" applyFont="1" applyFill="1" applyBorder="1" applyAlignment="1">
      <alignment horizontal="center"/>
    </xf>
    <xf numFmtId="0" fontId="98" fillId="11" borderId="47" xfId="0" applyFont="1" applyFill="1" applyBorder="1" applyAlignment="1">
      <alignment horizontal="center" vertical="center"/>
    </xf>
    <xf numFmtId="0" fontId="98" fillId="11" borderId="44" xfId="0" applyFont="1" applyFill="1" applyBorder="1" applyAlignment="1">
      <alignment horizontal="center" vertical="center"/>
    </xf>
    <xf numFmtId="0" fontId="98" fillId="11" borderId="80" xfId="0" applyFont="1" applyFill="1" applyBorder="1" applyAlignment="1">
      <alignment horizontal="center" vertical="center"/>
    </xf>
    <xf numFmtId="0" fontId="98" fillId="11" borderId="38" xfId="0" applyFont="1" applyFill="1" applyBorder="1" applyAlignment="1">
      <alignment horizontal="center" vertical="center"/>
    </xf>
    <xf numFmtId="0" fontId="61" fillId="11" borderId="44" xfId="0" applyFont="1" applyFill="1" applyBorder="1" applyAlignment="1">
      <alignment horizontal="center" vertical="center"/>
    </xf>
    <xf numFmtId="0" fontId="61" fillId="11" borderId="162" xfId="0" applyFont="1" applyFill="1" applyBorder="1" applyAlignment="1">
      <alignment horizontal="center" vertical="center"/>
    </xf>
    <xf numFmtId="0" fontId="61" fillId="11" borderId="95" xfId="0" applyFont="1" applyFill="1" applyBorder="1" applyAlignment="1">
      <alignment horizontal="center" vertical="center"/>
    </xf>
    <xf numFmtId="0" fontId="61" fillId="11" borderId="96" xfId="0" applyFont="1" applyFill="1" applyBorder="1" applyAlignment="1">
      <alignment horizontal="center" vertical="center"/>
    </xf>
    <xf numFmtId="0" fontId="54" fillId="11" borderId="59" xfId="0" applyFont="1" applyFill="1" applyBorder="1" applyAlignment="1">
      <alignment horizontal="center" vertical="center"/>
    </xf>
    <xf numFmtId="0" fontId="54" fillId="11" borderId="55" xfId="0" applyFont="1" applyFill="1" applyBorder="1" applyAlignment="1">
      <alignment horizontal="center" vertical="center"/>
    </xf>
    <xf numFmtId="0" fontId="54" fillId="11" borderId="59" xfId="0" applyFont="1" applyFill="1" applyBorder="1" applyAlignment="1">
      <alignment horizontal="center" vertical="center" wrapText="1" shrinkToFit="1"/>
    </xf>
    <xf numFmtId="0" fontId="54" fillId="11" borderId="55" xfId="0" applyFont="1" applyFill="1" applyBorder="1" applyAlignment="1">
      <alignment horizontal="center" vertical="center" wrapText="1" shrinkToFit="1"/>
    </xf>
    <xf numFmtId="0" fontId="89" fillId="11" borderId="79" xfId="0" applyFont="1" applyFill="1" applyBorder="1" applyAlignment="1">
      <alignment horizontal="center" vertical="center"/>
    </xf>
    <xf numFmtId="0" fontId="89" fillId="11" borderId="59" xfId="0" applyFont="1" applyFill="1" applyBorder="1" applyAlignment="1">
      <alignment horizontal="center" vertical="center"/>
    </xf>
    <xf numFmtId="0" fontId="30" fillId="11" borderId="59" xfId="0" applyFont="1" applyFill="1" applyBorder="1" applyAlignment="1">
      <alignment horizontal="center" vertical="center" wrapText="1"/>
    </xf>
    <xf numFmtId="0" fontId="30" fillId="11" borderId="55" xfId="0" applyFont="1" applyFill="1" applyBorder="1" applyAlignment="1">
      <alignment horizontal="center" vertical="center" wrapText="1"/>
    </xf>
    <xf numFmtId="0" fontId="40" fillId="3" borderId="18" xfId="0" applyFont="1" applyFill="1" applyBorder="1" applyAlignment="1">
      <alignment horizontal="center"/>
    </xf>
    <xf numFmtId="0" fontId="40" fillId="3" borderId="16" xfId="0" applyFont="1" applyFill="1" applyBorder="1" applyAlignment="1">
      <alignment horizontal="center"/>
    </xf>
    <xf numFmtId="0" fontId="40" fillId="3" borderId="134" xfId="0" applyFont="1" applyFill="1" applyBorder="1" applyAlignment="1">
      <alignment horizontal="center"/>
    </xf>
    <xf numFmtId="0" fontId="46" fillId="34" borderId="179" xfId="0" applyFont="1" applyFill="1" applyBorder="1" applyAlignment="1">
      <alignment horizontal="center"/>
    </xf>
    <xf numFmtId="0" fontId="46" fillId="34" borderId="9" xfId="0" applyFont="1" applyFill="1" applyBorder="1" applyAlignment="1">
      <alignment horizontal="center"/>
    </xf>
    <xf numFmtId="0" fontId="41" fillId="0" borderId="63" xfId="0" applyFont="1" applyBorder="1" applyAlignment="1">
      <alignment horizontal="center"/>
    </xf>
    <xf numFmtId="0" fontId="41" fillId="0" borderId="64" xfId="0" applyFont="1" applyBorder="1" applyAlignment="1">
      <alignment horizontal="center"/>
    </xf>
    <xf numFmtId="0" fontId="41" fillId="0" borderId="56" xfId="0" applyFont="1" applyBorder="1" applyAlignment="1">
      <alignment horizontal="center"/>
    </xf>
    <xf numFmtId="0" fontId="41" fillId="0" borderId="58" xfId="0" applyFont="1" applyBorder="1" applyAlignment="1">
      <alignment horizontal="center"/>
    </xf>
    <xf numFmtId="43" fontId="39" fillId="11" borderId="100" xfId="26" applyFont="1" applyFill="1" applyBorder="1" applyAlignment="1">
      <alignment horizontal="left" vertical="center"/>
    </xf>
    <xf numFmtId="43" fontId="39" fillId="11" borderId="56" xfId="26" applyFont="1" applyFill="1" applyBorder="1" applyAlignment="1">
      <alignment horizontal="left" vertical="center"/>
    </xf>
    <xf numFmtId="43" fontId="39" fillId="11" borderId="58" xfId="26" applyFont="1" applyFill="1" applyBorder="1" applyAlignment="1">
      <alignment horizontal="left" vertical="center"/>
    </xf>
    <xf numFmtId="0" fontId="30" fillId="11" borderId="47" xfId="0" applyFont="1" applyFill="1" applyBorder="1" applyAlignment="1">
      <alignment horizontal="center" vertical="center" textRotation="90"/>
    </xf>
    <xf numFmtId="0" fontId="30" fillId="11" borderId="80" xfId="0" applyFont="1" applyFill="1" applyBorder="1" applyAlignment="1">
      <alignment horizontal="center" vertical="center" textRotation="90"/>
    </xf>
    <xf numFmtId="0" fontId="30" fillId="11" borderId="26" xfId="0" applyFont="1" applyFill="1" applyBorder="1" applyAlignment="1">
      <alignment horizontal="center" vertical="center" textRotation="90"/>
    </xf>
    <xf numFmtId="9" fontId="61" fillId="11" borderId="162" xfId="29" applyFont="1" applyFill="1" applyBorder="1" applyAlignment="1">
      <alignment horizontal="center" vertical="center" textRotation="90"/>
    </xf>
    <xf numFmtId="9" fontId="61" fillId="11" borderId="142" xfId="29" applyFont="1" applyFill="1" applyBorder="1" applyAlignment="1">
      <alignment horizontal="center" vertical="center" textRotation="90"/>
    </xf>
    <xf numFmtId="9" fontId="61" fillId="11" borderId="177" xfId="29" applyFont="1" applyFill="1" applyBorder="1" applyAlignment="1">
      <alignment horizontal="center" vertical="center" textRotation="90"/>
    </xf>
    <xf numFmtId="1" fontId="39" fillId="11" borderId="44" xfId="0" applyNumberFormat="1" applyFont="1" applyFill="1" applyBorder="1" applyAlignment="1">
      <alignment horizontal="center" vertical="center"/>
    </xf>
    <xf numFmtId="1" fontId="39" fillId="11" borderId="38" xfId="0" applyNumberFormat="1" applyFont="1" applyFill="1" applyBorder="1" applyAlignment="1">
      <alignment horizontal="center" vertical="center"/>
    </xf>
    <xf numFmtId="1" fontId="39" fillId="11" borderId="27" xfId="0" applyNumberFormat="1" applyFont="1" applyFill="1" applyBorder="1" applyAlignment="1">
      <alignment horizontal="center" vertical="center"/>
    </xf>
    <xf numFmtId="1" fontId="39" fillId="11" borderId="96" xfId="0" applyNumberFormat="1" applyFont="1" applyFill="1" applyBorder="1" applyAlignment="1">
      <alignment horizontal="center" vertical="center"/>
    </xf>
    <xf numFmtId="1" fontId="39" fillId="11" borderId="175" xfId="0" applyNumberFormat="1" applyFont="1" applyFill="1" applyBorder="1" applyAlignment="1">
      <alignment horizontal="center" vertical="center"/>
    </xf>
    <xf numFmtId="1" fontId="39" fillId="11" borderId="180" xfId="0" applyNumberFormat="1" applyFont="1" applyFill="1" applyBorder="1" applyAlignment="1">
      <alignment horizontal="center" vertical="center"/>
    </xf>
    <xf numFmtId="0" fontId="30" fillId="11" borderId="25" xfId="0" applyFont="1" applyFill="1" applyBorder="1" applyAlignment="1">
      <alignment horizontal="center" vertical="center" textRotation="90"/>
    </xf>
    <xf numFmtId="0" fontId="30" fillId="11" borderId="79" xfId="0" applyFont="1" applyFill="1" applyBorder="1" applyAlignment="1">
      <alignment horizontal="center" vertical="center" textRotation="90"/>
    </xf>
    <xf numFmtId="9" fontId="46" fillId="11" borderId="157" xfId="29" applyFont="1" applyFill="1" applyBorder="1" applyAlignment="1">
      <alignment horizontal="center" vertical="center" textRotation="90"/>
    </xf>
    <xf numFmtId="9" fontId="46" fillId="11" borderId="142" xfId="29" applyFont="1" applyFill="1" applyBorder="1" applyAlignment="1">
      <alignment horizontal="center" vertical="center" textRotation="90"/>
    </xf>
    <xf numFmtId="9" fontId="46" fillId="11" borderId="140" xfId="29" applyFont="1" applyFill="1" applyBorder="1" applyAlignment="1">
      <alignment horizontal="center" vertical="center" textRotation="90"/>
    </xf>
    <xf numFmtId="1" fontId="39" fillId="11" borderId="166" xfId="0" applyNumberFormat="1" applyFont="1" applyFill="1" applyBorder="1" applyAlignment="1">
      <alignment horizontal="center" vertical="center"/>
    </xf>
    <xf numFmtId="0" fontId="61" fillId="34" borderId="94" xfId="0" applyFont="1" applyFill="1" applyBorder="1" applyAlignment="1">
      <alignment horizontal="center" vertical="center"/>
    </xf>
    <xf numFmtId="0" fontId="61" fillId="34" borderId="95" xfId="0" applyFont="1" applyFill="1" applyBorder="1" applyAlignment="1">
      <alignment horizontal="center" vertical="center"/>
    </xf>
    <xf numFmtId="0" fontId="61" fillId="34" borderId="96" xfId="0" applyFont="1" applyFill="1" applyBorder="1" applyAlignment="1">
      <alignment horizontal="center" vertical="center"/>
    </xf>
    <xf numFmtId="0" fontId="19" fillId="0" borderId="161" xfId="0" applyFont="1" applyBorder="1" applyAlignment="1">
      <alignment horizontal="center" vertical="center"/>
    </xf>
    <xf numFmtId="0" fontId="19" fillId="0" borderId="165" xfId="0" applyFont="1" applyBorder="1" applyAlignment="1">
      <alignment horizontal="center" vertical="center"/>
    </xf>
    <xf numFmtId="0" fontId="19" fillId="0" borderId="166" xfId="0" applyFont="1" applyBorder="1" applyAlignment="1">
      <alignment horizontal="center" vertical="center"/>
    </xf>
    <xf numFmtId="0" fontId="19" fillId="0" borderId="160" xfId="0" applyFont="1" applyBorder="1" applyAlignment="1">
      <alignment horizontal="center" vertical="center"/>
    </xf>
    <xf numFmtId="0" fontId="19" fillId="0" borderId="176" xfId="0" applyFont="1" applyBorder="1" applyAlignment="1">
      <alignment horizontal="center" vertical="center"/>
    </xf>
    <xf numFmtId="0" fontId="19" fillId="0" borderId="175" xfId="0" applyFont="1" applyBorder="1" applyAlignment="1">
      <alignment horizontal="center" vertical="center"/>
    </xf>
    <xf numFmtId="0" fontId="19" fillId="35" borderId="142" xfId="0" applyFont="1" applyFill="1" applyBorder="1" applyAlignment="1">
      <alignment horizontal="center" vertical="center" wrapText="1"/>
    </xf>
    <xf numFmtId="0" fontId="19" fillId="35" borderId="176" xfId="0" applyFont="1" applyFill="1" applyBorder="1" applyAlignment="1">
      <alignment horizontal="center" vertical="center" wrapText="1"/>
    </xf>
    <xf numFmtId="0" fontId="19" fillId="35" borderId="143" xfId="0" applyFont="1" applyFill="1" applyBorder="1" applyAlignment="1">
      <alignment horizontal="center" vertical="center" wrapText="1"/>
    </xf>
    <xf numFmtId="0" fontId="49" fillId="11" borderId="10" xfId="0" applyFont="1" applyFill="1" applyBorder="1" applyAlignment="1">
      <alignment horizontal="center" vertical="center"/>
    </xf>
    <xf numFmtId="0" fontId="49" fillId="11" borderId="11" xfId="0" applyFont="1" applyFill="1" applyBorder="1" applyAlignment="1">
      <alignment horizontal="center" vertical="center"/>
    </xf>
    <xf numFmtId="0" fontId="49" fillId="11" borderId="12" xfId="0" applyFont="1" applyFill="1" applyBorder="1" applyAlignment="1">
      <alignment horizontal="center" vertical="center"/>
    </xf>
    <xf numFmtId="0" fontId="50" fillId="0" borderId="10" xfId="0" applyFont="1" applyBorder="1" applyAlignment="1">
      <alignment horizontal="center" vertical="center"/>
    </xf>
    <xf numFmtId="0" fontId="50" fillId="0" borderId="12" xfId="0" applyFont="1" applyBorder="1" applyAlignment="1">
      <alignment horizontal="center" vertical="center"/>
    </xf>
    <xf numFmtId="0" fontId="50" fillId="11" borderId="11" xfId="0" applyFont="1" applyFill="1" applyBorder="1" applyAlignment="1">
      <alignment horizontal="center" vertical="center"/>
    </xf>
    <xf numFmtId="0" fontId="50" fillId="11" borderId="12" xfId="0" applyFont="1" applyFill="1" applyBorder="1" applyAlignment="1">
      <alignment horizontal="center" vertical="center"/>
    </xf>
    <xf numFmtId="0" fontId="41" fillId="11" borderId="79" xfId="0" applyFont="1" applyFill="1" applyBorder="1" applyAlignment="1">
      <alignment horizontal="center" vertical="center"/>
    </xf>
    <xf numFmtId="0" fontId="41" fillId="11" borderId="59" xfId="0" applyFont="1" applyFill="1" applyBorder="1" applyAlignment="1">
      <alignment horizontal="center" vertical="center"/>
    </xf>
    <xf numFmtId="0" fontId="41" fillId="11" borderId="136" xfId="0" applyFont="1" applyFill="1" applyBorder="1" applyAlignment="1">
      <alignment horizontal="center" vertical="center"/>
    </xf>
    <xf numFmtId="0" fontId="50" fillId="3" borderId="18" xfId="0" applyFont="1" applyFill="1" applyBorder="1" applyAlignment="1">
      <alignment horizontal="center" vertical="center"/>
    </xf>
    <xf numFmtId="0" fontId="50" fillId="3" borderId="16" xfId="0" applyFont="1" applyFill="1" applyBorder="1" applyAlignment="1">
      <alignment horizontal="center" vertical="center"/>
    </xf>
    <xf numFmtId="9" fontId="50" fillId="3" borderId="16" xfId="29" applyFont="1" applyFill="1" applyBorder="1" applyAlignment="1">
      <alignment horizontal="center" vertical="center"/>
    </xf>
    <xf numFmtId="9" fontId="50" fillId="3" borderId="17" xfId="29" applyFont="1" applyFill="1" applyBorder="1" applyAlignment="1">
      <alignment horizontal="center" vertical="center"/>
    </xf>
    <xf numFmtId="0" fontId="72" fillId="0" borderId="0" xfId="28" applyFont="1" applyAlignment="1">
      <alignment horizontal="center" vertical="center"/>
    </xf>
    <xf numFmtId="0" fontId="26" fillId="8" borderId="59" xfId="0" applyFont="1" applyFill="1" applyBorder="1" applyAlignment="1">
      <alignment horizontal="center" vertical="center" wrapText="1"/>
    </xf>
    <xf numFmtId="0" fontId="26" fillId="8" borderId="56" xfId="0" applyFont="1" applyFill="1" applyBorder="1" applyAlignment="1">
      <alignment horizontal="center" vertical="center" wrapText="1"/>
    </xf>
    <xf numFmtId="0" fontId="16" fillId="8" borderId="13" xfId="0" applyFont="1" applyFill="1" applyBorder="1" applyAlignment="1">
      <alignment horizontal="center" vertical="center"/>
    </xf>
    <xf numFmtId="0" fontId="16" fillId="8" borderId="14" xfId="0" applyFont="1" applyFill="1" applyBorder="1" applyAlignment="1">
      <alignment horizontal="center" vertical="center"/>
    </xf>
    <xf numFmtId="0" fontId="14" fillId="13" borderId="22" xfId="0" applyFont="1" applyFill="1" applyBorder="1" applyAlignment="1">
      <alignment horizontal="center" vertical="center"/>
    </xf>
    <xf numFmtId="0" fontId="14" fillId="13" borderId="0" xfId="0" applyFont="1" applyFill="1" applyBorder="1" applyAlignment="1">
      <alignment horizontal="center" vertical="center"/>
    </xf>
    <xf numFmtId="0" fontId="14" fillId="13" borderId="19" xfId="0" applyFont="1" applyFill="1" applyBorder="1" applyAlignment="1">
      <alignment horizontal="center" vertical="center"/>
    </xf>
    <xf numFmtId="0" fontId="14" fillId="13" borderId="13" xfId="0" applyFont="1" applyFill="1" applyBorder="1" applyAlignment="1">
      <alignment horizontal="center" vertical="center"/>
    </xf>
    <xf numFmtId="0" fontId="14" fillId="13" borderId="15" xfId="0" applyFont="1" applyFill="1" applyBorder="1" applyAlignment="1">
      <alignment horizontal="center" vertical="center"/>
    </xf>
    <xf numFmtId="0" fontId="16" fillId="13" borderId="10" xfId="0" applyFont="1" applyFill="1" applyBorder="1" applyAlignment="1">
      <alignment horizontal="center" vertical="center"/>
    </xf>
    <xf numFmtId="0" fontId="16" fillId="13" borderId="12" xfId="0" applyFont="1" applyFill="1" applyBorder="1" applyAlignment="1">
      <alignment horizontal="center" vertical="center"/>
    </xf>
    <xf numFmtId="0" fontId="26" fillId="8" borderId="50" xfId="0" applyFont="1" applyFill="1" applyBorder="1" applyAlignment="1">
      <alignment horizontal="center" vertical="center"/>
    </xf>
    <xf numFmtId="0" fontId="26" fillId="8" borderId="57" xfId="0" applyFont="1" applyFill="1" applyBorder="1" applyAlignment="1">
      <alignment horizontal="center" vertical="center"/>
    </xf>
    <xf numFmtId="0" fontId="26" fillId="8" borderId="58" xfId="0" applyFont="1" applyFill="1" applyBorder="1" applyAlignment="1">
      <alignment horizontal="center" vertical="center"/>
    </xf>
    <xf numFmtId="0" fontId="14" fillId="13" borderId="14" xfId="0" applyFont="1" applyFill="1" applyBorder="1" applyAlignment="1">
      <alignment horizontal="center" vertical="center"/>
    </xf>
    <xf numFmtId="0" fontId="14" fillId="13" borderId="18" xfId="0" applyFont="1" applyFill="1" applyBorder="1" applyAlignment="1">
      <alignment horizontal="center" vertical="center"/>
    </xf>
    <xf numFmtId="0" fontId="14" fillId="13" borderId="16" xfId="0" applyFont="1" applyFill="1" applyBorder="1" applyAlignment="1">
      <alignment horizontal="center" vertical="center"/>
    </xf>
    <xf numFmtId="0" fontId="14" fillId="13" borderId="17" xfId="0" applyFont="1" applyFill="1" applyBorder="1" applyAlignment="1">
      <alignment horizontal="center" vertical="center"/>
    </xf>
    <xf numFmtId="0" fontId="26" fillId="8" borderId="48" xfId="0" applyFont="1" applyFill="1" applyBorder="1" applyAlignment="1">
      <alignment horizontal="center" vertical="center"/>
    </xf>
    <xf numFmtId="0" fontId="26" fillId="8" borderId="53" xfId="0" applyFont="1" applyFill="1" applyBorder="1" applyAlignment="1">
      <alignment horizontal="center" vertical="center"/>
    </xf>
    <xf numFmtId="0" fontId="26" fillId="8" borderId="54" xfId="0" applyFont="1" applyFill="1" applyBorder="1" applyAlignment="1">
      <alignment horizontal="center" vertical="center"/>
    </xf>
    <xf numFmtId="0" fontId="26" fillId="8" borderId="49" xfId="0" applyFont="1" applyFill="1" applyBorder="1" applyAlignment="1">
      <alignment horizontal="center" vertical="center"/>
    </xf>
    <xf numFmtId="0" fontId="26" fillId="8" borderId="55" xfId="0" applyFont="1" applyFill="1" applyBorder="1" applyAlignment="1">
      <alignment horizontal="center" vertical="center"/>
    </xf>
    <xf numFmtId="0" fontId="26" fillId="8" borderId="56" xfId="0" applyFont="1" applyFill="1" applyBorder="1" applyAlignment="1">
      <alignment horizontal="center" vertical="center"/>
    </xf>
    <xf numFmtId="0" fontId="26" fillId="8" borderId="49" xfId="0" applyFont="1" applyFill="1" applyBorder="1" applyAlignment="1">
      <alignment horizontal="center" vertical="center" wrapText="1"/>
    </xf>
    <xf numFmtId="0" fontId="26" fillId="8" borderId="55" xfId="0" applyFont="1" applyFill="1" applyBorder="1" applyAlignment="1">
      <alignment horizontal="center" vertical="center" wrapText="1"/>
    </xf>
    <xf numFmtId="0" fontId="26" fillId="8" borderId="44" xfId="0" applyFont="1" applyFill="1" applyBorder="1" applyAlignment="1">
      <alignment horizontal="center" vertical="center"/>
    </xf>
    <xf numFmtId="0" fontId="26" fillId="8" borderId="50" xfId="0" applyFont="1" applyFill="1" applyBorder="1" applyAlignment="1">
      <alignment horizontal="center" vertical="center" wrapText="1"/>
    </xf>
    <xf numFmtId="0" fontId="26" fillId="8" borderId="57" xfId="0" applyFont="1" applyFill="1" applyBorder="1" applyAlignment="1">
      <alignment horizontal="center" vertical="center" wrapText="1"/>
    </xf>
    <xf numFmtId="0" fontId="26" fillId="8" borderId="58" xfId="0" applyFont="1" applyFill="1" applyBorder="1" applyAlignment="1">
      <alignment horizontal="center" vertical="center" wrapText="1"/>
    </xf>
    <xf numFmtId="0" fontId="26" fillId="8" borderId="48" xfId="0" applyFont="1" applyFill="1" applyBorder="1" applyAlignment="1">
      <alignment horizontal="center" vertical="center" wrapText="1"/>
    </xf>
    <xf numFmtId="0" fontId="26" fillId="8" borderId="53" xfId="0" applyFont="1" applyFill="1" applyBorder="1" applyAlignment="1">
      <alignment horizontal="center" vertical="center" wrapText="1"/>
    </xf>
    <xf numFmtId="0" fontId="26" fillId="8" borderId="54" xfId="0" applyFont="1" applyFill="1" applyBorder="1" applyAlignment="1">
      <alignment horizontal="center" vertical="center" wrapText="1"/>
    </xf>
    <xf numFmtId="0" fontId="35" fillId="0" borderId="0" xfId="0" applyFont="1" applyAlignment="1">
      <alignment horizontal="center"/>
    </xf>
    <xf numFmtId="0" fontId="14" fillId="0" borderId="0" xfId="0" applyFont="1"/>
    <xf numFmtId="0" fontId="17" fillId="8" borderId="59" xfId="0" applyFont="1" applyFill="1" applyBorder="1" applyAlignment="1">
      <alignment horizontal="center" vertical="center" wrapText="1"/>
    </xf>
    <xf numFmtId="0" fontId="17" fillId="8" borderId="56" xfId="0" applyFont="1" applyFill="1" applyBorder="1" applyAlignment="1">
      <alignment horizontal="center" vertical="center" wrapText="1"/>
    </xf>
    <xf numFmtId="0" fontId="17" fillId="8" borderId="93" xfId="0" applyFont="1" applyFill="1" applyBorder="1" applyAlignment="1">
      <alignment horizontal="center" vertical="center"/>
    </xf>
    <xf numFmtId="0" fontId="17" fillId="8" borderId="99" xfId="0" applyFont="1" applyFill="1" applyBorder="1" applyAlignment="1">
      <alignment horizontal="center" vertical="center"/>
    </xf>
    <xf numFmtId="0" fontId="17" fillId="8" borderId="100" xfId="0" applyFont="1" applyFill="1" applyBorder="1" applyAlignment="1">
      <alignment horizontal="center" vertical="center"/>
    </xf>
    <xf numFmtId="0" fontId="17" fillId="8" borderId="44" xfId="0" applyFont="1" applyFill="1" applyBorder="1" applyAlignment="1">
      <alignment horizontal="center" vertical="center"/>
    </xf>
    <xf numFmtId="0" fontId="17" fillId="8" borderId="48" xfId="0" applyFont="1" applyFill="1" applyBorder="1" applyAlignment="1">
      <alignment horizontal="center" vertical="center"/>
    </xf>
    <xf numFmtId="0" fontId="17" fillId="8" borderId="53" xfId="0" applyFont="1" applyFill="1" applyBorder="1" applyAlignment="1">
      <alignment horizontal="center" vertical="center"/>
    </xf>
    <xf numFmtId="0" fontId="17" fillId="8" borderId="54" xfId="0" applyFont="1" applyFill="1" applyBorder="1" applyAlignment="1">
      <alignment horizontal="center" vertical="center"/>
    </xf>
    <xf numFmtId="0" fontId="17" fillId="8" borderId="49" xfId="0" applyFont="1" applyFill="1" applyBorder="1" applyAlignment="1">
      <alignment horizontal="center" vertical="center"/>
    </xf>
    <xf numFmtId="0" fontId="17" fillId="8" borderId="55" xfId="0" applyFont="1" applyFill="1" applyBorder="1" applyAlignment="1">
      <alignment horizontal="center" vertical="center"/>
    </xf>
    <xf numFmtId="0" fontId="17" fillId="8" borderId="56" xfId="0" applyFont="1" applyFill="1" applyBorder="1" applyAlignment="1">
      <alignment horizontal="center" vertical="center"/>
    </xf>
    <xf numFmtId="0" fontId="17" fillId="8" borderId="50" xfId="0" applyFont="1" applyFill="1" applyBorder="1" applyAlignment="1">
      <alignment horizontal="center" vertical="center"/>
    </xf>
    <xf numFmtId="0" fontId="17" fillId="8" borderId="57" xfId="0" applyFont="1" applyFill="1" applyBorder="1" applyAlignment="1">
      <alignment horizontal="center" vertical="center"/>
    </xf>
    <xf numFmtId="0" fontId="17" fillId="8" borderId="58" xfId="0" applyFont="1" applyFill="1" applyBorder="1" applyAlignment="1">
      <alignment horizontal="center" vertical="center"/>
    </xf>
    <xf numFmtId="0" fontId="17" fillId="8" borderId="50" xfId="0" applyFont="1" applyFill="1" applyBorder="1" applyAlignment="1">
      <alignment horizontal="center" vertical="center" wrapText="1"/>
    </xf>
    <xf numFmtId="0" fontId="17" fillId="8" borderId="57" xfId="0" applyFont="1" applyFill="1" applyBorder="1" applyAlignment="1">
      <alignment horizontal="center" vertical="center" wrapText="1"/>
    </xf>
    <xf numFmtId="0" fontId="17" fillId="8" borderId="58" xfId="0" applyFont="1" applyFill="1" applyBorder="1" applyAlignment="1">
      <alignment horizontal="center" vertical="center" wrapText="1"/>
    </xf>
    <xf numFmtId="0" fontId="17" fillId="8" borderId="21" xfId="0" applyFont="1" applyFill="1" applyBorder="1" applyAlignment="1">
      <alignment horizontal="center" vertical="center" wrapText="1"/>
    </xf>
    <xf numFmtId="0" fontId="17" fillId="8" borderId="20" xfId="0" applyFont="1" applyFill="1" applyBorder="1" applyAlignment="1">
      <alignment horizontal="center" vertical="center" wrapText="1"/>
    </xf>
    <xf numFmtId="0" fontId="17" fillId="8" borderId="23" xfId="0" applyFont="1" applyFill="1" applyBorder="1" applyAlignment="1">
      <alignment horizontal="center" vertical="center" wrapText="1"/>
    </xf>
    <xf numFmtId="0" fontId="17" fillId="8" borderId="44" xfId="0" applyFont="1" applyFill="1" applyBorder="1" applyAlignment="1">
      <alignment horizontal="center" vertical="center" wrapText="1"/>
    </xf>
    <xf numFmtId="0" fontId="17" fillId="8" borderId="27" xfId="0" applyFont="1" applyFill="1" applyBorder="1" applyAlignment="1">
      <alignment horizontal="center" vertical="center" wrapText="1"/>
    </xf>
    <xf numFmtId="0" fontId="17" fillId="8" borderId="45" xfId="0" applyFont="1" applyFill="1" applyBorder="1" applyAlignment="1">
      <alignment horizontal="center" vertical="center"/>
    </xf>
    <xf numFmtId="0" fontId="17" fillId="8" borderId="28" xfId="0" applyFont="1" applyFill="1" applyBorder="1" applyAlignment="1">
      <alignment horizontal="center" vertical="center"/>
    </xf>
    <xf numFmtId="0" fontId="19" fillId="0" borderId="0" xfId="0" applyFont="1" applyAlignment="1">
      <alignment horizontal="center"/>
    </xf>
    <xf numFmtId="0" fontId="17" fillId="8" borderId="47" xfId="0" applyFont="1" applyFill="1" applyBorder="1" applyAlignment="1">
      <alignment horizontal="center" vertical="center"/>
    </xf>
    <xf numFmtId="0" fontId="17" fillId="8" borderId="26" xfId="0" applyFont="1" applyFill="1" applyBorder="1" applyAlignment="1">
      <alignment horizontal="center" vertical="center"/>
    </xf>
    <xf numFmtId="0" fontId="17" fillId="8" borderId="97" xfId="0" applyFont="1" applyFill="1" applyBorder="1" applyAlignment="1">
      <alignment horizontal="center" vertical="center"/>
    </xf>
    <xf numFmtId="0" fontId="17" fillId="8" borderId="98" xfId="0" applyFont="1" applyFill="1" applyBorder="1" applyAlignment="1">
      <alignment horizontal="center" vertical="center" wrapText="1"/>
    </xf>
    <xf numFmtId="0" fontId="17" fillId="8" borderId="133" xfId="0" applyFont="1" applyFill="1" applyBorder="1" applyAlignment="1">
      <alignment horizontal="center" vertical="center" wrapText="1"/>
    </xf>
    <xf numFmtId="0" fontId="17" fillId="8" borderId="27" xfId="0" applyFont="1" applyFill="1" applyBorder="1" applyAlignment="1">
      <alignment horizontal="center" vertical="center"/>
    </xf>
    <xf numFmtId="0" fontId="16" fillId="10" borderId="124" xfId="28" applyFont="1" applyFill="1" applyBorder="1" applyAlignment="1" applyProtection="1">
      <alignment horizontal="center" vertical="center"/>
      <protection locked="0"/>
    </xf>
    <xf numFmtId="0" fontId="16" fillId="10" borderId="111" xfId="28" applyFont="1" applyFill="1" applyBorder="1" applyAlignment="1" applyProtection="1">
      <alignment horizontal="center" vertical="center"/>
      <protection locked="0"/>
    </xf>
    <xf numFmtId="0" fontId="35" fillId="10" borderId="124" xfId="28" applyFont="1" applyFill="1" applyBorder="1" applyAlignment="1" applyProtection="1">
      <alignment horizontal="center" vertical="center"/>
      <protection locked="0"/>
    </xf>
    <xf numFmtId="0" fontId="35" fillId="10" borderId="111" xfId="28" applyFont="1" applyFill="1" applyBorder="1" applyAlignment="1" applyProtection="1">
      <alignment horizontal="center" vertical="center"/>
      <protection locked="0"/>
    </xf>
    <xf numFmtId="0" fontId="33" fillId="10" borderId="125" xfId="28" applyFont="1" applyFill="1" applyBorder="1" applyAlignment="1" applyProtection="1">
      <alignment horizontal="center" vertical="center"/>
      <protection locked="0"/>
    </xf>
    <xf numFmtId="0" fontId="33" fillId="10" borderId="126" xfId="28" applyFont="1" applyFill="1" applyBorder="1" applyAlignment="1" applyProtection="1">
      <alignment horizontal="center" vertical="center"/>
      <protection locked="0"/>
    </xf>
    <xf numFmtId="0" fontId="35" fillId="27" borderId="10" xfId="28" applyFont="1" applyFill="1" applyBorder="1" applyAlignment="1" applyProtection="1">
      <alignment horizontal="center" vertical="center"/>
      <protection locked="0"/>
    </xf>
    <xf numFmtId="0" fontId="35" fillId="27" borderId="11" xfId="28" applyFont="1" applyFill="1" applyBorder="1" applyAlignment="1" applyProtection="1">
      <alignment horizontal="center" vertical="center"/>
      <protection locked="0"/>
    </xf>
    <xf numFmtId="0" fontId="35" fillId="27" borderId="12" xfId="28" applyFont="1" applyFill="1" applyBorder="1" applyAlignment="1" applyProtection="1">
      <alignment horizontal="center" vertical="center"/>
      <protection locked="0"/>
    </xf>
    <xf numFmtId="0" fontId="35" fillId="27" borderId="22" xfId="28" applyFont="1" applyFill="1" applyBorder="1" applyAlignment="1" applyProtection="1">
      <alignment horizontal="center" vertical="center"/>
      <protection locked="0"/>
    </xf>
    <xf numFmtId="0" fontId="35" fillId="27" borderId="0" xfId="28" applyFont="1" applyFill="1" applyAlignment="1" applyProtection="1">
      <alignment horizontal="center" vertical="center"/>
      <protection locked="0"/>
    </xf>
    <xf numFmtId="0" fontId="35" fillId="27" borderId="19" xfId="28" applyFont="1" applyFill="1" applyBorder="1" applyAlignment="1" applyProtection="1">
      <alignment horizontal="center" vertical="center"/>
      <protection locked="0"/>
    </xf>
    <xf numFmtId="0" fontId="35" fillId="27" borderId="13" xfId="28" applyFont="1" applyFill="1" applyBorder="1" applyAlignment="1" applyProtection="1">
      <alignment horizontal="center" vertical="center"/>
      <protection locked="0"/>
    </xf>
    <xf numFmtId="0" fontId="35" fillId="27" borderId="14" xfId="28" applyFont="1" applyFill="1" applyBorder="1" applyAlignment="1" applyProtection="1">
      <alignment horizontal="center" vertical="center"/>
      <protection locked="0"/>
    </xf>
    <xf numFmtId="0" fontId="35" fillId="27" borderId="15" xfId="28" applyFont="1" applyFill="1" applyBorder="1" applyAlignment="1" applyProtection="1">
      <alignment horizontal="center" vertical="center"/>
      <protection locked="0"/>
    </xf>
    <xf numFmtId="166" fontId="35" fillId="3" borderId="139" xfId="28" applyNumberFormat="1" applyFont="1" applyFill="1" applyBorder="1" applyAlignment="1" applyProtection="1">
      <alignment horizontal="center" vertical="center"/>
    </xf>
    <xf numFmtId="0" fontId="35" fillId="3" borderId="139" xfId="28" applyFont="1" applyFill="1" applyBorder="1" applyAlignment="1" applyProtection="1">
      <alignment horizontal="center" vertical="center"/>
    </xf>
    <xf numFmtId="0" fontId="35" fillId="3" borderId="112" xfId="28" applyFont="1" applyFill="1" applyBorder="1" applyAlignment="1" applyProtection="1">
      <alignment horizontal="center" vertical="center"/>
    </xf>
    <xf numFmtId="0" fontId="35" fillId="3" borderId="116" xfId="28" applyFont="1" applyFill="1" applyBorder="1" applyAlignment="1" applyProtection="1">
      <alignment horizontal="center" vertical="center"/>
    </xf>
    <xf numFmtId="166" fontId="35" fillId="3" borderId="112" xfId="28" applyNumberFormat="1" applyFont="1" applyFill="1" applyBorder="1" applyAlignment="1" applyProtection="1">
      <alignment horizontal="center" vertical="center"/>
    </xf>
    <xf numFmtId="166" fontId="35" fillId="3" borderId="116" xfId="28" applyNumberFormat="1" applyFont="1" applyFill="1" applyBorder="1" applyAlignment="1" applyProtection="1">
      <alignment horizontal="center" vertical="center"/>
    </xf>
    <xf numFmtId="0" fontId="35" fillId="10" borderId="121" xfId="28" applyFont="1" applyFill="1" applyBorder="1" applyAlignment="1" applyProtection="1">
      <alignment horizontal="center" vertical="center"/>
      <protection locked="0"/>
    </xf>
    <xf numFmtId="0" fontId="35" fillId="10" borderId="122" xfId="28" applyFont="1" applyFill="1" applyBorder="1" applyAlignment="1" applyProtection="1">
      <alignment horizontal="center" vertical="center"/>
      <protection locked="0"/>
    </xf>
    <xf numFmtId="0" fontId="35" fillId="10" borderId="123" xfId="28" applyFont="1" applyFill="1" applyBorder="1" applyAlignment="1" applyProtection="1">
      <alignment horizontal="center" vertical="center"/>
      <protection locked="0"/>
    </xf>
    <xf numFmtId="0" fontId="19" fillId="9" borderId="0" xfId="28" applyFont="1" applyFill="1" applyAlignment="1">
      <alignment horizontal="center"/>
    </xf>
    <xf numFmtId="0" fontId="28" fillId="8" borderId="14" xfId="0" applyFont="1" applyFill="1" applyBorder="1" applyAlignment="1">
      <alignment horizontal="center" vertical="center" wrapText="1" readingOrder="2"/>
    </xf>
    <xf numFmtId="0" fontId="31" fillId="8" borderId="13" xfId="0" applyFont="1" applyFill="1" applyBorder="1" applyAlignment="1">
      <alignment horizontal="center" vertical="center" wrapText="1" readingOrder="2"/>
    </xf>
    <xf numFmtId="0" fontId="31" fillId="8" borderId="14" xfId="0" applyFont="1" applyFill="1" applyBorder="1" applyAlignment="1">
      <alignment horizontal="center" vertical="center" wrapText="1" readingOrder="2"/>
    </xf>
    <xf numFmtId="0" fontId="31" fillId="8" borderId="18" xfId="0" applyFont="1" applyFill="1" applyBorder="1" applyAlignment="1">
      <alignment horizontal="center" vertical="center" wrapText="1" readingOrder="2"/>
    </xf>
    <xf numFmtId="0" fontId="31" fillId="8" borderId="16" xfId="0" applyFont="1" applyFill="1" applyBorder="1" applyAlignment="1">
      <alignment horizontal="center" vertical="center" wrapText="1" readingOrder="2"/>
    </xf>
    <xf numFmtId="167" fontId="25" fillId="8" borderId="16" xfId="29" applyNumberFormat="1" applyFont="1" applyFill="1" applyBorder="1" applyAlignment="1">
      <alignment horizontal="center" vertical="center"/>
    </xf>
    <xf numFmtId="167" fontId="25" fillId="8" borderId="17" xfId="29" applyNumberFormat="1" applyFont="1" applyFill="1" applyBorder="1" applyAlignment="1">
      <alignment horizontal="center" vertical="center"/>
    </xf>
    <xf numFmtId="0" fontId="14" fillId="8" borderId="44" xfId="0" applyFont="1" applyFill="1" applyBorder="1" applyAlignment="1">
      <alignment horizontal="center" vertical="center"/>
    </xf>
    <xf numFmtId="0" fontId="14" fillId="8" borderId="59" xfId="0" applyFont="1" applyFill="1" applyBorder="1" applyAlignment="1">
      <alignment horizontal="center" vertical="center"/>
    </xf>
    <xf numFmtId="0" fontId="17" fillId="8" borderId="136" xfId="0" applyFont="1" applyFill="1" applyBorder="1" applyAlignment="1">
      <alignment horizontal="center" vertical="center"/>
    </xf>
    <xf numFmtId="0" fontId="40" fillId="8" borderId="10" xfId="0" applyFont="1" applyFill="1" applyBorder="1" applyAlignment="1">
      <alignment horizontal="center" vertical="center"/>
    </xf>
    <xf numFmtId="0" fontId="40" fillId="8" borderId="11" xfId="0" applyFont="1" applyFill="1" applyBorder="1" applyAlignment="1">
      <alignment horizontal="center" vertical="center"/>
    </xf>
    <xf numFmtId="0" fontId="40" fillId="8" borderId="12" xfId="0" applyFont="1" applyFill="1" applyBorder="1" applyAlignment="1">
      <alignment horizontal="center" vertical="center"/>
    </xf>
    <xf numFmtId="0" fontId="40" fillId="8" borderId="22" xfId="0" applyFont="1" applyFill="1" applyBorder="1" applyAlignment="1">
      <alignment horizontal="center" vertical="center"/>
    </xf>
    <xf numFmtId="0" fontId="40" fillId="8" borderId="0" xfId="0" applyFont="1" applyFill="1" applyBorder="1" applyAlignment="1">
      <alignment horizontal="center" vertical="center"/>
    </xf>
    <xf numFmtId="0" fontId="40" fillId="8" borderId="19" xfId="0" applyFont="1" applyFill="1" applyBorder="1" applyAlignment="1">
      <alignment horizontal="center" vertical="center"/>
    </xf>
    <xf numFmtId="0" fontId="27" fillId="8" borderId="18" xfId="0" applyFont="1" applyFill="1" applyBorder="1" applyAlignment="1">
      <alignment horizontal="center" vertical="center"/>
    </xf>
    <xf numFmtId="0" fontId="27" fillId="8" borderId="16" xfId="0" applyFont="1" applyFill="1" applyBorder="1" applyAlignment="1">
      <alignment horizontal="center" vertical="center"/>
    </xf>
    <xf numFmtId="0" fontId="27" fillId="8" borderId="17" xfId="0" applyFont="1" applyFill="1" applyBorder="1" applyAlignment="1">
      <alignment horizontal="center" vertical="center"/>
    </xf>
    <xf numFmtId="0" fontId="27" fillId="11" borderId="0" xfId="0" applyFont="1" applyFill="1" applyBorder="1" applyAlignment="1">
      <alignment horizontal="center" vertical="center" wrapText="1" readingOrder="2"/>
    </xf>
    <xf numFmtId="0" fontId="27" fillId="11" borderId="19" xfId="0" applyFont="1" applyFill="1" applyBorder="1" applyAlignment="1">
      <alignment horizontal="center" vertical="center" wrapText="1" readingOrder="2"/>
    </xf>
    <xf numFmtId="0" fontId="27" fillId="11" borderId="14" xfId="0" applyFont="1" applyFill="1" applyBorder="1" applyAlignment="1">
      <alignment horizontal="center" vertical="center" wrapText="1" readingOrder="2"/>
    </xf>
    <xf numFmtId="0" fontId="27" fillId="11" borderId="15" xfId="0" applyFont="1" applyFill="1" applyBorder="1" applyAlignment="1">
      <alignment horizontal="center" vertical="center" wrapText="1" readingOrder="2"/>
    </xf>
    <xf numFmtId="0" fontId="14" fillId="8" borderId="47" xfId="0" applyFont="1" applyFill="1" applyBorder="1" applyAlignment="1">
      <alignment horizontal="center" vertical="center"/>
    </xf>
    <xf numFmtId="0" fontId="14" fillId="8" borderId="79" xfId="0" applyFont="1" applyFill="1" applyBorder="1" applyAlignment="1">
      <alignment horizontal="center" vertical="center"/>
    </xf>
    <xf numFmtId="0" fontId="17" fillId="8" borderId="59" xfId="0" applyFont="1" applyFill="1" applyBorder="1" applyAlignment="1">
      <alignment horizontal="center" vertical="center"/>
    </xf>
    <xf numFmtId="0" fontId="19" fillId="8" borderId="18" xfId="28" applyFont="1" applyFill="1" applyBorder="1" applyAlignment="1">
      <alignment horizontal="center" vertical="center" readingOrder="2"/>
    </xf>
    <xf numFmtId="0" fontId="19" fillId="8" borderId="16" xfId="28" applyFont="1" applyFill="1" applyBorder="1" applyAlignment="1">
      <alignment horizontal="center" vertical="center" readingOrder="2"/>
    </xf>
    <xf numFmtId="0" fontId="33" fillId="11" borderId="7" xfId="0" applyFont="1" applyFill="1" applyBorder="1" applyAlignment="1">
      <alignment horizontal="center"/>
    </xf>
    <xf numFmtId="0" fontId="33" fillId="11" borderId="0" xfId="0" applyFont="1" applyFill="1" applyBorder="1" applyAlignment="1">
      <alignment horizontal="center"/>
    </xf>
    <xf numFmtId="0" fontId="33" fillId="11" borderId="157" xfId="0" applyFont="1" applyFill="1" applyBorder="1" applyAlignment="1">
      <alignment horizontal="center" vertical="center" readingOrder="2"/>
    </xf>
    <xf numFmtId="0" fontId="33" fillId="11" borderId="9" xfId="0" applyFont="1" applyFill="1" applyBorder="1" applyAlignment="1">
      <alignment horizontal="center" vertical="center" readingOrder="2"/>
    </xf>
    <xf numFmtId="0" fontId="17" fillId="8" borderId="14" xfId="0" applyFont="1" applyFill="1" applyBorder="1" applyAlignment="1">
      <alignment horizontal="center" vertical="center"/>
    </xf>
    <xf numFmtId="166" fontId="26" fillId="11" borderId="14" xfId="24" applyNumberFormat="1" applyFont="1" applyFill="1" applyBorder="1" applyAlignment="1">
      <alignment horizontal="center" vertical="center" wrapText="1"/>
    </xf>
    <xf numFmtId="0" fontId="55" fillId="11" borderId="0" xfId="0" applyFont="1" applyFill="1" applyBorder="1" applyAlignment="1">
      <alignment horizontal="center" vertical="center"/>
    </xf>
    <xf numFmtId="0" fontId="56" fillId="11" borderId="0" xfId="0" applyFont="1" applyFill="1" applyBorder="1" applyAlignment="1">
      <alignment horizontal="center" vertical="center"/>
    </xf>
    <xf numFmtId="0" fontId="17" fillId="8" borderId="0" xfId="0" applyFont="1" applyFill="1" applyBorder="1" applyAlignment="1">
      <alignment horizontal="center" vertical="center"/>
    </xf>
    <xf numFmtId="0" fontId="17" fillId="8" borderId="19" xfId="0" applyFont="1" applyFill="1" applyBorder="1" applyAlignment="1">
      <alignment horizontal="center" vertical="center"/>
    </xf>
    <xf numFmtId="0" fontId="17" fillId="8" borderId="15" xfId="0" applyFont="1" applyFill="1" applyBorder="1" applyAlignment="1">
      <alignment horizontal="center" vertical="center"/>
    </xf>
    <xf numFmtId="9" fontId="27" fillId="11" borderId="0" xfId="24" applyFont="1" applyFill="1" applyBorder="1" applyAlignment="1">
      <alignment horizontal="center" vertical="center"/>
    </xf>
    <xf numFmtId="0" fontId="17" fillId="8" borderId="18" xfId="0" applyFont="1" applyFill="1" applyBorder="1" applyAlignment="1">
      <alignment horizontal="center" vertical="center"/>
    </xf>
    <xf numFmtId="0" fontId="17" fillId="8" borderId="16" xfId="0" applyFont="1" applyFill="1" applyBorder="1" applyAlignment="1">
      <alignment horizontal="center" vertical="center"/>
    </xf>
    <xf numFmtId="0" fontId="17" fillId="8" borderId="17" xfId="0" applyFont="1" applyFill="1" applyBorder="1" applyAlignment="1">
      <alignment horizontal="center" vertical="center"/>
    </xf>
    <xf numFmtId="0" fontId="17" fillId="8" borderId="10" xfId="0" applyFont="1" applyFill="1" applyBorder="1" applyAlignment="1">
      <alignment horizontal="center"/>
    </xf>
    <xf numFmtId="0" fontId="17" fillId="8" borderId="11" xfId="0" applyFont="1" applyFill="1" applyBorder="1" applyAlignment="1">
      <alignment horizontal="center"/>
    </xf>
    <xf numFmtId="0" fontId="17" fillId="8" borderId="12" xfId="0" applyFont="1" applyFill="1" applyBorder="1" applyAlignment="1">
      <alignment horizontal="center"/>
    </xf>
    <xf numFmtId="0" fontId="27" fillId="11" borderId="0" xfId="0" applyFont="1" applyFill="1" applyBorder="1" applyAlignment="1">
      <alignment horizontal="center" vertical="center" wrapText="1"/>
    </xf>
    <xf numFmtId="0" fontId="17" fillId="8" borderId="22" xfId="0" applyFont="1" applyFill="1" applyBorder="1" applyAlignment="1">
      <alignment horizontal="center" vertical="center"/>
    </xf>
    <xf numFmtId="0" fontId="17" fillId="8" borderId="13" xfId="0" applyFont="1" applyFill="1" applyBorder="1" applyAlignment="1">
      <alignment horizontal="center" vertical="center"/>
    </xf>
    <xf numFmtId="0" fontId="17" fillId="8" borderId="10" xfId="0" applyFont="1" applyFill="1" applyBorder="1" applyAlignment="1">
      <alignment horizontal="center" vertical="center"/>
    </xf>
    <xf numFmtId="0" fontId="17" fillId="8" borderId="11" xfId="0" applyFont="1" applyFill="1" applyBorder="1" applyAlignment="1">
      <alignment horizontal="center" vertical="center"/>
    </xf>
    <xf numFmtId="0" fontId="17" fillId="8" borderId="12" xfId="0" applyFont="1" applyFill="1" applyBorder="1" applyAlignment="1">
      <alignment horizontal="center" vertical="center"/>
    </xf>
    <xf numFmtId="0" fontId="29" fillId="8" borderId="48" xfId="0" applyFont="1" applyFill="1" applyBorder="1" applyAlignment="1">
      <alignment horizontal="center" vertical="center"/>
    </xf>
    <xf numFmtId="0" fontId="29" fillId="8" borderId="49" xfId="0" applyFont="1" applyFill="1" applyBorder="1" applyAlignment="1">
      <alignment horizontal="center" vertical="center"/>
    </xf>
    <xf numFmtId="0" fontId="29" fillId="8" borderId="50" xfId="0" applyFont="1" applyFill="1" applyBorder="1" applyAlignment="1">
      <alignment horizontal="center" vertical="center"/>
    </xf>
    <xf numFmtId="0" fontId="29" fillId="8" borderId="64" xfId="0" applyFont="1" applyFill="1" applyBorder="1" applyAlignment="1">
      <alignment horizontal="center" vertical="center" wrapText="1"/>
    </xf>
    <xf numFmtId="0" fontId="27" fillId="11" borderId="0" xfId="0" applyFont="1" applyFill="1" applyBorder="1" applyAlignment="1">
      <alignment horizontal="center"/>
    </xf>
    <xf numFmtId="0" fontId="29" fillId="11" borderId="0" xfId="0" applyFont="1" applyFill="1" applyBorder="1" applyAlignment="1">
      <alignment horizontal="center"/>
    </xf>
    <xf numFmtId="0" fontId="17" fillId="8" borderId="18" xfId="0" applyFont="1" applyFill="1" applyBorder="1" applyAlignment="1">
      <alignment horizontal="center"/>
    </xf>
    <xf numFmtId="0" fontId="17" fillId="8" borderId="16" xfId="0" applyFont="1" applyFill="1" applyBorder="1" applyAlignment="1">
      <alignment horizontal="center"/>
    </xf>
    <xf numFmtId="0" fontId="29" fillId="8" borderId="18" xfId="0" applyFont="1" applyFill="1" applyBorder="1" applyAlignment="1">
      <alignment horizontal="center" vertical="center"/>
    </xf>
    <xf numFmtId="0" fontId="29" fillId="8" borderId="16" xfId="0" applyFont="1" applyFill="1" applyBorder="1" applyAlignment="1">
      <alignment horizontal="center" vertical="center"/>
    </xf>
    <xf numFmtId="0" fontId="29" fillId="8" borderId="17" xfId="0" applyFont="1" applyFill="1" applyBorder="1" applyAlignment="1">
      <alignment horizontal="center" vertical="center"/>
    </xf>
    <xf numFmtId="0" fontId="17" fillId="8" borderId="10" xfId="0" applyFont="1" applyFill="1" applyBorder="1" applyAlignment="1">
      <alignment horizontal="center" vertical="center" wrapText="1"/>
    </xf>
    <xf numFmtId="0" fontId="17" fillId="8" borderId="11"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7" fillId="11" borderId="0" xfId="0" applyFont="1" applyFill="1" applyBorder="1" applyAlignment="1">
      <alignment horizontal="center" vertical="center"/>
    </xf>
    <xf numFmtId="0" fontId="50" fillId="0" borderId="0" xfId="0" applyFont="1" applyAlignment="1">
      <alignment horizontal="center"/>
    </xf>
    <xf numFmtId="0" fontId="0" fillId="0" borderId="0" xfId="0" applyAlignment="1">
      <alignment horizontal="center"/>
    </xf>
    <xf numFmtId="0" fontId="14" fillId="11" borderId="0" xfId="0" applyFont="1" applyFill="1" applyAlignment="1">
      <alignment horizontal="center" vertical="center"/>
    </xf>
    <xf numFmtId="0" fontId="14" fillId="0" borderId="0" xfId="27" applyFont="1" applyAlignment="1">
      <alignment horizontal="center"/>
    </xf>
    <xf numFmtId="0" fontId="14" fillId="0" borderId="0" xfId="27" applyFont="1"/>
    <xf numFmtId="0" fontId="19" fillId="11" borderId="0" xfId="0" applyFont="1" applyFill="1" applyBorder="1" applyAlignment="1">
      <alignment horizontal="center"/>
    </xf>
    <xf numFmtId="0" fontId="19" fillId="0" borderId="0" xfId="0" applyFont="1" applyBorder="1" applyAlignment="1">
      <alignment horizontal="center"/>
    </xf>
    <xf numFmtId="0" fontId="25" fillId="8" borderId="47" xfId="0" applyFont="1" applyFill="1" applyBorder="1" applyAlignment="1">
      <alignment horizontal="center" vertical="center"/>
    </xf>
    <xf numFmtId="0" fontId="25" fillId="8" borderId="26" xfId="0" applyFont="1" applyFill="1" applyBorder="1" applyAlignment="1">
      <alignment horizontal="center" vertical="center"/>
    </xf>
    <xf numFmtId="3" fontId="22" fillId="11" borderId="0" xfId="24" applyNumberFormat="1" applyFont="1" applyFill="1" applyBorder="1" applyAlignment="1">
      <alignment horizontal="center" vertical="center"/>
    </xf>
    <xf numFmtId="166" fontId="31" fillId="11" borderId="19" xfId="24" applyNumberFormat="1" applyFont="1" applyFill="1" applyBorder="1" applyAlignment="1">
      <alignment horizontal="center" vertical="center"/>
    </xf>
    <xf numFmtId="0" fontId="31" fillId="8" borderId="18" xfId="25" applyFont="1" applyFill="1" applyBorder="1" applyAlignment="1">
      <alignment horizontal="center" vertical="center"/>
    </xf>
    <xf numFmtId="0" fontId="31" fillId="8" borderId="16" xfId="25" applyFont="1" applyFill="1" applyBorder="1" applyAlignment="1">
      <alignment horizontal="center" vertical="center"/>
    </xf>
    <xf numFmtId="0" fontId="34" fillId="8" borderId="18" xfId="0" applyFont="1" applyFill="1" applyBorder="1" applyAlignment="1">
      <alignment horizontal="center"/>
    </xf>
    <xf numFmtId="0" fontId="34" fillId="8" borderId="17" xfId="0" applyFont="1" applyFill="1" applyBorder="1" applyAlignment="1">
      <alignment horizontal="center"/>
    </xf>
    <xf numFmtId="0" fontId="22" fillId="8" borderId="11" xfId="0" applyFont="1" applyFill="1" applyBorder="1" applyAlignment="1">
      <alignment horizontal="center"/>
    </xf>
    <xf numFmtId="9" fontId="22" fillId="8" borderId="11" xfId="0" applyNumberFormat="1" applyFont="1" applyFill="1" applyBorder="1" applyAlignment="1">
      <alignment horizontal="center" vertical="center"/>
    </xf>
    <xf numFmtId="9" fontId="22" fillId="8" borderId="12" xfId="0" applyNumberFormat="1" applyFont="1" applyFill="1" applyBorder="1" applyAlignment="1">
      <alignment horizontal="center" vertical="center"/>
    </xf>
    <xf numFmtId="9" fontId="17" fillId="23" borderId="32" xfId="0" applyNumberFormat="1" applyFont="1" applyFill="1" applyBorder="1" applyAlignment="1">
      <alignment horizontal="center" vertical="center"/>
    </xf>
    <xf numFmtId="0" fontId="31" fillId="8" borderId="32" xfId="0" applyFont="1" applyFill="1" applyBorder="1"/>
    <xf numFmtId="0" fontId="31" fillId="8" borderId="33" xfId="0" applyFont="1" applyFill="1" applyBorder="1"/>
    <xf numFmtId="1" fontId="25" fillId="8" borderId="18" xfId="0" applyNumberFormat="1" applyFont="1" applyFill="1" applyBorder="1" applyAlignment="1">
      <alignment horizontal="center" vertical="center" wrapText="1" readingOrder="2"/>
    </xf>
    <xf numFmtId="1" fontId="25" fillId="8" borderId="16" xfId="0" applyNumberFormat="1" applyFont="1" applyFill="1" applyBorder="1" applyAlignment="1">
      <alignment horizontal="center" vertical="center" wrapText="1" readingOrder="2"/>
    </xf>
    <xf numFmtId="9" fontId="57" fillId="8" borderId="16" xfId="24" applyFont="1" applyFill="1" applyBorder="1" applyAlignment="1">
      <alignment horizontal="center" vertical="center" wrapText="1" readingOrder="2"/>
    </xf>
    <xf numFmtId="9" fontId="57" fillId="8" borderId="17" xfId="24" applyFont="1" applyFill="1" applyBorder="1" applyAlignment="1">
      <alignment horizontal="center" vertical="center" wrapText="1" readingOrder="2"/>
    </xf>
    <xf numFmtId="0" fontId="25" fillId="8" borderId="18" xfId="0" applyFont="1" applyFill="1" applyBorder="1" applyAlignment="1">
      <alignment horizontal="center"/>
    </xf>
    <xf numFmtId="0" fontId="25" fillId="8" borderId="16" xfId="0" applyFont="1" applyFill="1" applyBorder="1" applyAlignment="1">
      <alignment horizontal="center"/>
    </xf>
    <xf numFmtId="0" fontId="25" fillId="8" borderId="17" xfId="0" applyFont="1" applyFill="1" applyBorder="1" applyAlignment="1">
      <alignment horizontal="center"/>
    </xf>
    <xf numFmtId="0" fontId="25" fillId="8" borderId="18" xfId="0" applyFont="1" applyFill="1" applyBorder="1" applyAlignment="1">
      <alignment horizontal="center" vertical="center" wrapText="1" readingOrder="2"/>
    </xf>
    <xf numFmtId="0" fontId="25" fillId="8" borderId="16" xfId="0" applyFont="1" applyFill="1" applyBorder="1" applyAlignment="1">
      <alignment horizontal="center" vertical="center" wrapText="1" readingOrder="2"/>
    </xf>
    <xf numFmtId="0" fontId="25" fillId="8" borderId="10" xfId="0" applyFont="1" applyFill="1" applyBorder="1" applyAlignment="1">
      <alignment horizontal="center"/>
    </xf>
    <xf numFmtId="0" fontId="25" fillId="8" borderId="11" xfId="0" applyFont="1" applyFill="1" applyBorder="1" applyAlignment="1">
      <alignment horizontal="center"/>
    </xf>
    <xf numFmtId="0" fontId="25" fillId="8" borderId="12" xfId="0" applyFont="1" applyFill="1" applyBorder="1" applyAlignment="1">
      <alignment horizontal="center"/>
    </xf>
    <xf numFmtId="0" fontId="25" fillId="8" borderId="13" xfId="0" applyFont="1" applyFill="1" applyBorder="1" applyAlignment="1">
      <alignment horizontal="center" vertical="center" wrapText="1" readingOrder="2"/>
    </xf>
    <xf numFmtId="0" fontId="25" fillId="8" borderId="14" xfId="0" applyFont="1" applyFill="1" applyBorder="1" applyAlignment="1">
      <alignment horizontal="center" vertical="center" wrapText="1" readingOrder="2"/>
    </xf>
    <xf numFmtId="0" fontId="31" fillId="8" borderId="47" xfId="0" applyFont="1" applyFill="1" applyBorder="1" applyAlignment="1">
      <alignment horizontal="center"/>
    </xf>
    <xf numFmtId="0" fontId="31" fillId="8" borderId="44" xfId="0" applyFont="1" applyFill="1" applyBorder="1" applyAlignment="1">
      <alignment horizontal="center"/>
    </xf>
    <xf numFmtId="0" fontId="31" fillId="8" borderId="45" xfId="0" applyFont="1" applyFill="1" applyBorder="1" applyAlignment="1">
      <alignment horizontal="center"/>
    </xf>
    <xf numFmtId="1" fontId="31" fillId="8" borderId="16" xfId="0" applyNumberFormat="1" applyFont="1" applyFill="1" applyBorder="1" applyAlignment="1">
      <alignment horizontal="center" vertical="center" wrapText="1" readingOrder="2"/>
    </xf>
    <xf numFmtId="167" fontId="14" fillId="11" borderId="14" xfId="24" applyNumberFormat="1" applyFont="1" applyFill="1" applyBorder="1" applyAlignment="1">
      <alignment horizontal="center" vertical="center" wrapText="1"/>
    </xf>
    <xf numFmtId="0" fontId="14" fillId="11" borderId="0" xfId="0" applyFont="1" applyFill="1" applyBorder="1" applyAlignment="1">
      <alignment horizontal="center" vertical="center" wrapText="1"/>
    </xf>
    <xf numFmtId="0" fontId="17" fillId="8" borderId="0" xfId="0" applyFont="1" applyFill="1" applyBorder="1" applyAlignment="1">
      <alignment horizontal="center" vertical="center" wrapText="1"/>
    </xf>
    <xf numFmtId="0" fontId="14" fillId="11" borderId="14" xfId="0" applyFont="1" applyFill="1" applyBorder="1" applyAlignment="1">
      <alignment horizontal="center" vertical="center" wrapText="1"/>
    </xf>
    <xf numFmtId="0" fontId="31" fillId="11" borderId="0" xfId="0" applyFont="1" applyFill="1" applyBorder="1" applyAlignment="1">
      <alignment horizontal="center" vertical="center" wrapText="1"/>
    </xf>
    <xf numFmtId="0" fontId="14" fillId="8" borderId="13" xfId="0" applyFont="1" applyFill="1" applyBorder="1" applyAlignment="1">
      <alignment horizontal="center" vertical="center" wrapText="1"/>
    </xf>
    <xf numFmtId="0" fontId="14" fillId="8" borderId="14"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4" fillId="11" borderId="14" xfId="0" applyFont="1" applyFill="1" applyBorder="1" applyAlignment="1">
      <alignment horizontal="center" vertical="distributed"/>
    </xf>
    <xf numFmtId="167" fontId="14" fillId="11" borderId="14" xfId="24" applyNumberFormat="1" applyFont="1" applyFill="1" applyBorder="1" applyAlignment="1">
      <alignment horizontal="center" vertical="distributed"/>
    </xf>
    <xf numFmtId="0" fontId="17" fillId="11" borderId="44" xfId="0" applyFont="1" applyFill="1" applyBorder="1" applyAlignment="1">
      <alignment horizontal="center"/>
    </xf>
    <xf numFmtId="0" fontId="0" fillId="11" borderId="44" xfId="0" applyFont="1" applyFill="1" applyBorder="1" applyAlignment="1">
      <alignment horizontal="center"/>
    </xf>
    <xf numFmtId="0" fontId="2" fillId="3" borderId="0" xfId="0" applyFont="1" applyFill="1" applyBorder="1" applyAlignment="1">
      <alignment horizontal="center"/>
    </xf>
    <xf numFmtId="0" fontId="2" fillId="3" borderId="19" xfId="0" applyFont="1" applyFill="1" applyBorder="1" applyAlignment="1">
      <alignment horizontal="center"/>
    </xf>
    <xf numFmtId="0" fontId="2" fillId="3" borderId="14" xfId="0" applyFont="1" applyFill="1" applyBorder="1" applyAlignment="1">
      <alignment horizontal="center"/>
    </xf>
    <xf numFmtId="9" fontId="14" fillId="8" borderId="18" xfId="24" applyFont="1" applyFill="1" applyBorder="1" applyAlignment="1">
      <alignment horizontal="center"/>
    </xf>
    <xf numFmtId="9" fontId="14" fillId="8" borderId="16" xfId="24" applyFont="1" applyFill="1" applyBorder="1" applyAlignment="1">
      <alignment horizontal="center"/>
    </xf>
    <xf numFmtId="9" fontId="14" fillId="8" borderId="17" xfId="24" applyFont="1" applyFill="1" applyBorder="1" applyAlignment="1">
      <alignment horizontal="center"/>
    </xf>
    <xf numFmtId="9" fontId="14" fillId="3" borderId="11" xfId="24" applyFont="1" applyFill="1" applyBorder="1" applyAlignment="1">
      <alignment horizontal="center"/>
    </xf>
    <xf numFmtId="9" fontId="14" fillId="3" borderId="0" xfId="24" applyFont="1" applyFill="1" applyBorder="1" applyAlignment="1">
      <alignment horizontal="center"/>
    </xf>
    <xf numFmtId="9" fontId="14" fillId="3" borderId="12" xfId="24" applyFont="1" applyFill="1" applyBorder="1" applyAlignment="1">
      <alignment horizontal="center"/>
    </xf>
    <xf numFmtId="9" fontId="14" fillId="3" borderId="19" xfId="24" applyFont="1" applyFill="1" applyBorder="1" applyAlignment="1">
      <alignment horizontal="center"/>
    </xf>
    <xf numFmtId="0" fontId="14" fillId="3" borderId="13" xfId="0" applyFont="1" applyFill="1" applyBorder="1" applyAlignment="1">
      <alignment horizontal="center"/>
    </xf>
    <xf numFmtId="0" fontId="14" fillId="3" borderId="14" xfId="0" applyFont="1" applyFill="1" applyBorder="1" applyAlignment="1">
      <alignment horizontal="center"/>
    </xf>
    <xf numFmtId="166" fontId="14" fillId="3" borderId="14" xfId="24" applyNumberFormat="1" applyFont="1" applyFill="1" applyBorder="1" applyAlignment="1">
      <alignment horizontal="center"/>
    </xf>
    <xf numFmtId="0" fontId="14" fillId="3" borderId="10" xfId="0" applyFont="1" applyFill="1" applyBorder="1" applyAlignment="1">
      <alignment horizontal="center"/>
    </xf>
    <xf numFmtId="0" fontId="14" fillId="3" borderId="11" xfId="0" applyFont="1" applyFill="1" applyBorder="1" applyAlignment="1">
      <alignment horizontal="center"/>
    </xf>
    <xf numFmtId="0" fontId="14" fillId="3" borderId="22" xfId="0" applyFont="1" applyFill="1" applyBorder="1" applyAlignment="1">
      <alignment horizontal="center"/>
    </xf>
    <xf numFmtId="0" fontId="14" fillId="3" borderId="0" xfId="0" applyFont="1" applyFill="1" applyBorder="1" applyAlignment="1">
      <alignment horizontal="center"/>
    </xf>
    <xf numFmtId="0" fontId="17" fillId="21" borderId="18" xfId="0" applyFont="1" applyFill="1" applyBorder="1" applyAlignment="1">
      <alignment horizontal="center" vertical="center"/>
    </xf>
    <xf numFmtId="0" fontId="17" fillId="21" borderId="17" xfId="0" applyFont="1" applyFill="1" applyBorder="1" applyAlignment="1">
      <alignment horizontal="center" vertical="center"/>
    </xf>
    <xf numFmtId="9" fontId="14" fillId="11" borderId="44" xfId="24" applyFont="1" applyFill="1" applyBorder="1" applyAlignment="1">
      <alignment horizontal="center" vertical="center"/>
    </xf>
    <xf numFmtId="0" fontId="14" fillId="8" borderId="18" xfId="0" applyFont="1" applyFill="1" applyBorder="1" applyAlignment="1">
      <alignment horizontal="center"/>
    </xf>
    <xf numFmtId="0" fontId="14" fillId="8" borderId="17" xfId="0" applyFont="1" applyFill="1" applyBorder="1" applyAlignment="1">
      <alignment horizontal="center"/>
    </xf>
    <xf numFmtId="0" fontId="31" fillId="8" borderId="13" xfId="25" applyFont="1" applyFill="1" applyBorder="1" applyAlignment="1">
      <alignment horizontal="center"/>
    </xf>
    <xf numFmtId="0" fontId="31" fillId="8" borderId="14" xfId="25" applyFont="1" applyFill="1" applyBorder="1" applyAlignment="1">
      <alignment horizontal="center"/>
    </xf>
    <xf numFmtId="0" fontId="31" fillId="8" borderId="10" xfId="0" applyFont="1" applyFill="1" applyBorder="1" applyAlignment="1">
      <alignment horizontal="center" vertical="center"/>
    </xf>
    <xf numFmtId="0" fontId="31" fillId="8" borderId="11" xfId="0" applyFont="1" applyFill="1" applyBorder="1" applyAlignment="1">
      <alignment horizontal="center" vertical="center"/>
    </xf>
    <xf numFmtId="0" fontId="31" fillId="8" borderId="12" xfId="0" applyFont="1" applyFill="1" applyBorder="1" applyAlignment="1">
      <alignment horizontal="center" vertical="center"/>
    </xf>
    <xf numFmtId="0" fontId="31" fillId="8" borderId="22" xfId="0" applyFont="1" applyFill="1" applyBorder="1" applyAlignment="1">
      <alignment horizontal="center" vertical="center"/>
    </xf>
    <xf numFmtId="0" fontId="31" fillId="8" borderId="0" xfId="0" applyFont="1" applyFill="1" applyBorder="1" applyAlignment="1">
      <alignment horizontal="center" vertical="center"/>
    </xf>
    <xf numFmtId="0" fontId="31" fillId="8" borderId="19" xfId="0" applyFont="1" applyFill="1" applyBorder="1" applyAlignment="1">
      <alignment horizontal="center" vertical="center"/>
    </xf>
    <xf numFmtId="0" fontId="39" fillId="8" borderId="18" xfId="28" applyFont="1" applyFill="1" applyBorder="1" applyAlignment="1">
      <alignment horizontal="left" vertical="center" wrapText="1"/>
    </xf>
    <xf numFmtId="0" fontId="39" fillId="8" borderId="16" xfId="28" applyFont="1" applyFill="1" applyBorder="1" applyAlignment="1">
      <alignment horizontal="left" vertical="center" wrapText="1"/>
    </xf>
    <xf numFmtId="9" fontId="39" fillId="8" borderId="16" xfId="28" applyNumberFormat="1" applyFont="1" applyFill="1" applyBorder="1" applyAlignment="1">
      <alignment horizontal="center" vertical="center" wrapText="1"/>
    </xf>
    <xf numFmtId="9" fontId="39" fillId="8" borderId="17" xfId="28" applyNumberFormat="1" applyFont="1" applyFill="1" applyBorder="1" applyAlignment="1">
      <alignment horizontal="center" vertical="center" wrapText="1"/>
    </xf>
    <xf numFmtId="0" fontId="39" fillId="8" borderId="11" xfId="28" applyFont="1" applyFill="1" applyBorder="1" applyAlignment="1">
      <alignment horizontal="center" vertical="center" wrapText="1"/>
    </xf>
    <xf numFmtId="0" fontId="39" fillId="8" borderId="12" xfId="28" applyFont="1" applyFill="1" applyBorder="1" applyAlignment="1">
      <alignment horizontal="center" vertical="center" wrapText="1"/>
    </xf>
    <xf numFmtId="168" fontId="39" fillId="0" borderId="0" xfId="28" applyNumberFormat="1" applyFont="1" applyAlignment="1">
      <alignment horizontal="center" wrapText="1"/>
    </xf>
    <xf numFmtId="0" fontId="39" fillId="0" borderId="0" xfId="28" applyFont="1" applyAlignment="1">
      <alignment horizontal="center" wrapText="1"/>
    </xf>
    <xf numFmtId="0" fontId="39" fillId="8" borderId="15" xfId="28" applyFont="1" applyFill="1" applyBorder="1" applyAlignment="1">
      <alignment horizontal="center" vertical="center" wrapText="1"/>
    </xf>
    <xf numFmtId="0" fontId="39" fillId="8" borderId="13" xfId="28" applyFont="1" applyFill="1" applyBorder="1" applyAlignment="1">
      <alignment horizontal="center" vertical="center" wrapText="1"/>
    </xf>
    <xf numFmtId="0" fontId="39" fillId="8" borderId="14" xfId="28" applyFont="1" applyFill="1" applyBorder="1" applyAlignment="1">
      <alignment horizontal="center" vertical="center" wrapText="1"/>
    </xf>
    <xf numFmtId="0" fontId="39" fillId="8" borderId="10" xfId="28" applyFont="1" applyFill="1" applyBorder="1" applyAlignment="1">
      <alignment horizontal="center" vertical="center" wrapText="1"/>
    </xf>
    <xf numFmtId="0" fontId="27" fillId="0" borderId="53" xfId="0" applyFont="1" applyBorder="1" applyAlignment="1">
      <alignment horizontal="center" vertical="top"/>
    </xf>
    <xf numFmtId="0" fontId="27" fillId="0" borderId="54" xfId="0" applyFont="1" applyBorder="1" applyAlignment="1">
      <alignment horizontal="center" vertical="top"/>
    </xf>
    <xf numFmtId="0" fontId="27" fillId="0" borderId="55" xfId="0" applyFont="1" applyBorder="1" applyAlignment="1">
      <alignment horizontal="center" vertical="top"/>
    </xf>
    <xf numFmtId="0" fontId="27" fillId="0" borderId="56" xfId="0" applyFont="1" applyBorder="1" applyAlignment="1">
      <alignment horizontal="center" vertical="top"/>
    </xf>
    <xf numFmtId="9" fontId="27" fillId="0" borderId="7" xfId="24" applyFont="1" applyBorder="1" applyAlignment="1">
      <alignment horizontal="center" vertical="top"/>
    </xf>
    <xf numFmtId="9" fontId="27" fillId="0" borderId="99" xfId="24" applyFont="1" applyBorder="1" applyAlignment="1">
      <alignment horizontal="center" vertical="top"/>
    </xf>
    <xf numFmtId="9" fontId="27" fillId="0" borderId="81" xfId="24" applyFont="1" applyBorder="1" applyAlignment="1">
      <alignment horizontal="center" vertical="top"/>
    </xf>
    <xf numFmtId="9" fontId="27" fillId="0" borderId="100" xfId="24" applyFont="1" applyBorder="1" applyAlignment="1">
      <alignment horizontal="center" vertical="top"/>
    </xf>
    <xf numFmtId="9" fontId="27" fillId="0" borderId="55" xfId="24" applyFont="1" applyBorder="1" applyAlignment="1">
      <alignment horizontal="center" vertical="top"/>
    </xf>
    <xf numFmtId="9" fontId="27" fillId="0" borderId="56" xfId="24" applyFont="1" applyBorder="1" applyAlignment="1">
      <alignment horizontal="center" vertical="top"/>
    </xf>
    <xf numFmtId="9" fontId="27" fillId="0" borderId="140" xfId="24" applyFont="1" applyBorder="1" applyAlignment="1">
      <alignment horizontal="right" vertical="top"/>
    </xf>
    <xf numFmtId="9" fontId="27" fillId="0" borderId="141" xfId="24" applyFont="1" applyBorder="1" applyAlignment="1">
      <alignment horizontal="right" vertical="top"/>
    </xf>
    <xf numFmtId="0" fontId="17" fillId="0" borderId="79" xfId="0" applyFont="1" applyBorder="1" applyAlignment="1">
      <alignment horizontal="center" vertical="center"/>
    </xf>
    <xf numFmtId="0" fontId="17" fillId="0" borderId="53" xfId="0" applyFont="1" applyBorder="1" applyAlignment="1">
      <alignment horizontal="center" vertical="center"/>
    </xf>
    <xf numFmtId="0" fontId="17" fillId="0" borderId="25" xfId="0" applyFont="1" applyBorder="1" applyAlignment="1">
      <alignment horizontal="center" vertical="center"/>
    </xf>
    <xf numFmtId="9" fontId="58" fillId="0" borderId="105" xfId="0" applyNumberFormat="1" applyFont="1" applyFill="1" applyBorder="1" applyAlignment="1">
      <alignment horizontal="center" vertical="center"/>
    </xf>
    <xf numFmtId="0" fontId="31" fillId="0" borderId="46" xfId="0" applyFont="1" applyFill="1" applyBorder="1" applyAlignment="1">
      <alignment horizontal="center" vertical="center"/>
    </xf>
    <xf numFmtId="0" fontId="31" fillId="0" borderId="106" xfId="0" applyFont="1" applyFill="1" applyBorder="1" applyAlignment="1">
      <alignment horizontal="center" vertical="center"/>
    </xf>
    <xf numFmtId="0" fontId="33" fillId="11" borderId="64" xfId="0" applyFont="1" applyFill="1" applyBorder="1" applyAlignment="1">
      <alignment horizontal="center" vertical="center"/>
    </xf>
    <xf numFmtId="9" fontId="17" fillId="0" borderId="44" xfId="24" applyFont="1" applyBorder="1" applyAlignment="1">
      <alignment horizontal="center" vertical="center"/>
    </xf>
    <xf numFmtId="0" fontId="27" fillId="0" borderId="79" xfId="0" applyFont="1" applyBorder="1" applyAlignment="1">
      <alignment horizontal="right" vertical="top"/>
    </xf>
    <xf numFmtId="0" fontId="27" fillId="0" borderId="53" xfId="0" applyFont="1" applyBorder="1" applyAlignment="1">
      <alignment horizontal="right" vertical="top"/>
    </xf>
    <xf numFmtId="0" fontId="27" fillId="0" borderId="59" xfId="0" applyFont="1" applyBorder="1" applyAlignment="1">
      <alignment horizontal="right" vertical="top"/>
    </xf>
    <xf numFmtId="0" fontId="27" fillId="0" borderId="55" xfId="0" applyFont="1" applyBorder="1" applyAlignment="1">
      <alignment horizontal="right" vertical="top"/>
    </xf>
    <xf numFmtId="9" fontId="27" fillId="0" borderId="7" xfId="24" applyFont="1" applyBorder="1" applyAlignment="1">
      <alignment horizontal="right" vertical="top"/>
    </xf>
    <xf numFmtId="9" fontId="27" fillId="0" borderId="99" xfId="24" applyFont="1" applyBorder="1" applyAlignment="1">
      <alignment horizontal="right" vertical="top"/>
    </xf>
    <xf numFmtId="9" fontId="27" fillId="0" borderId="59" xfId="24" applyFont="1" applyBorder="1" applyAlignment="1">
      <alignment horizontal="right" vertical="top"/>
    </xf>
    <xf numFmtId="9" fontId="27" fillId="0" borderId="55" xfId="24" applyFont="1" applyBorder="1" applyAlignment="1">
      <alignment horizontal="right" vertical="top"/>
    </xf>
    <xf numFmtId="0" fontId="17" fillId="0" borderId="48" xfId="0" applyFont="1" applyBorder="1" applyAlignment="1">
      <alignment horizontal="center" vertical="center"/>
    </xf>
    <xf numFmtId="9" fontId="37" fillId="0" borderId="41" xfId="0" applyNumberFormat="1" applyFont="1" applyBorder="1" applyAlignment="1">
      <alignment horizontal="center" vertical="center"/>
    </xf>
    <xf numFmtId="0" fontId="31" fillId="0" borderId="46" xfId="0" applyFont="1" applyBorder="1" applyAlignment="1">
      <alignment horizontal="center" vertical="center"/>
    </xf>
    <xf numFmtId="0" fontId="58" fillId="11" borderId="13" xfId="0" applyFont="1" applyFill="1" applyBorder="1" applyAlignment="1">
      <alignment horizontal="center" vertical="center"/>
    </xf>
    <xf numFmtId="0" fontId="58" fillId="11" borderId="14" xfId="0" applyFont="1" applyFill="1" applyBorder="1" applyAlignment="1">
      <alignment horizontal="center" vertical="center"/>
    </xf>
    <xf numFmtId="0" fontId="58" fillId="11" borderId="15" xfId="0" applyFont="1" applyFill="1" applyBorder="1" applyAlignment="1">
      <alignment horizontal="center" vertical="center"/>
    </xf>
    <xf numFmtId="9" fontId="27" fillId="0" borderId="136" xfId="24" applyFont="1" applyBorder="1" applyAlignment="1">
      <alignment horizontal="right" vertical="top"/>
    </xf>
    <xf numFmtId="9" fontId="27" fillId="0" borderId="57" xfId="24" applyFont="1" applyBorder="1" applyAlignment="1">
      <alignment horizontal="right" vertical="top"/>
    </xf>
    <xf numFmtId="9" fontId="58" fillId="0" borderId="46" xfId="0" applyNumberFormat="1" applyFont="1" applyFill="1" applyBorder="1" applyAlignment="1">
      <alignment horizontal="center" vertical="center"/>
    </xf>
    <xf numFmtId="9" fontId="58" fillId="0" borderId="106" xfId="0" applyNumberFormat="1" applyFont="1" applyFill="1" applyBorder="1" applyAlignment="1">
      <alignment horizontal="center" vertical="center"/>
    </xf>
    <xf numFmtId="0" fontId="17" fillId="0" borderId="53" xfId="0" applyFont="1" applyBorder="1" applyAlignment="1">
      <alignment horizontal="center" vertical="center" wrapText="1"/>
    </xf>
    <xf numFmtId="0" fontId="17" fillId="0" borderId="25" xfId="0" applyFont="1" applyBorder="1" applyAlignment="1">
      <alignment horizontal="center" vertical="center" wrapText="1"/>
    </xf>
    <xf numFmtId="0" fontId="78" fillId="20" borderId="10" xfId="0" applyFont="1" applyFill="1" applyBorder="1" applyAlignment="1">
      <alignment horizontal="center" vertical="center"/>
    </xf>
    <xf numFmtId="0" fontId="78" fillId="20" borderId="11" xfId="0" applyFont="1" applyFill="1" applyBorder="1" applyAlignment="1">
      <alignment horizontal="center" vertical="center"/>
    </xf>
    <xf numFmtId="0" fontId="17" fillId="0" borderId="72" xfId="0" applyFont="1" applyBorder="1" applyAlignment="1">
      <alignment horizontal="center" vertical="center"/>
    </xf>
    <xf numFmtId="0" fontId="17" fillId="0" borderId="20" xfId="0" applyFont="1" applyBorder="1" applyAlignment="1">
      <alignment horizontal="center" vertical="center"/>
    </xf>
    <xf numFmtId="0" fontId="17" fillId="0" borderId="76" xfId="0" applyFont="1" applyBorder="1" applyAlignment="1">
      <alignment horizontal="center" vertical="center"/>
    </xf>
    <xf numFmtId="9" fontId="37" fillId="0" borderId="105" xfId="0" applyNumberFormat="1" applyFont="1" applyBorder="1" applyAlignment="1">
      <alignment horizontal="center" vertical="center"/>
    </xf>
    <xf numFmtId="0" fontId="37" fillId="0" borderId="46" xfId="0" applyFont="1" applyBorder="1" applyAlignment="1">
      <alignment horizontal="center" vertical="center"/>
    </xf>
    <xf numFmtId="0" fontId="37" fillId="0" borderId="106" xfId="0" applyFont="1" applyBorder="1" applyAlignment="1">
      <alignment horizontal="center" vertical="center"/>
    </xf>
    <xf numFmtId="0" fontId="33" fillId="11" borderId="16" xfId="0" applyFont="1" applyFill="1" applyBorder="1" applyAlignment="1">
      <alignment horizontal="center" vertical="center"/>
    </xf>
    <xf numFmtId="0" fontId="33" fillId="11" borderId="17" xfId="0" applyFont="1" applyFill="1" applyBorder="1" applyAlignment="1">
      <alignment horizontal="center" vertical="center"/>
    </xf>
    <xf numFmtId="1" fontId="33" fillId="11" borderId="56" xfId="24" applyNumberFormat="1" applyFont="1" applyFill="1" applyBorder="1" applyAlignment="1">
      <alignment horizontal="center" vertical="center"/>
    </xf>
  </cellXfs>
  <cellStyles count="34">
    <cellStyle name="Bottom Border" xfId="15"/>
    <cellStyle name="Bottom Green Border" xfId="18"/>
    <cellStyle name="Comma" xfId="26" builtinId="3"/>
    <cellStyle name="Comma 2" xfId="31"/>
    <cellStyle name="Currency" xfId="7" builtinId="4" customBuiltin="1"/>
    <cellStyle name="Date" xfId="22"/>
    <cellStyle name="Followed Hyperlink" xfId="1" builtinId="9" hidden="1"/>
    <cellStyle name="Followed Hyperlink" xfId="2" builtinId="9" hidden="1"/>
    <cellStyle name="Good" xfId="25" builtinId="26"/>
    <cellStyle name="Good 2" xfId="33"/>
    <cellStyle name="GrayCell" xfId="3"/>
    <cellStyle name="Heading 1" xfId="11" builtinId="16" customBuiltin="1"/>
    <cellStyle name="Heading 2" xfId="12" builtinId="17" customBuiltin="1"/>
    <cellStyle name="Heading 3" xfId="13" builtinId="18" customBuiltin="1"/>
    <cellStyle name="Heading 4" xfId="14" builtinId="19" customBuiltin="1"/>
    <cellStyle name="Highlight" xfId="21"/>
    <cellStyle name="Hyperlink" xfId="32" builtinId="8"/>
    <cellStyle name="Hyperlink 2" xfId="30"/>
    <cellStyle name="Left Border" xfId="6"/>
    <cellStyle name="Left Bottom Green Border" xfId="19"/>
    <cellStyle name="Left Green Border" xfId="16"/>
    <cellStyle name="Normal" xfId="0" builtinId="0"/>
    <cellStyle name="Normal 2" xfId="27"/>
    <cellStyle name="Normal 3" xfId="28"/>
    <cellStyle name="OrangeBorder" xfId="5"/>
    <cellStyle name="Percent" xfId="24" builtinId="5"/>
    <cellStyle name="Percent 2" xfId="29"/>
    <cellStyle name="Right Bottom Green Border" xfId="20"/>
    <cellStyle name="Right Green Border" xfId="17"/>
    <cellStyle name="Start Text" xfId="9"/>
    <cellStyle name="Title" xfId="10" builtinId="15" customBuiltin="1"/>
    <cellStyle name="Year" xfId="23"/>
    <cellStyle name="YellowCell" xfId="4"/>
    <cellStyle name="z A Column text" xfId="8"/>
  </cellStyles>
  <dxfs count="23">
    <dxf>
      <fill>
        <patternFill>
          <bgColor theme="5" tint="0.79998168889431442"/>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tint="0.79998168889431442"/>
        </patternFill>
      </fill>
    </dxf>
    <dxf>
      <fill>
        <patternFill>
          <bgColor theme="4"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theme="7"/>
        </patternFill>
      </fill>
    </dxf>
    <dxf>
      <fill>
        <patternFill>
          <bgColor rgb="FFFF0000"/>
        </patternFill>
      </fill>
    </dxf>
    <dxf>
      <fill>
        <patternFill>
          <bgColor rgb="FFC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tableStyleElement type="headerRow" dxfId="22"/>
      <tableStyleElement type="firstRowStripe" dxfId="21"/>
    </tableStyle>
    <tableStyle name="PivotTable Style 1" table="0" count="2">
      <tableStyleElement type="headerRow" dxfId="20"/>
      <tableStyleElement type="totalRow" dxfId="19"/>
    </tableStyle>
  </tableStyles>
  <colors>
    <mruColors>
      <color rgb="FFF5F5F5"/>
      <color rgb="FF339966"/>
      <color rgb="FF217346"/>
      <color rgb="FFFFFF99"/>
      <color rgb="FFF4B1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50" Type="http://schemas.openxmlformats.org/officeDocument/2006/relationships/externalLink" Target="externalLinks/externalLink20.xml"/><Relationship Id="rId55" Type="http://schemas.openxmlformats.org/officeDocument/2006/relationships/externalLink" Target="externalLinks/externalLink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53" Type="http://schemas.openxmlformats.org/officeDocument/2006/relationships/externalLink" Target="externalLinks/externalLink2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externalLink" Target="externalLinks/externalLink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مبلغ فروش</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[24]curve!$C$4:$C$21</c:f>
              <c:numCache>
                <c:formatCode>General</c:formatCode>
                <c:ptCount val="18"/>
                <c:pt idx="0">
                  <c:v>5</c:v>
                </c:pt>
                <c:pt idx="1">
                  <c:v>10</c:v>
                </c:pt>
                <c:pt idx="2">
                  <c:v>20</c:v>
                </c:pt>
                <c:pt idx="3">
                  <c:v>40</c:v>
                </c:pt>
                <c:pt idx="4">
                  <c:v>80</c:v>
                </c:pt>
                <c:pt idx="5">
                  <c:v>100</c:v>
                </c:pt>
                <c:pt idx="6">
                  <c:v>150</c:v>
                </c:pt>
                <c:pt idx="7">
                  <c:v>200</c:v>
                </c:pt>
                <c:pt idx="8">
                  <c:v>300</c:v>
                </c:pt>
                <c:pt idx="9">
                  <c:v>500</c:v>
                </c:pt>
                <c:pt idx="10">
                  <c:v>1000</c:v>
                </c:pt>
                <c:pt idx="11">
                  <c:v>1500</c:v>
                </c:pt>
                <c:pt idx="12">
                  <c:v>2000</c:v>
                </c:pt>
                <c:pt idx="13">
                  <c:v>3000</c:v>
                </c:pt>
                <c:pt idx="14">
                  <c:v>3500</c:v>
                </c:pt>
                <c:pt idx="15">
                  <c:v>4000</c:v>
                </c:pt>
                <c:pt idx="16">
                  <c:v>5000</c:v>
                </c:pt>
                <c:pt idx="17">
                  <c:v>6000</c:v>
                </c:pt>
              </c:numCache>
            </c:numRef>
          </c:xVal>
          <c:yVal>
            <c:numRef>
              <c:f>[24]curve!$D$4:$D$21</c:f>
              <c:numCache>
                <c:formatCode>General</c:formatCode>
                <c:ptCount val="18"/>
                <c:pt idx="0">
                  <c:v>3.7669490700039683</c:v>
                </c:pt>
                <c:pt idx="1">
                  <c:v>3.826702351539597</c:v>
                </c:pt>
                <c:pt idx="2">
                  <c:v>3.9462857596547023</c:v>
                </c:pt>
                <c:pt idx="3">
                  <c:v>4.1857618425806127</c:v>
                </c:pt>
                <c:pt idx="4">
                  <c:v>4.6659663166473129</c:v>
                </c:pt>
                <c:pt idx="5">
                  <c:v>4.9067035205595975</c:v>
                </c:pt>
                <c:pt idx="6">
                  <c:v>5.5104344676942434</c:v>
                </c:pt>
                <c:pt idx="7">
                  <c:v>6.1169196830595913</c:v>
                </c:pt>
                <c:pt idx="8">
                  <c:v>7.33844738602936</c:v>
                </c:pt>
                <c:pt idx="9">
                  <c:v>9.8179048198284864</c:v>
                </c:pt>
                <c:pt idx="10">
                  <c:v>16.261349103849099</c:v>
                </c:pt>
                <c:pt idx="11">
                  <c:v>23.137249295362292</c:v>
                </c:pt>
                <c:pt idx="12">
                  <c:v>30.575169184252832</c:v>
                </c:pt>
                <c:pt idx="13">
                  <c:v>47.861039437462729</c:v>
                </c:pt>
                <c:pt idx="14">
                  <c:v>58.21220685292657</c:v>
                </c:pt>
                <c:pt idx="15">
                  <c:v>70.166584026063362</c:v>
                </c:pt>
                <c:pt idx="16">
                  <c:v>100.9501585833134</c:v>
                </c:pt>
                <c:pt idx="17">
                  <c:v>146.0527879928984</c:v>
                </c:pt>
              </c:numCache>
            </c:numRef>
          </c:yVal>
          <c:smooth val="1"/>
          <c:extLst xmlns:c16r2="http://schemas.microsoft.com/office/drawing/2015/06/chart">
            <c:ext xmlns:c16="http://schemas.microsoft.com/office/drawing/2014/chart" uri="{C3380CC4-5D6E-409C-BE32-E72D297353CC}">
              <c16:uniqueId val="{00000000-16B5-4B9C-A80F-3511F382ADC3}"/>
            </c:ext>
          </c:extLst>
        </c:ser>
        <c:dLbls>
          <c:showLegendKey val="0"/>
          <c:showVal val="0"/>
          <c:showCatName val="0"/>
          <c:showSerName val="0"/>
          <c:showPercent val="0"/>
          <c:showBubbleSize val="0"/>
        </c:dLbls>
        <c:axId val="811285952"/>
        <c:axId val="811212096"/>
      </c:scatterChart>
      <c:valAx>
        <c:axId val="81128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12096"/>
        <c:crosses val="autoZero"/>
        <c:crossBetween val="midCat"/>
      </c:valAx>
      <c:valAx>
        <c:axId val="811212096"/>
        <c:scaling>
          <c:orientation val="minMax"/>
          <c:max val="15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85952"/>
        <c:crosses val="max"/>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[24]curve!$C$40:$C$58</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[24]curve!$D$40:$D$58</c:f>
              <c:numCache>
                <c:formatCode>General</c:formatCode>
                <c:ptCount val="19"/>
                <c:pt idx="0">
                  <c:v>8.0092928413069941</c:v>
                </c:pt>
                <c:pt idx="1">
                  <c:v>9.5760078626591199</c:v>
                </c:pt>
                <c:pt idx="2">
                  <c:v>11.305061790736973</c:v>
                </c:pt>
                <c:pt idx="3">
                  <c:v>13.221160306166961</c:v>
                </c:pt>
                <c:pt idx="4">
                  <c:v>15.352768943990682</c:v>
                </c:pt>
                <c:pt idx="5">
                  <c:v>17.732685290215112</c:v>
                </c:pt>
                <c:pt idx="6">
                  <c:v>20.398698258567411</c:v>
                </c:pt>
                <c:pt idx="7">
                  <c:v>23.394347699827318</c:v>
                </c:pt>
                <c:pt idx="8">
                  <c:v>26.769799612933234</c:v>
                </c:pt>
                <c:pt idx="9">
                  <c:v>30.58285455081359</c:v>
                </c:pt>
                <c:pt idx="10">
                  <c:v>34.900109491292611</c:v>
                </c:pt>
                <c:pt idx="11">
                  <c:v>39.798296528279742</c:v>
                </c:pt>
                <c:pt idx="12">
                  <c:v>45.365825292783491</c:v>
                </c:pt>
                <c:pt idx="13">
                  <c:v>51.704560108541635</c:v>
                </c:pt>
                <c:pt idx="14">
                  <c:v>58.931867605548923</c:v>
                </c:pt>
                <c:pt idx="15">
                  <c:v>67.182975951341263</c:v>
                </c:pt>
                <c:pt idx="16">
                  <c:v>76.613693123841216</c:v>
                </c:pt>
                <c:pt idx="17">
                  <c:v>87.403538866802876</c:v>
                </c:pt>
                <c:pt idx="18">
                  <c:v>99.759353284482685</c:v>
                </c:pt>
              </c:numCache>
            </c:numRef>
          </c:yVal>
          <c:smooth val="1"/>
          <c:extLst xmlns:c16r2="http://schemas.microsoft.com/office/drawing/2015/06/chart">
            <c:ext xmlns:c16="http://schemas.microsoft.com/office/drawing/2014/chart" uri="{C3380CC4-5D6E-409C-BE32-E72D297353CC}">
              <c16:uniqueId val="{00000000-77B6-4F8F-989B-57BCC1874B11}"/>
            </c:ext>
          </c:extLst>
        </c:ser>
        <c:dLbls>
          <c:showLegendKey val="0"/>
          <c:showVal val="0"/>
          <c:showCatName val="0"/>
          <c:showSerName val="0"/>
          <c:showPercent val="0"/>
          <c:showBubbleSize val="0"/>
        </c:dLbls>
        <c:axId val="1094665744"/>
        <c:axId val="1094661392"/>
      </c:scatterChart>
      <c:valAx>
        <c:axId val="109466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61392"/>
        <c:crosses val="autoZero"/>
        <c:crossBetween val="midCat"/>
      </c:valAx>
      <c:valAx>
        <c:axId val="1094661392"/>
        <c:scaling>
          <c:orientation val="minMax"/>
          <c:max val="12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65744"/>
        <c:crosses val="max"/>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[24]curve!$C$74:$C$93</c:f>
              <c:numCache>
                <c:formatCode>General</c:formatCode>
                <c:ptCount val="20"/>
                <c:pt idx="0">
                  <c:v>100</c:v>
                </c:pt>
                <c:pt idx="1">
                  <c:v>200</c:v>
                </c:pt>
                <c:pt idx="2">
                  <c:v>300</c:v>
                </c:pt>
                <c:pt idx="3">
                  <c:v>400</c:v>
                </c:pt>
                <c:pt idx="4">
                  <c:v>500</c:v>
                </c:pt>
                <c:pt idx="5">
                  <c:v>600</c:v>
                </c:pt>
                <c:pt idx="6">
                  <c:v>700</c:v>
                </c:pt>
                <c:pt idx="7">
                  <c:v>800</c:v>
                </c:pt>
                <c:pt idx="8">
                  <c:v>900</c:v>
                </c:pt>
                <c:pt idx="9">
                  <c:v>1000</c:v>
                </c:pt>
                <c:pt idx="10">
                  <c:v>1100</c:v>
                </c:pt>
                <c:pt idx="11">
                  <c:v>1200</c:v>
                </c:pt>
                <c:pt idx="12">
                  <c:v>1300</c:v>
                </c:pt>
                <c:pt idx="13">
                  <c:v>1400</c:v>
                </c:pt>
                <c:pt idx="14">
                  <c:v>1500</c:v>
                </c:pt>
                <c:pt idx="15">
                  <c:v>1600</c:v>
                </c:pt>
                <c:pt idx="16">
                  <c:v>1700</c:v>
                </c:pt>
                <c:pt idx="17">
                  <c:v>1800</c:v>
                </c:pt>
                <c:pt idx="18">
                  <c:v>1900</c:v>
                </c:pt>
                <c:pt idx="19">
                  <c:v>2000</c:v>
                </c:pt>
              </c:numCache>
            </c:numRef>
          </c:xVal>
          <c:yVal>
            <c:numRef>
              <c:f>[24]curve!$D$74:$D$93</c:f>
              <c:numCache>
                <c:formatCode>General</c:formatCode>
                <c:ptCount val="20"/>
                <c:pt idx="0">
                  <c:v>1.0017699776991225</c:v>
                </c:pt>
                <c:pt idx="1">
                  <c:v>2.0031151607504558</c:v>
                </c:pt>
                <c:pt idx="2">
                  <c:v>3.0054826829208019</c:v>
                </c:pt>
                <c:pt idx="3">
                  <c:v>4.0096495219406112</c:v>
                </c:pt>
                <c:pt idx="4">
                  <c:v>5.0169831586154761</c:v>
                </c:pt>
                <c:pt idx="5">
                  <c:v>6.0298903591632378</c:v>
                </c:pt>
                <c:pt idx="6">
                  <c:v>7.0526070321272991</c:v>
                </c:pt>
                <c:pt idx="7">
                  <c:v>8.0925883765440449</c:v>
                </c:pt>
                <c:pt idx="8">
                  <c:v>9.1629555427175209</c:v>
                </c:pt>
                <c:pt idx="9">
                  <c:v>10.286801755182836</c:v>
                </c:pt>
                <c:pt idx="10">
                  <c:v>11.504771089121792</c:v>
                </c:pt>
                <c:pt idx="11">
                  <c:v>12.888397116854353</c:v>
                </c:pt>
                <c:pt idx="12">
                  <c:v>14.563578925663663</c:v>
                </c:pt>
                <c:pt idx="13">
                  <c:v>16.751898909168045</c:v>
                </c:pt>
                <c:pt idx="14">
                  <c:v>19.843342080135756</c:v>
                </c:pt>
                <c:pt idx="15">
                  <c:v>24.524282061038946</c:v>
                </c:pt>
                <c:pt idx="16">
                  <c:v>32.002736427428545</c:v>
                </c:pt>
                <c:pt idx="17">
                  <c:v>44.404816112274247</c:v>
                </c:pt>
                <c:pt idx="18">
                  <c:v>65.472476357602673</c:v>
                </c:pt>
                <c:pt idx="19">
                  <c:v>101.79155838938071</c:v>
                </c:pt>
              </c:numCache>
            </c:numRef>
          </c:yVal>
          <c:smooth val="1"/>
          <c:extLst xmlns:c16r2="http://schemas.microsoft.com/office/drawing/2015/06/chart">
            <c:ext xmlns:c16="http://schemas.microsoft.com/office/drawing/2014/chart" uri="{C3380CC4-5D6E-409C-BE32-E72D297353CC}">
              <c16:uniqueId val="{00000000-CABE-4C60-80E2-F6875B2EDF93}"/>
            </c:ext>
          </c:extLst>
        </c:ser>
        <c:dLbls>
          <c:showLegendKey val="0"/>
          <c:showVal val="0"/>
          <c:showCatName val="0"/>
          <c:showSerName val="0"/>
          <c:showPercent val="0"/>
          <c:showBubbleSize val="0"/>
        </c:dLbls>
        <c:axId val="1094654320"/>
        <c:axId val="1094655952"/>
      </c:scatterChart>
      <c:valAx>
        <c:axId val="1094654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55952"/>
        <c:crosses val="autoZero"/>
        <c:crossBetween val="midCat"/>
      </c:valAx>
      <c:valAx>
        <c:axId val="1094655952"/>
        <c:scaling>
          <c:orientation val="minMax"/>
          <c:max val="12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54320"/>
        <c:crosses val="max"/>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[24]curve!$C$109:$C$128</c:f>
              <c:numCache>
                <c:formatCode>General</c:formatCode>
                <c:ptCount val="20"/>
                <c:pt idx="0">
                  <c:v>10</c:v>
                </c:pt>
                <c:pt idx="1">
                  <c:v>60</c:v>
                </c:pt>
                <c:pt idx="2">
                  <c:v>110</c:v>
                </c:pt>
                <c:pt idx="3">
                  <c:v>160</c:v>
                </c:pt>
                <c:pt idx="4">
                  <c:v>210</c:v>
                </c:pt>
                <c:pt idx="5">
                  <c:v>260</c:v>
                </c:pt>
                <c:pt idx="6">
                  <c:v>310</c:v>
                </c:pt>
                <c:pt idx="7">
                  <c:v>360</c:v>
                </c:pt>
                <c:pt idx="8">
                  <c:v>410</c:v>
                </c:pt>
                <c:pt idx="9">
                  <c:v>460</c:v>
                </c:pt>
                <c:pt idx="10">
                  <c:v>510</c:v>
                </c:pt>
                <c:pt idx="11">
                  <c:v>560</c:v>
                </c:pt>
                <c:pt idx="12">
                  <c:v>610</c:v>
                </c:pt>
                <c:pt idx="13">
                  <c:v>660</c:v>
                </c:pt>
                <c:pt idx="14">
                  <c:v>710</c:v>
                </c:pt>
                <c:pt idx="15">
                  <c:v>760</c:v>
                </c:pt>
                <c:pt idx="16">
                  <c:v>810</c:v>
                </c:pt>
                <c:pt idx="17">
                  <c:v>860</c:v>
                </c:pt>
                <c:pt idx="18">
                  <c:v>910</c:v>
                </c:pt>
                <c:pt idx="19">
                  <c:v>960</c:v>
                </c:pt>
              </c:numCache>
            </c:numRef>
          </c:xVal>
          <c:yVal>
            <c:numRef>
              <c:f>[24]curve!$D$109:$D$128</c:f>
              <c:numCache>
                <c:formatCode>General</c:formatCode>
                <c:ptCount val="20"/>
                <c:pt idx="0">
                  <c:v>0.72472000000000003</c:v>
                </c:pt>
                <c:pt idx="1">
                  <c:v>3.3007260517982724</c:v>
                </c:pt>
                <c:pt idx="2">
                  <c:v>5.9024392943671105</c:v>
                </c:pt>
                <c:pt idx="3">
                  <c:v>8.538554557153363</c:v>
                </c:pt>
                <c:pt idx="4">
                  <c:v>11.220707483315671</c:v>
                </c:pt>
                <c:pt idx="5">
                  <c:v>13.964469188140757</c:v>
                </c:pt>
                <c:pt idx="6">
                  <c:v>16.790677336377069</c:v>
                </c:pt>
                <c:pt idx="7">
                  <c:v>19.727217423968433</c:v>
                </c:pt>
                <c:pt idx="8">
                  <c:v>22.81140653483094</c:v>
                </c:pt>
                <c:pt idx="9">
                  <c:v>26.093183345142549</c:v>
                </c:pt>
                <c:pt idx="10">
                  <c:v>29.63937706867609</c:v>
                </c:pt>
                <c:pt idx="11">
                  <c:v>33.539420268633251</c:v>
                </c:pt>
                <c:pt idx="12">
                  <c:v>37.912993888560891</c:v>
                </c:pt>
                <c:pt idx="13">
                  <c:v>42.920258028264662</c:v>
                </c:pt>
                <c:pt idx="14">
                  <c:v>48.775543029815523</c:v>
                </c:pt>
                <c:pt idx="15">
                  <c:v>55.765671239028535</c:v>
                </c:pt>
                <c:pt idx="16">
                  <c:v>64.274475655300677</c:v>
                </c:pt>
                <c:pt idx="17">
                  <c:v>74.815611415951892</c:v>
                </c:pt>
                <c:pt idx="18">
                  <c:v>88.076464963809386</c:v>
                </c:pt>
                <c:pt idx="19">
                  <c:v>104.97691441835998</c:v>
                </c:pt>
              </c:numCache>
            </c:numRef>
          </c:yVal>
          <c:smooth val="1"/>
          <c:extLst xmlns:c16r2="http://schemas.microsoft.com/office/drawing/2015/06/chart">
            <c:ext xmlns:c16="http://schemas.microsoft.com/office/drawing/2014/chart" uri="{C3380CC4-5D6E-409C-BE32-E72D297353CC}">
              <c16:uniqueId val="{00000000-5D8E-476A-8545-A685F354F9C1}"/>
            </c:ext>
          </c:extLst>
        </c:ser>
        <c:dLbls>
          <c:showLegendKey val="0"/>
          <c:showVal val="0"/>
          <c:showCatName val="0"/>
          <c:showSerName val="0"/>
          <c:showPercent val="0"/>
          <c:showBubbleSize val="0"/>
        </c:dLbls>
        <c:axId val="1094665200"/>
        <c:axId val="1094666288"/>
      </c:scatterChart>
      <c:valAx>
        <c:axId val="1094665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66288"/>
        <c:crosses val="autoZero"/>
        <c:crossBetween val="midCat"/>
      </c:valAx>
      <c:valAx>
        <c:axId val="1094666288"/>
        <c:scaling>
          <c:orientation val="minMax"/>
          <c:max val="12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65200"/>
        <c:crosses val="max"/>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[24]curve!$A$145:$A$185</c:f>
              <c:numCache>
                <c:formatCode>General</c:formatCode>
                <c:ptCount val="41"/>
                <c:pt idx="0">
                  <c:v>1</c:v>
                </c:pt>
                <c:pt idx="1">
                  <c:v>1.1000000000000001</c:v>
                </c:pt>
                <c:pt idx="2">
                  <c:v>1.2000000000000002</c:v>
                </c:pt>
                <c:pt idx="3">
                  <c:v>1.3000000000000003</c:v>
                </c:pt>
                <c:pt idx="4">
                  <c:v>1.4000000000000004</c:v>
                </c:pt>
                <c:pt idx="5">
                  <c:v>1.5000000000000004</c:v>
                </c:pt>
                <c:pt idx="6">
                  <c:v>1.6000000000000005</c:v>
                </c:pt>
                <c:pt idx="7">
                  <c:v>1.7000000000000006</c:v>
                </c:pt>
                <c:pt idx="8">
                  <c:v>1.8000000000000007</c:v>
                </c:pt>
                <c:pt idx="9">
                  <c:v>1.9000000000000008</c:v>
                </c:pt>
                <c:pt idx="10">
                  <c:v>2.0000000000000009</c:v>
                </c:pt>
                <c:pt idx="11">
                  <c:v>2.100000000000001</c:v>
                </c:pt>
                <c:pt idx="12">
                  <c:v>2.2000000000000011</c:v>
                </c:pt>
                <c:pt idx="13">
                  <c:v>2.3000000000000012</c:v>
                </c:pt>
                <c:pt idx="14">
                  <c:v>2.4000000000000012</c:v>
                </c:pt>
                <c:pt idx="15">
                  <c:v>2.5000000000000013</c:v>
                </c:pt>
                <c:pt idx="16">
                  <c:v>2.6000000000000014</c:v>
                </c:pt>
                <c:pt idx="17">
                  <c:v>2.7000000000000015</c:v>
                </c:pt>
                <c:pt idx="18">
                  <c:v>2.8000000000000016</c:v>
                </c:pt>
                <c:pt idx="19">
                  <c:v>2.9000000000000017</c:v>
                </c:pt>
                <c:pt idx="20">
                  <c:v>3.0000000000000018</c:v>
                </c:pt>
                <c:pt idx="21">
                  <c:v>3.1000000000000019</c:v>
                </c:pt>
                <c:pt idx="22">
                  <c:v>3.200000000000002</c:v>
                </c:pt>
                <c:pt idx="23">
                  <c:v>3.300000000000002</c:v>
                </c:pt>
                <c:pt idx="24">
                  <c:v>3.4000000000000021</c:v>
                </c:pt>
                <c:pt idx="25">
                  <c:v>3.5000000000000022</c:v>
                </c:pt>
                <c:pt idx="26">
                  <c:v>3.6000000000000023</c:v>
                </c:pt>
                <c:pt idx="27">
                  <c:v>3.7000000000000024</c:v>
                </c:pt>
                <c:pt idx="28">
                  <c:v>3.8000000000000025</c:v>
                </c:pt>
                <c:pt idx="29">
                  <c:v>3.9000000000000026</c:v>
                </c:pt>
                <c:pt idx="30">
                  <c:v>4.0000000000000027</c:v>
                </c:pt>
                <c:pt idx="31">
                  <c:v>4.1000000000000023</c:v>
                </c:pt>
                <c:pt idx="32">
                  <c:v>4.200000000000002</c:v>
                </c:pt>
                <c:pt idx="33">
                  <c:v>4.3000000000000016</c:v>
                </c:pt>
                <c:pt idx="34">
                  <c:v>4.4000000000000012</c:v>
                </c:pt>
                <c:pt idx="35">
                  <c:v>4.5000000000000009</c:v>
                </c:pt>
                <c:pt idx="36">
                  <c:v>4.6000000000000005</c:v>
                </c:pt>
                <c:pt idx="37">
                  <c:v>4.7</c:v>
                </c:pt>
                <c:pt idx="38">
                  <c:v>4.8</c:v>
                </c:pt>
                <c:pt idx="39">
                  <c:v>4.8999999999999995</c:v>
                </c:pt>
                <c:pt idx="40">
                  <c:v>4.9999999999999991</c:v>
                </c:pt>
              </c:numCache>
            </c:numRef>
          </c:xVal>
          <c:yVal>
            <c:numRef>
              <c:f>[24]curve!$B$145:$B$185</c:f>
              <c:numCache>
                <c:formatCode>General</c:formatCode>
                <c:ptCount val="41"/>
                <c:pt idx="0">
                  <c:v>1</c:v>
                </c:pt>
                <c:pt idx="1">
                  <c:v>0.90909090909090906</c:v>
                </c:pt>
                <c:pt idx="2">
                  <c:v>0.83333333333333326</c:v>
                </c:pt>
                <c:pt idx="3">
                  <c:v>0.76923076923076905</c:v>
                </c:pt>
                <c:pt idx="4">
                  <c:v>0.71428571428571408</c:v>
                </c:pt>
                <c:pt idx="5">
                  <c:v>0.66666666666666652</c:v>
                </c:pt>
                <c:pt idx="6">
                  <c:v>0.62499999999999978</c:v>
                </c:pt>
                <c:pt idx="7">
                  <c:v>0.58823529411764686</c:v>
                </c:pt>
                <c:pt idx="8">
                  <c:v>0.55555555555555536</c:v>
                </c:pt>
                <c:pt idx="9">
                  <c:v>0.52631578947368396</c:v>
                </c:pt>
                <c:pt idx="10">
                  <c:v>0.49999999999999978</c:v>
                </c:pt>
                <c:pt idx="11">
                  <c:v>0.47619047619047594</c:v>
                </c:pt>
                <c:pt idx="12">
                  <c:v>0.45454545454545431</c:v>
                </c:pt>
                <c:pt idx="13">
                  <c:v>0.43478260869565194</c:v>
                </c:pt>
                <c:pt idx="14">
                  <c:v>0.41666666666666646</c:v>
                </c:pt>
                <c:pt idx="15">
                  <c:v>0.39999999999999969</c:v>
                </c:pt>
                <c:pt idx="16">
                  <c:v>0.38461538461538436</c:v>
                </c:pt>
                <c:pt idx="17">
                  <c:v>0.37037037037037013</c:v>
                </c:pt>
                <c:pt idx="18">
                  <c:v>0.35714285714285687</c:v>
                </c:pt>
                <c:pt idx="19">
                  <c:v>0.3448275862068963</c:v>
                </c:pt>
                <c:pt idx="20">
                  <c:v>0.33333333333333309</c:v>
                </c:pt>
                <c:pt idx="21">
                  <c:v>0.32258064516129009</c:v>
                </c:pt>
                <c:pt idx="22">
                  <c:v>0.31249999999999978</c:v>
                </c:pt>
                <c:pt idx="23">
                  <c:v>0.30303030303030282</c:v>
                </c:pt>
                <c:pt idx="24">
                  <c:v>0.29411764705882332</c:v>
                </c:pt>
                <c:pt idx="25">
                  <c:v>0.28571428571428548</c:v>
                </c:pt>
                <c:pt idx="26">
                  <c:v>0.27777777777777757</c:v>
                </c:pt>
                <c:pt idx="27">
                  <c:v>0.27027027027027006</c:v>
                </c:pt>
                <c:pt idx="28">
                  <c:v>0.26315789473684192</c:v>
                </c:pt>
                <c:pt idx="29">
                  <c:v>0.25641025641025622</c:v>
                </c:pt>
                <c:pt idx="30">
                  <c:v>0.24999999999999983</c:v>
                </c:pt>
                <c:pt idx="31">
                  <c:v>0.2439024390243901</c:v>
                </c:pt>
                <c:pt idx="32">
                  <c:v>0.23809523809523797</c:v>
                </c:pt>
                <c:pt idx="33">
                  <c:v>0.23255813953488363</c:v>
                </c:pt>
                <c:pt idx="34">
                  <c:v>0.22727272727272715</c:v>
                </c:pt>
                <c:pt idx="35">
                  <c:v>0.22222222222222218</c:v>
                </c:pt>
                <c:pt idx="36">
                  <c:v>0.21739130434782605</c:v>
                </c:pt>
                <c:pt idx="37">
                  <c:v>0.21276595744680851</c:v>
                </c:pt>
                <c:pt idx="38">
                  <c:v>0.20833333333333334</c:v>
                </c:pt>
                <c:pt idx="39">
                  <c:v>0.2040816326530612</c:v>
                </c:pt>
                <c:pt idx="40">
                  <c:v>0.20000000000000004</c:v>
                </c:pt>
              </c:numCache>
            </c:numRef>
          </c:yVal>
          <c:smooth val="0"/>
          <c:extLst xmlns:c16r2="http://schemas.microsoft.com/office/drawing/2015/06/chart">
            <c:ext xmlns:c16="http://schemas.microsoft.com/office/drawing/2014/chart" uri="{C3380CC4-5D6E-409C-BE32-E72D297353CC}">
              <c16:uniqueId val="{00000000-092C-45A6-A39D-6272D48D76EC}"/>
            </c:ext>
          </c:extLst>
        </c:ser>
        <c:dLbls>
          <c:showLegendKey val="0"/>
          <c:showVal val="0"/>
          <c:showCatName val="0"/>
          <c:showSerName val="0"/>
          <c:showPercent val="0"/>
          <c:showBubbleSize val="0"/>
        </c:dLbls>
        <c:axId val="1094659760"/>
        <c:axId val="1094651056"/>
      </c:scatterChart>
      <c:valAx>
        <c:axId val="109465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51056"/>
        <c:crosses val="autoZero"/>
        <c:crossBetween val="midCat"/>
      </c:valAx>
      <c:valAx>
        <c:axId val="109465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659760"/>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C$4" lockText="1" noThreeD="1"/>
</file>

<file path=xl/ctrlProps/ctrlProp2.xml><?xml version="1.0" encoding="utf-8"?>
<formControlPr xmlns="http://schemas.microsoft.com/office/spreadsheetml/2009/9/main" objectType="CheckBox" fmlaLink="$C$5" lockText="1" noThreeD="1"/>
</file>

<file path=xl/ctrlProps/ctrlProp3.xml><?xml version="1.0" encoding="utf-8"?>
<formControlPr xmlns="http://schemas.microsoft.com/office/spreadsheetml/2009/9/main" objectType="CheckBox" fmlaLink="$C$6" lockText="1" noThreeD="1"/>
</file>

<file path=xl/ctrlProps/ctrlProp4.xml><?xml version="1.0" encoding="utf-8"?>
<formControlPr xmlns="http://schemas.microsoft.com/office/spreadsheetml/2009/9/main" objectType="CheckBox" fmlaLink="$C$7" lockText="1" noThreeD="1"/>
</file>

<file path=xl/ctrlProps/ctrlProp5.xml><?xml version="1.0" encoding="utf-8"?>
<formControlPr xmlns="http://schemas.microsoft.com/office/spreadsheetml/2009/9/main" objectType="CheckBox" fmlaLink="$C$8" lockText="1" noThreeD="1"/>
</file>

<file path=xl/ctrlProps/ctrlProp6.xml><?xml version="1.0" encoding="utf-8"?>
<formControlPr xmlns="http://schemas.microsoft.com/office/spreadsheetml/2009/9/main" objectType="CheckBox" fmlaLink="$C$9" lockText="1" noThreeD="1"/>
</file>

<file path=xl/ctrlProps/ctrlProp7.xml><?xml version="1.0" encoding="utf-8"?>
<formControlPr xmlns="http://schemas.microsoft.com/office/spreadsheetml/2009/9/main" objectType="CheckBox" fmlaLink="$C$10" lockText="1" noThreeD="1"/>
</file>

<file path=xl/ctrlProps/ctrlProp8.xml><?xml version="1.0" encoding="utf-8"?>
<formControlPr xmlns="http://schemas.microsoft.com/office/spreadsheetml/2009/9/main" objectType="CheckBox" fmlaLink="$C$11" lockText="1" noThreeD="1"/>
</file>

<file path=xl/ctrlProps/ctrlProp9.xml><?xml version="1.0" encoding="utf-8"?>
<formControlPr xmlns="http://schemas.microsoft.com/office/spreadsheetml/2009/9/main" objectType="CheckBox" fmlaLink="$C$12" lockText="1" noThreeD="1"/>
</file>

<file path=xl/ctrlProps/ctrlProp10.xml><?xml version="1.0" encoding="utf-8"?>
<formControlPr xmlns="http://schemas.microsoft.com/office/spreadsheetml/2009/9/main" objectType="CheckBox" fmlaLink="$C$13" lockText="1" noThreeD="1"/>
</file>

<file path=xl/ctrlProps/ctrlProp11.xml><?xml version="1.0" encoding="utf-8"?>
<formControlPr xmlns="http://schemas.microsoft.com/office/spreadsheetml/2009/9/main" objectType="CheckBox" fmlaLink="$C$14" lockText="1" noThreeD="1"/>
</file>

<file path=xl/ctrlProps/ctrlProp12.xml><?xml version="1.0" encoding="utf-8"?>
<formControlPr xmlns="http://schemas.microsoft.com/office/spreadsheetml/2009/9/main" objectType="CheckBox" fmlaLink="$C$15" lockText="1" noThreeD="1"/>
</file>

<file path=xl/ctrlProps/ctrlProp13.xml><?xml version="1.0" encoding="utf-8"?>
<formControlPr xmlns="http://schemas.microsoft.com/office/spreadsheetml/2009/9/main" objectType="CheckBox" fmlaLink="$C$16" lockText="1" noThreeD="1"/>
</file>

<file path=xl/ctrlProps/ctrlProp14.xml><?xml version="1.0" encoding="utf-8"?>
<formControlPr xmlns="http://schemas.microsoft.com/office/spreadsheetml/2009/9/main" objectType="CheckBox" fmlaLink="$C$18" lockText="1" noThreeD="1"/>
</file>

<file path=xl/ctrlProps/ctrlProp15.xml><?xml version="1.0" encoding="utf-8"?>
<formControlPr xmlns="http://schemas.microsoft.com/office/spreadsheetml/2009/9/main" objectType="CheckBox" fmlaLink="$C$19" lockText="1" noThreeD="1"/>
</file>

<file path=xl/ctrlProps/ctrlProp16.xml><?xml version="1.0" encoding="utf-8"?>
<formControlPr xmlns="http://schemas.microsoft.com/office/spreadsheetml/2009/9/main" objectType="CheckBox" fmlaLink="$C$20" lockText="1" noThreeD="1"/>
</file>

<file path=xl/ctrlProps/ctrlProp17.xml><?xml version="1.0" encoding="utf-8"?>
<formControlPr xmlns="http://schemas.microsoft.com/office/spreadsheetml/2009/9/main" objectType="CheckBox" fmlaLink="$C$21" lockText="1" noThreeD="1"/>
</file>

<file path=xl/ctrlProps/ctrlProp18.xml><?xml version="1.0" encoding="utf-8"?>
<formControlPr xmlns="http://schemas.microsoft.com/office/spreadsheetml/2009/9/main" objectType="CheckBox" fmlaLink="$C$23" lockText="1" noThreeD="1"/>
</file>

<file path=xl/ctrlProps/ctrlProp19.xml><?xml version="1.0" encoding="utf-8"?>
<formControlPr xmlns="http://schemas.microsoft.com/office/spreadsheetml/2009/9/main" objectType="CheckBox" fmlaLink="$C$24" lockText="1" noThreeD="1"/>
</file>

<file path=xl/ctrlProps/ctrlProp20.xml><?xml version="1.0" encoding="utf-8"?>
<formControlPr xmlns="http://schemas.microsoft.com/office/spreadsheetml/2009/9/main" objectType="CheckBox" fmlaLink="$C$25" lockText="1" noThreeD="1"/>
</file>

<file path=xl/ctrlProps/ctrlProp21.xml><?xml version="1.0" encoding="utf-8"?>
<formControlPr xmlns="http://schemas.microsoft.com/office/spreadsheetml/2009/9/main" objectType="CheckBox" fmlaLink="$C$26" lockText="1" noThreeD="1"/>
</file>

<file path=xl/ctrlProps/ctrlProp22.xml><?xml version="1.0" encoding="utf-8"?>
<formControlPr xmlns="http://schemas.microsoft.com/office/spreadsheetml/2009/9/main" objectType="CheckBox" fmlaLink="$C$27" lockText="1" noThreeD="1"/>
</file>

<file path=xl/ctrlProps/ctrlProp23.xml><?xml version="1.0" encoding="utf-8"?>
<formControlPr xmlns="http://schemas.microsoft.com/office/spreadsheetml/2009/9/main" objectType="CheckBox" fmlaLink="$C$28" lockText="1" noThreeD="1"/>
</file>

<file path=xl/ctrlProps/ctrlProp24.xml><?xml version="1.0" encoding="utf-8"?>
<formControlPr xmlns="http://schemas.microsoft.com/office/spreadsheetml/2009/9/main" objectType="CheckBox" fmlaLink="$C$29" lockText="1" noThreeD="1"/>
</file>

<file path=xl/ctrlProps/ctrlProp25.xml><?xml version="1.0" encoding="utf-8"?>
<formControlPr xmlns="http://schemas.microsoft.com/office/spreadsheetml/2009/9/main" objectType="CheckBox" fmlaLink="$C$30" lockText="1" noThreeD="1"/>
</file>

<file path=xl/ctrlProps/ctrlProp26.xml><?xml version="1.0" encoding="utf-8"?>
<formControlPr xmlns="http://schemas.microsoft.com/office/spreadsheetml/2009/9/main" objectType="CheckBox" fmlaLink="$C$31" lockText="1" noThreeD="1"/>
</file>

<file path=xl/ctrlProps/ctrlProp27.xml><?xml version="1.0" encoding="utf-8"?>
<formControlPr xmlns="http://schemas.microsoft.com/office/spreadsheetml/2009/9/main" objectType="CheckBox" fmlaLink="$C$32" lockText="1" noThreeD="1"/>
</file>

<file path=xl/ctrlProps/ctrlProp28.xml><?xml version="1.0" encoding="utf-8"?>
<formControlPr xmlns="http://schemas.microsoft.com/office/spreadsheetml/2009/9/main" objectType="CheckBox" fmlaLink="$C$33" lockText="1" noThreeD="1"/>
</file>

<file path=xl/ctrlProps/ctrlProp29.xml><?xml version="1.0" encoding="utf-8"?>
<formControlPr xmlns="http://schemas.microsoft.com/office/spreadsheetml/2009/9/main" objectType="CheckBox" fmlaLink="$C$34" lockText="1" noThreeD="1"/>
</file>

<file path=xl/ctrlProps/ctrlProp30.xml><?xml version="1.0" encoding="utf-8"?>
<formControlPr xmlns="http://schemas.microsoft.com/office/spreadsheetml/2009/9/main" objectType="CheckBox" fmlaLink="$C$35" lockText="1" noThreeD="1"/>
</file>

<file path=xl/ctrlProps/ctrlProp31.xml><?xml version="1.0" encoding="utf-8"?>
<formControlPr xmlns="http://schemas.microsoft.com/office/spreadsheetml/2009/9/main" objectType="CheckBox" fmlaLink="$C$36" lockText="1" noThreeD="1"/>
</file>

<file path=xl/ctrlProps/ctrlProp32.xml><?xml version="1.0" encoding="utf-8"?>
<formControlPr xmlns="http://schemas.microsoft.com/office/spreadsheetml/2009/9/main" objectType="CheckBox" fmlaLink="$C$37" lockText="1" noThreeD="1"/>
</file>

<file path=xl/ctrlProps/ctrlProp33.xml><?xml version="1.0" encoding="utf-8"?>
<formControlPr xmlns="http://schemas.microsoft.com/office/spreadsheetml/2009/9/main" objectType="CheckBox" fmlaLink="$C$38" lockText="1" noThreeD="1"/>
</file>

<file path=xl/ctrlProps/ctrlProp34.xml><?xml version="1.0" encoding="utf-8"?>
<formControlPr xmlns="http://schemas.microsoft.com/office/spreadsheetml/2009/9/main" objectType="CheckBox" fmlaLink="$C$39" lockText="1" noThreeD="1"/>
</file>

<file path=xl/ctrlProps/ctrlProp35.xml><?xml version="1.0" encoding="utf-8"?>
<formControlPr xmlns="http://schemas.microsoft.com/office/spreadsheetml/2009/9/main" objectType="CheckBox" fmlaLink="$C$17" lockText="1" noThreeD="1"/>
</file>

<file path=xl/ctrlProps/ctrlProp36.xml><?xml version="1.0" encoding="utf-8"?>
<formControlPr xmlns="http://schemas.microsoft.com/office/spreadsheetml/2009/9/main" objectType="CheckBox" fmlaLink="$C$22"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1. &#1605;&#1583;&#1585;&#1705; &#1578;&#1581;&#1589;&#1740;&#1604;&#1740;'!A1"/></Relationships>
</file>

<file path=xl/drawings/_rels/drawing4.xml.rels><?xml version="1.0" encoding="UTF-8" standalone="yes"?>
<Relationships xmlns="http://schemas.openxmlformats.org/package/2006/relationships"><Relationship Id="rId1" Type="http://schemas.openxmlformats.org/officeDocument/2006/relationships/hyperlink" Target="#&#1575;&#1587;&#1578;&#1575;&#1606;&#1583;&#1575;&#1585;&#1583;.7!A1"/></Relationships>
</file>

<file path=xl/drawings/_rels/drawing5.xml.rels><?xml version="1.0" encoding="UTF-8" standalone="yes"?>
<Relationships xmlns="http://schemas.openxmlformats.org/package/2006/relationships"><Relationship Id="rId1" Type="http://schemas.openxmlformats.org/officeDocument/2006/relationships/hyperlink" Target="#'2. Fill'!A1"/></Relationships>
</file>

<file path=xl/drawings/_rels/drawing6.xml.rels><?xml version="1.0" encoding="UTF-8" standalone="yes"?>
<Relationships xmlns="http://schemas.openxmlformats.org/package/2006/relationships"><Relationship Id="rId1" Type="http://schemas.openxmlformats.org/officeDocument/2006/relationships/hyperlink" Target="#'2. Fill'!A1"/></Relationships>
</file>

<file path=xl/drawings/_rels/drawing7.xml.rels><?xml version="1.0" encoding="UTF-8" standalone="yes"?>
<Relationships xmlns="http://schemas.openxmlformats.org/package/2006/relationships"><Relationship Id="rId1" Type="http://schemas.openxmlformats.org/officeDocument/2006/relationships/hyperlink" Target="#'2. Fill'!A1"/></Relationships>
</file>

<file path=xl/drawings/_rels/drawing8.xml.rels><?xml version="1.0" encoding="UTF-8" standalone="yes"?>
<Relationships xmlns="http://schemas.openxmlformats.org/package/2006/relationships"><Relationship Id="rId1" Type="http://schemas.openxmlformats.org/officeDocument/2006/relationships/hyperlink" Target="#'2. Fill'!A1"/></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2. Fill'!A1"/><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hyperlink" Target="#'2. Fill'!A1"/></Relationships>
</file>

<file path=xl/drawings/_rels/drawing1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hyperlink" Target="#'2. Fill'!A1"/></Relationships>
</file>

<file path=xl/drawings/_rels/drawing14.xml.rels><?xml version="1.0" encoding="UTF-8" standalone="yes"?>
<Relationships xmlns="http://schemas.openxmlformats.org/package/2006/relationships"><Relationship Id="rId1" Type="http://schemas.openxmlformats.org/officeDocument/2006/relationships/hyperlink" Target="#'2. Fill'!A1"/></Relationships>
</file>

<file path=xl/drawings/_rels/drawing15.xml.rels><?xml version="1.0" encoding="UTF-8" standalone="yes"?>
<Relationships xmlns="http://schemas.openxmlformats.org/package/2006/relationships"><Relationship Id="rId1" Type="http://schemas.openxmlformats.org/officeDocument/2006/relationships/hyperlink" Target="#'2. Fill'!A1"/></Relationships>
</file>

<file path=xl/drawings/_rels/drawing16.xml.rels><?xml version="1.0" encoding="UTF-8" standalone="yes"?>
<Relationships xmlns="http://schemas.openxmlformats.org/package/2006/relationships"><Relationship Id="rId1" Type="http://schemas.openxmlformats.org/officeDocument/2006/relationships/hyperlink" Target="#'2. Fill'!A1"/></Relationships>
</file>

<file path=xl/drawings/_rels/drawing17.xml.rels><?xml version="1.0" encoding="UTF-8" standalone="yes"?>
<Relationships xmlns="http://schemas.openxmlformats.org/package/2006/relationships"><Relationship Id="rId1" Type="http://schemas.openxmlformats.org/officeDocument/2006/relationships/hyperlink" Target="#'2. Fill'!A1"/></Relationships>
</file>

<file path=xl/drawings/_rels/drawing19.xml.rels><?xml version="1.0" encoding="UTF-8" standalone="yes"?>
<Relationships xmlns="http://schemas.openxmlformats.org/package/2006/relationships"><Relationship Id="rId1" Type="http://schemas.openxmlformats.org/officeDocument/2006/relationships/hyperlink" Target="#'2. Fill'!A1"/></Relationships>
</file>

<file path=xl/drawings/_rels/drawing20.xml.rels><?xml version="1.0" encoding="UTF-8" standalone="yes"?>
<Relationships xmlns="http://schemas.openxmlformats.org/package/2006/relationships"><Relationship Id="rId1" Type="http://schemas.openxmlformats.org/officeDocument/2006/relationships/hyperlink" Target="#'2. Fill'!A1"/></Relationships>
</file>

<file path=xl/drawings/_rels/drawing2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2. Fill'!A1"/></Relationships>
</file>

<file path=xl/drawings/_rels/drawing22.xml.rels><?xml version="1.0" encoding="UTF-8" standalone="yes"?>
<Relationships xmlns="http://schemas.openxmlformats.org/package/2006/relationships"><Relationship Id="rId1" Type="http://schemas.openxmlformats.org/officeDocument/2006/relationships/image" Target="../media/image8.png"/></Relationships>
</file>

<file path=xl/drawings/_rels/drawing2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10.png"/><Relationship Id="rId7" Type="http://schemas.openxmlformats.org/officeDocument/2006/relationships/image" Target="../media/image11.png"/><Relationship Id="rId2" Type="http://schemas.openxmlformats.org/officeDocument/2006/relationships/image" Target="../media/image9.png"/><Relationship Id="rId1" Type="http://schemas.openxmlformats.org/officeDocument/2006/relationships/hyperlink" Target="https://go.microsoft.com/fwlink/?linkid=844970" TargetMode="External"/><Relationship Id="rId6" Type="http://schemas.openxmlformats.org/officeDocument/2006/relationships/hyperlink" Target="http://go.microsoft.com/fwlink/?LinkId=846286" TargetMode="External"/><Relationship Id="rId5" Type="http://schemas.openxmlformats.org/officeDocument/2006/relationships/hyperlink" Target="http://go.microsoft.com/fwlink/?LinkId=844969" TargetMode="External"/><Relationship Id="rId10" Type="http://schemas.openxmlformats.org/officeDocument/2006/relationships/image" Target="../media/image8.svg"/><Relationship Id="rId4" Type="http://schemas.openxmlformats.org/officeDocument/2006/relationships/hyperlink" Target="http://go.microsoft.com/fwlink/?LinkId=846285" TargetMode="External"/><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absoluteAnchor>
    <xdr:pos x="7322820" y="4543425"/>
    <xdr:ext cx="1170432" cy="514350"/>
    <xdr:sp macro="" textlink="">
      <xdr:nvSpPr>
        <xdr:cNvPr id="3" name="Next Button" descr="Hyperlinked button shape to navigate to the next step">
          <a:hlinkClick xmlns:r="http://schemas.openxmlformats.org/officeDocument/2006/relationships" r:id="rId1" tooltip="Select to start the tour"/>
          <a:extLst>
            <a:ext uri="{FF2B5EF4-FFF2-40B4-BE49-F238E27FC236}">
              <a16:creationId xmlns:a16="http://schemas.microsoft.com/office/drawing/2014/main" xmlns="" id="{00000000-0008-0000-0000-000003000000}"/>
            </a:ext>
          </a:extLst>
        </xdr:cNvPr>
        <xdr:cNvSpPr/>
      </xdr:nvSpPr>
      <xdr:spPr>
        <a:xfrm flipH="1">
          <a:off x="12981084528" y="4543425"/>
          <a:ext cx="1170432" cy="514350"/>
        </a:xfrm>
        <a:prstGeom prst="rect">
          <a:avLst/>
        </a:prstGeom>
        <a:solidFill>
          <a:schemeClr val="bg1"/>
        </a:solidFill>
        <a:ln w="38100">
          <a:solidFill>
            <a:srgbClr val="C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fa-IR" sz="1400" b="1" cap="none" spc="0" baseline="0">
              <a:ln>
                <a:noFill/>
              </a:ln>
              <a:solidFill>
                <a:srgbClr val="C00000"/>
              </a:solidFill>
              <a:effectLst/>
              <a:latin typeface="Segoe UI" panose="020B0502040204020203" pitchFamily="34" charset="0"/>
              <a:ea typeface="Segoe UI" pitchFamily="34" charset="0"/>
              <a:cs typeface="B Nazanin" panose="00000400000000000000" pitchFamily="2" charset="-78"/>
            </a:rPr>
            <a:t>شروع ارزیابی</a:t>
          </a:r>
          <a:endParaRPr lang="en-US" sz="1400" b="1" cap="none" spc="0">
            <a:ln>
              <a:noFill/>
            </a:ln>
            <a:solidFill>
              <a:srgbClr val="C00000"/>
            </a:solidFill>
            <a:effectLst/>
            <a:latin typeface="Segoe UI" panose="020B0502040204020203" pitchFamily="34" charset="0"/>
            <a:ea typeface="Segoe UI" pitchFamily="34" charset="0"/>
            <a:cs typeface="B Nazanin" panose="00000400000000000000" pitchFamily="2" charset="-78"/>
          </a:endParaRPr>
        </a:p>
      </xdr:txBody>
    </xdr:sp>
    <xdr:clientData fPrintsWithSheet="0"/>
  </xdr:absoluteAnchor>
  <xdr:twoCellAnchor editAs="oneCell">
    <xdr:from>
      <xdr:col>0</xdr:col>
      <xdr:colOff>53340</xdr:colOff>
      <xdr:row>0</xdr:row>
      <xdr:rowOff>0</xdr:rowOff>
    </xdr:from>
    <xdr:to>
      <xdr:col>0</xdr:col>
      <xdr:colOff>914400</xdr:colOff>
      <xdr:row>3</xdr:row>
      <xdr:rowOff>182880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4667"/>
        <a:stretch/>
      </xdr:blipFill>
      <xdr:spPr>
        <a:xfrm>
          <a:off x="12490406820" y="0"/>
          <a:ext cx="861060" cy="1143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304800</xdr:colOff>
          <xdr:row>3</xdr:row>
          <xdr:rowOff>190500</xdr:rowOff>
        </xdr:to>
        <xdr:sp macro="" textlink="">
          <xdr:nvSpPr>
            <xdr:cNvPr id="32769" name="Check Box 1" hidden="1">
              <a:extLst>
                <a:ext uri="{63B3BB69-23CF-44E3-9099-C40C66FF867C}">
                  <a14:compatExt spid="_x0000_s32769"/>
                </a:ext>
                <a:ext uri="{FF2B5EF4-FFF2-40B4-BE49-F238E27FC236}">
                  <a16:creationId xmlns:a16="http://schemas.microsoft.com/office/drawing/2014/main" xmlns="" id="{00000000-0008-0000-0100-00000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xdr:row>
          <xdr:rowOff>9525</xdr:rowOff>
        </xdr:from>
        <xdr:to>
          <xdr:col>2</xdr:col>
          <xdr:colOff>381000</xdr:colOff>
          <xdr:row>4</xdr:row>
          <xdr:rowOff>190500</xdr:rowOff>
        </xdr:to>
        <xdr:sp macro="" textlink="">
          <xdr:nvSpPr>
            <xdr:cNvPr id="32770" name="Check Box 2" hidden="1">
              <a:extLst>
                <a:ext uri="{63B3BB69-23CF-44E3-9099-C40C66FF867C}">
                  <a14:compatExt spid="_x0000_s32770"/>
                </a:ext>
                <a:ext uri="{FF2B5EF4-FFF2-40B4-BE49-F238E27FC236}">
                  <a16:creationId xmlns:a16="http://schemas.microsoft.com/office/drawing/2014/main" xmlns="" id="{00000000-0008-0000-0100-000002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xdr:row>
          <xdr:rowOff>9525</xdr:rowOff>
        </xdr:from>
        <xdr:to>
          <xdr:col>2</xdr:col>
          <xdr:colOff>390525</xdr:colOff>
          <xdr:row>5</xdr:row>
          <xdr:rowOff>190500</xdr:rowOff>
        </xdr:to>
        <xdr:sp macro="" textlink="">
          <xdr:nvSpPr>
            <xdr:cNvPr id="32771" name="Check Box 3" hidden="1">
              <a:extLst>
                <a:ext uri="{63B3BB69-23CF-44E3-9099-C40C66FF867C}">
                  <a14:compatExt spid="_x0000_s32771"/>
                </a:ext>
                <a:ext uri="{FF2B5EF4-FFF2-40B4-BE49-F238E27FC236}">
                  <a16:creationId xmlns:a16="http://schemas.microsoft.com/office/drawing/2014/main" xmlns="" id="{00000000-0008-0000-0100-000003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6</xdr:row>
          <xdr:rowOff>9525</xdr:rowOff>
        </xdr:from>
        <xdr:to>
          <xdr:col>2</xdr:col>
          <xdr:colOff>304800</xdr:colOff>
          <xdr:row>6</xdr:row>
          <xdr:rowOff>190500</xdr:rowOff>
        </xdr:to>
        <xdr:sp macro="" textlink="">
          <xdr:nvSpPr>
            <xdr:cNvPr id="32772" name="Check Box 4" hidden="1">
              <a:extLst>
                <a:ext uri="{63B3BB69-23CF-44E3-9099-C40C66FF867C}">
                  <a14:compatExt spid="_x0000_s32772"/>
                </a:ext>
                <a:ext uri="{FF2B5EF4-FFF2-40B4-BE49-F238E27FC236}">
                  <a16:creationId xmlns:a16="http://schemas.microsoft.com/office/drawing/2014/main" xmlns="" id="{00000000-0008-0000-0100-000004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9525</xdr:rowOff>
        </xdr:from>
        <xdr:to>
          <xdr:col>2</xdr:col>
          <xdr:colOff>304800</xdr:colOff>
          <xdr:row>7</xdr:row>
          <xdr:rowOff>190500</xdr:rowOff>
        </xdr:to>
        <xdr:sp macro="" textlink="">
          <xdr:nvSpPr>
            <xdr:cNvPr id="32773" name="Check Box 5" hidden="1">
              <a:extLst>
                <a:ext uri="{63B3BB69-23CF-44E3-9099-C40C66FF867C}">
                  <a14:compatExt spid="_x0000_s32773"/>
                </a:ext>
                <a:ext uri="{FF2B5EF4-FFF2-40B4-BE49-F238E27FC236}">
                  <a16:creationId xmlns:a16="http://schemas.microsoft.com/office/drawing/2014/main" xmlns="" id="{00000000-0008-0000-0100-000005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9525</xdr:rowOff>
        </xdr:from>
        <xdr:to>
          <xdr:col>2</xdr:col>
          <xdr:colOff>304800</xdr:colOff>
          <xdr:row>8</xdr:row>
          <xdr:rowOff>190500</xdr:rowOff>
        </xdr:to>
        <xdr:sp macro="" textlink="">
          <xdr:nvSpPr>
            <xdr:cNvPr id="32774" name="Check Box 6" hidden="1">
              <a:extLst>
                <a:ext uri="{63B3BB69-23CF-44E3-9099-C40C66FF867C}">
                  <a14:compatExt spid="_x0000_s32774"/>
                </a:ext>
                <a:ext uri="{FF2B5EF4-FFF2-40B4-BE49-F238E27FC236}">
                  <a16:creationId xmlns:a16="http://schemas.microsoft.com/office/drawing/2014/main" xmlns="" id="{00000000-0008-0000-0100-000006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9</xdr:row>
          <xdr:rowOff>9525</xdr:rowOff>
        </xdr:from>
        <xdr:to>
          <xdr:col>2</xdr:col>
          <xdr:colOff>304800</xdr:colOff>
          <xdr:row>9</xdr:row>
          <xdr:rowOff>190500</xdr:rowOff>
        </xdr:to>
        <xdr:sp macro="" textlink="">
          <xdr:nvSpPr>
            <xdr:cNvPr id="32775" name="Check Box 7" hidden="1">
              <a:extLst>
                <a:ext uri="{63B3BB69-23CF-44E3-9099-C40C66FF867C}">
                  <a14:compatExt spid="_x0000_s32775"/>
                </a:ext>
                <a:ext uri="{FF2B5EF4-FFF2-40B4-BE49-F238E27FC236}">
                  <a16:creationId xmlns:a16="http://schemas.microsoft.com/office/drawing/2014/main" xmlns="" id="{00000000-0008-0000-0100-000007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10</xdr:row>
          <xdr:rowOff>0</xdr:rowOff>
        </xdr:from>
        <xdr:to>
          <xdr:col>2</xdr:col>
          <xdr:colOff>304800</xdr:colOff>
          <xdr:row>10</xdr:row>
          <xdr:rowOff>190500</xdr:rowOff>
        </xdr:to>
        <xdr:sp macro="" textlink="">
          <xdr:nvSpPr>
            <xdr:cNvPr id="32776" name="Check Box 8" hidden="1">
              <a:extLst>
                <a:ext uri="{63B3BB69-23CF-44E3-9099-C40C66FF867C}">
                  <a14:compatExt spid="_x0000_s32776"/>
                </a:ext>
                <a:ext uri="{FF2B5EF4-FFF2-40B4-BE49-F238E27FC236}">
                  <a16:creationId xmlns:a16="http://schemas.microsoft.com/office/drawing/2014/main" xmlns="" id="{00000000-0008-0000-0100-000008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11</xdr:row>
          <xdr:rowOff>0</xdr:rowOff>
        </xdr:from>
        <xdr:to>
          <xdr:col>2</xdr:col>
          <xdr:colOff>304800</xdr:colOff>
          <xdr:row>11</xdr:row>
          <xdr:rowOff>190500</xdr:rowOff>
        </xdr:to>
        <xdr:sp macro="" textlink="">
          <xdr:nvSpPr>
            <xdr:cNvPr id="32777" name="Check Box 9" hidden="1">
              <a:extLst>
                <a:ext uri="{63B3BB69-23CF-44E3-9099-C40C66FF867C}">
                  <a14:compatExt spid="_x0000_s32777"/>
                </a:ext>
                <a:ext uri="{FF2B5EF4-FFF2-40B4-BE49-F238E27FC236}">
                  <a16:creationId xmlns:a16="http://schemas.microsoft.com/office/drawing/2014/main" xmlns="" id="{00000000-0008-0000-0100-000009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0</xdr:rowOff>
        </xdr:from>
        <xdr:to>
          <xdr:col>2</xdr:col>
          <xdr:colOff>304800</xdr:colOff>
          <xdr:row>12</xdr:row>
          <xdr:rowOff>190500</xdr:rowOff>
        </xdr:to>
        <xdr:sp macro="" textlink="">
          <xdr:nvSpPr>
            <xdr:cNvPr id="32778" name="Check Box 10" hidden="1">
              <a:extLst>
                <a:ext uri="{63B3BB69-23CF-44E3-9099-C40C66FF867C}">
                  <a14:compatExt spid="_x0000_s32778"/>
                </a:ext>
                <a:ext uri="{FF2B5EF4-FFF2-40B4-BE49-F238E27FC236}">
                  <a16:creationId xmlns:a16="http://schemas.microsoft.com/office/drawing/2014/main" xmlns="" id="{00000000-0008-0000-0100-00000A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12</xdr:row>
          <xdr:rowOff>219075</xdr:rowOff>
        </xdr:from>
        <xdr:to>
          <xdr:col>2</xdr:col>
          <xdr:colOff>304800</xdr:colOff>
          <xdr:row>13</xdr:row>
          <xdr:rowOff>190500</xdr:rowOff>
        </xdr:to>
        <xdr:sp macro="" textlink="">
          <xdr:nvSpPr>
            <xdr:cNvPr id="32779" name="Check Box 11" hidden="1">
              <a:extLst>
                <a:ext uri="{63B3BB69-23CF-44E3-9099-C40C66FF867C}">
                  <a14:compatExt spid="_x0000_s32779"/>
                </a:ext>
                <a:ext uri="{FF2B5EF4-FFF2-40B4-BE49-F238E27FC236}">
                  <a16:creationId xmlns:a16="http://schemas.microsoft.com/office/drawing/2014/main" xmlns="" id="{00000000-0008-0000-0100-00000B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2</xdr:col>
          <xdr:colOff>304800</xdr:colOff>
          <xdr:row>14</xdr:row>
          <xdr:rowOff>190500</xdr:rowOff>
        </xdr:to>
        <xdr:sp macro="" textlink="">
          <xdr:nvSpPr>
            <xdr:cNvPr id="32780" name="Check Box 12" hidden="1">
              <a:extLst>
                <a:ext uri="{63B3BB69-23CF-44E3-9099-C40C66FF867C}">
                  <a14:compatExt spid="_x0000_s32780"/>
                </a:ext>
                <a:ext uri="{FF2B5EF4-FFF2-40B4-BE49-F238E27FC236}">
                  <a16:creationId xmlns:a16="http://schemas.microsoft.com/office/drawing/2014/main" xmlns="" id="{00000000-0008-0000-0100-00000C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304800</xdr:colOff>
          <xdr:row>15</xdr:row>
          <xdr:rowOff>190500</xdr:rowOff>
        </xdr:to>
        <xdr:sp macro="" textlink="">
          <xdr:nvSpPr>
            <xdr:cNvPr id="32781" name="Check Box 13" hidden="1">
              <a:extLst>
                <a:ext uri="{63B3BB69-23CF-44E3-9099-C40C66FF867C}">
                  <a14:compatExt spid="_x0000_s32781"/>
                </a:ext>
                <a:ext uri="{FF2B5EF4-FFF2-40B4-BE49-F238E27FC236}">
                  <a16:creationId xmlns:a16="http://schemas.microsoft.com/office/drawing/2014/main" xmlns="" id="{00000000-0008-0000-0100-00000D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0</xdr:rowOff>
        </xdr:from>
        <xdr:to>
          <xdr:col>2</xdr:col>
          <xdr:colOff>304800</xdr:colOff>
          <xdr:row>17</xdr:row>
          <xdr:rowOff>190500</xdr:rowOff>
        </xdr:to>
        <xdr:sp macro="" textlink="">
          <xdr:nvSpPr>
            <xdr:cNvPr id="32782" name="Check Box 14" hidden="1">
              <a:extLst>
                <a:ext uri="{63B3BB69-23CF-44E3-9099-C40C66FF867C}">
                  <a14:compatExt spid="_x0000_s32782"/>
                </a:ext>
                <a:ext uri="{FF2B5EF4-FFF2-40B4-BE49-F238E27FC236}">
                  <a16:creationId xmlns:a16="http://schemas.microsoft.com/office/drawing/2014/main" xmlns="" id="{00000000-0008-0000-0100-00000E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2</xdr:col>
          <xdr:colOff>304800</xdr:colOff>
          <xdr:row>18</xdr:row>
          <xdr:rowOff>190500</xdr:rowOff>
        </xdr:to>
        <xdr:sp macro="" textlink="">
          <xdr:nvSpPr>
            <xdr:cNvPr id="32783" name="Check Box 15" hidden="1">
              <a:extLst>
                <a:ext uri="{63B3BB69-23CF-44E3-9099-C40C66FF867C}">
                  <a14:compatExt spid="_x0000_s32783"/>
                </a:ext>
                <a:ext uri="{FF2B5EF4-FFF2-40B4-BE49-F238E27FC236}">
                  <a16:creationId xmlns:a16="http://schemas.microsoft.com/office/drawing/2014/main" xmlns="" id="{00000000-0008-0000-0100-00000F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2</xdr:col>
          <xdr:colOff>304800</xdr:colOff>
          <xdr:row>19</xdr:row>
          <xdr:rowOff>190500</xdr:rowOff>
        </xdr:to>
        <xdr:sp macro="" textlink="">
          <xdr:nvSpPr>
            <xdr:cNvPr id="32784" name="Check Box 16" hidden="1">
              <a:extLst>
                <a:ext uri="{63B3BB69-23CF-44E3-9099-C40C66FF867C}">
                  <a14:compatExt spid="_x0000_s32784"/>
                </a:ext>
                <a:ext uri="{FF2B5EF4-FFF2-40B4-BE49-F238E27FC236}">
                  <a16:creationId xmlns:a16="http://schemas.microsoft.com/office/drawing/2014/main" xmlns="" id="{00000000-0008-0000-0100-000010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xdr:row>
          <xdr:rowOff>9525</xdr:rowOff>
        </xdr:from>
        <xdr:to>
          <xdr:col>2</xdr:col>
          <xdr:colOff>304800</xdr:colOff>
          <xdr:row>20</xdr:row>
          <xdr:rowOff>190500</xdr:rowOff>
        </xdr:to>
        <xdr:sp macro="" textlink="">
          <xdr:nvSpPr>
            <xdr:cNvPr id="32785" name="Check Box 17" hidden="1">
              <a:extLst>
                <a:ext uri="{63B3BB69-23CF-44E3-9099-C40C66FF867C}">
                  <a14:compatExt spid="_x0000_s32785"/>
                </a:ext>
                <a:ext uri="{FF2B5EF4-FFF2-40B4-BE49-F238E27FC236}">
                  <a16:creationId xmlns:a16="http://schemas.microsoft.com/office/drawing/2014/main" xmlns="" id="{00000000-0008-0000-0100-00001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0</xdr:rowOff>
        </xdr:from>
        <xdr:to>
          <xdr:col>2</xdr:col>
          <xdr:colOff>304800</xdr:colOff>
          <xdr:row>22</xdr:row>
          <xdr:rowOff>190500</xdr:rowOff>
        </xdr:to>
        <xdr:sp macro="" textlink="">
          <xdr:nvSpPr>
            <xdr:cNvPr id="32786" name="Check Box 18" hidden="1">
              <a:extLst>
                <a:ext uri="{63B3BB69-23CF-44E3-9099-C40C66FF867C}">
                  <a14:compatExt spid="_x0000_s32786"/>
                </a:ext>
                <a:ext uri="{FF2B5EF4-FFF2-40B4-BE49-F238E27FC236}">
                  <a16:creationId xmlns:a16="http://schemas.microsoft.com/office/drawing/2014/main" xmlns="" id="{00000000-0008-0000-0100-000012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2</xdr:col>
          <xdr:colOff>304800</xdr:colOff>
          <xdr:row>23</xdr:row>
          <xdr:rowOff>190500</xdr:rowOff>
        </xdr:to>
        <xdr:sp macro="" textlink="">
          <xdr:nvSpPr>
            <xdr:cNvPr id="32787" name="Check Box 19" hidden="1">
              <a:extLst>
                <a:ext uri="{63B3BB69-23CF-44E3-9099-C40C66FF867C}">
                  <a14:compatExt spid="_x0000_s32787"/>
                </a:ext>
                <a:ext uri="{FF2B5EF4-FFF2-40B4-BE49-F238E27FC236}">
                  <a16:creationId xmlns:a16="http://schemas.microsoft.com/office/drawing/2014/main" xmlns="" id="{00000000-0008-0000-0100-000013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219075</xdr:rowOff>
        </xdr:from>
        <xdr:to>
          <xdr:col>2</xdr:col>
          <xdr:colOff>304800</xdr:colOff>
          <xdr:row>24</xdr:row>
          <xdr:rowOff>180975</xdr:rowOff>
        </xdr:to>
        <xdr:sp macro="" textlink="">
          <xdr:nvSpPr>
            <xdr:cNvPr id="32788" name="Check Box 20" hidden="1">
              <a:extLst>
                <a:ext uri="{63B3BB69-23CF-44E3-9099-C40C66FF867C}">
                  <a14:compatExt spid="_x0000_s32788"/>
                </a:ext>
                <a:ext uri="{FF2B5EF4-FFF2-40B4-BE49-F238E27FC236}">
                  <a16:creationId xmlns:a16="http://schemas.microsoft.com/office/drawing/2014/main" xmlns="" id="{00000000-0008-0000-0100-000014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24</xdr:row>
          <xdr:rowOff>200025</xdr:rowOff>
        </xdr:from>
        <xdr:to>
          <xdr:col>3</xdr:col>
          <xdr:colOff>104775</xdr:colOff>
          <xdr:row>25</xdr:row>
          <xdr:rowOff>180975</xdr:rowOff>
        </xdr:to>
        <xdr:sp macro="" textlink="">
          <xdr:nvSpPr>
            <xdr:cNvPr id="32789" name="Check Box 21" hidden="1">
              <a:extLst>
                <a:ext uri="{63B3BB69-23CF-44E3-9099-C40C66FF867C}">
                  <a14:compatExt spid="_x0000_s32789"/>
                </a:ext>
                <a:ext uri="{FF2B5EF4-FFF2-40B4-BE49-F238E27FC236}">
                  <a16:creationId xmlns:a16="http://schemas.microsoft.com/office/drawing/2014/main" xmlns="" id="{00000000-0008-0000-0100-000015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0</xdr:rowOff>
        </xdr:from>
        <xdr:to>
          <xdr:col>3</xdr:col>
          <xdr:colOff>104775</xdr:colOff>
          <xdr:row>26</xdr:row>
          <xdr:rowOff>209550</xdr:rowOff>
        </xdr:to>
        <xdr:sp macro="" textlink="">
          <xdr:nvSpPr>
            <xdr:cNvPr id="32790" name="Check Box 22" hidden="1">
              <a:extLst>
                <a:ext uri="{63B3BB69-23CF-44E3-9099-C40C66FF867C}">
                  <a14:compatExt spid="_x0000_s32790"/>
                </a:ext>
                <a:ext uri="{FF2B5EF4-FFF2-40B4-BE49-F238E27FC236}">
                  <a16:creationId xmlns:a16="http://schemas.microsoft.com/office/drawing/2014/main" xmlns="" id="{00000000-0008-0000-0100-000016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3</xdr:col>
          <xdr:colOff>104775</xdr:colOff>
          <xdr:row>27</xdr:row>
          <xdr:rowOff>219075</xdr:rowOff>
        </xdr:to>
        <xdr:sp macro="" textlink="">
          <xdr:nvSpPr>
            <xdr:cNvPr id="32791" name="Check Box 23" hidden="1">
              <a:extLst>
                <a:ext uri="{63B3BB69-23CF-44E3-9099-C40C66FF867C}">
                  <a14:compatExt spid="_x0000_s32791"/>
                </a:ext>
                <a:ext uri="{FF2B5EF4-FFF2-40B4-BE49-F238E27FC236}">
                  <a16:creationId xmlns:a16="http://schemas.microsoft.com/office/drawing/2014/main" xmlns="" id="{00000000-0008-0000-0100-000017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0</xdr:rowOff>
        </xdr:from>
        <xdr:to>
          <xdr:col>3</xdr:col>
          <xdr:colOff>104775</xdr:colOff>
          <xdr:row>28</xdr:row>
          <xdr:rowOff>209550</xdr:rowOff>
        </xdr:to>
        <xdr:sp macro="" textlink="">
          <xdr:nvSpPr>
            <xdr:cNvPr id="32792" name="Check Box 24" hidden="1">
              <a:extLst>
                <a:ext uri="{63B3BB69-23CF-44E3-9099-C40C66FF867C}">
                  <a14:compatExt spid="_x0000_s32792"/>
                </a:ext>
                <a:ext uri="{FF2B5EF4-FFF2-40B4-BE49-F238E27FC236}">
                  <a16:creationId xmlns:a16="http://schemas.microsoft.com/office/drawing/2014/main" xmlns="" id="{00000000-0008-0000-0100-000018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219075</xdr:rowOff>
        </xdr:from>
        <xdr:to>
          <xdr:col>3</xdr:col>
          <xdr:colOff>104775</xdr:colOff>
          <xdr:row>29</xdr:row>
          <xdr:rowOff>200025</xdr:rowOff>
        </xdr:to>
        <xdr:sp macro="" textlink="">
          <xdr:nvSpPr>
            <xdr:cNvPr id="32793" name="Check Box 25" hidden="1">
              <a:extLst>
                <a:ext uri="{63B3BB69-23CF-44E3-9099-C40C66FF867C}">
                  <a14:compatExt spid="_x0000_s32793"/>
                </a:ext>
                <a:ext uri="{FF2B5EF4-FFF2-40B4-BE49-F238E27FC236}">
                  <a16:creationId xmlns:a16="http://schemas.microsoft.com/office/drawing/2014/main" xmlns="" id="{00000000-0008-0000-0100-000019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29</xdr:row>
          <xdr:rowOff>219075</xdr:rowOff>
        </xdr:from>
        <xdr:to>
          <xdr:col>3</xdr:col>
          <xdr:colOff>104775</xdr:colOff>
          <xdr:row>30</xdr:row>
          <xdr:rowOff>200025</xdr:rowOff>
        </xdr:to>
        <xdr:sp macro="" textlink="">
          <xdr:nvSpPr>
            <xdr:cNvPr id="32794" name="Check Box 26" hidden="1">
              <a:extLst>
                <a:ext uri="{63B3BB69-23CF-44E3-9099-C40C66FF867C}">
                  <a14:compatExt spid="_x0000_s32794"/>
                </a:ext>
                <a:ext uri="{FF2B5EF4-FFF2-40B4-BE49-F238E27FC236}">
                  <a16:creationId xmlns:a16="http://schemas.microsoft.com/office/drawing/2014/main" xmlns="" id="{00000000-0008-0000-0100-00001A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31</xdr:row>
          <xdr:rowOff>0</xdr:rowOff>
        </xdr:from>
        <xdr:to>
          <xdr:col>3</xdr:col>
          <xdr:colOff>104775</xdr:colOff>
          <xdr:row>31</xdr:row>
          <xdr:rowOff>209550</xdr:rowOff>
        </xdr:to>
        <xdr:sp macro="" textlink="">
          <xdr:nvSpPr>
            <xdr:cNvPr id="32795" name="Check Box 27" hidden="1">
              <a:extLst>
                <a:ext uri="{63B3BB69-23CF-44E3-9099-C40C66FF867C}">
                  <a14:compatExt spid="_x0000_s32795"/>
                </a:ext>
                <a:ext uri="{FF2B5EF4-FFF2-40B4-BE49-F238E27FC236}">
                  <a16:creationId xmlns:a16="http://schemas.microsoft.com/office/drawing/2014/main" xmlns="" id="{00000000-0008-0000-0100-00001B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32</xdr:row>
          <xdr:rowOff>0</xdr:rowOff>
        </xdr:from>
        <xdr:to>
          <xdr:col>3</xdr:col>
          <xdr:colOff>104775</xdr:colOff>
          <xdr:row>32</xdr:row>
          <xdr:rowOff>209550</xdr:rowOff>
        </xdr:to>
        <xdr:sp macro="" textlink="">
          <xdr:nvSpPr>
            <xdr:cNvPr id="32796" name="Check Box 28" hidden="1">
              <a:extLst>
                <a:ext uri="{63B3BB69-23CF-44E3-9099-C40C66FF867C}">
                  <a14:compatExt spid="_x0000_s32796"/>
                </a:ext>
                <a:ext uri="{FF2B5EF4-FFF2-40B4-BE49-F238E27FC236}">
                  <a16:creationId xmlns:a16="http://schemas.microsoft.com/office/drawing/2014/main" xmlns="" id="{00000000-0008-0000-0100-00001C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33</xdr:row>
          <xdr:rowOff>0</xdr:rowOff>
        </xdr:from>
        <xdr:to>
          <xdr:col>3</xdr:col>
          <xdr:colOff>104775</xdr:colOff>
          <xdr:row>33</xdr:row>
          <xdr:rowOff>209550</xdr:rowOff>
        </xdr:to>
        <xdr:sp macro="" textlink="">
          <xdr:nvSpPr>
            <xdr:cNvPr id="32797" name="Check Box 29" hidden="1">
              <a:extLst>
                <a:ext uri="{63B3BB69-23CF-44E3-9099-C40C66FF867C}">
                  <a14:compatExt spid="_x0000_s32797"/>
                </a:ext>
                <a:ext uri="{FF2B5EF4-FFF2-40B4-BE49-F238E27FC236}">
                  <a16:creationId xmlns:a16="http://schemas.microsoft.com/office/drawing/2014/main" xmlns="" id="{00000000-0008-0000-0100-00001D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33</xdr:row>
          <xdr:rowOff>219075</xdr:rowOff>
        </xdr:from>
        <xdr:to>
          <xdr:col>3</xdr:col>
          <xdr:colOff>104775</xdr:colOff>
          <xdr:row>34</xdr:row>
          <xdr:rowOff>200025</xdr:rowOff>
        </xdr:to>
        <xdr:sp macro="" textlink="">
          <xdr:nvSpPr>
            <xdr:cNvPr id="32798" name="Check Box 30" hidden="1">
              <a:extLst>
                <a:ext uri="{63B3BB69-23CF-44E3-9099-C40C66FF867C}">
                  <a14:compatExt spid="_x0000_s32798"/>
                </a:ext>
                <a:ext uri="{FF2B5EF4-FFF2-40B4-BE49-F238E27FC236}">
                  <a16:creationId xmlns:a16="http://schemas.microsoft.com/office/drawing/2014/main" xmlns="" id="{00000000-0008-0000-0100-00001E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34</xdr:row>
          <xdr:rowOff>219075</xdr:rowOff>
        </xdr:from>
        <xdr:to>
          <xdr:col>3</xdr:col>
          <xdr:colOff>104775</xdr:colOff>
          <xdr:row>35</xdr:row>
          <xdr:rowOff>200025</xdr:rowOff>
        </xdr:to>
        <xdr:sp macro="" textlink="">
          <xdr:nvSpPr>
            <xdr:cNvPr id="32799" name="Check Box 31" hidden="1">
              <a:extLst>
                <a:ext uri="{63B3BB69-23CF-44E3-9099-C40C66FF867C}">
                  <a14:compatExt spid="_x0000_s32799"/>
                </a:ext>
                <a:ext uri="{FF2B5EF4-FFF2-40B4-BE49-F238E27FC236}">
                  <a16:creationId xmlns:a16="http://schemas.microsoft.com/office/drawing/2014/main" xmlns="" id="{00000000-0008-0000-0100-00001F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36</xdr:row>
          <xdr:rowOff>0</xdr:rowOff>
        </xdr:from>
        <xdr:to>
          <xdr:col>3</xdr:col>
          <xdr:colOff>104775</xdr:colOff>
          <xdr:row>36</xdr:row>
          <xdr:rowOff>209550</xdr:rowOff>
        </xdr:to>
        <xdr:sp macro="" textlink="">
          <xdr:nvSpPr>
            <xdr:cNvPr id="32800" name="Check Box 32" hidden="1">
              <a:extLst>
                <a:ext uri="{63B3BB69-23CF-44E3-9099-C40C66FF867C}">
                  <a14:compatExt spid="_x0000_s32800"/>
                </a:ext>
                <a:ext uri="{FF2B5EF4-FFF2-40B4-BE49-F238E27FC236}">
                  <a16:creationId xmlns:a16="http://schemas.microsoft.com/office/drawing/2014/main" xmlns="" id="{00000000-0008-0000-0100-000020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37</xdr:row>
          <xdr:rowOff>0</xdr:rowOff>
        </xdr:from>
        <xdr:to>
          <xdr:col>3</xdr:col>
          <xdr:colOff>104775</xdr:colOff>
          <xdr:row>37</xdr:row>
          <xdr:rowOff>209550</xdr:rowOff>
        </xdr:to>
        <xdr:sp macro="" textlink="">
          <xdr:nvSpPr>
            <xdr:cNvPr id="32801" name="Check Box 33" hidden="1">
              <a:extLst>
                <a:ext uri="{63B3BB69-23CF-44E3-9099-C40C66FF867C}">
                  <a14:compatExt spid="_x0000_s32801"/>
                </a:ext>
                <a:ext uri="{FF2B5EF4-FFF2-40B4-BE49-F238E27FC236}">
                  <a16:creationId xmlns:a16="http://schemas.microsoft.com/office/drawing/2014/main" xmlns="" id="{00000000-0008-0000-0100-00002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37</xdr:row>
          <xdr:rowOff>219075</xdr:rowOff>
        </xdr:from>
        <xdr:to>
          <xdr:col>3</xdr:col>
          <xdr:colOff>104775</xdr:colOff>
          <xdr:row>38</xdr:row>
          <xdr:rowOff>200025</xdr:rowOff>
        </xdr:to>
        <xdr:sp macro="" textlink="">
          <xdr:nvSpPr>
            <xdr:cNvPr id="32802" name="Check Box 34" hidden="1">
              <a:extLst>
                <a:ext uri="{63B3BB69-23CF-44E3-9099-C40C66FF867C}">
                  <a14:compatExt spid="_x0000_s32802"/>
                </a:ext>
                <a:ext uri="{FF2B5EF4-FFF2-40B4-BE49-F238E27FC236}">
                  <a16:creationId xmlns:a16="http://schemas.microsoft.com/office/drawing/2014/main" xmlns="" id="{00000000-0008-0000-0100-000022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15</xdr:row>
          <xdr:rowOff>209550</xdr:rowOff>
        </xdr:from>
        <xdr:to>
          <xdr:col>2</xdr:col>
          <xdr:colOff>361950</xdr:colOff>
          <xdr:row>16</xdr:row>
          <xdr:rowOff>219075</xdr:rowOff>
        </xdr:to>
        <xdr:sp macro="" textlink="">
          <xdr:nvSpPr>
            <xdr:cNvPr id="32806" name="Check Box 38" hidden="1">
              <a:extLst>
                <a:ext uri="{63B3BB69-23CF-44E3-9099-C40C66FF867C}">
                  <a14:compatExt spid="_x0000_s32806"/>
                </a:ext>
                <a:ext uri="{FF2B5EF4-FFF2-40B4-BE49-F238E27FC236}">
                  <a16:creationId xmlns:a16="http://schemas.microsoft.com/office/drawing/2014/main" xmlns="" id="{00000000-0008-0000-0100-000026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xdr:row>
          <xdr:rowOff>209550</xdr:rowOff>
        </xdr:from>
        <xdr:to>
          <xdr:col>2</xdr:col>
          <xdr:colOff>304800</xdr:colOff>
          <xdr:row>21</xdr:row>
          <xdr:rowOff>200025</xdr:rowOff>
        </xdr:to>
        <xdr:sp macro="" textlink="">
          <xdr:nvSpPr>
            <xdr:cNvPr id="32807" name="Check Box 39" hidden="1">
              <a:extLst>
                <a:ext uri="{63B3BB69-23CF-44E3-9099-C40C66FF867C}">
                  <a14:compatExt spid="_x0000_s32807"/>
                </a:ext>
                <a:ext uri="{FF2B5EF4-FFF2-40B4-BE49-F238E27FC236}">
                  <a16:creationId xmlns:a16="http://schemas.microsoft.com/office/drawing/2014/main" xmlns="" id="{00000000-0008-0000-0100-000027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0" rIns="0" bIns="0" anchor="ctr" upright="1"/>
            <a:lstStyle/>
            <a:p>
              <a:pPr algn="r" rtl="0">
                <a:defRPr sz="1000"/>
              </a:pPr>
              <a:endParaRPr lang="en-US"/>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5</xdr:col>
      <xdr:colOff>1748120</xdr:colOff>
      <xdr:row>20</xdr:row>
      <xdr:rowOff>201706</xdr:rowOff>
    </xdr:from>
    <xdr:to>
      <xdr:col>13</xdr:col>
      <xdr:colOff>392208</xdr:colOff>
      <xdr:row>29</xdr:row>
      <xdr:rowOff>11206</xdr:rowOff>
    </xdr:to>
    <xdr:sp macro="" textlink="">
      <xdr:nvSpPr>
        <xdr:cNvPr id="2" name="TextBox 1"/>
        <xdr:cNvSpPr txBox="1"/>
      </xdr:nvSpPr>
      <xdr:spPr>
        <a:xfrm>
          <a:off x="9909339351" y="4717677"/>
          <a:ext cx="4941794" cy="2073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1"/>
          <a:r>
            <a:rPr lang="fa-IR" sz="1100" b="1" u="sng">
              <a:solidFill>
                <a:schemeClr val="dk1"/>
              </a:solidFill>
              <a:effectLst/>
              <a:latin typeface="+mn-lt"/>
              <a:ea typeface="+mn-ea"/>
              <a:cs typeface="B Nazanin" panose="00000400000000000000" pitchFamily="2" charset="-78"/>
            </a:rPr>
            <a:t>آموزشهای </a:t>
          </a:r>
          <a:r>
            <a:rPr lang="ar-SA" sz="1100" b="1" u="sng">
              <a:solidFill>
                <a:schemeClr val="dk1"/>
              </a:solidFill>
              <a:effectLst/>
              <a:latin typeface="+mn-lt"/>
              <a:ea typeface="+mn-ea"/>
              <a:cs typeface="B Nazanin" panose="00000400000000000000" pitchFamily="2" charset="-78"/>
            </a:rPr>
            <a:t>خیلی مرتبط :</a:t>
          </a:r>
          <a:endParaRPr lang="en-US" sz="1100" b="1">
            <a:solidFill>
              <a:schemeClr val="dk1"/>
            </a:solidFill>
            <a:effectLst/>
            <a:latin typeface="+mn-lt"/>
            <a:ea typeface="+mn-ea"/>
            <a:cs typeface="B Nazanin" panose="00000400000000000000" pitchFamily="2" charset="-78"/>
          </a:endParaRPr>
        </a:p>
        <a:p>
          <a:pPr lvl="0" rtl="1"/>
          <a:r>
            <a:rPr lang="ar-SA" sz="1100">
              <a:solidFill>
                <a:schemeClr val="dk1"/>
              </a:solidFill>
              <a:effectLst/>
              <a:latin typeface="+mn-lt"/>
              <a:ea typeface="+mn-ea"/>
              <a:cs typeface="B Nazanin" panose="00000400000000000000" pitchFamily="2" charset="-78"/>
            </a:rPr>
            <a:t>هیات مدیره: </a:t>
          </a:r>
          <a:r>
            <a:rPr lang="fa-IR" sz="1100">
              <a:solidFill>
                <a:schemeClr val="dk1"/>
              </a:solidFill>
              <a:effectLst/>
              <a:latin typeface="+mn-lt"/>
              <a:ea typeface="+mn-ea"/>
              <a:cs typeface="B Nazanin" panose="00000400000000000000" pitchFamily="2" charset="-78"/>
            </a:rPr>
            <a:t>آموزشهای </a:t>
          </a:r>
          <a:r>
            <a:rPr lang="ar-SA" sz="1100">
              <a:solidFill>
                <a:schemeClr val="dk1"/>
              </a:solidFill>
              <a:effectLst/>
              <a:latin typeface="+mn-lt"/>
              <a:ea typeface="+mn-ea"/>
              <a:cs typeface="B Nazanin" panose="00000400000000000000" pitchFamily="2" charset="-78"/>
            </a:rPr>
            <a:t>کاملا تخصصی مرتبط با کسب و کار است و </a:t>
          </a:r>
          <a:r>
            <a:rPr lang="fa-IR" sz="1100">
              <a:solidFill>
                <a:schemeClr val="dk1"/>
              </a:solidFill>
              <a:effectLst/>
              <a:latin typeface="+mn-lt"/>
              <a:ea typeface="+mn-ea"/>
              <a:cs typeface="B Nazanin" panose="00000400000000000000" pitchFamily="2" charset="-78"/>
            </a:rPr>
            <a:t>آموزش </a:t>
          </a:r>
          <a:r>
            <a:rPr lang="ar-SA" sz="1100">
              <a:solidFill>
                <a:schemeClr val="dk1"/>
              </a:solidFill>
              <a:effectLst/>
              <a:latin typeface="+mn-lt"/>
              <a:ea typeface="+mn-ea"/>
              <a:cs typeface="B Nazanin" panose="00000400000000000000" pitchFamily="2" charset="-78"/>
            </a:rPr>
            <a:t>های مدیریت</a:t>
          </a:r>
          <a:r>
            <a:rPr lang="fa-IR" sz="1100">
              <a:solidFill>
                <a:schemeClr val="dk1"/>
              </a:solidFill>
              <a:effectLst/>
              <a:latin typeface="+mn-lt"/>
              <a:ea typeface="+mn-ea"/>
              <a:cs typeface="B Nazanin" panose="00000400000000000000" pitchFamily="2" charset="-78"/>
            </a:rPr>
            <a:t>ی</a:t>
          </a:r>
          <a:r>
            <a:rPr lang="ar-SA" sz="1100">
              <a:solidFill>
                <a:schemeClr val="dk1"/>
              </a:solidFill>
              <a:effectLst/>
              <a:latin typeface="+mn-lt"/>
              <a:ea typeface="+mn-ea"/>
              <a:cs typeface="B Nazanin" panose="00000400000000000000" pitchFamily="2" charset="-78"/>
            </a:rPr>
            <a:t> ، مالی</a:t>
          </a:r>
          <a:endParaRPr lang="en-US" sz="1100">
            <a:solidFill>
              <a:schemeClr val="dk1"/>
            </a:solidFill>
            <a:effectLst/>
            <a:latin typeface="+mn-lt"/>
            <a:ea typeface="+mn-ea"/>
            <a:cs typeface="B Nazanin" panose="00000400000000000000" pitchFamily="2" charset="-78"/>
          </a:endParaRPr>
        </a:p>
        <a:p>
          <a:pPr lvl="0" rtl="1"/>
          <a:r>
            <a:rPr lang="ar-SA" sz="1100">
              <a:solidFill>
                <a:schemeClr val="dk1"/>
              </a:solidFill>
              <a:effectLst/>
              <a:latin typeface="+mn-lt"/>
              <a:ea typeface="+mn-ea"/>
              <a:cs typeface="B Nazanin" panose="00000400000000000000" pitchFamily="2" charset="-78"/>
            </a:rPr>
            <a:t>مدیران ارشد: </a:t>
          </a:r>
          <a:r>
            <a:rPr lang="fa-IR" sz="1100">
              <a:solidFill>
                <a:schemeClr val="dk1"/>
              </a:solidFill>
              <a:effectLst/>
              <a:latin typeface="+mn-lt"/>
              <a:ea typeface="+mn-ea"/>
              <a:cs typeface="B Nazanin" panose="00000400000000000000" pitchFamily="2" charset="-78"/>
            </a:rPr>
            <a:t>آموزشهای </a:t>
          </a:r>
          <a:r>
            <a:rPr lang="ar-SA" sz="1100">
              <a:solidFill>
                <a:schemeClr val="dk1"/>
              </a:solidFill>
              <a:effectLst/>
              <a:latin typeface="+mn-lt"/>
              <a:ea typeface="+mn-ea"/>
              <a:cs typeface="B Nazanin" panose="00000400000000000000" pitchFamily="2" charset="-78"/>
            </a:rPr>
            <a:t>کاملا تخصصی مرتبط با کسب و کار و سمت مدیران ارشد</a:t>
          </a:r>
          <a:endParaRPr lang="en-US" sz="1100">
            <a:solidFill>
              <a:schemeClr val="dk1"/>
            </a:solidFill>
            <a:effectLst/>
            <a:latin typeface="+mn-lt"/>
            <a:ea typeface="+mn-ea"/>
            <a:cs typeface="B Nazanin" panose="00000400000000000000" pitchFamily="2" charset="-78"/>
          </a:endParaRPr>
        </a:p>
        <a:p>
          <a:pPr rtl="1"/>
          <a:r>
            <a:rPr lang="fa-IR" sz="1100" b="1" u="sng">
              <a:solidFill>
                <a:schemeClr val="dk1"/>
              </a:solidFill>
              <a:effectLst/>
              <a:latin typeface="+mn-lt"/>
              <a:ea typeface="+mn-ea"/>
              <a:cs typeface="B Nazanin" panose="00000400000000000000" pitchFamily="2" charset="-78"/>
            </a:rPr>
            <a:t>آموزشهای</a:t>
          </a:r>
          <a:r>
            <a:rPr lang="fa-IR" sz="1100" b="1" u="sng" baseline="0">
              <a:solidFill>
                <a:schemeClr val="dk1"/>
              </a:solidFill>
              <a:effectLst/>
              <a:latin typeface="+mn-lt"/>
              <a:ea typeface="+mn-ea"/>
              <a:cs typeface="B Nazanin" panose="00000400000000000000" pitchFamily="2" charset="-78"/>
            </a:rPr>
            <a:t> </a:t>
          </a:r>
          <a:r>
            <a:rPr lang="ar-SA" sz="1100" b="1" u="sng">
              <a:solidFill>
                <a:schemeClr val="dk1"/>
              </a:solidFill>
              <a:effectLst/>
              <a:latin typeface="+mn-lt"/>
              <a:ea typeface="+mn-ea"/>
              <a:cs typeface="B Nazanin" panose="00000400000000000000" pitchFamily="2" charset="-78"/>
            </a:rPr>
            <a:t>غیر مرتبط: </a:t>
          </a:r>
          <a:endParaRPr lang="en-US" sz="1100" b="1">
            <a:solidFill>
              <a:schemeClr val="dk1"/>
            </a:solidFill>
            <a:effectLst/>
            <a:latin typeface="+mn-lt"/>
            <a:ea typeface="+mn-ea"/>
            <a:cs typeface="B Nazanin" panose="00000400000000000000" pitchFamily="2" charset="-78"/>
          </a:endParaRPr>
        </a:p>
        <a:p>
          <a:pPr lvl="0" rtl="1"/>
          <a:r>
            <a:rPr lang="fa-IR" sz="1100">
              <a:solidFill>
                <a:schemeClr val="dk1"/>
              </a:solidFill>
              <a:effectLst/>
              <a:latin typeface="+mn-lt"/>
              <a:ea typeface="+mn-ea"/>
              <a:cs typeface="B Nazanin" panose="00000400000000000000" pitchFamily="2" charset="-78"/>
            </a:rPr>
            <a:t>آموزشهای </a:t>
          </a:r>
          <a:r>
            <a:rPr lang="ar-SA" sz="1100">
              <a:solidFill>
                <a:schemeClr val="dk1"/>
              </a:solidFill>
              <a:effectLst/>
              <a:latin typeface="+mn-lt"/>
              <a:ea typeface="+mn-ea"/>
              <a:cs typeface="B Nazanin" panose="00000400000000000000" pitchFamily="2" charset="-78"/>
            </a:rPr>
            <a:t>های عمومی کاملا غیر مرتبط با کسب و کار شرکت و سمت مدیران-(مانند </a:t>
          </a:r>
          <a:r>
            <a:rPr lang="fa-IR" sz="1100">
              <a:solidFill>
                <a:schemeClr val="dk1"/>
              </a:solidFill>
              <a:effectLst/>
              <a:latin typeface="+mn-lt"/>
              <a:ea typeface="+mn-ea"/>
              <a:cs typeface="B Nazanin" panose="00000400000000000000" pitchFamily="2" charset="-78"/>
            </a:rPr>
            <a:t>آموزش گلدوزی </a:t>
          </a:r>
          <a:r>
            <a:rPr lang="ar-SA" sz="1100">
              <a:solidFill>
                <a:schemeClr val="dk1"/>
              </a:solidFill>
              <a:effectLst/>
              <a:latin typeface="+mn-lt"/>
              <a:ea typeface="+mn-ea"/>
              <a:cs typeface="B Nazanin" panose="00000400000000000000" pitchFamily="2" charset="-78"/>
            </a:rPr>
            <a:t>در یک شرکت مهندسی یا وارد کننده تحصصی)</a:t>
          </a:r>
          <a:endParaRPr lang="en-US" sz="1100">
            <a:solidFill>
              <a:schemeClr val="dk1"/>
            </a:solidFill>
            <a:effectLst/>
            <a:latin typeface="+mn-lt"/>
            <a:ea typeface="+mn-ea"/>
            <a:cs typeface="B Nazanin" panose="00000400000000000000" pitchFamily="2" charset="-78"/>
          </a:endParaRPr>
        </a:p>
        <a:p>
          <a:pPr rtl="1"/>
          <a:r>
            <a:rPr lang="fa-IR" sz="1100" b="1" u="sng">
              <a:solidFill>
                <a:schemeClr val="dk1"/>
              </a:solidFill>
              <a:effectLst/>
              <a:latin typeface="+mn-lt"/>
              <a:ea typeface="+mn-ea"/>
              <a:cs typeface="B Nazanin" panose="00000400000000000000" pitchFamily="2" charset="-78"/>
            </a:rPr>
            <a:t>آموزش</a:t>
          </a:r>
          <a:r>
            <a:rPr lang="ar-SA" sz="1100" b="1" u="sng">
              <a:solidFill>
                <a:schemeClr val="dk1"/>
              </a:solidFill>
              <a:effectLst/>
              <a:latin typeface="+mn-lt"/>
              <a:ea typeface="+mn-ea"/>
              <a:cs typeface="B Nazanin" panose="00000400000000000000" pitchFamily="2" charset="-78"/>
            </a:rPr>
            <a:t>های مرتبط:</a:t>
          </a:r>
          <a:endParaRPr lang="en-US" sz="1100" b="1">
            <a:solidFill>
              <a:schemeClr val="dk1"/>
            </a:solidFill>
            <a:effectLst/>
            <a:latin typeface="+mn-lt"/>
            <a:ea typeface="+mn-ea"/>
            <a:cs typeface="B Nazanin" panose="00000400000000000000" pitchFamily="2" charset="-78"/>
          </a:endParaRPr>
        </a:p>
        <a:p>
          <a:pPr rtl="1"/>
          <a:r>
            <a:rPr lang="fa-IR" sz="1100">
              <a:solidFill>
                <a:schemeClr val="dk1"/>
              </a:solidFill>
              <a:effectLst/>
              <a:latin typeface="+mn-lt"/>
              <a:ea typeface="+mn-ea"/>
              <a:cs typeface="B Nazanin" panose="00000400000000000000" pitchFamily="2" charset="-78"/>
            </a:rPr>
            <a:t>آموزشهایی</a:t>
          </a:r>
          <a:r>
            <a:rPr lang="fa-IR" sz="1100" baseline="0">
              <a:solidFill>
                <a:schemeClr val="dk1"/>
              </a:solidFill>
              <a:effectLst/>
              <a:latin typeface="+mn-lt"/>
              <a:ea typeface="+mn-ea"/>
              <a:cs typeface="B Nazanin" panose="00000400000000000000" pitchFamily="2" charset="-78"/>
            </a:rPr>
            <a:t> </a:t>
          </a:r>
          <a:r>
            <a:rPr lang="ar-SA" sz="1100">
              <a:solidFill>
                <a:schemeClr val="dk1"/>
              </a:solidFill>
              <a:effectLst/>
              <a:latin typeface="+mn-lt"/>
              <a:ea typeface="+mn-ea"/>
              <a:cs typeface="B Nazanin" panose="00000400000000000000" pitchFamily="2" charset="-78"/>
            </a:rPr>
            <a:t>که به غیر از دو گروه بالا باشند و دانش آن</a:t>
          </a:r>
          <a:r>
            <a:rPr lang="fa-IR" sz="1100">
              <a:solidFill>
                <a:schemeClr val="dk1"/>
              </a:solidFill>
              <a:effectLst/>
              <a:latin typeface="+mn-lt"/>
              <a:ea typeface="+mn-ea"/>
              <a:cs typeface="B Nazanin" panose="00000400000000000000" pitchFamily="2" charset="-78"/>
            </a:rPr>
            <a:t> دوره آموزشی </a:t>
          </a:r>
          <a:r>
            <a:rPr lang="ar-SA" sz="1100">
              <a:solidFill>
                <a:schemeClr val="dk1"/>
              </a:solidFill>
              <a:effectLst/>
              <a:latin typeface="+mn-lt"/>
              <a:ea typeface="+mn-ea"/>
              <a:cs typeface="B Nazanin" panose="00000400000000000000" pitchFamily="2" charset="-78"/>
            </a:rPr>
            <a:t>بصورت قابل قبولی در امر کسب و کار تاثیرگذار باشد</a:t>
          </a:r>
          <a:r>
            <a:rPr lang="fa-IR" sz="1100">
              <a:solidFill>
                <a:schemeClr val="dk1"/>
              </a:solidFill>
              <a:effectLst/>
              <a:latin typeface="+mn-lt"/>
              <a:ea typeface="+mn-ea"/>
              <a:cs typeface="B Nazanin" panose="00000400000000000000" pitchFamily="2" charset="-78"/>
            </a:rPr>
            <a:t>.مانند دوره </a:t>
          </a:r>
          <a:r>
            <a:rPr lang="en-US" sz="1100">
              <a:solidFill>
                <a:schemeClr val="dk1"/>
              </a:solidFill>
              <a:effectLst/>
              <a:latin typeface="+mn-lt"/>
              <a:ea typeface="+mn-ea"/>
              <a:cs typeface="B Nazanin" panose="00000400000000000000" pitchFamily="2" charset="-78"/>
            </a:rPr>
            <a:t>ICDL</a:t>
          </a:r>
          <a:endParaRPr lang="en-US" sz="1100">
            <a:cs typeface="B Nazanin" panose="00000400000000000000" pitchFamily="2" charset="-78"/>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19052</xdr:colOff>
      <xdr:row>0</xdr:row>
      <xdr:rowOff>181214</xdr:rowOff>
    </xdr:from>
    <xdr:to>
      <xdr:col>0</xdr:col>
      <xdr:colOff>6355774</xdr:colOff>
      <xdr:row>11</xdr:row>
      <xdr:rowOff>139411</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600-000002000000}"/>
            </a:ext>
          </a:extLst>
        </xdr:cNvPr>
        <xdr:cNvGrpSpPr/>
      </xdr:nvGrpSpPr>
      <xdr:grpSpPr>
        <a:xfrm flipH="1">
          <a:off x="9672149126" y="181214"/>
          <a:ext cx="6336722" cy="4615922"/>
          <a:chOff x="434909" y="1737"/>
          <a:chExt cx="5631803" cy="2928990"/>
        </a:xfrm>
        <a:solidFill>
          <a:sysClr val="window" lastClr="FFFFFF"/>
        </a:solidFill>
      </xdr:grpSpPr>
      <xdr:grpSp>
        <xdr:nvGrpSpPr>
          <xdr:cNvPr id="3" name="Add numbers instruction">
            <a:extLst>
              <a:ext uri="{FF2B5EF4-FFF2-40B4-BE49-F238E27FC236}">
                <a16:creationId xmlns:a16="http://schemas.microsoft.com/office/drawing/2014/main" xmlns="" id="{00000000-0008-0000-0600-000003000000}"/>
              </a:ext>
            </a:extLst>
          </xdr:cNvPr>
          <xdr:cNvGrpSpPr/>
        </xdr:nvGrpSpPr>
        <xdr:grpSpPr>
          <a:xfrm>
            <a:off x="434909" y="1737"/>
            <a:ext cx="5631803" cy="2928990"/>
            <a:chOff x="108156" y="-262797"/>
            <a:chExt cx="5622401" cy="2905029"/>
          </a:xfrm>
          <a:grpFill/>
        </xdr:grpSpPr>
        <xdr:sp macro="" textlink="">
          <xdr:nvSpPr>
            <xdr:cNvPr id="13" name="Background" descr="Background">
              <a:extLst>
                <a:ext uri="{FF2B5EF4-FFF2-40B4-BE49-F238E27FC236}">
                  <a16:creationId xmlns:a16="http://schemas.microsoft.com/office/drawing/2014/main" xmlns="" id="{00000000-0008-0000-0600-00000D000000}"/>
                </a:ext>
              </a:extLst>
            </xdr:cNvPr>
            <xdr:cNvSpPr/>
          </xdr:nvSpPr>
          <xdr:spPr>
            <a:xfrm>
              <a:off x="108156" y="-262797"/>
              <a:ext cx="5622401" cy="290502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4" name="Step" descr="Add numbers like a champ">
              <a:extLst>
                <a:ext uri="{FF2B5EF4-FFF2-40B4-BE49-F238E27FC236}">
                  <a16:creationId xmlns:a16="http://schemas.microsoft.com/office/drawing/2014/main" xmlns="" id="{00000000-0008-0000-0600-00000E000000}"/>
                </a:ext>
              </a:extLst>
            </xdr:cNvPr>
            <xdr:cNvSpPr txBox="1"/>
          </xdr:nvSpPr>
          <xdr:spPr>
            <a:xfrm>
              <a:off x="272726" y="-242956"/>
              <a:ext cx="5216551" cy="52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نظامنامه ی کیفیت</a:t>
              </a:r>
            </a:p>
          </xdr:txBody>
        </xdr:sp>
        <xdr:cxnSp macro="">
          <xdr:nvCxnSpPr>
            <xdr:cNvPr id="15" name="Bottom line" descr="Decorative line">
              <a:extLst>
                <a:ext uri="{FF2B5EF4-FFF2-40B4-BE49-F238E27FC236}">
                  <a16:creationId xmlns:a16="http://schemas.microsoft.com/office/drawing/2014/main" xmlns="" id="{00000000-0008-0000-0600-00000F000000}"/>
                </a:ext>
              </a:extLst>
            </xdr:cNvPr>
            <xdr:cNvCxnSpPr>
              <a:cxnSpLocks/>
            </xdr:cNvCxnSpPr>
          </xdr:nvCxnSpPr>
          <xdr:spPr>
            <a:xfrm>
              <a:off x="226752" y="2481747"/>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6" name="Top line" descr="Decorative line">
              <a:extLst>
                <a:ext uri="{FF2B5EF4-FFF2-40B4-BE49-F238E27FC236}">
                  <a16:creationId xmlns:a16="http://schemas.microsoft.com/office/drawing/2014/main" xmlns="" id="{00000000-0008-0000-0600-000010000000}"/>
                </a:ext>
              </a:extLst>
            </xdr:cNvPr>
            <xdr:cNvCxnSpPr>
              <a:cxnSpLocks/>
            </xdr:cNvCxnSpPr>
          </xdr:nvCxnSpPr>
          <xdr:spPr>
            <a:xfrm>
              <a:off x="269848" y="229449"/>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 name="Step" descr="Type =SUM(D4:D7), and then press enter. When you're done, you'll see the result of 170">
            <a:extLst>
              <a:ext uri="{FF2B5EF4-FFF2-40B4-BE49-F238E27FC236}">
                <a16:creationId xmlns:a16="http://schemas.microsoft.com/office/drawing/2014/main" xmlns="" id="{00000000-0008-0000-0600-000009000000}"/>
              </a:ext>
            </a:extLst>
          </xdr:cNvPr>
          <xdr:cNvSpPr txBox="1"/>
        </xdr:nvSpPr>
        <xdr:spPr>
          <a:xfrm>
            <a:off x="886703" y="2075977"/>
            <a:ext cx="5002887" cy="3241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r>
              <a:rPr lang="fa-IR" sz="1000" b="1" kern="0">
                <a:solidFill>
                  <a:schemeClr val="tx1">
                    <a:lumMod val="75000"/>
                    <a:lumOff val="25000"/>
                  </a:schemeClr>
                </a:solidFill>
                <a:latin typeface="Segoe UI" panose="020B0502040204020203" pitchFamily="34" charset="0"/>
                <a:ea typeface="Segoe UI" pitchFamily="34" charset="0"/>
                <a:cs typeface="B Nazanin" panose="00000400000000000000" pitchFamily="2" charset="-78"/>
              </a:rPr>
              <a:t>ضریب اثر در خصوص ارتباط نظام نامه با موضوع فعالیت شرکت است و حداکثر یک می باشد.</a:t>
            </a:r>
            <a:endParaRPr lang="en-US" sz="1000" b="1" kern="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sp macro="" textlink="">
        <xdr:nvSpPr>
          <xdr:cNvPr id="8" name="Add numbers introduction" descr="Here are some ways to add up numbers in Excel:">
            <a:extLst>
              <a:ext uri="{FF2B5EF4-FFF2-40B4-BE49-F238E27FC236}">
                <a16:creationId xmlns:a16="http://schemas.microsoft.com/office/drawing/2014/main" xmlns="" id="{00000000-0008-0000-0600-000008000000}"/>
              </a:ext>
            </a:extLst>
          </xdr:cNvPr>
          <xdr:cNvSpPr txBox="1"/>
        </xdr:nvSpPr>
        <xdr:spPr>
          <a:xfrm>
            <a:off x="572291" y="518388"/>
            <a:ext cx="5309802" cy="12296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نظام مدیریت کیفیت، مجموعه ای از خط مشی ها، فرآیندها و رویه هایی است که به سازمان در رسیدن به الزامات مورد انتظارات ذینفعان یاری میرساند.</a:t>
            </a: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فعال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اقتصادی باید تمام فرآیندهای گوناگونِ فعالیت خود را که منجر به تولید و ارائۀ محصول یا خدمت می شوند، در نظامنامۀ کیفیت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خود پوشش دهد. این فرآیندها را میتوان به هفت بخش اصلی شامل انتخاب و تدارک مواد اولیه، ابزارها و لوازم تولید، انتخاب</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کارگیری نیروی انسانی، طراحی و اجرای فرآیندهای تولید و عملیات، انتخاب و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کارگیری سرمایۀ فیزیکی)شامل ساختمان،</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تجهیزات، ماشین</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آلات و تأسیسات (و کنترل محصولات و خدمات تولیدشده،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فعالیت های مرتبط با ارائه و پشتیبانی از محصولات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 خدمات، خدمات پس از فروش، بازیافت مواد زائد و کنترل آلاینده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محیط</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زیست طبقه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نمود.</a:t>
            </a:r>
          </a:p>
          <a:p>
            <a:pPr algn="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 بندی اعتباری برای ارزیابی نظامنامۀ کیفیت فعال اقتصادی، مستندات تهیه شده در این زمینه را ملاک عمل قرار می دهد و دامنۀ اثر هر مستند را در خصوص فرآیندهای هفتگانۀ پیش گفته، تعیین می کند. درصورتیکه برای یک دسته از فرآیندهای هفت گانه، مستندات متعددی توسط فعال اقتصادی تدوین شده باشد، ارزیابی مربوط به آن فرآیند، برابر حداکثر امتیازات این مستندات درزمینۀ همان فرآیند خواهد بود.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608214</xdr:colOff>
      <xdr:row>19</xdr:row>
      <xdr:rowOff>13336</xdr:rowOff>
    </xdr:from>
    <xdr:to>
      <xdr:col>0</xdr:col>
      <xdr:colOff>5621123</xdr:colOff>
      <xdr:row>21</xdr:row>
      <xdr:rowOff>1899</xdr:rowOff>
    </xdr:to>
    <xdr:sp macro="" textlink="">
      <xdr:nvSpPr>
        <xdr:cNvPr id="18" name="Step" descr="Here's another way to add, using a shortcut key. Select the yellow cell under the amounts for meat">
          <a:extLst>
            <a:ext uri="{FF2B5EF4-FFF2-40B4-BE49-F238E27FC236}">
              <a16:creationId xmlns:a16="http://schemas.microsoft.com/office/drawing/2014/main" xmlns="" id="{00000000-0008-0000-0600-000012000000}"/>
            </a:ext>
          </a:extLst>
        </xdr:cNvPr>
        <xdr:cNvSpPr txBox="1"/>
      </xdr:nvSpPr>
      <xdr:spPr>
        <a:xfrm flipH="1">
          <a:off x="9989847202" y="4013836"/>
          <a:ext cx="5012909" cy="483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r>
            <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rPr>
            <a:t>دامنه اثر بین 25% ، 50% ، 75% و 100% می باشد.</a:t>
          </a:r>
        </a:p>
      </xdr:txBody>
    </xdr:sp>
    <xdr:clientData/>
  </xdr:twoCellAnchor>
  <xdr:twoCellAnchor editAs="oneCell">
    <xdr:from>
      <xdr:col>0</xdr:col>
      <xdr:colOff>28576</xdr:colOff>
      <xdr:row>21</xdr:row>
      <xdr:rowOff>200026</xdr:rowOff>
    </xdr:from>
    <xdr:to>
      <xdr:col>0</xdr:col>
      <xdr:colOff>6425047</xdr:colOff>
      <xdr:row>38</xdr:row>
      <xdr:rowOff>38101</xdr:rowOff>
    </xdr:to>
    <xdr:grpSp>
      <xdr:nvGrpSpPr>
        <xdr:cNvPr id="1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600-000013000000}"/>
            </a:ext>
          </a:extLst>
        </xdr:cNvPr>
        <xdr:cNvGrpSpPr/>
      </xdr:nvGrpSpPr>
      <xdr:grpSpPr>
        <a:xfrm flipH="1">
          <a:off x="9672079853" y="7239001"/>
          <a:ext cx="6396471" cy="3629025"/>
          <a:chOff x="473697" y="87646"/>
          <a:chExt cx="5705475" cy="2819537"/>
        </a:xfrm>
        <a:solidFill>
          <a:sysClr val="window" lastClr="FFFFFF"/>
        </a:solidFill>
      </xdr:grpSpPr>
      <xdr:grpSp>
        <xdr:nvGrpSpPr>
          <xdr:cNvPr id="20" name="Add numbers instruction">
            <a:extLst>
              <a:ext uri="{FF2B5EF4-FFF2-40B4-BE49-F238E27FC236}">
                <a16:creationId xmlns:a16="http://schemas.microsoft.com/office/drawing/2014/main" xmlns="" id="{00000000-0008-0000-0600-000014000000}"/>
              </a:ext>
            </a:extLst>
          </xdr:cNvPr>
          <xdr:cNvGrpSpPr/>
        </xdr:nvGrpSpPr>
        <xdr:grpSpPr>
          <a:xfrm>
            <a:off x="473697" y="87646"/>
            <a:ext cx="5705475" cy="2819537"/>
            <a:chOff x="146879" y="-177591"/>
            <a:chExt cx="5695950" cy="2796471"/>
          </a:xfrm>
          <a:grpFill/>
        </xdr:grpSpPr>
        <xdr:sp macro="" textlink="">
          <xdr:nvSpPr>
            <xdr:cNvPr id="22" name="Background" descr="Background">
              <a:extLst>
                <a:ext uri="{FF2B5EF4-FFF2-40B4-BE49-F238E27FC236}">
                  <a16:creationId xmlns:a16="http://schemas.microsoft.com/office/drawing/2014/main" xmlns="" id="{00000000-0008-0000-0600-000016000000}"/>
                </a:ext>
              </a:extLst>
            </xdr:cNvPr>
            <xdr:cNvSpPr/>
          </xdr:nvSpPr>
          <xdr:spPr>
            <a:xfrm>
              <a:off x="146879" y="-177591"/>
              <a:ext cx="5695950" cy="2796471"/>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23" name="Step" descr="Add numbers like a champ">
              <a:extLst>
                <a:ext uri="{FF2B5EF4-FFF2-40B4-BE49-F238E27FC236}">
                  <a16:creationId xmlns:a16="http://schemas.microsoft.com/office/drawing/2014/main" xmlns="" id="{00000000-0008-0000-0600-000017000000}"/>
                </a:ext>
              </a:extLst>
            </xdr:cNvPr>
            <xdr:cNvSpPr txBox="1"/>
          </xdr:nvSpPr>
          <xdr:spPr>
            <a:xfrm>
              <a:off x="231748" y="118698"/>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2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0600-000018000000}"/>
                </a:ext>
              </a:extLst>
            </xdr:cNvPr>
            <xdr:cNvSpPr/>
          </xdr:nvSpPr>
          <xdr:spPr>
            <a:xfrm>
              <a:off x="4515050" y="2087376"/>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25" name="Top line" descr="Decorative line">
              <a:extLst>
                <a:ext uri="{FF2B5EF4-FFF2-40B4-BE49-F238E27FC236}">
                  <a16:creationId xmlns:a16="http://schemas.microsoft.com/office/drawing/2014/main" xmlns="" id="{00000000-0008-0000-0600-000019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1" name="Add numbers introduction" descr="Here are some ways to add up numbers in Excel:">
            <a:extLst>
              <a:ext uri="{FF2B5EF4-FFF2-40B4-BE49-F238E27FC236}">
                <a16:creationId xmlns:a16="http://schemas.microsoft.com/office/drawing/2014/main" xmlns="" id="{00000000-0008-0000-0600-000015000000}"/>
              </a:ext>
            </a:extLst>
          </xdr:cNvPr>
          <xdr:cNvSpPr txBox="1"/>
        </xdr:nvSpPr>
        <xdr:spPr>
          <a:xfrm>
            <a:off x="563160" y="834594"/>
            <a:ext cx="5309802" cy="150868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27020</xdr:colOff>
      <xdr:row>0</xdr:row>
      <xdr:rowOff>129540</xdr:rowOff>
    </xdr:from>
    <xdr:to>
      <xdr:col>12</xdr:col>
      <xdr:colOff>7621</xdr:colOff>
      <xdr:row>1</xdr:row>
      <xdr:rowOff>403860</xdr:rowOff>
    </xdr:to>
    <xdr:sp macro="" textlink="">
      <xdr:nvSpPr>
        <xdr:cNvPr id="26" name="Step" descr="Add numbers like a champ">
          <a:extLst>
            <a:ext uri="{FF2B5EF4-FFF2-40B4-BE49-F238E27FC236}">
              <a16:creationId xmlns:a16="http://schemas.microsoft.com/office/drawing/2014/main" xmlns="" id="{00000000-0008-0000-0600-00001A000000}"/>
            </a:ext>
          </a:extLst>
        </xdr:cNvPr>
        <xdr:cNvSpPr txBox="1"/>
      </xdr:nvSpPr>
      <xdr:spPr>
        <a:xfrm flipH="1">
          <a:off x="9978618599" y="129540"/>
          <a:ext cx="5817521"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نظامنامه ی کیفیت</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133350</xdr:colOff>
      <xdr:row>13</xdr:row>
      <xdr:rowOff>148071</xdr:rowOff>
    </xdr:from>
    <xdr:to>
      <xdr:col>0</xdr:col>
      <xdr:colOff>546960</xdr:colOff>
      <xdr:row>15</xdr:row>
      <xdr:rowOff>75079</xdr:rowOff>
    </xdr:to>
    <xdr:sp macro="" textlink="">
      <xdr:nvSpPr>
        <xdr:cNvPr id="27" name="2" descr="2">
          <a:extLst>
            <a:ext uri="{FF2B5EF4-FFF2-40B4-BE49-F238E27FC236}">
              <a16:creationId xmlns:a16="http://schemas.microsoft.com/office/drawing/2014/main" xmlns="" id="{00000000-0008-0000-0600-00001B000000}"/>
            </a:ext>
          </a:extLst>
        </xdr:cNvPr>
        <xdr:cNvSpPr/>
      </xdr:nvSpPr>
      <xdr:spPr>
        <a:xfrm flipH="1">
          <a:off x="9994921365" y="3405621"/>
          <a:ext cx="413610" cy="422308"/>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a-IR" sz="1400" b="1">
              <a:latin typeface="Segoe UI Semibold" panose="020B0702040204020203" pitchFamily="34" charset="0"/>
              <a:cs typeface="B Nazanin" panose="00000400000000000000" pitchFamily="2" charset="-78"/>
            </a:rPr>
            <a:t>1</a:t>
          </a:r>
          <a:endParaRPr lang="en-US" sz="1400" b="1">
            <a:latin typeface="Segoe UI Semibold" panose="020B0702040204020203" pitchFamily="34" charset="0"/>
            <a:cs typeface="B Nazanin" panose="00000400000000000000" pitchFamily="2" charset="-78"/>
          </a:endParaRPr>
        </a:p>
      </xdr:txBody>
    </xdr:sp>
    <xdr:clientData/>
  </xdr:twoCellAnchor>
  <xdr:twoCellAnchor>
    <xdr:from>
      <xdr:col>0</xdr:col>
      <xdr:colOff>133350</xdr:colOff>
      <xdr:row>15</xdr:row>
      <xdr:rowOff>210137</xdr:rowOff>
    </xdr:from>
    <xdr:to>
      <xdr:col>0</xdr:col>
      <xdr:colOff>546960</xdr:colOff>
      <xdr:row>20</xdr:row>
      <xdr:rowOff>131949</xdr:rowOff>
    </xdr:to>
    <xdr:sp macro="" textlink="">
      <xdr:nvSpPr>
        <xdr:cNvPr id="28" name="2" descr="2">
          <a:extLst>
            <a:ext uri="{FF2B5EF4-FFF2-40B4-BE49-F238E27FC236}">
              <a16:creationId xmlns:a16="http://schemas.microsoft.com/office/drawing/2014/main" xmlns="" id="{00000000-0008-0000-0600-00001C000000}"/>
            </a:ext>
          </a:extLst>
        </xdr:cNvPr>
        <xdr:cNvSpPr/>
      </xdr:nvSpPr>
      <xdr:spPr>
        <a:xfrm flipH="1">
          <a:off x="9994921365" y="3962987"/>
          <a:ext cx="413610" cy="417112"/>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a-IR" sz="1400" b="1">
              <a:latin typeface="Segoe UI Semibold" panose="020B0702040204020203" pitchFamily="34" charset="0"/>
              <a:cs typeface="B Nazanin" panose="00000400000000000000" pitchFamily="2" charset="-78"/>
            </a:rPr>
            <a:t>2</a:t>
          </a:r>
          <a:endParaRPr lang="en-US" sz="1400" b="1">
            <a:latin typeface="Segoe UI Semibold" panose="020B0702040204020203" pitchFamily="34" charset="0"/>
            <a:cs typeface="B Nazanin" panose="00000400000000000000" pitchFamily="2" charset="-78"/>
          </a:endParaRPr>
        </a:p>
      </xdr:txBody>
    </xdr:sp>
    <xdr:clientData/>
  </xdr:twoCellAnchor>
  <xdr:twoCellAnchor>
    <xdr:from>
      <xdr:col>12</xdr:col>
      <xdr:colOff>182880</xdr:colOff>
      <xdr:row>0</xdr:row>
      <xdr:rowOff>137160</xdr:rowOff>
    </xdr:from>
    <xdr:to>
      <xdr:col>24</xdr:col>
      <xdr:colOff>178721</xdr:colOff>
      <xdr:row>1</xdr:row>
      <xdr:rowOff>411480</xdr:rowOff>
    </xdr:to>
    <xdr:sp macro="" textlink="">
      <xdr:nvSpPr>
        <xdr:cNvPr id="29" name="Step" descr="Add numbers like a champ">
          <a:extLst>
            <a:ext uri="{FF2B5EF4-FFF2-40B4-BE49-F238E27FC236}">
              <a16:creationId xmlns:a16="http://schemas.microsoft.com/office/drawing/2014/main" xmlns="" id="{00000000-0008-0000-0600-00001D000000}"/>
            </a:ext>
          </a:extLst>
        </xdr:cNvPr>
        <xdr:cNvSpPr txBox="1"/>
      </xdr:nvSpPr>
      <xdr:spPr>
        <a:xfrm flipH="1">
          <a:off x="9972625819" y="137160"/>
          <a:ext cx="5817521"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نظامنامه ی کیفیت</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5647509</xdr:colOff>
      <xdr:row>45</xdr:row>
      <xdr:rowOff>80263</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 xmlns:a16="http://schemas.microsoft.com/office/drawing/2014/main" id="{00000000-0008-0000-0800-000002000000}"/>
            </a:ext>
          </a:extLst>
        </xdr:cNvPr>
        <xdr:cNvGrpSpPr/>
      </xdr:nvGrpSpPr>
      <xdr:grpSpPr>
        <a:xfrm flipH="1">
          <a:off x="9756812725" y="0"/>
          <a:ext cx="5647509" cy="10418857"/>
          <a:chOff x="531805" y="-12495"/>
          <a:chExt cx="5759346" cy="4657728"/>
        </a:xfrm>
        <a:solidFill>
          <a:sysClr val="window" lastClr="FFFFFF"/>
        </a:solidFill>
      </xdr:grpSpPr>
      <xdr:grpSp>
        <xdr:nvGrpSpPr>
          <xdr:cNvPr id="3" name="Add numbers instruction">
            <a:extLst>
              <a:ext uri="{FF2B5EF4-FFF2-40B4-BE49-F238E27FC236}">
                <a16:creationId xmlns="" xmlns:a16="http://schemas.microsoft.com/office/drawing/2014/main" id="{00000000-0008-0000-0800-000003000000}"/>
              </a:ext>
            </a:extLst>
          </xdr:cNvPr>
          <xdr:cNvGrpSpPr/>
        </xdr:nvGrpSpPr>
        <xdr:grpSpPr>
          <a:xfrm>
            <a:off x="531805" y="-12495"/>
            <a:ext cx="5759346" cy="4657728"/>
            <a:chOff x="204890" y="-276913"/>
            <a:chExt cx="5749731" cy="4619625"/>
          </a:xfrm>
          <a:grpFill/>
        </xdr:grpSpPr>
        <xdr:sp macro="" textlink="">
          <xdr:nvSpPr>
            <xdr:cNvPr id="6" name="Background" descr="Background">
              <a:extLst>
                <a:ext uri="{FF2B5EF4-FFF2-40B4-BE49-F238E27FC236}">
                  <a16:creationId xmlns="" xmlns:a16="http://schemas.microsoft.com/office/drawing/2014/main" id="{00000000-0008-0000-0800-000006000000}"/>
                </a:ext>
              </a:extLst>
            </xdr:cNvPr>
            <xdr:cNvSpPr/>
          </xdr:nvSpPr>
          <xdr:spPr>
            <a:xfrm>
              <a:off x="204890" y="-276913"/>
              <a:ext cx="5749731"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 xmlns:a16="http://schemas.microsoft.com/office/drawing/2014/main" id="{00000000-0008-0000-0800-000007000000}"/>
                </a:ext>
              </a:extLst>
            </xdr:cNvPr>
            <xdr:cNvSpPr txBox="1"/>
          </xdr:nvSpPr>
          <xdr:spPr>
            <a:xfrm>
              <a:off x="204891" y="-242956"/>
              <a:ext cx="5216551" cy="43374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rtl="1" eaLnBrk="1" fontAlgn="auto" latinLnBrk="0" hangingPunct="1"/>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استانداردهای کسب شده</a:t>
              </a:r>
            </a:p>
          </xdr:txBody>
        </xdr:sp>
        <xdr:cxnSp macro="">
          <xdr:nvCxnSpPr>
            <xdr:cNvPr id="8" name="Bottom line" descr="Decorative line">
              <a:extLst>
                <a:ext uri="{FF2B5EF4-FFF2-40B4-BE49-F238E27FC236}">
                  <a16:creationId xmlns="" xmlns:a16="http://schemas.microsoft.com/office/drawing/2014/main" id="{00000000-0008-0000-0800-000008000000}"/>
                </a:ext>
              </a:extLst>
            </xdr:cNvPr>
            <xdr:cNvCxnSpPr>
              <a:cxnSpLocks/>
            </xdr:cNvCxnSpPr>
          </xdr:nvCxnSpPr>
          <xdr:spPr>
            <a:xfrm>
              <a:off x="396269" y="210453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 xmlns:a16="http://schemas.microsoft.com/office/drawing/2014/main" id="{00000000-0008-0000-0800-000009000000}"/>
                </a:ext>
              </a:extLst>
            </xdr:cNvPr>
            <xdr:cNvCxnSpPr>
              <a:cxnSpLocks/>
            </xdr:cNvCxnSpPr>
          </xdr:nvCxnSpPr>
          <xdr:spPr>
            <a:xfrm>
              <a:off x="261339" y="203017"/>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Step" descr="Type =SUM(D4:D7), and then press enter. When you're done, you'll see the result of 170">
            <a:extLst>
              <a:ext uri="{FF2B5EF4-FFF2-40B4-BE49-F238E27FC236}">
                <a16:creationId xmlns="" xmlns:a16="http://schemas.microsoft.com/office/drawing/2014/main" id="{00000000-0008-0000-0800-000004000000}"/>
              </a:ext>
            </a:extLst>
          </xdr:cNvPr>
          <xdr:cNvSpPr txBox="1"/>
        </xdr:nvSpPr>
        <xdr:spPr>
          <a:xfrm>
            <a:off x="979890" y="1466127"/>
            <a:ext cx="5002888" cy="23723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r>
              <a:rPr lang="fa-IR" sz="1000" b="1" kern="0">
                <a:solidFill>
                  <a:schemeClr val="tx1">
                    <a:lumMod val="75000"/>
                    <a:lumOff val="25000"/>
                  </a:schemeClr>
                </a:solidFill>
                <a:latin typeface="Segoe UI" panose="020B0502040204020203" pitchFamily="34" charset="0"/>
                <a:ea typeface="Segoe UI" pitchFamily="34" charset="0"/>
                <a:cs typeface="B Nazanin" panose="00000400000000000000" pitchFamily="2" charset="-78"/>
              </a:rPr>
              <a:t>ضریب اثر در خصوص ارتباط استاندارد با موضوع فعالیت شرکت است و حداکثر یک می باشد.</a:t>
            </a:r>
            <a:endParaRPr lang="en-US" sz="1000" b="1" kern="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sp macro="" textlink="">
        <xdr:nvSpPr>
          <xdr:cNvPr id="5" name="Add numbers introduction" descr="Here are some ways to add up numbers in Excel:">
            <a:extLst>
              <a:ext uri="{FF2B5EF4-FFF2-40B4-BE49-F238E27FC236}">
                <a16:creationId xmlns="" xmlns:a16="http://schemas.microsoft.com/office/drawing/2014/main" id="{00000000-0008-0000-0800-000005000000}"/>
              </a:ext>
            </a:extLst>
          </xdr:cNvPr>
          <xdr:cNvSpPr txBox="1"/>
        </xdr:nvSpPr>
        <xdr:spPr>
          <a:xfrm>
            <a:off x="600866" y="582149"/>
            <a:ext cx="5309802" cy="7923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استاندارد، سندی فنی است که برای استفاده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عنوان یک قاعده، رهنمود و یا تعریفی مشخص طراحی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شده و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صورت تکرارپذیر</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قابل انجام بوده و مبتنی بر نظر اجماع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باشد. همچنین استاندارد، حداقل مشخصات قابل قبول در سطح ملی یا بین</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المللی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است، که یک محصول، خدمت یا فرآیند باید داشته باشد تا از کارآیی، کیفیت و امنیت آن اطمینان حاصل شود.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برای ارزیابی این شاخص، مستندات استانداردهایی که فعال اقتصادی رعایت میکند را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طور مجزا</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مورد بررسی قرار میدهد و امتیاز اثر هر استاندارد را در هر یک از حوزه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یادشده، تعیین کرده و سپس این امتیازات را بر اساس</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آنچه در ادامه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آید تعدیل میکند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a:t>
            </a:r>
          </a:p>
        </xdr:txBody>
      </xdr:sp>
    </xdr:grpSp>
    <xdr:clientData/>
  </xdr:twoCellAnchor>
  <xdr:twoCellAnchor>
    <xdr:from>
      <xdr:col>0</xdr:col>
      <xdr:colOff>431074</xdr:colOff>
      <xdr:row>14</xdr:row>
      <xdr:rowOff>145324</xdr:rowOff>
    </xdr:from>
    <xdr:to>
      <xdr:col>0</xdr:col>
      <xdr:colOff>5443983</xdr:colOff>
      <xdr:row>16</xdr:row>
      <xdr:rowOff>133887</xdr:rowOff>
    </xdr:to>
    <xdr:sp macro="" textlink="">
      <xdr:nvSpPr>
        <xdr:cNvPr id="10" name="Step" descr="Here's another way to add, using a shortcut key. Select the yellow cell under the amounts for meat">
          <a:extLst>
            <a:ext uri="{FF2B5EF4-FFF2-40B4-BE49-F238E27FC236}">
              <a16:creationId xmlns="" xmlns:a16="http://schemas.microsoft.com/office/drawing/2014/main" id="{00000000-0008-0000-0800-00000A000000}"/>
            </a:ext>
          </a:extLst>
        </xdr:cNvPr>
        <xdr:cNvSpPr txBox="1"/>
      </xdr:nvSpPr>
      <xdr:spPr>
        <a:xfrm flipH="1">
          <a:off x="9680176092" y="4183924"/>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r>
            <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rPr>
            <a:t>دامنه اثر بین 25% ، 50% ، 75% و 100% می باشد.</a:t>
          </a:r>
        </a:p>
      </xdr:txBody>
    </xdr:sp>
    <xdr:clientData/>
  </xdr:twoCellAnchor>
  <xdr:twoCellAnchor editAs="oneCell">
    <xdr:from>
      <xdr:col>0</xdr:col>
      <xdr:colOff>0</xdr:colOff>
      <xdr:row>20</xdr:row>
      <xdr:rowOff>104231</xdr:rowOff>
    </xdr:from>
    <xdr:to>
      <xdr:col>0</xdr:col>
      <xdr:colOff>5742995</xdr:colOff>
      <xdr:row>51</xdr:row>
      <xdr:rowOff>145596</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 xmlns:a16="http://schemas.microsoft.com/office/drawing/2014/main" id="{00000000-0008-0000-0800-00000B000000}"/>
            </a:ext>
          </a:extLst>
        </xdr:cNvPr>
        <xdr:cNvGrpSpPr/>
      </xdr:nvGrpSpPr>
      <xdr:grpSpPr>
        <a:xfrm flipH="1">
          <a:off x="9756717239" y="5521575"/>
          <a:ext cx="5742995" cy="6093709"/>
          <a:chOff x="326572" y="273582"/>
          <a:chExt cx="5893630" cy="4657728"/>
        </a:xfrm>
        <a:solidFill>
          <a:sysClr val="window" lastClr="FFFFFF"/>
        </a:solidFill>
      </xdr:grpSpPr>
      <xdr:grpSp>
        <xdr:nvGrpSpPr>
          <xdr:cNvPr id="12" name="Add numbers instruction">
            <a:extLst>
              <a:ext uri="{FF2B5EF4-FFF2-40B4-BE49-F238E27FC236}">
                <a16:creationId xmlns="" xmlns:a16="http://schemas.microsoft.com/office/drawing/2014/main" id="{00000000-0008-0000-0800-00000C000000}"/>
              </a:ext>
            </a:extLst>
          </xdr:cNvPr>
          <xdr:cNvGrpSpPr/>
        </xdr:nvGrpSpPr>
        <xdr:grpSpPr>
          <a:xfrm>
            <a:off x="326572" y="273582"/>
            <a:ext cx="5893630" cy="4657728"/>
            <a:chOff x="0" y="6824"/>
            <a:chExt cx="5883790" cy="4619625"/>
          </a:xfrm>
          <a:grpFill/>
        </xdr:grpSpPr>
        <xdr:sp macro="" textlink="">
          <xdr:nvSpPr>
            <xdr:cNvPr id="14" name="Background" descr="Background">
              <a:extLst>
                <a:ext uri="{FF2B5EF4-FFF2-40B4-BE49-F238E27FC236}">
                  <a16:creationId xmlns="" xmlns:a16="http://schemas.microsoft.com/office/drawing/2014/main" id="{00000000-0008-0000-0800-00000E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 xmlns:a16="http://schemas.microsoft.com/office/drawing/2014/main" id="{00000000-0008-0000-0800-00000F000000}"/>
                </a:ext>
              </a:extLst>
            </xdr:cNvPr>
            <xdr:cNvSpPr txBox="1"/>
          </xdr:nvSpPr>
          <xdr:spPr>
            <a:xfrm>
              <a:off x="231748" y="118698"/>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 xmlns:a16="http://schemas.microsoft.com/office/drawing/2014/main" id="{00000000-0008-0000-0800-000010000000}"/>
                </a:ext>
              </a:extLst>
            </xdr:cNvPr>
            <xdr:cNvSpPr/>
          </xdr:nvSpPr>
          <xdr:spPr>
            <a:xfrm>
              <a:off x="4729360" y="4026747"/>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 xmlns:a16="http://schemas.microsoft.com/office/drawing/2014/main" id="{00000000-0008-0000-0800-000011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 xmlns:a16="http://schemas.microsoft.com/office/drawing/2014/main" id="{00000000-0008-0000-0800-00000D000000}"/>
              </a:ext>
            </a:extLst>
          </xdr:cNvPr>
          <xdr:cNvSpPr txBox="1"/>
        </xdr:nvSpPr>
        <xdr:spPr>
          <a:xfrm>
            <a:off x="563160" y="834594"/>
            <a:ext cx="5309802" cy="338120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2</xdr:col>
      <xdr:colOff>220983</xdr:colOff>
      <xdr:row>0</xdr:row>
      <xdr:rowOff>129540</xdr:rowOff>
    </xdr:from>
    <xdr:to>
      <xdr:col>10</xdr:col>
      <xdr:colOff>571500</xdr:colOff>
      <xdr:row>1</xdr:row>
      <xdr:rowOff>403860</xdr:rowOff>
    </xdr:to>
    <xdr:sp macro="" textlink="">
      <xdr:nvSpPr>
        <xdr:cNvPr id="18" name="Step" descr="Add numbers like a champ">
          <a:extLst>
            <a:ext uri="{FF2B5EF4-FFF2-40B4-BE49-F238E27FC236}">
              <a16:creationId xmlns="" xmlns:a16="http://schemas.microsoft.com/office/drawing/2014/main" id="{00000000-0008-0000-0800-000012000000}"/>
            </a:ext>
          </a:extLst>
        </xdr:cNvPr>
        <xdr:cNvSpPr txBox="1"/>
      </xdr:nvSpPr>
      <xdr:spPr>
        <a:xfrm flipH="1">
          <a:off x="9670684875" y="129540"/>
          <a:ext cx="5884542"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استانداردهای کسب شده</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2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0</xdr:colOff>
      <xdr:row>10</xdr:row>
      <xdr:rowOff>191737</xdr:rowOff>
    </xdr:from>
    <xdr:to>
      <xdr:col>0</xdr:col>
      <xdr:colOff>413610</xdr:colOff>
      <xdr:row>12</xdr:row>
      <xdr:rowOff>118745</xdr:rowOff>
    </xdr:to>
    <xdr:sp macro="" textlink="">
      <xdr:nvSpPr>
        <xdr:cNvPr id="19" name="2" descr="2">
          <a:extLst>
            <a:ext uri="{FF2B5EF4-FFF2-40B4-BE49-F238E27FC236}">
              <a16:creationId xmlns="" xmlns:a16="http://schemas.microsoft.com/office/drawing/2014/main" id="{00000000-0008-0000-0800-000013000000}"/>
            </a:ext>
          </a:extLst>
        </xdr:cNvPr>
        <xdr:cNvSpPr/>
      </xdr:nvSpPr>
      <xdr:spPr>
        <a:xfrm flipH="1">
          <a:off x="9685206465" y="3277837"/>
          <a:ext cx="413610" cy="403258"/>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a-IR" sz="1400" b="1">
              <a:latin typeface="Segoe UI Semibold" panose="020B0702040204020203" pitchFamily="34" charset="0"/>
              <a:cs typeface="B Nazanin" panose="00000400000000000000" pitchFamily="2" charset="-78"/>
            </a:rPr>
            <a:t>1</a:t>
          </a:r>
          <a:endParaRPr lang="en-US" sz="1400" b="1">
            <a:latin typeface="Segoe UI Semibold" panose="020B0702040204020203" pitchFamily="34" charset="0"/>
            <a:cs typeface="B Nazanin" panose="00000400000000000000" pitchFamily="2" charset="-78"/>
          </a:endParaRPr>
        </a:p>
      </xdr:txBody>
    </xdr:sp>
    <xdr:clientData/>
  </xdr:twoCellAnchor>
  <xdr:twoCellAnchor>
    <xdr:from>
      <xdr:col>0</xdr:col>
      <xdr:colOff>0</xdr:colOff>
      <xdr:row>14</xdr:row>
      <xdr:rowOff>90146</xdr:rowOff>
    </xdr:from>
    <xdr:to>
      <xdr:col>0</xdr:col>
      <xdr:colOff>413610</xdr:colOff>
      <xdr:row>16</xdr:row>
      <xdr:rowOff>17154</xdr:rowOff>
    </xdr:to>
    <xdr:sp macro="" textlink="">
      <xdr:nvSpPr>
        <xdr:cNvPr id="20" name="2" descr="2">
          <a:extLst>
            <a:ext uri="{FF2B5EF4-FFF2-40B4-BE49-F238E27FC236}">
              <a16:creationId xmlns="" xmlns:a16="http://schemas.microsoft.com/office/drawing/2014/main" id="{00000000-0008-0000-0800-000014000000}"/>
            </a:ext>
          </a:extLst>
        </xdr:cNvPr>
        <xdr:cNvSpPr/>
      </xdr:nvSpPr>
      <xdr:spPr>
        <a:xfrm flipH="1">
          <a:off x="9685206465" y="4128746"/>
          <a:ext cx="413610" cy="403258"/>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a-IR" sz="1400" b="1">
              <a:latin typeface="Segoe UI Semibold" panose="020B0702040204020203" pitchFamily="34" charset="0"/>
              <a:cs typeface="B Nazanin" panose="00000400000000000000" pitchFamily="2" charset="-78"/>
            </a:rPr>
            <a:t>2</a:t>
          </a:r>
          <a:endParaRPr lang="en-US" sz="1400" b="1">
            <a:latin typeface="Segoe UI Semibold" panose="020B0702040204020203" pitchFamily="34" charset="0"/>
            <a:cs typeface="B Nazanin" panose="00000400000000000000" pitchFamily="2" charset="-78"/>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176367</xdr:rowOff>
    </xdr:from>
    <xdr:to>
      <xdr:col>0</xdr:col>
      <xdr:colOff>6368143</xdr:colOff>
      <xdr:row>41</xdr:row>
      <xdr:rowOff>163286</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 xmlns:a16="http://schemas.microsoft.com/office/drawing/2014/main" id="{00000000-0008-0000-0900-000002000000}"/>
            </a:ext>
          </a:extLst>
        </xdr:cNvPr>
        <xdr:cNvGrpSpPr/>
      </xdr:nvGrpSpPr>
      <xdr:grpSpPr>
        <a:xfrm flipH="1">
          <a:off x="9589348178" y="176367"/>
          <a:ext cx="6368143" cy="8164812"/>
          <a:chOff x="531805" y="21742"/>
          <a:chExt cx="5705475" cy="4902688"/>
        </a:xfrm>
        <a:solidFill>
          <a:sysClr val="window" lastClr="FFFFFF"/>
        </a:solidFill>
      </xdr:grpSpPr>
      <xdr:grpSp>
        <xdr:nvGrpSpPr>
          <xdr:cNvPr id="3" name="Add numbers instruction">
            <a:extLst>
              <a:ext uri="{FF2B5EF4-FFF2-40B4-BE49-F238E27FC236}">
                <a16:creationId xmlns="" xmlns:a16="http://schemas.microsoft.com/office/drawing/2014/main" id="{00000000-0008-0000-0900-000003000000}"/>
              </a:ext>
            </a:extLst>
          </xdr:cNvPr>
          <xdr:cNvGrpSpPr/>
        </xdr:nvGrpSpPr>
        <xdr:grpSpPr>
          <a:xfrm>
            <a:off x="531805" y="21742"/>
            <a:ext cx="5705475" cy="4902688"/>
            <a:chOff x="204890" y="-242956"/>
            <a:chExt cx="5695950" cy="4862581"/>
          </a:xfrm>
          <a:grpFill/>
        </xdr:grpSpPr>
        <xdr:sp macro="" textlink="">
          <xdr:nvSpPr>
            <xdr:cNvPr id="5" name="Background" descr="Background">
              <a:extLst>
                <a:ext uri="{FF2B5EF4-FFF2-40B4-BE49-F238E27FC236}">
                  <a16:creationId xmlns="" xmlns:a16="http://schemas.microsoft.com/office/drawing/2014/main" id="{00000000-0008-0000-0900-000005000000}"/>
                </a:ext>
              </a:extLst>
            </xdr:cNvPr>
            <xdr:cNvSpPr/>
          </xdr:nvSpPr>
          <xdr:spPr>
            <a:xfrm>
              <a:off x="204890" y="0"/>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6" name="Step" descr="Add numbers like a champ">
              <a:extLst>
                <a:ext uri="{FF2B5EF4-FFF2-40B4-BE49-F238E27FC236}">
                  <a16:creationId xmlns="" xmlns:a16="http://schemas.microsoft.com/office/drawing/2014/main" id="{00000000-0008-0000-0900-000006000000}"/>
                </a:ext>
              </a:extLst>
            </xdr:cNvPr>
            <xdr:cNvSpPr txBox="1"/>
          </xdr:nvSpPr>
          <xdr:spPr>
            <a:xfrm>
              <a:off x="272728" y="-242956"/>
              <a:ext cx="5216551" cy="51413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گواهینامه های کسب شده</a:t>
              </a:r>
            </a:p>
          </xdr:txBody>
        </xdr:sp>
        <xdr:cxnSp macro="">
          <xdr:nvCxnSpPr>
            <xdr:cNvPr id="7" name="Bottom line" descr="Decorative line">
              <a:extLst>
                <a:ext uri="{FF2B5EF4-FFF2-40B4-BE49-F238E27FC236}">
                  <a16:creationId xmlns="" xmlns:a16="http://schemas.microsoft.com/office/drawing/2014/main" id="{00000000-0008-0000-0900-000007000000}"/>
                </a:ext>
              </a:extLst>
            </xdr:cNvPr>
            <xdr:cNvCxnSpPr>
              <a:cxnSpLocks/>
            </xdr:cNvCxnSpPr>
          </xdr:nvCxnSpPr>
          <xdr:spPr>
            <a:xfrm>
              <a:off x="305093" y="1651958"/>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Top line" descr="Decorative line">
              <a:extLst>
                <a:ext uri="{FF2B5EF4-FFF2-40B4-BE49-F238E27FC236}">
                  <a16:creationId xmlns="" xmlns:a16="http://schemas.microsoft.com/office/drawing/2014/main" id="{00000000-0008-0000-0900-000008000000}"/>
                </a:ext>
              </a:extLst>
            </xdr:cNvPr>
            <xdr:cNvCxnSpPr>
              <a:cxnSpLocks/>
            </xdr:cNvCxnSpPr>
          </xdr:nvCxnSpPr>
          <xdr:spPr>
            <a:xfrm>
              <a:off x="302257" y="287269"/>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Add numbers introduction" descr="Here are some ways to add up numbers in Excel:">
            <a:extLst>
              <a:ext uri="{FF2B5EF4-FFF2-40B4-BE49-F238E27FC236}">
                <a16:creationId xmlns="" xmlns:a16="http://schemas.microsoft.com/office/drawing/2014/main" id="{00000000-0008-0000-0900-000004000000}"/>
              </a:ext>
            </a:extLst>
          </xdr:cNvPr>
          <xdr:cNvSpPr txBox="1"/>
        </xdr:nvSpPr>
        <xdr:spPr>
          <a:xfrm>
            <a:off x="571780" y="694932"/>
            <a:ext cx="5309802" cy="68425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گواهینامه، هرگونه تأییدیۀ معتبر صادره از سوی یک مرجع معتبر است که نشان میدهد فعال اقتصادی در یک حوزۀ خاص از</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استانداردهایی مورد تأیید وی، تبعیت میکند.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ارزیابی گواهینامۀ دریافتی، به میزان اثر و اهمیت آن در کیفیت محصول یا خدمات فعال اقتصادی یا در تضمین کیفیت آن،</a:t>
            </a:r>
          </a:p>
          <a:p>
            <a:pPr algn="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بستگی دارد. گواهینامهای که با فعالیت اصلی شرکت ارتباط بیشتری دارد، تأثیر بیشتری در نتیجۀ ارزیابی خواهد داشت.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594360</xdr:colOff>
      <xdr:row>12</xdr:row>
      <xdr:rowOff>213360</xdr:rowOff>
    </xdr:from>
    <xdr:to>
      <xdr:col>0</xdr:col>
      <xdr:colOff>5607269</xdr:colOff>
      <xdr:row>14</xdr:row>
      <xdr:rowOff>201923</xdr:rowOff>
    </xdr:to>
    <xdr:sp macro="" textlink="">
      <xdr:nvSpPr>
        <xdr:cNvPr id="9" name="Step" descr="Here's another way to add, using a shortcut key. Select the yellow cell under the amounts for meat">
          <a:extLst>
            <a:ext uri="{FF2B5EF4-FFF2-40B4-BE49-F238E27FC236}">
              <a16:creationId xmlns="" xmlns:a16="http://schemas.microsoft.com/office/drawing/2014/main" id="{00000000-0008-0000-0900-000009000000}"/>
            </a:ext>
          </a:extLst>
        </xdr:cNvPr>
        <xdr:cNvSpPr txBox="1"/>
      </xdr:nvSpPr>
      <xdr:spPr>
        <a:xfrm flipH="1">
          <a:off x="9679231756" y="377571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3</xdr:colOff>
      <xdr:row>11</xdr:row>
      <xdr:rowOff>187618</xdr:rowOff>
    </xdr:from>
    <xdr:to>
      <xdr:col>0</xdr:col>
      <xdr:colOff>6313716</xdr:colOff>
      <xdr:row>42</xdr:row>
      <xdr:rowOff>81643</xdr:rowOff>
    </xdr:to>
    <xdr:grpSp>
      <xdr:nvGrpSpPr>
        <xdr:cNvPr id="10"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 xmlns:a16="http://schemas.microsoft.com/office/drawing/2014/main" id="{00000000-0008-0000-0900-00000A000000}"/>
            </a:ext>
          </a:extLst>
        </xdr:cNvPr>
        <xdr:cNvGrpSpPr/>
      </xdr:nvGrpSpPr>
      <xdr:grpSpPr>
        <a:xfrm flipH="1">
          <a:off x="9589402605" y="3575797"/>
          <a:ext cx="6313713" cy="4874239"/>
          <a:chOff x="326572" y="159939"/>
          <a:chExt cx="5893630" cy="4771371"/>
        </a:xfrm>
        <a:solidFill>
          <a:sysClr val="window" lastClr="FFFFFF"/>
        </a:solidFill>
      </xdr:grpSpPr>
      <xdr:grpSp>
        <xdr:nvGrpSpPr>
          <xdr:cNvPr id="11" name="Add numbers instruction">
            <a:extLst>
              <a:ext uri="{FF2B5EF4-FFF2-40B4-BE49-F238E27FC236}">
                <a16:creationId xmlns="" xmlns:a16="http://schemas.microsoft.com/office/drawing/2014/main" id="{00000000-0008-0000-0900-00000B000000}"/>
              </a:ext>
            </a:extLst>
          </xdr:cNvPr>
          <xdr:cNvGrpSpPr/>
        </xdr:nvGrpSpPr>
        <xdr:grpSpPr>
          <a:xfrm>
            <a:off x="326572" y="159939"/>
            <a:ext cx="5893630" cy="4771371"/>
            <a:chOff x="0" y="-105889"/>
            <a:chExt cx="5883790" cy="4732338"/>
          </a:xfrm>
          <a:grpFill/>
        </xdr:grpSpPr>
        <xdr:sp macro="" textlink="">
          <xdr:nvSpPr>
            <xdr:cNvPr id="13" name="Background" descr="Background">
              <a:extLst>
                <a:ext uri="{FF2B5EF4-FFF2-40B4-BE49-F238E27FC236}">
                  <a16:creationId xmlns="" xmlns:a16="http://schemas.microsoft.com/office/drawing/2014/main" id="{00000000-0008-0000-0900-00000D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4" name="Step" descr="Add numbers like a champ">
              <a:extLst>
                <a:ext uri="{FF2B5EF4-FFF2-40B4-BE49-F238E27FC236}">
                  <a16:creationId xmlns="" xmlns:a16="http://schemas.microsoft.com/office/drawing/2014/main" id="{00000000-0008-0000-0900-00000E000000}"/>
                </a:ext>
              </a:extLst>
            </xdr:cNvPr>
            <xdr:cNvSpPr txBox="1"/>
          </xdr:nvSpPr>
          <xdr:spPr>
            <a:xfrm>
              <a:off x="219068" y="-105889"/>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5" name="Next Button" descr="Next step button, hyperlinked to next sheet">
              <a:hlinkClick xmlns:r="http://schemas.openxmlformats.org/officeDocument/2006/relationships" r:id="rId1" tooltip="Select to go to the next step"/>
              <a:extLst>
                <a:ext uri="{FF2B5EF4-FFF2-40B4-BE49-F238E27FC236}">
                  <a16:creationId xmlns="" xmlns:a16="http://schemas.microsoft.com/office/drawing/2014/main" id="{00000000-0008-0000-0900-00000F000000}"/>
                </a:ext>
              </a:extLst>
            </xdr:cNvPr>
            <xdr:cNvSpPr/>
          </xdr:nvSpPr>
          <xdr:spPr>
            <a:xfrm>
              <a:off x="4729360" y="4026747"/>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6" name="Top line" descr="Decorative line">
              <a:extLst>
                <a:ext uri="{FF2B5EF4-FFF2-40B4-BE49-F238E27FC236}">
                  <a16:creationId xmlns="" xmlns:a16="http://schemas.microsoft.com/office/drawing/2014/main" id="{00000000-0008-0000-0900-000010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2" name="Add numbers introduction" descr="Here are some ways to add up numbers in Excel:">
            <a:extLst>
              <a:ext uri="{FF2B5EF4-FFF2-40B4-BE49-F238E27FC236}">
                <a16:creationId xmlns="" xmlns:a16="http://schemas.microsoft.com/office/drawing/2014/main" id="{00000000-0008-0000-0900-00000C000000}"/>
              </a:ext>
            </a:extLst>
          </xdr:cNvPr>
          <xdr:cNvSpPr txBox="1"/>
        </xdr:nvSpPr>
        <xdr:spPr>
          <a:xfrm>
            <a:off x="563162" y="834595"/>
            <a:ext cx="5309802" cy="253279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2</xdr:col>
      <xdr:colOff>220983</xdr:colOff>
      <xdr:row>0</xdr:row>
      <xdr:rowOff>129540</xdr:rowOff>
    </xdr:from>
    <xdr:to>
      <xdr:col>11</xdr:col>
      <xdr:colOff>189028</xdr:colOff>
      <xdr:row>1</xdr:row>
      <xdr:rowOff>403860</xdr:rowOff>
    </xdr:to>
    <xdr:sp macro="" textlink="">
      <xdr:nvSpPr>
        <xdr:cNvPr id="17" name="Step" descr="Add numbers like a champ">
          <a:extLst>
            <a:ext uri="{FF2B5EF4-FFF2-40B4-BE49-F238E27FC236}">
              <a16:creationId xmlns="" xmlns:a16="http://schemas.microsoft.com/office/drawing/2014/main" id="{00000000-0008-0000-0900-000011000000}"/>
            </a:ext>
          </a:extLst>
        </xdr:cNvPr>
        <xdr:cNvSpPr txBox="1"/>
      </xdr:nvSpPr>
      <xdr:spPr>
        <a:xfrm flipH="1">
          <a:off x="9668743247" y="129540"/>
          <a:ext cx="8130970"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endParaRPr kumimoji="0" lang="en-US"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گواهینامه های کسب شده</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176368</xdr:rowOff>
    </xdr:from>
    <xdr:to>
      <xdr:col>0</xdr:col>
      <xdr:colOff>6354536</xdr:colOff>
      <xdr:row>32</xdr:row>
      <xdr:rowOff>68037</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900-000002000000}"/>
            </a:ext>
          </a:extLst>
        </xdr:cNvPr>
        <xdr:cNvGrpSpPr/>
      </xdr:nvGrpSpPr>
      <xdr:grpSpPr>
        <a:xfrm flipH="1">
          <a:off x="9588586178" y="176368"/>
          <a:ext cx="6354536" cy="8096776"/>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0900-000003000000}"/>
              </a:ext>
            </a:extLst>
          </xdr:cNvPr>
          <xdr:cNvGrpSpPr/>
        </xdr:nvGrpSpPr>
        <xdr:grpSpPr>
          <a:xfrm>
            <a:off x="531805" y="21742"/>
            <a:ext cx="5705475" cy="4902688"/>
            <a:chOff x="204890" y="-242956"/>
            <a:chExt cx="5695950" cy="4862581"/>
          </a:xfrm>
          <a:grpFill/>
        </xdr:grpSpPr>
        <xdr:sp macro="" textlink="">
          <xdr:nvSpPr>
            <xdr:cNvPr id="7" name="Background" descr="Background">
              <a:extLst>
                <a:ext uri="{FF2B5EF4-FFF2-40B4-BE49-F238E27FC236}">
                  <a16:creationId xmlns:a16="http://schemas.microsoft.com/office/drawing/2014/main" xmlns="" id="{00000000-0008-0000-0900-000007000000}"/>
                </a:ext>
              </a:extLst>
            </xdr:cNvPr>
            <xdr:cNvSpPr/>
          </xdr:nvSpPr>
          <xdr:spPr>
            <a:xfrm>
              <a:off x="204890" y="0"/>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8" name="Step" descr="Add numbers like a champ">
              <a:extLst>
                <a:ext uri="{FF2B5EF4-FFF2-40B4-BE49-F238E27FC236}">
                  <a16:creationId xmlns:a16="http://schemas.microsoft.com/office/drawing/2014/main" xmlns="" id="{00000000-0008-0000-0900-000008000000}"/>
                </a:ext>
              </a:extLst>
            </xdr:cNvPr>
            <xdr:cNvSpPr txBox="1"/>
          </xdr:nvSpPr>
          <xdr:spPr>
            <a:xfrm>
              <a:off x="272727" y="-242956"/>
              <a:ext cx="5216551" cy="70014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جوایز کسب شده</a:t>
              </a:r>
            </a:p>
          </xdr:txBody>
        </xdr:sp>
        <xdr:cxnSp macro="">
          <xdr:nvCxnSpPr>
            <xdr:cNvPr id="9" name="Bottom line" descr="Decorative line">
              <a:extLst>
                <a:ext uri="{FF2B5EF4-FFF2-40B4-BE49-F238E27FC236}">
                  <a16:creationId xmlns:a16="http://schemas.microsoft.com/office/drawing/2014/main" xmlns="" id="{00000000-0008-0000-0900-000009000000}"/>
                </a:ext>
              </a:extLst>
            </xdr:cNvPr>
            <xdr:cNvCxnSpPr>
              <a:cxnSpLocks/>
            </xdr:cNvCxnSpPr>
          </xdr:nvCxnSpPr>
          <xdr:spPr>
            <a:xfrm>
              <a:off x="316151" y="2162721"/>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0" name="Top line" descr="Decorative line">
              <a:extLst>
                <a:ext uri="{FF2B5EF4-FFF2-40B4-BE49-F238E27FC236}">
                  <a16:creationId xmlns:a16="http://schemas.microsoft.com/office/drawing/2014/main" xmlns="" id="{00000000-0008-0000-0900-00000A000000}"/>
                </a:ext>
              </a:extLst>
            </xdr:cNvPr>
            <xdr:cNvCxnSpPr>
              <a:cxnSpLocks/>
            </xdr:cNvCxnSpPr>
          </xdr:nvCxnSpPr>
          <xdr:spPr>
            <a:xfrm>
              <a:off x="259131" y="250896"/>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 name="Add numbers introduction" descr="Here are some ways to add up numbers in Excel:">
            <a:extLst>
              <a:ext uri="{FF2B5EF4-FFF2-40B4-BE49-F238E27FC236}">
                <a16:creationId xmlns:a16="http://schemas.microsoft.com/office/drawing/2014/main" xmlns="" id="{00000000-0008-0000-0900-000006000000}"/>
              </a:ext>
            </a:extLst>
          </xdr:cNvPr>
          <xdr:cNvSpPr txBox="1"/>
        </xdr:nvSpPr>
        <xdr:spPr>
          <a:xfrm>
            <a:off x="600869" y="627986"/>
            <a:ext cx="5309802" cy="68425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r" defTabSz="914400" eaLnBrk="1" latinLnBrk="0" hangingPunct="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منظور از جایزۀ معتبر، هرگونه مزایا و امتیازات مادی یا معنوی از سوی بنیادها و مراجع ذیربط است که به منظور تشویق فعال اقتصادی به حفظ و تداوم تولید یا ارائه کالاها و محصولات باکیفیت، مشتری مداری و سایر معیارهای عملکردی اعطا می شود</a:t>
            </a:r>
            <a:r>
              <a:rPr lang="fa-IR" sz="1800" b="0" i="0" u="none" strike="noStrike" kern="1200" baseline="0">
                <a:solidFill>
                  <a:schemeClr val="dk1"/>
                </a:solidFill>
                <a:latin typeface="+mn-lt"/>
                <a:ea typeface="+mn-ea"/>
                <a:cs typeface="+mn-cs"/>
              </a:rPr>
              <a:t>.</a:t>
            </a:r>
          </a:p>
          <a:p>
            <a:pPr algn="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اخذ جوایز معتبر از بنیادها یا مراجع حرفه ای معتبر، میتواند گواهی بر جدیت و اهتمام فعال اقتصادی در ایجاد، حفظ و ارتقای جایگاه رقابتی در صنعت و نتیجتاً ارائه خدمات و محصولات باکیفیت تر به بازار در راستای حفظ رضایتمندی مشتریان بوده و به همین دلیل از سوی مراجع مذکور شایستۀ تقدیر و ستایش تشخیص داده میشود. ازاینرو جوایز معتبری که در راستای موضوعات اصلی فعالیت فعال اقتصادی دریافت شده باشند، در ارزیابی های انجام شده موردتوجه قرار خواهند گرفت.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611505</xdr:colOff>
      <xdr:row>14</xdr:row>
      <xdr:rowOff>198120</xdr:rowOff>
    </xdr:from>
    <xdr:to>
      <xdr:col>0</xdr:col>
      <xdr:colOff>5624414</xdr:colOff>
      <xdr:row>16</xdr:row>
      <xdr:rowOff>186683</xdr:rowOff>
    </xdr:to>
    <xdr:sp macro="" textlink="">
      <xdr:nvSpPr>
        <xdr:cNvPr id="11" name="Step" descr="Here's another way to add, using a shortcut key. Select the yellow cell under the amounts for meat">
          <a:extLst>
            <a:ext uri="{FF2B5EF4-FFF2-40B4-BE49-F238E27FC236}">
              <a16:creationId xmlns:a16="http://schemas.microsoft.com/office/drawing/2014/main" xmlns="" id="{00000000-0008-0000-0900-00000B000000}"/>
            </a:ext>
          </a:extLst>
        </xdr:cNvPr>
        <xdr:cNvSpPr txBox="1"/>
      </xdr:nvSpPr>
      <xdr:spPr>
        <a:xfrm flipH="1">
          <a:off x="9678204961" y="328422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0</xdr:colOff>
      <xdr:row>15</xdr:row>
      <xdr:rowOff>112777</xdr:rowOff>
    </xdr:from>
    <xdr:to>
      <xdr:col>0</xdr:col>
      <xdr:colOff>6210298</xdr:colOff>
      <xdr:row>32</xdr:row>
      <xdr:rowOff>122464</xdr:rowOff>
    </xdr:to>
    <xdr:grpSp>
      <xdr:nvGrpSpPr>
        <xdr:cNvPr id="13"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900-00000D000000}"/>
            </a:ext>
          </a:extLst>
        </xdr:cNvPr>
        <xdr:cNvGrpSpPr/>
      </xdr:nvGrpSpPr>
      <xdr:grpSpPr>
        <a:xfrm flipH="1">
          <a:off x="9588730416" y="4480670"/>
          <a:ext cx="6210298" cy="3846901"/>
          <a:chOff x="326572" y="245831"/>
          <a:chExt cx="5893630" cy="4685479"/>
        </a:xfrm>
        <a:solidFill>
          <a:sysClr val="window" lastClr="FFFFFF"/>
        </a:solidFill>
      </xdr:grpSpPr>
      <xdr:grpSp>
        <xdr:nvGrpSpPr>
          <xdr:cNvPr id="14" name="Add numbers instruction">
            <a:extLst>
              <a:ext uri="{FF2B5EF4-FFF2-40B4-BE49-F238E27FC236}">
                <a16:creationId xmlns:a16="http://schemas.microsoft.com/office/drawing/2014/main" xmlns="" id="{00000000-0008-0000-0900-00000E000000}"/>
              </a:ext>
            </a:extLst>
          </xdr:cNvPr>
          <xdr:cNvGrpSpPr/>
        </xdr:nvGrpSpPr>
        <xdr:grpSpPr>
          <a:xfrm>
            <a:off x="326572" y="245831"/>
            <a:ext cx="5893630" cy="4685479"/>
            <a:chOff x="0" y="-20700"/>
            <a:chExt cx="5883790" cy="4647149"/>
          </a:xfrm>
          <a:grpFill/>
        </xdr:grpSpPr>
        <xdr:sp macro="" textlink="">
          <xdr:nvSpPr>
            <xdr:cNvPr id="16" name="Background" descr="Background">
              <a:extLst>
                <a:ext uri="{FF2B5EF4-FFF2-40B4-BE49-F238E27FC236}">
                  <a16:creationId xmlns:a16="http://schemas.microsoft.com/office/drawing/2014/main" xmlns="" id="{00000000-0008-0000-0900-000010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7" name="Step" descr="Add numbers like a champ">
              <a:extLst>
                <a:ext uri="{FF2B5EF4-FFF2-40B4-BE49-F238E27FC236}">
                  <a16:creationId xmlns:a16="http://schemas.microsoft.com/office/drawing/2014/main" xmlns="" id="{00000000-0008-0000-0900-000011000000}"/>
                </a:ext>
              </a:extLst>
            </xdr:cNvPr>
            <xdr:cNvSpPr txBox="1"/>
          </xdr:nvSpPr>
          <xdr:spPr>
            <a:xfrm>
              <a:off x="180180" y="-20700"/>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8"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0900-000012000000}"/>
                </a:ext>
              </a:extLst>
            </xdr:cNvPr>
            <xdr:cNvSpPr/>
          </xdr:nvSpPr>
          <xdr:spPr>
            <a:xfrm>
              <a:off x="4729360" y="4026747"/>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9" name="Top line" descr="Decorative line">
              <a:extLst>
                <a:ext uri="{FF2B5EF4-FFF2-40B4-BE49-F238E27FC236}">
                  <a16:creationId xmlns:a16="http://schemas.microsoft.com/office/drawing/2014/main" xmlns="" id="{00000000-0008-0000-0900-000013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Add numbers introduction" descr="Here are some ways to add up numbers in Excel:">
            <a:extLst>
              <a:ext uri="{FF2B5EF4-FFF2-40B4-BE49-F238E27FC236}">
                <a16:creationId xmlns:a16="http://schemas.microsoft.com/office/drawing/2014/main" xmlns="" id="{00000000-0008-0000-0900-00000F000000}"/>
              </a:ext>
            </a:extLst>
          </xdr:cNvPr>
          <xdr:cNvSpPr txBox="1"/>
        </xdr:nvSpPr>
        <xdr:spPr>
          <a:xfrm>
            <a:off x="563162" y="834594"/>
            <a:ext cx="5309802" cy="3832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421822</xdr:colOff>
      <xdr:row>0</xdr:row>
      <xdr:rowOff>129540</xdr:rowOff>
    </xdr:from>
    <xdr:to>
      <xdr:col>8</xdr:col>
      <xdr:colOff>244929</xdr:colOff>
      <xdr:row>1</xdr:row>
      <xdr:rowOff>403860</xdr:rowOff>
    </xdr:to>
    <xdr:sp macro="" textlink="">
      <xdr:nvSpPr>
        <xdr:cNvPr id="20" name="Step" descr="Add numbers like a champ">
          <a:extLst>
            <a:ext uri="{FF2B5EF4-FFF2-40B4-BE49-F238E27FC236}">
              <a16:creationId xmlns:a16="http://schemas.microsoft.com/office/drawing/2014/main" xmlns="" id="{00000000-0008-0000-0900-000014000000}"/>
            </a:ext>
          </a:extLst>
        </xdr:cNvPr>
        <xdr:cNvSpPr txBox="1"/>
      </xdr:nvSpPr>
      <xdr:spPr>
        <a:xfrm flipH="1">
          <a:off x="9581524071" y="129540"/>
          <a:ext cx="5143500"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جوایز کسب شده</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525237</xdr:colOff>
      <xdr:row>9</xdr:row>
      <xdr:rowOff>135546</xdr:rowOff>
    </xdr:from>
    <xdr:to>
      <xdr:col>0</xdr:col>
      <xdr:colOff>6270474</xdr:colOff>
      <xdr:row>11</xdr:row>
      <xdr:rowOff>159748</xdr:rowOff>
    </xdr:to>
    <xdr:sp macro="" textlink="">
      <xdr:nvSpPr>
        <xdr:cNvPr id="21" name="Step" descr="Type =SUM(D4:D7), and then press enter. When you're done, you'll see the result of 170">
          <a:extLst>
            <a:ext uri="{FF2B5EF4-FFF2-40B4-BE49-F238E27FC236}">
              <a16:creationId xmlns:a16="http://schemas.microsoft.com/office/drawing/2014/main" xmlns="" id="{00000000-0008-0000-0900-000015000000}"/>
            </a:ext>
          </a:extLst>
        </xdr:cNvPr>
        <xdr:cNvSpPr txBox="1"/>
      </xdr:nvSpPr>
      <xdr:spPr>
        <a:xfrm flipH="1">
          <a:off x="9587309526" y="3033867"/>
          <a:ext cx="5745237" cy="51406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r>
            <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rPr>
            <a:t>جمع ضریب اثر بر نظام مدیریتی بایستی 100 باشد.</a:t>
          </a:r>
          <a:endParaRPr lang="fa-IR" sz="1000" b="1" kern="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xdr:from>
      <xdr:col>0</xdr:col>
      <xdr:colOff>21770</xdr:colOff>
      <xdr:row>9</xdr:row>
      <xdr:rowOff>81117</xdr:rowOff>
    </xdr:from>
    <xdr:to>
      <xdr:col>0</xdr:col>
      <xdr:colOff>435380</xdr:colOff>
      <xdr:row>11</xdr:row>
      <xdr:rowOff>8124</xdr:rowOff>
    </xdr:to>
    <xdr:sp macro="" textlink="">
      <xdr:nvSpPr>
        <xdr:cNvPr id="22" name="2" descr="2">
          <a:extLst>
            <a:ext uri="{FF2B5EF4-FFF2-40B4-BE49-F238E27FC236}">
              <a16:creationId xmlns:a16="http://schemas.microsoft.com/office/drawing/2014/main" xmlns="" id="{00000000-0008-0000-0900-000016000000}"/>
            </a:ext>
          </a:extLst>
        </xdr:cNvPr>
        <xdr:cNvSpPr/>
      </xdr:nvSpPr>
      <xdr:spPr>
        <a:xfrm flipH="1">
          <a:off x="9593144620" y="2979438"/>
          <a:ext cx="413610" cy="416865"/>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fa-IR" sz="1400" b="1">
              <a:latin typeface="Segoe UI Semibold" panose="020B0702040204020203" pitchFamily="34" charset="0"/>
              <a:cs typeface="B Nazanin" panose="00000400000000000000" pitchFamily="2" charset="-78"/>
            </a:rPr>
            <a:t>1</a:t>
          </a:r>
          <a:endParaRPr lang="en-US" sz="1400" b="1">
            <a:latin typeface="Segoe UI Semibold" panose="020B0702040204020203" pitchFamily="34" charset="0"/>
            <a:cs typeface="B Nazanin" panose="00000400000000000000" pitchFamily="2" charset="-78"/>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50803</xdr:colOff>
      <xdr:row>0</xdr:row>
      <xdr:rowOff>0</xdr:rowOff>
    </xdr:from>
    <xdr:ext cx="6344556" cy="7856676"/>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B00-000002000000}"/>
            </a:ext>
          </a:extLst>
        </xdr:cNvPr>
        <xdr:cNvGrpSpPr/>
      </xdr:nvGrpSpPr>
      <xdr:grpSpPr>
        <a:xfrm flipH="1">
          <a:off x="9679967666" y="0"/>
          <a:ext cx="6344556" cy="7856676"/>
          <a:chOff x="531807" y="21742"/>
          <a:chExt cx="5586542" cy="4902689"/>
        </a:xfrm>
        <a:solidFill>
          <a:sysClr val="window" lastClr="FFFFFF"/>
        </a:solidFill>
      </xdr:grpSpPr>
      <xdr:grpSp>
        <xdr:nvGrpSpPr>
          <xdr:cNvPr id="3" name="Add numbers instruction">
            <a:extLst>
              <a:ext uri="{FF2B5EF4-FFF2-40B4-BE49-F238E27FC236}">
                <a16:creationId xmlns:a16="http://schemas.microsoft.com/office/drawing/2014/main" xmlns="" id="{00000000-0008-0000-0B00-000003000000}"/>
              </a:ext>
            </a:extLst>
          </xdr:cNvPr>
          <xdr:cNvGrpSpPr/>
        </xdr:nvGrpSpPr>
        <xdr:grpSpPr>
          <a:xfrm>
            <a:off x="531807" y="21742"/>
            <a:ext cx="5586542" cy="4902689"/>
            <a:chOff x="204892" y="-242956"/>
            <a:chExt cx="5577216" cy="4862582"/>
          </a:xfrm>
          <a:grpFill/>
        </xdr:grpSpPr>
        <xdr:sp macro="" textlink="">
          <xdr:nvSpPr>
            <xdr:cNvPr id="6" name="Background" descr="Background">
              <a:extLst>
                <a:ext uri="{FF2B5EF4-FFF2-40B4-BE49-F238E27FC236}">
                  <a16:creationId xmlns:a16="http://schemas.microsoft.com/office/drawing/2014/main" xmlns="" id="{00000000-0008-0000-0B00-000006000000}"/>
                </a:ext>
              </a:extLst>
            </xdr:cNvPr>
            <xdr:cNvSpPr/>
          </xdr:nvSpPr>
          <xdr:spPr>
            <a:xfrm>
              <a:off x="204892" y="72855"/>
              <a:ext cx="5577216" cy="4546771"/>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r>
                <a:rPr lang="fa-IR" sz="1800" b="0" i="0" u="none" strike="noStrike" kern="1200" baseline="0">
                  <a:solidFill>
                    <a:schemeClr val="lt1"/>
                  </a:solidFill>
                  <a:latin typeface="+mn-lt"/>
                  <a:ea typeface="+mn-ea"/>
                  <a:cs typeface="+mn-cs"/>
                </a:rPr>
                <a:t>بهبیاندبهبیاندیگر</a:t>
              </a:r>
            </a:p>
            <a:p>
              <a:r>
                <a:rPr lang="fa-IR" sz="1800" b="0" i="0" u="none" strike="noStrike" kern="1200" baseline="0">
                  <a:solidFill>
                    <a:schemeClr val="lt1"/>
                  </a:solidFill>
                  <a:latin typeface="+mn-lt"/>
                  <a:ea typeface="+mn-ea"/>
                  <a:cs typeface="+mn-cs"/>
                </a:rPr>
                <a:t>منظور از برنامهریزی بلندمدت، تدوین مجموعه فعالیتهایی است مبتنی بر راهبردهای فعال اقتصادی که با اجرای آنها، فعال</a:t>
              </a:r>
            </a:p>
            <a:p>
              <a:r>
                <a:rPr lang="fa-IR" sz="1800" b="0" i="0" u="none" strike="noStrike" kern="1200" baseline="0">
                  <a:solidFill>
                    <a:schemeClr val="lt1"/>
                  </a:solidFill>
                  <a:latin typeface="+mn-lt"/>
                  <a:ea typeface="+mn-ea"/>
                  <a:cs typeface="+mn-cs"/>
                </a:rPr>
                <a:t>اقتصادی انتظار دارد به اهداف خود برسد و بر فعالیتهایی تمرکز مینماید که در زمان حاضر شروعشده و در دورههای آتی</a:t>
              </a:r>
            </a:p>
            <a:p>
              <a:r>
                <a:rPr lang="fa-IR" sz="1800" b="0" i="0" u="none" strike="noStrike" kern="1200" baseline="0">
                  <a:solidFill>
                    <a:schemeClr val="lt1"/>
                  </a:solidFill>
                  <a:latin typeface="+mn-lt"/>
                  <a:ea typeface="+mn-ea"/>
                  <a:cs typeface="+mn-cs"/>
                </a:rPr>
                <a:t>بلندمدت خاتمه مییابند.</a:t>
              </a:r>
            </a:p>
            <a:p>
              <a:r>
                <a:rPr lang="fa-IR" sz="1800" b="0" i="0" u="none" strike="noStrike" kern="1200" baseline="0">
                  <a:solidFill>
                    <a:schemeClr val="lt1"/>
                  </a:solidFill>
                  <a:latin typeface="+mn-lt"/>
                  <a:ea typeface="+mn-ea"/>
                  <a:cs typeface="+mn-cs"/>
                </a:rPr>
                <a:t>منظور از برنامهریزی بلندمدت، تدوین مجموعه فعالیتهایی است مبتنی بر راهبردهای فعال اقتصادی که با اجرای آنها، فعال</a:t>
              </a:r>
            </a:p>
            <a:p>
              <a:r>
                <a:rPr lang="fa-IR" sz="1800" b="0" i="0" u="none" strike="noStrike" kern="1200" baseline="0">
                  <a:solidFill>
                    <a:schemeClr val="lt1"/>
                  </a:solidFill>
                  <a:latin typeface="+mn-lt"/>
                  <a:ea typeface="+mn-ea"/>
                  <a:cs typeface="+mn-cs"/>
                </a:rPr>
                <a:t>اقتصادی انتظار دارد به اهداف خود برسد و بر فعالیتهایی تمرکز مینماید که در زمان حاضر شروعشده و در دورههای آتی</a:t>
              </a:r>
            </a:p>
            <a:p>
              <a:r>
                <a:rPr lang="fa-IR" sz="1800" b="0" i="0" u="none" strike="noStrike" kern="1200" baseline="0">
                  <a:solidFill>
                    <a:schemeClr val="lt1"/>
                  </a:solidFill>
                  <a:latin typeface="+mn-lt"/>
                  <a:ea typeface="+mn-ea"/>
                  <a:cs typeface="+mn-cs"/>
                </a:rPr>
                <a:t>بلندمدت</a:t>
              </a:r>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0B00-000007000000}"/>
                </a:ext>
              </a:extLst>
            </xdr:cNvPr>
            <xdr:cNvSpPr txBox="1"/>
          </xdr:nvSpPr>
          <xdr:spPr>
            <a:xfrm>
              <a:off x="272727" y="-242956"/>
              <a:ext cx="5216551" cy="21975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برنامه ریزی بلند مدت</a:t>
              </a:r>
            </a:p>
          </xdr:txBody>
        </xdr:sp>
        <xdr:cxnSp macro="">
          <xdr:nvCxnSpPr>
            <xdr:cNvPr id="8" name="Bottom line" descr="Decorative line">
              <a:extLst>
                <a:ext uri="{FF2B5EF4-FFF2-40B4-BE49-F238E27FC236}">
                  <a16:creationId xmlns:a16="http://schemas.microsoft.com/office/drawing/2014/main" xmlns="" id="{00000000-0008-0000-0B00-000008000000}"/>
                </a:ext>
              </a:extLst>
            </xdr:cNvPr>
            <xdr:cNvCxnSpPr>
              <a:cxnSpLocks/>
            </xdr:cNvCxnSpPr>
          </xdr:nvCxnSpPr>
          <xdr:spPr>
            <a:xfrm>
              <a:off x="282773" y="1645775"/>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0B00-000009000000}"/>
                </a:ext>
              </a:extLst>
            </xdr:cNvPr>
            <xdr:cNvCxnSpPr>
              <a:cxnSpLocks/>
            </xdr:cNvCxnSpPr>
          </xdr:nvCxnSpPr>
          <xdr:spPr>
            <a:xfrm>
              <a:off x="244985" y="228467"/>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Step" descr="Here's another way to add, using a shortcut key. Select the yellow cell under the amounts for meat">
            <a:extLst>
              <a:ext uri="{FF2B5EF4-FFF2-40B4-BE49-F238E27FC236}">
                <a16:creationId xmlns:a16="http://schemas.microsoft.com/office/drawing/2014/main" xmlns="" id="{00000000-0008-0000-0B00-000004000000}"/>
              </a:ext>
            </a:extLst>
          </xdr:cNvPr>
          <xdr:cNvSpPr txBox="1"/>
        </xdr:nvSpPr>
        <xdr:spPr>
          <a:xfrm>
            <a:off x="981632" y="2279092"/>
            <a:ext cx="5002885" cy="42999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sp macro="" textlink="">
        <xdr:nvSpPr>
          <xdr:cNvPr id="5" name="Add numbers introduction" descr="Here are some ways to add up numbers in Excel:">
            <a:extLst>
              <a:ext uri="{FF2B5EF4-FFF2-40B4-BE49-F238E27FC236}">
                <a16:creationId xmlns:a16="http://schemas.microsoft.com/office/drawing/2014/main" xmlns="" id="{00000000-0008-0000-0B00-000005000000}"/>
              </a:ext>
            </a:extLst>
          </xdr:cNvPr>
          <xdr:cNvSpPr txBox="1"/>
        </xdr:nvSpPr>
        <xdr:spPr>
          <a:xfrm>
            <a:off x="600263" y="528787"/>
            <a:ext cx="5309802" cy="94471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r" defTabSz="914400" rtl="1" eaLnBrk="1" latinLnBrk="0" hangingPunct="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منظور از برنامه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ریزی بلندمدت، تدوین مجموعه فعالیت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هایی است مبتنی بر راهبردهای فعال اقتصادی که با اجرای آنها، فعال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اقتصادی انتظار دارد به اهداف خود برسد و بر فعالیت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هایی تمرکز مینماید که در زمان حاضر شروع</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شده و در دوره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آتی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بلندمدت خاتمه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یابند.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یک برنامۀ بلندمدت مناسب باید حاوی بیانیه چشم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انداز، تعریف مأموریت، تعیین ارزش</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سازمانی، تعریف اهداف بلندمدت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متناسب با توان اجرایی سازمان، تحلیل نقاط ضعف و قوت، تحلیل تهدیدها و فرصت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 تعریف مناسب راهبردها با توجه به تحلیل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نقاط ضعف و قوت و تهدیدها و فرصتها، تعریف مناسب خط</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مشی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 و اهداف کوتاهمدت در راستای اهداف بلندمدت، تعریف</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اهداف بخشی در راستای اهداف کوتاه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مدت و بلندمدت، تدوین برنامۀ عملیاتی در راستای اجرای اهداف کوتاهمدت و بخشی و</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تدوین بودجه در راستای اجرای برنامه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عملیاتی، باشد.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oneCellAnchor>
  <xdr:oneCellAnchor>
    <xdr:from>
      <xdr:col>0</xdr:col>
      <xdr:colOff>5</xdr:colOff>
      <xdr:row>23</xdr:row>
      <xdr:rowOff>67607</xdr:rowOff>
    </xdr:from>
    <xdr:ext cx="6449782" cy="4504394"/>
    <xdr:grpSp>
      <xdr:nvGrpSpPr>
        <xdr:cNvPr id="10"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B00-00000A000000}"/>
            </a:ext>
          </a:extLst>
        </xdr:cNvPr>
        <xdr:cNvGrpSpPr/>
      </xdr:nvGrpSpPr>
      <xdr:grpSpPr>
        <a:xfrm flipH="1">
          <a:off x="9679913238" y="6592232"/>
          <a:ext cx="6449782" cy="4504394"/>
          <a:chOff x="326572" y="125036"/>
          <a:chExt cx="5705476" cy="4806274"/>
        </a:xfrm>
        <a:solidFill>
          <a:sysClr val="window" lastClr="FFFFFF"/>
        </a:solidFill>
      </xdr:grpSpPr>
      <xdr:grpSp>
        <xdr:nvGrpSpPr>
          <xdr:cNvPr id="11" name="Add numbers instruction">
            <a:extLst>
              <a:ext uri="{FF2B5EF4-FFF2-40B4-BE49-F238E27FC236}">
                <a16:creationId xmlns:a16="http://schemas.microsoft.com/office/drawing/2014/main" xmlns="" id="{00000000-0008-0000-0B00-00000B000000}"/>
              </a:ext>
            </a:extLst>
          </xdr:cNvPr>
          <xdr:cNvGrpSpPr/>
        </xdr:nvGrpSpPr>
        <xdr:grpSpPr>
          <a:xfrm>
            <a:off x="326572" y="125036"/>
            <a:ext cx="5705476" cy="4806274"/>
            <a:chOff x="0" y="-140507"/>
            <a:chExt cx="5695950" cy="4766956"/>
          </a:xfrm>
          <a:grpFill/>
        </xdr:grpSpPr>
        <xdr:sp macro="" textlink="">
          <xdr:nvSpPr>
            <xdr:cNvPr id="13" name="Background" descr="Background">
              <a:extLst>
                <a:ext uri="{FF2B5EF4-FFF2-40B4-BE49-F238E27FC236}">
                  <a16:creationId xmlns:a16="http://schemas.microsoft.com/office/drawing/2014/main" xmlns="" id="{00000000-0008-0000-0B00-00000D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4" name="Step" descr="Add numbers like a champ">
              <a:extLst>
                <a:ext uri="{FF2B5EF4-FFF2-40B4-BE49-F238E27FC236}">
                  <a16:creationId xmlns:a16="http://schemas.microsoft.com/office/drawing/2014/main" xmlns="" id="{00000000-0008-0000-0B00-00000E000000}"/>
                </a:ext>
              </a:extLst>
            </xdr:cNvPr>
            <xdr:cNvSpPr txBox="1"/>
          </xdr:nvSpPr>
          <xdr:spPr>
            <a:xfrm>
              <a:off x="135614" y="-140507"/>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5"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0B00-00000F000000}"/>
                </a:ext>
              </a:extLst>
            </xdr:cNvPr>
            <xdr:cNvSpPr/>
          </xdr:nvSpPr>
          <xdr:spPr>
            <a:xfrm>
              <a:off x="4423999" y="4165089"/>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6" name="Top line" descr="Decorative line">
              <a:extLst>
                <a:ext uri="{FF2B5EF4-FFF2-40B4-BE49-F238E27FC236}">
                  <a16:creationId xmlns:a16="http://schemas.microsoft.com/office/drawing/2014/main" xmlns="" id="{00000000-0008-0000-0B00-000010000000}"/>
                </a:ext>
              </a:extLst>
            </xdr:cNvPr>
            <xdr:cNvCxnSpPr>
              <a:cxnSpLocks/>
            </xdr:cNvCxnSpPr>
          </xdr:nvCxnSpPr>
          <xdr:spPr>
            <a:xfrm flipV="1">
              <a:off x="76467" y="467991"/>
              <a:ext cx="5325045" cy="2336"/>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2" name="Add numbers introduction" descr="Here are some ways to add up numbers in Excel:">
            <a:extLst>
              <a:ext uri="{FF2B5EF4-FFF2-40B4-BE49-F238E27FC236}">
                <a16:creationId xmlns:a16="http://schemas.microsoft.com/office/drawing/2014/main" xmlns="" id="{00000000-0008-0000-0B00-00000C000000}"/>
              </a:ext>
            </a:extLst>
          </xdr:cNvPr>
          <xdr:cNvSpPr txBox="1"/>
        </xdr:nvSpPr>
        <xdr:spPr>
          <a:xfrm>
            <a:off x="563160" y="834594"/>
            <a:ext cx="5309802" cy="338120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oneCellAnchor>
  <xdr:twoCellAnchor>
    <xdr:from>
      <xdr:col>8</xdr:col>
      <xdr:colOff>452362</xdr:colOff>
      <xdr:row>29</xdr:row>
      <xdr:rowOff>12679</xdr:rowOff>
    </xdr:from>
    <xdr:to>
      <xdr:col>14</xdr:col>
      <xdr:colOff>513441</xdr:colOff>
      <xdr:row>31</xdr:row>
      <xdr:rowOff>286999</xdr:rowOff>
    </xdr:to>
    <xdr:sp macro="" textlink="">
      <xdr:nvSpPr>
        <xdr:cNvPr id="17" name="Step" descr="Add numbers like a champ">
          <a:extLst>
            <a:ext uri="{FF2B5EF4-FFF2-40B4-BE49-F238E27FC236}">
              <a16:creationId xmlns:a16="http://schemas.microsoft.com/office/drawing/2014/main" xmlns="" id="{00000000-0008-0000-0B00-000011000000}"/>
            </a:ext>
          </a:extLst>
        </xdr:cNvPr>
        <xdr:cNvSpPr txBox="1"/>
      </xdr:nvSpPr>
      <xdr:spPr>
        <a:xfrm flipH="1">
          <a:off x="9666790059" y="7813654"/>
          <a:ext cx="5966579"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(نظام مدیریتی)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برنامه ریزی بلند مدت</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104778</xdr:colOff>
      <xdr:row>0</xdr:row>
      <xdr:rowOff>0</xdr:rowOff>
    </xdr:from>
    <xdr:to>
      <xdr:col>0</xdr:col>
      <xdr:colOff>6321881</xdr:colOff>
      <xdr:row>19</xdr:row>
      <xdr:rowOff>188165</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C00-000002000000}"/>
            </a:ext>
          </a:extLst>
        </xdr:cNvPr>
        <xdr:cNvGrpSpPr/>
      </xdr:nvGrpSpPr>
      <xdr:grpSpPr>
        <a:xfrm flipH="1">
          <a:off x="9730065884" y="0"/>
          <a:ext cx="6217103" cy="6138489"/>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0C00-000003000000}"/>
              </a:ext>
            </a:extLst>
          </xdr:cNvPr>
          <xdr:cNvGrpSpPr/>
        </xdr:nvGrpSpPr>
        <xdr:grpSpPr>
          <a:xfrm>
            <a:off x="531805" y="21742"/>
            <a:ext cx="5705475" cy="4902688"/>
            <a:chOff x="204890" y="-242956"/>
            <a:chExt cx="5695950" cy="4862581"/>
          </a:xfrm>
          <a:grpFill/>
        </xdr:grpSpPr>
        <xdr:sp macro="" textlink="">
          <xdr:nvSpPr>
            <xdr:cNvPr id="13" name="Background" descr="Background">
              <a:extLst>
                <a:ext uri="{FF2B5EF4-FFF2-40B4-BE49-F238E27FC236}">
                  <a16:creationId xmlns:a16="http://schemas.microsoft.com/office/drawing/2014/main" xmlns="" id="{00000000-0008-0000-0C00-00000D000000}"/>
                </a:ext>
              </a:extLst>
            </xdr:cNvPr>
            <xdr:cNvSpPr/>
          </xdr:nvSpPr>
          <xdr:spPr>
            <a:xfrm>
              <a:off x="204890" y="0"/>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4" name="Step" descr="Add numbers like a champ">
              <a:extLst>
                <a:ext uri="{FF2B5EF4-FFF2-40B4-BE49-F238E27FC236}">
                  <a16:creationId xmlns:a16="http://schemas.microsoft.com/office/drawing/2014/main" xmlns="" id="{00000000-0008-0000-0C00-00000E000000}"/>
                </a:ext>
              </a:extLst>
            </xdr:cNvPr>
            <xdr:cNvSpPr txBox="1"/>
          </xdr:nvSpPr>
          <xdr:spPr>
            <a:xfrm>
              <a:off x="272727" y="-242956"/>
              <a:ext cx="5216551" cy="70014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(برنامه ریزی راهبردی)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مدیریت زنجیره ارزش</a:t>
              </a:r>
            </a:p>
          </xdr:txBody>
        </xdr:sp>
        <xdr:cxnSp macro="">
          <xdr:nvCxnSpPr>
            <xdr:cNvPr id="15" name="Bottom line" descr="Decorative line">
              <a:extLst>
                <a:ext uri="{FF2B5EF4-FFF2-40B4-BE49-F238E27FC236}">
                  <a16:creationId xmlns:a16="http://schemas.microsoft.com/office/drawing/2014/main" xmlns="" id="{00000000-0008-0000-0C00-00000F000000}"/>
                </a:ext>
              </a:extLst>
            </xdr:cNvPr>
            <xdr:cNvCxnSpPr>
              <a:cxnSpLocks/>
            </xdr:cNvCxnSpPr>
          </xdr:nvCxnSpPr>
          <xdr:spPr>
            <a:xfrm>
              <a:off x="262160" y="162824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6" name="Top line" descr="Decorative line">
              <a:extLst>
                <a:ext uri="{FF2B5EF4-FFF2-40B4-BE49-F238E27FC236}">
                  <a16:creationId xmlns:a16="http://schemas.microsoft.com/office/drawing/2014/main" xmlns="" id="{00000000-0008-0000-0C00-000010000000}"/>
                </a:ext>
              </a:extLst>
            </xdr:cNvPr>
            <xdr:cNvCxnSpPr>
              <a:cxnSpLocks/>
            </xdr:cNvCxnSpPr>
          </xdr:nvCxnSpPr>
          <xdr:spPr>
            <a:xfrm>
              <a:off x="277188" y="405439"/>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8" name="Add numbers introduction" descr="Here are some ways to add up numbers in Excel:">
            <a:extLst>
              <a:ext uri="{FF2B5EF4-FFF2-40B4-BE49-F238E27FC236}">
                <a16:creationId xmlns:a16="http://schemas.microsoft.com/office/drawing/2014/main" xmlns="" id="{00000000-0008-0000-0C00-000008000000}"/>
              </a:ext>
            </a:extLst>
          </xdr:cNvPr>
          <xdr:cNvSpPr txBox="1"/>
        </xdr:nvSpPr>
        <xdr:spPr>
          <a:xfrm>
            <a:off x="661783" y="792113"/>
            <a:ext cx="5309802" cy="8749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زنجیرۀ ارزش، تمام فعالیت هایی است که برای تولید یک محصول یا خدمت باارزش و ارائه آن به بازار، صورت می گیرد.</a:t>
            </a: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این فعالیت ها را به فعالیت های اصلی و پشتیبان تقسیم می شود. فعالیت های اصلی عبارت از لجستیک درونی، فرآیندهای تولیدی، لجستیک بیرونی، بازاریابی و فروش و خدمات پس از فروش هستند. فعالیت های پشتیبان شامل: تدارکات، مدیریت منابع انسانی، توسعۀ تکنولوژی و زیرساخت ها است.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editAs="oneCell">
    <xdr:from>
      <xdr:col>0</xdr:col>
      <xdr:colOff>170377</xdr:colOff>
      <xdr:row>6</xdr:row>
      <xdr:rowOff>174836</xdr:rowOff>
    </xdr:from>
    <xdr:to>
      <xdr:col>0</xdr:col>
      <xdr:colOff>5884333</xdr:colOff>
      <xdr:row>30</xdr:row>
      <xdr:rowOff>47880</xdr:rowOff>
    </xdr:to>
    <xdr:grpSp>
      <xdr:nvGrpSpPr>
        <xdr:cNvPr id="1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C00-000013000000}"/>
            </a:ext>
          </a:extLst>
        </xdr:cNvPr>
        <xdr:cNvGrpSpPr/>
      </xdr:nvGrpSpPr>
      <xdr:grpSpPr>
        <a:xfrm flipH="1">
          <a:off x="9730503432" y="2449630"/>
          <a:ext cx="5713956" cy="5868191"/>
          <a:chOff x="282896" y="273582"/>
          <a:chExt cx="6044274" cy="4657728"/>
        </a:xfrm>
        <a:solidFill>
          <a:sysClr val="window" lastClr="FFFFFF"/>
        </a:solidFill>
      </xdr:grpSpPr>
      <xdr:grpSp>
        <xdr:nvGrpSpPr>
          <xdr:cNvPr id="20" name="Add numbers instruction">
            <a:extLst>
              <a:ext uri="{FF2B5EF4-FFF2-40B4-BE49-F238E27FC236}">
                <a16:creationId xmlns:a16="http://schemas.microsoft.com/office/drawing/2014/main" xmlns="" id="{00000000-0008-0000-0C00-000014000000}"/>
              </a:ext>
            </a:extLst>
          </xdr:cNvPr>
          <xdr:cNvGrpSpPr/>
        </xdr:nvGrpSpPr>
        <xdr:grpSpPr>
          <a:xfrm>
            <a:off x="282896" y="273582"/>
            <a:ext cx="6044274" cy="4657728"/>
            <a:chOff x="-43603" y="6824"/>
            <a:chExt cx="6034182" cy="4619625"/>
          </a:xfrm>
          <a:grpFill/>
        </xdr:grpSpPr>
        <xdr:sp macro="" textlink="">
          <xdr:nvSpPr>
            <xdr:cNvPr id="22" name="Background" descr="Background">
              <a:extLst>
                <a:ext uri="{FF2B5EF4-FFF2-40B4-BE49-F238E27FC236}">
                  <a16:creationId xmlns:a16="http://schemas.microsoft.com/office/drawing/2014/main" xmlns="" id="{00000000-0008-0000-0C00-000016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23" name="Step" descr="Add numbers like a champ">
              <a:extLst>
                <a:ext uri="{FF2B5EF4-FFF2-40B4-BE49-F238E27FC236}">
                  <a16:creationId xmlns:a16="http://schemas.microsoft.com/office/drawing/2014/main" xmlns="" id="{00000000-0008-0000-0C00-000017000000}"/>
                </a:ext>
              </a:extLst>
            </xdr:cNvPr>
            <xdr:cNvSpPr txBox="1"/>
          </xdr:nvSpPr>
          <xdr:spPr>
            <a:xfrm>
              <a:off x="231748" y="118698"/>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2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0C00-000018000000}"/>
                </a:ext>
              </a:extLst>
            </xdr:cNvPr>
            <xdr:cNvSpPr/>
          </xdr:nvSpPr>
          <xdr:spPr>
            <a:xfrm>
              <a:off x="4729360" y="4026747"/>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25" name="Top line" descr="Decorative line">
              <a:extLst>
                <a:ext uri="{FF2B5EF4-FFF2-40B4-BE49-F238E27FC236}">
                  <a16:creationId xmlns:a16="http://schemas.microsoft.com/office/drawing/2014/main" xmlns="" id="{00000000-0008-0000-0C00-000019000000}"/>
                </a:ext>
              </a:extLst>
            </xdr:cNvPr>
            <xdr:cNvCxnSpPr>
              <a:cxnSpLocks/>
            </xdr:cNvCxnSpPr>
          </xdr:nvCxnSpPr>
          <xdr:spPr>
            <a:xfrm>
              <a:off x="-43603" y="504200"/>
              <a:ext cx="6034182"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1" name="Add numbers introduction" descr="Here are some ways to add up numbers in Excel:">
            <a:extLst>
              <a:ext uri="{FF2B5EF4-FFF2-40B4-BE49-F238E27FC236}">
                <a16:creationId xmlns:a16="http://schemas.microsoft.com/office/drawing/2014/main" xmlns="" id="{00000000-0008-0000-0C00-000015000000}"/>
              </a:ext>
            </a:extLst>
          </xdr:cNvPr>
          <xdr:cNvSpPr txBox="1"/>
        </xdr:nvSpPr>
        <xdr:spPr>
          <a:xfrm>
            <a:off x="299706" y="834594"/>
            <a:ext cx="6027464" cy="338120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110916</xdr:colOff>
      <xdr:row>0</xdr:row>
      <xdr:rowOff>53340</xdr:rowOff>
    </xdr:from>
    <xdr:to>
      <xdr:col>10</xdr:col>
      <xdr:colOff>299094</xdr:colOff>
      <xdr:row>1</xdr:row>
      <xdr:rowOff>327660</xdr:rowOff>
    </xdr:to>
    <xdr:sp macro="" textlink="">
      <xdr:nvSpPr>
        <xdr:cNvPr id="26" name="Step" descr="Add numbers like a champ">
          <a:extLst>
            <a:ext uri="{FF2B5EF4-FFF2-40B4-BE49-F238E27FC236}">
              <a16:creationId xmlns:a16="http://schemas.microsoft.com/office/drawing/2014/main" xmlns="" id="{00000000-0008-0000-0C00-00001A000000}"/>
            </a:ext>
          </a:extLst>
        </xdr:cNvPr>
        <xdr:cNvSpPr txBox="1"/>
      </xdr:nvSpPr>
      <xdr:spPr>
        <a:xfrm flipH="1">
          <a:off x="9981138906" y="53340"/>
          <a:ext cx="5505245"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مدیریت و راهبردی (برنامه ریزی راهبردی)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زنجیره ارزش</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6470432</xdr:colOff>
      <xdr:row>26</xdr:row>
      <xdr:rowOff>76638</xdr:rowOff>
    </xdr:from>
    <xdr:to>
      <xdr:col>13</xdr:col>
      <xdr:colOff>700691</xdr:colOff>
      <xdr:row>51</xdr:row>
      <xdr:rowOff>120431</xdr:rowOff>
    </xdr:to>
    <xdr:pic>
      <xdr:nvPicPr>
        <xdr:cNvPr id="4" name="Picture 3"/>
        <xdr:cNvPicPr>
          <a:picLocks noChangeAspect="1"/>
        </xdr:cNvPicPr>
      </xdr:nvPicPr>
      <xdr:blipFill rotWithShape="1">
        <a:blip xmlns:r="http://schemas.openxmlformats.org/officeDocument/2006/relationships" r:embed="rId2"/>
        <a:srcRect l="20136" t="17213" r="22386" b="16327"/>
        <a:stretch/>
      </xdr:blipFill>
      <xdr:spPr>
        <a:xfrm>
          <a:off x="9677969309" y="7609052"/>
          <a:ext cx="7477673" cy="4861034"/>
        </a:xfrm>
        <a:prstGeom prst="rect">
          <a:avLst/>
        </a:prstGeom>
      </xdr:spPr>
    </xdr:pic>
    <xdr:clientData/>
  </xdr:twoCellAnchor>
  <xdr:twoCellAnchor editAs="oneCell">
    <xdr:from>
      <xdr:col>0</xdr:col>
      <xdr:colOff>1299882</xdr:colOff>
      <xdr:row>52</xdr:row>
      <xdr:rowOff>87325</xdr:rowOff>
    </xdr:from>
    <xdr:to>
      <xdr:col>9</xdr:col>
      <xdr:colOff>454031</xdr:colOff>
      <xdr:row>77</xdr:row>
      <xdr:rowOff>64656</xdr:rowOff>
    </xdr:to>
    <xdr:pic>
      <xdr:nvPicPr>
        <xdr:cNvPr id="6" name="Picture 5"/>
        <xdr:cNvPicPr>
          <a:picLocks noChangeAspect="1"/>
        </xdr:cNvPicPr>
      </xdr:nvPicPr>
      <xdr:blipFill rotWithShape="1">
        <a:blip xmlns:r="http://schemas.openxmlformats.org/officeDocument/2006/relationships" r:embed="rId3"/>
        <a:srcRect l="7933" t="11676" r="13549" b="24859"/>
        <a:stretch/>
      </xdr:blipFill>
      <xdr:spPr>
        <a:xfrm>
          <a:off x="9724862322" y="12705149"/>
          <a:ext cx="10225561" cy="4739831"/>
        </a:xfrm>
        <a:prstGeom prst="rect">
          <a:avLst/>
        </a:prstGeom>
      </xdr:spPr>
    </xdr:pic>
    <xdr:clientData/>
  </xdr:twoCellAnchor>
  <xdr:twoCellAnchor editAs="oneCell">
    <xdr:from>
      <xdr:col>9</xdr:col>
      <xdr:colOff>560293</xdr:colOff>
      <xdr:row>52</xdr:row>
      <xdr:rowOff>78441</xdr:rowOff>
    </xdr:from>
    <xdr:to>
      <xdr:col>25</xdr:col>
      <xdr:colOff>280146</xdr:colOff>
      <xdr:row>76</xdr:row>
      <xdr:rowOff>78441</xdr:rowOff>
    </xdr:to>
    <xdr:pic>
      <xdr:nvPicPr>
        <xdr:cNvPr id="7" name="Picture 6"/>
        <xdr:cNvPicPr>
          <a:picLocks noChangeAspect="1"/>
        </xdr:cNvPicPr>
      </xdr:nvPicPr>
      <xdr:blipFill rotWithShape="1">
        <a:blip xmlns:r="http://schemas.openxmlformats.org/officeDocument/2006/relationships" r:embed="rId4"/>
        <a:srcRect l="11269" t="22184" r="17948" b="16734"/>
        <a:stretch/>
      </xdr:blipFill>
      <xdr:spPr>
        <a:xfrm>
          <a:off x="9715522413" y="12696265"/>
          <a:ext cx="9233647" cy="4572000"/>
        </a:xfrm>
        <a:prstGeom prst="rect">
          <a:avLst/>
        </a:prstGeom>
      </xdr:spPr>
    </xdr:pic>
    <xdr:clientData/>
  </xdr:twoCellAnchor>
  <xdr:twoCellAnchor editAs="oneCell">
    <xdr:from>
      <xdr:col>14</xdr:col>
      <xdr:colOff>190501</xdr:colOff>
      <xdr:row>23</xdr:row>
      <xdr:rowOff>156881</xdr:rowOff>
    </xdr:from>
    <xdr:to>
      <xdr:col>23</xdr:col>
      <xdr:colOff>291353</xdr:colOff>
      <xdr:row>51</xdr:row>
      <xdr:rowOff>123263</xdr:rowOff>
    </xdr:to>
    <xdr:pic>
      <xdr:nvPicPr>
        <xdr:cNvPr id="9" name="Picture 8"/>
        <xdr:cNvPicPr>
          <a:picLocks noChangeAspect="1"/>
        </xdr:cNvPicPr>
      </xdr:nvPicPr>
      <xdr:blipFill rotWithShape="1">
        <a:blip xmlns:r="http://schemas.openxmlformats.org/officeDocument/2006/relationships" r:embed="rId5"/>
        <a:srcRect l="25751" t="7048" r="32387" b="18341"/>
        <a:stretch/>
      </xdr:blipFill>
      <xdr:spPr>
        <a:xfrm>
          <a:off x="9716699030" y="7093322"/>
          <a:ext cx="5446058" cy="54572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763082</xdr:colOff>
      <xdr:row>1</xdr:row>
      <xdr:rowOff>59530</xdr:rowOff>
    </xdr:from>
    <xdr:to>
      <xdr:col>12</xdr:col>
      <xdr:colOff>357188</xdr:colOff>
      <xdr:row>19</xdr:row>
      <xdr:rowOff>226218</xdr:rowOff>
    </xdr:to>
    <xdr:pic>
      <xdr:nvPicPr>
        <xdr:cNvPr id="3" name="Picture 2"/>
        <xdr:cNvPicPr>
          <a:picLocks noChangeAspect="1"/>
        </xdr:cNvPicPr>
      </xdr:nvPicPr>
      <xdr:blipFill rotWithShape="1">
        <a:blip xmlns:r="http://schemas.openxmlformats.org/officeDocument/2006/relationships" r:embed="rId1"/>
        <a:srcRect l="52291" t="17238" b="7239"/>
        <a:stretch/>
      </xdr:blipFill>
      <xdr:spPr>
        <a:xfrm>
          <a:off x="11305817812" y="321468"/>
          <a:ext cx="6202075" cy="559593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6484408</xdr:colOff>
      <xdr:row>23</xdr:row>
      <xdr:rowOff>3174</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E00-000002000000}"/>
            </a:ext>
          </a:extLst>
        </xdr:cNvPr>
        <xdr:cNvGrpSpPr/>
      </xdr:nvGrpSpPr>
      <xdr:grpSpPr>
        <a:xfrm flipH="1">
          <a:off x="9635896722" y="0"/>
          <a:ext cx="6484408" cy="7076522"/>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0E00-000003000000}"/>
              </a:ext>
            </a:extLst>
          </xdr:cNvPr>
          <xdr:cNvGrpSpPr/>
        </xdr:nvGrpSpPr>
        <xdr:grpSpPr>
          <a:xfrm>
            <a:off x="531805" y="21742"/>
            <a:ext cx="5705475" cy="4902688"/>
            <a:chOff x="204890" y="-242956"/>
            <a:chExt cx="5695950" cy="4862581"/>
          </a:xfrm>
          <a:grpFill/>
        </xdr:grpSpPr>
        <xdr:sp macro="" textlink="">
          <xdr:nvSpPr>
            <xdr:cNvPr id="13" name="Background" descr="Background">
              <a:extLst>
                <a:ext uri="{FF2B5EF4-FFF2-40B4-BE49-F238E27FC236}">
                  <a16:creationId xmlns:a16="http://schemas.microsoft.com/office/drawing/2014/main" xmlns="" id="{00000000-0008-0000-0E00-00000D000000}"/>
                </a:ext>
              </a:extLst>
            </xdr:cNvPr>
            <xdr:cNvSpPr/>
          </xdr:nvSpPr>
          <xdr:spPr>
            <a:xfrm>
              <a:off x="204890" y="353505"/>
              <a:ext cx="5695950" cy="426612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4" name="Step" descr="Add numbers like a champ">
              <a:extLst>
                <a:ext uri="{FF2B5EF4-FFF2-40B4-BE49-F238E27FC236}">
                  <a16:creationId xmlns:a16="http://schemas.microsoft.com/office/drawing/2014/main" xmlns="" id="{00000000-0008-0000-0E00-00000E000000}"/>
                </a:ext>
              </a:extLst>
            </xdr:cNvPr>
            <xdr:cNvSpPr txBox="1"/>
          </xdr:nvSpPr>
          <xdr:spPr>
            <a:xfrm>
              <a:off x="272731" y="-242956"/>
              <a:ext cx="5216551" cy="47148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تولید)</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تولید</a:t>
              </a:r>
            </a:p>
          </xdr:txBody>
        </xdr:sp>
        <xdr:cxnSp macro="">
          <xdr:nvCxnSpPr>
            <xdr:cNvPr id="15" name="Bottom line" descr="Decorative line">
              <a:extLst>
                <a:ext uri="{FF2B5EF4-FFF2-40B4-BE49-F238E27FC236}">
                  <a16:creationId xmlns:a16="http://schemas.microsoft.com/office/drawing/2014/main" xmlns="" id="{00000000-0008-0000-0E00-00000F000000}"/>
                </a:ext>
              </a:extLst>
            </xdr:cNvPr>
            <xdr:cNvCxnSpPr>
              <a:cxnSpLocks/>
            </xdr:cNvCxnSpPr>
          </xdr:nvCxnSpPr>
          <xdr:spPr>
            <a:xfrm>
              <a:off x="360689" y="324806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6" name="Top line" descr="Decorative line">
              <a:extLst>
                <a:ext uri="{FF2B5EF4-FFF2-40B4-BE49-F238E27FC236}">
                  <a16:creationId xmlns:a16="http://schemas.microsoft.com/office/drawing/2014/main" xmlns="" id="{00000000-0008-0000-0E00-000010000000}"/>
                </a:ext>
              </a:extLst>
            </xdr:cNvPr>
            <xdr:cNvCxnSpPr>
              <a:cxnSpLocks/>
            </xdr:cNvCxnSpPr>
          </xdr:nvCxnSpPr>
          <xdr:spPr>
            <a:xfrm>
              <a:off x="381552" y="303696"/>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8" name="Add numbers introduction" descr="Here are some ways to add up numbers in Excel:">
            <a:extLst>
              <a:ext uri="{FF2B5EF4-FFF2-40B4-BE49-F238E27FC236}">
                <a16:creationId xmlns:a16="http://schemas.microsoft.com/office/drawing/2014/main" xmlns="" id="{00000000-0008-0000-0E00-000008000000}"/>
              </a:ext>
            </a:extLst>
          </xdr:cNvPr>
          <xdr:cNvSpPr txBox="1"/>
        </xdr:nvSpPr>
        <xdr:spPr>
          <a:xfrm>
            <a:off x="746230" y="622200"/>
            <a:ext cx="5309802" cy="4361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معیارهای ارزیابی وضعیت تولید بر اساس دستورالعمل، مشتمل بر عوامل میزان تولید، راندمان تولید (نسبت تولید به ظرفیت عملی)، تنوع تولید، سهم دانش در تولید و ترکیب ارزش افزوده است.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editAs="oneCell">
    <xdr:from>
      <xdr:col>0</xdr:col>
      <xdr:colOff>0</xdr:colOff>
      <xdr:row>17</xdr:row>
      <xdr:rowOff>117227</xdr:rowOff>
    </xdr:from>
    <xdr:to>
      <xdr:col>1</xdr:col>
      <xdr:colOff>1058</xdr:colOff>
      <xdr:row>27</xdr:row>
      <xdr:rowOff>152400</xdr:rowOff>
    </xdr:to>
    <xdr:grpSp>
      <xdr:nvGrpSpPr>
        <xdr:cNvPr id="1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0E00-000013000000}"/>
            </a:ext>
          </a:extLst>
        </xdr:cNvPr>
        <xdr:cNvGrpSpPr/>
      </xdr:nvGrpSpPr>
      <xdr:grpSpPr>
        <a:xfrm flipH="1">
          <a:off x="9635894789" y="5326988"/>
          <a:ext cx="6486341" cy="3008629"/>
          <a:chOff x="326571" y="-171745"/>
          <a:chExt cx="5705477" cy="5103055"/>
        </a:xfrm>
        <a:solidFill>
          <a:sysClr val="window" lastClr="FFFFFF"/>
        </a:solidFill>
      </xdr:grpSpPr>
      <xdr:grpSp>
        <xdr:nvGrpSpPr>
          <xdr:cNvPr id="20" name="Add numbers instruction">
            <a:extLst>
              <a:ext uri="{FF2B5EF4-FFF2-40B4-BE49-F238E27FC236}">
                <a16:creationId xmlns:a16="http://schemas.microsoft.com/office/drawing/2014/main" xmlns="" id="{00000000-0008-0000-0E00-000014000000}"/>
              </a:ext>
            </a:extLst>
          </xdr:cNvPr>
          <xdr:cNvGrpSpPr/>
        </xdr:nvGrpSpPr>
        <xdr:grpSpPr>
          <a:xfrm>
            <a:off x="326571" y="-171745"/>
            <a:ext cx="5705477" cy="5103055"/>
            <a:chOff x="-1" y="-434860"/>
            <a:chExt cx="5695951" cy="5061309"/>
          </a:xfrm>
          <a:grpFill/>
        </xdr:grpSpPr>
        <xdr:sp macro="" textlink="">
          <xdr:nvSpPr>
            <xdr:cNvPr id="22" name="Background" descr="Background">
              <a:extLst>
                <a:ext uri="{FF2B5EF4-FFF2-40B4-BE49-F238E27FC236}">
                  <a16:creationId xmlns:a16="http://schemas.microsoft.com/office/drawing/2014/main" xmlns="" id="{00000000-0008-0000-0E00-000016000000}"/>
                </a:ext>
              </a:extLst>
            </xdr:cNvPr>
            <xdr:cNvSpPr/>
          </xdr:nvSpPr>
          <xdr:spPr>
            <a:xfrm>
              <a:off x="-1" y="6824"/>
              <a:ext cx="5695951"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23" name="Step" descr="Add numbers like a champ">
              <a:extLst>
                <a:ext uri="{FF2B5EF4-FFF2-40B4-BE49-F238E27FC236}">
                  <a16:creationId xmlns:a16="http://schemas.microsoft.com/office/drawing/2014/main" xmlns="" id="{00000000-0008-0000-0E00-000017000000}"/>
                </a:ext>
              </a:extLst>
            </xdr:cNvPr>
            <xdr:cNvSpPr txBox="1"/>
          </xdr:nvSpPr>
          <xdr:spPr>
            <a:xfrm>
              <a:off x="169147" y="-434860"/>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2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0E00-000018000000}"/>
                </a:ext>
              </a:extLst>
            </xdr:cNvPr>
            <xdr:cNvSpPr/>
          </xdr:nvSpPr>
          <xdr:spPr>
            <a:xfrm>
              <a:off x="4432638" y="2808796"/>
              <a:ext cx="1154430" cy="51387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25" name="Top line" descr="Decorative line">
              <a:extLst>
                <a:ext uri="{FF2B5EF4-FFF2-40B4-BE49-F238E27FC236}">
                  <a16:creationId xmlns:a16="http://schemas.microsoft.com/office/drawing/2014/main" xmlns="" id="{00000000-0008-0000-0E00-000019000000}"/>
                </a:ext>
              </a:extLst>
            </xdr:cNvPr>
            <xdr:cNvCxnSpPr>
              <a:cxnSpLocks/>
            </xdr:cNvCxnSpPr>
          </xdr:nvCxnSpPr>
          <xdr:spPr>
            <a:xfrm>
              <a:off x="141197" y="693310"/>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1" name="Add numbers introduction" descr="Here are some ways to add up numbers in Excel:">
            <a:extLst>
              <a:ext uri="{FF2B5EF4-FFF2-40B4-BE49-F238E27FC236}">
                <a16:creationId xmlns:a16="http://schemas.microsoft.com/office/drawing/2014/main" xmlns="" id="{00000000-0008-0000-0E00-000015000000}"/>
              </a:ext>
            </a:extLst>
          </xdr:cNvPr>
          <xdr:cNvSpPr txBox="1"/>
        </xdr:nvSpPr>
        <xdr:spPr>
          <a:xfrm>
            <a:off x="490670" y="1109777"/>
            <a:ext cx="5309802" cy="195604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220983</xdr:colOff>
      <xdr:row>0</xdr:row>
      <xdr:rowOff>129540</xdr:rowOff>
    </xdr:from>
    <xdr:to>
      <xdr:col>10</xdr:col>
      <xdr:colOff>189028</xdr:colOff>
      <xdr:row>1</xdr:row>
      <xdr:rowOff>403860</xdr:rowOff>
    </xdr:to>
    <xdr:sp macro="" textlink="">
      <xdr:nvSpPr>
        <xdr:cNvPr id="26" name="Step" descr="Add numbers like a champ">
          <a:extLst>
            <a:ext uri="{FF2B5EF4-FFF2-40B4-BE49-F238E27FC236}">
              <a16:creationId xmlns:a16="http://schemas.microsoft.com/office/drawing/2014/main" xmlns="" id="{00000000-0008-0000-0E00-00001A000000}"/>
            </a:ext>
          </a:extLst>
        </xdr:cNvPr>
        <xdr:cNvSpPr txBox="1"/>
      </xdr:nvSpPr>
      <xdr:spPr>
        <a:xfrm flipH="1">
          <a:off x="9668743247" y="129540"/>
          <a:ext cx="5521120"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تولید)</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تولید</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114304</xdr:colOff>
      <xdr:row>4</xdr:row>
      <xdr:rowOff>78317</xdr:rowOff>
    </xdr:from>
    <xdr:to>
      <xdr:col>0</xdr:col>
      <xdr:colOff>6460067</xdr:colOff>
      <xdr:row>7</xdr:row>
      <xdr:rowOff>68792</xdr:rowOff>
    </xdr:to>
    <xdr:sp macro="" textlink="">
      <xdr:nvSpPr>
        <xdr:cNvPr id="33" name="Step" descr="Here's another way to add, using a shortcut key. Select the yellow cell under the amounts for meat">
          <a:extLst>
            <a:ext uri="{FF2B5EF4-FFF2-40B4-BE49-F238E27FC236}">
              <a16:creationId xmlns:a16="http://schemas.microsoft.com/office/drawing/2014/main" xmlns="" id="{00000000-0008-0000-0E00-000021000000}"/>
            </a:ext>
          </a:extLst>
        </xdr:cNvPr>
        <xdr:cNvSpPr txBox="1"/>
      </xdr:nvSpPr>
      <xdr:spPr>
        <a:xfrm flipH="1">
          <a:off x="9989117266" y="1746250"/>
          <a:ext cx="6345763" cy="72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منظور از میزان تولید، حجم محصول تولیدشده یا خدمات ارائه شده است. در ارزیابی میزان تولید، 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از سه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زیرشاخصِ سهم از تولید در کشور، درآمد فروش و درصد استفاده از ظرفیت عملیِ تولید استفاده می کند</a:t>
          </a:r>
          <a:r>
            <a:rPr lang="fa-IR" sz="1800" b="0" i="0" u="none" strike="noStrike" kern="1200" baseline="0">
              <a:solidFill>
                <a:schemeClr val="dk1"/>
              </a:solidFill>
              <a:latin typeface="+mn-lt"/>
              <a:ea typeface="+mn-ea"/>
              <a:cs typeface="+mn-cs"/>
            </a:rPr>
            <a:t>.</a:t>
          </a:r>
          <a:endPar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clientData/>
  </xdr:twoCellAnchor>
  <xdr:twoCellAnchor>
    <xdr:from>
      <xdr:col>0</xdr:col>
      <xdr:colOff>100541</xdr:colOff>
      <xdr:row>7</xdr:row>
      <xdr:rowOff>23285</xdr:rowOff>
    </xdr:from>
    <xdr:to>
      <xdr:col>0</xdr:col>
      <xdr:colOff>5113450</xdr:colOff>
      <xdr:row>9</xdr:row>
      <xdr:rowOff>11848</xdr:rowOff>
    </xdr:to>
    <xdr:sp macro="" textlink="">
      <xdr:nvSpPr>
        <xdr:cNvPr id="34" name="Step" descr="Here's another way to add, using a shortcut key. Select the yellow cell under the amounts for meat">
          <a:extLst>
            <a:ext uri="{FF2B5EF4-FFF2-40B4-BE49-F238E27FC236}">
              <a16:creationId xmlns:a16="http://schemas.microsoft.com/office/drawing/2014/main" xmlns="" id="{00000000-0008-0000-0E00-000022000000}"/>
            </a:ext>
          </a:extLst>
        </xdr:cNvPr>
        <xdr:cNvSpPr txBox="1"/>
      </xdr:nvSpPr>
      <xdr:spPr>
        <a:xfrm flipH="1">
          <a:off x="9990463883" y="2427818"/>
          <a:ext cx="5012909" cy="479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منظور از راندمان تولید، نسبت تولید واقعی فعال اقتصادی در یک دورۀ مشخص به ظرفیت عملی است.</a:t>
          </a:r>
        </a:p>
      </xdr:txBody>
    </xdr:sp>
    <xdr:clientData/>
  </xdr:twoCellAnchor>
  <xdr:twoCellAnchor>
    <xdr:from>
      <xdr:col>0</xdr:col>
      <xdr:colOff>96312</xdr:colOff>
      <xdr:row>8</xdr:row>
      <xdr:rowOff>113243</xdr:rowOff>
    </xdr:from>
    <xdr:to>
      <xdr:col>0</xdr:col>
      <xdr:colOff>6502401</xdr:colOff>
      <xdr:row>11</xdr:row>
      <xdr:rowOff>187325</xdr:rowOff>
    </xdr:to>
    <xdr:sp macro="" textlink="">
      <xdr:nvSpPr>
        <xdr:cNvPr id="35" name="Step" descr="Here's another way to add, using a shortcut key. Select the yellow cell under the amounts for meat">
          <a:extLst>
            <a:ext uri="{FF2B5EF4-FFF2-40B4-BE49-F238E27FC236}">
              <a16:creationId xmlns:a16="http://schemas.microsoft.com/office/drawing/2014/main" xmlns="" id="{00000000-0008-0000-0E00-000023000000}"/>
            </a:ext>
          </a:extLst>
        </xdr:cNvPr>
        <xdr:cNvSpPr txBox="1"/>
      </xdr:nvSpPr>
      <xdr:spPr>
        <a:xfrm flipH="1">
          <a:off x="9989074932" y="2763310"/>
          <a:ext cx="6406089" cy="810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تنوع تولید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عنوان یکی از معیارهای ارزیابی ریسک فعال اقتصادی نگاه میکند. هرقدر فعال اقتصادی وابستگی خود به درآمد حاصل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از یک محصول مشخص و یا یک گروه مشخص از محصولات را کمتر نمایند، از آسیب پذیری کمتری نسبت به نوسانات بازار</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برخوردار خواهد بود.</a:t>
          </a:r>
        </a:p>
      </xdr:txBody>
    </xdr:sp>
    <xdr:clientData/>
  </xdr:twoCellAnchor>
  <xdr:twoCellAnchor>
    <xdr:from>
      <xdr:col>0</xdr:col>
      <xdr:colOff>104777</xdr:colOff>
      <xdr:row>10</xdr:row>
      <xdr:rowOff>94192</xdr:rowOff>
    </xdr:from>
    <xdr:to>
      <xdr:col>0</xdr:col>
      <xdr:colOff>6316134</xdr:colOff>
      <xdr:row>14</xdr:row>
      <xdr:rowOff>87842</xdr:rowOff>
    </xdr:to>
    <xdr:sp macro="" textlink="">
      <xdr:nvSpPr>
        <xdr:cNvPr id="36" name="Step" descr="Here's another way to add, using a shortcut key. Select the yellow cell under the amounts for meat">
          <a:extLst>
            <a:ext uri="{FF2B5EF4-FFF2-40B4-BE49-F238E27FC236}">
              <a16:creationId xmlns:a16="http://schemas.microsoft.com/office/drawing/2014/main" xmlns="" id="{00000000-0008-0000-0E00-000024000000}"/>
            </a:ext>
          </a:extLst>
        </xdr:cNvPr>
        <xdr:cNvSpPr txBox="1"/>
      </xdr:nvSpPr>
      <xdr:spPr>
        <a:xfrm flipH="1">
          <a:off x="9989261199" y="3235325"/>
          <a:ext cx="6211357" cy="97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 بندی اعتباری برای ارزیابی سهم دانش در تولید، نسبت به ارزیابی کیفی از وضعیت فعال اقتصادی و سطح دانش مورد استفاده در فرآیند تولید اقدام می نماید. در این راستا عواملی نظیر اختراعات و نوآوری ها در فعال اقتصادی و تأثیر و اهمیت آن، میزان اتکای فرآیندهای تولید محصولات و خدمات در فعال اقتصادی به دانش پیشرفتۀ روز و وزن دارایی های نامشهودِ مبتنی بر دانش در صورت های مالی، مورد ارزیابی قرار می گیرند.</a:t>
          </a:r>
        </a:p>
      </xdr:txBody>
    </xdr:sp>
    <xdr:clientData/>
  </xdr:twoCellAnchor>
  <xdr:twoCellAnchor>
    <xdr:from>
      <xdr:col>0</xdr:col>
      <xdr:colOff>80436</xdr:colOff>
      <xdr:row>12</xdr:row>
      <xdr:rowOff>221192</xdr:rowOff>
    </xdr:from>
    <xdr:to>
      <xdr:col>0</xdr:col>
      <xdr:colOff>6350001</xdr:colOff>
      <xdr:row>16</xdr:row>
      <xdr:rowOff>202141</xdr:rowOff>
    </xdr:to>
    <xdr:sp macro="" textlink="">
      <xdr:nvSpPr>
        <xdr:cNvPr id="38" name="Step" descr="Here's another way to add, using a shortcut key. Select the yellow cell under the amounts for meat">
          <a:extLst>
            <a:ext uri="{FF2B5EF4-FFF2-40B4-BE49-F238E27FC236}">
              <a16:creationId xmlns:a16="http://schemas.microsoft.com/office/drawing/2014/main" xmlns="" id="{00000000-0008-0000-0E00-000026000000}"/>
            </a:ext>
          </a:extLst>
        </xdr:cNvPr>
        <xdr:cNvSpPr txBox="1"/>
      </xdr:nvSpPr>
      <xdr:spPr>
        <a:xfrm flipH="1">
          <a:off x="9986509532" y="4276725"/>
          <a:ext cx="6269565" cy="963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 بندی اعتباری، وضعیت ارزش افزوده را براساس شاخص «ترکیب ارزش افزوده»  موردسنجش قرار می دهد. هر مقدار ترکیب ارزش افزوده بین ذینفعان مختلف به صورت منطقی تری توزیع شده باشد، ثبات درآمدی و پایداری کسب وکار فعال اقتصادی در بلندمدت بیشتر است و نوسانات کمتری را تجربه می نماید.</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611505</xdr:colOff>
      <xdr:row>10</xdr:row>
      <xdr:rowOff>198120</xdr:rowOff>
    </xdr:from>
    <xdr:to>
      <xdr:col>0</xdr:col>
      <xdr:colOff>5624414</xdr:colOff>
      <xdr:row>12</xdr:row>
      <xdr:rowOff>186683</xdr:rowOff>
    </xdr:to>
    <xdr:sp macro="" textlink="">
      <xdr:nvSpPr>
        <xdr:cNvPr id="10" name="Step" descr="Here's another way to add, using a shortcut key. Select the yellow cell under the amounts for meat">
          <a:extLst>
            <a:ext uri="{FF2B5EF4-FFF2-40B4-BE49-F238E27FC236}">
              <a16:creationId xmlns:a16="http://schemas.microsoft.com/office/drawing/2014/main" xmlns="" id="{00000000-0008-0000-0F00-00000A000000}"/>
            </a:ext>
          </a:extLst>
        </xdr:cNvPr>
        <xdr:cNvSpPr txBox="1"/>
      </xdr:nvSpPr>
      <xdr:spPr>
        <a:xfrm flipH="1">
          <a:off x="9675833236" y="328422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xdr:from>
      <xdr:col>5</xdr:col>
      <xdr:colOff>319086</xdr:colOff>
      <xdr:row>2</xdr:row>
      <xdr:rowOff>85724</xdr:rowOff>
    </xdr:from>
    <xdr:to>
      <xdr:col>22</xdr:col>
      <xdr:colOff>219075</xdr:colOff>
      <xdr:row>32</xdr:row>
      <xdr:rowOff>171450</xdr:rowOff>
    </xdr:to>
    <xdr:graphicFrame macro="">
      <xdr:nvGraphicFramePr>
        <xdr:cNvPr id="19" name="Chart 18">
          <a:extLst>
            <a:ext uri="{FF2B5EF4-FFF2-40B4-BE49-F238E27FC236}">
              <a16:creationId xmlns:a16="http://schemas.microsoft.com/office/drawing/2014/main" xmlns="" id="{00000000-0008-0000-0F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647700</xdr:colOff>
      <xdr:row>37</xdr:row>
      <xdr:rowOff>114300</xdr:rowOff>
    </xdr:from>
    <xdr:to>
      <xdr:col>21</xdr:col>
      <xdr:colOff>547689</xdr:colOff>
      <xdr:row>68</xdr:row>
      <xdr:rowOff>19051</xdr:rowOff>
    </xdr:to>
    <xdr:graphicFrame macro="">
      <xdr:nvGraphicFramePr>
        <xdr:cNvPr id="20" name="Chart 19">
          <a:extLst>
            <a:ext uri="{FF2B5EF4-FFF2-40B4-BE49-F238E27FC236}">
              <a16:creationId xmlns:a16="http://schemas.microsoft.com/office/drawing/2014/main" xmlns=""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71</xdr:row>
      <xdr:rowOff>114300</xdr:rowOff>
    </xdr:from>
    <xdr:to>
      <xdr:col>21</xdr:col>
      <xdr:colOff>623889</xdr:colOff>
      <xdr:row>102</xdr:row>
      <xdr:rowOff>19051</xdr:rowOff>
    </xdr:to>
    <xdr:graphicFrame macro="">
      <xdr:nvGraphicFramePr>
        <xdr:cNvPr id="21" name="Chart 20">
          <a:extLst>
            <a:ext uri="{FF2B5EF4-FFF2-40B4-BE49-F238E27FC236}">
              <a16:creationId xmlns:a16="http://schemas.microsoft.com/office/drawing/2014/main" xmlns="" id="{00000000-0008-0000-0F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106</xdr:row>
      <xdr:rowOff>0</xdr:rowOff>
    </xdr:from>
    <xdr:to>
      <xdr:col>21</xdr:col>
      <xdr:colOff>585789</xdr:colOff>
      <xdr:row>136</xdr:row>
      <xdr:rowOff>85726</xdr:rowOff>
    </xdr:to>
    <xdr:graphicFrame macro="">
      <xdr:nvGraphicFramePr>
        <xdr:cNvPr id="22" name="Chart 21">
          <a:extLst>
            <a:ext uri="{FF2B5EF4-FFF2-40B4-BE49-F238E27FC236}">
              <a16:creationId xmlns:a16="http://schemas.microsoft.com/office/drawing/2014/main" xmlns="" id="{00000000-0008-0000-0F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266700</xdr:colOff>
      <xdr:row>150</xdr:row>
      <xdr:rowOff>109537</xdr:rowOff>
    </xdr:from>
    <xdr:to>
      <xdr:col>20</xdr:col>
      <xdr:colOff>423863</xdr:colOff>
      <xdr:row>182</xdr:row>
      <xdr:rowOff>123825</xdr:rowOff>
    </xdr:to>
    <xdr:graphicFrame macro="">
      <xdr:nvGraphicFramePr>
        <xdr:cNvPr id="23" name="Chart 22">
          <a:extLst>
            <a:ext uri="{FF2B5EF4-FFF2-40B4-BE49-F238E27FC236}">
              <a16:creationId xmlns:a16="http://schemas.microsoft.com/office/drawing/2014/main" xmlns="" id="{00000000-0008-0000-0F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8466</xdr:colOff>
      <xdr:row>0</xdr:row>
      <xdr:rowOff>0</xdr:rowOff>
    </xdr:from>
    <xdr:to>
      <xdr:col>0</xdr:col>
      <xdr:colOff>6390216</xdr:colOff>
      <xdr:row>22</xdr:row>
      <xdr:rowOff>59267</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200-000002000000}"/>
            </a:ext>
          </a:extLst>
        </xdr:cNvPr>
        <xdr:cNvGrpSpPr/>
      </xdr:nvGrpSpPr>
      <xdr:grpSpPr>
        <a:xfrm flipH="1">
          <a:off x="9586781570" y="0"/>
          <a:ext cx="6381750" cy="6060017"/>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1200-000003000000}"/>
              </a:ext>
            </a:extLst>
          </xdr:cNvPr>
          <xdr:cNvGrpSpPr/>
        </xdr:nvGrpSpPr>
        <xdr:grpSpPr>
          <a:xfrm>
            <a:off x="531805" y="21742"/>
            <a:ext cx="5705475" cy="4902688"/>
            <a:chOff x="204890" y="-242956"/>
            <a:chExt cx="5695950" cy="4862581"/>
          </a:xfrm>
          <a:grpFill/>
        </xdr:grpSpPr>
        <xdr:sp macro="" textlink="">
          <xdr:nvSpPr>
            <xdr:cNvPr id="6" name="Background" descr="Background">
              <a:extLst>
                <a:ext uri="{FF2B5EF4-FFF2-40B4-BE49-F238E27FC236}">
                  <a16:creationId xmlns:a16="http://schemas.microsoft.com/office/drawing/2014/main" xmlns="" id="{00000000-0008-0000-1200-000006000000}"/>
                </a:ext>
              </a:extLst>
            </xdr:cNvPr>
            <xdr:cNvSpPr/>
          </xdr:nvSpPr>
          <xdr:spPr>
            <a:xfrm>
              <a:off x="204890" y="27509"/>
              <a:ext cx="5695950" cy="459211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200-000007000000}"/>
                </a:ext>
              </a:extLst>
            </xdr:cNvPr>
            <xdr:cNvSpPr txBox="1"/>
          </xdr:nvSpPr>
          <xdr:spPr>
            <a:xfrm>
              <a:off x="272729" y="-242956"/>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قراردادهای نیروی انسانی</a:t>
              </a:r>
            </a:p>
          </xdr:txBody>
        </xdr:sp>
        <xdr:cxnSp macro="">
          <xdr:nvCxnSpPr>
            <xdr:cNvPr id="8" name="Bottom line" descr="Decorative line">
              <a:extLst>
                <a:ext uri="{FF2B5EF4-FFF2-40B4-BE49-F238E27FC236}">
                  <a16:creationId xmlns:a16="http://schemas.microsoft.com/office/drawing/2014/main" xmlns="" id="{00000000-0008-0000-1200-000008000000}"/>
                </a:ext>
              </a:extLst>
            </xdr:cNvPr>
            <xdr:cNvCxnSpPr>
              <a:cxnSpLocks/>
            </xdr:cNvCxnSpPr>
          </xdr:nvCxnSpPr>
          <xdr:spPr>
            <a:xfrm>
              <a:off x="322969" y="226126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200-000009000000}"/>
                </a:ext>
              </a:extLst>
            </xdr:cNvPr>
            <xdr:cNvCxnSpPr>
              <a:cxnSpLocks/>
            </xdr:cNvCxnSpPr>
          </xdr:nvCxnSpPr>
          <xdr:spPr>
            <a:xfrm>
              <a:off x="372367" y="425672"/>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Step" descr="Type =SUM(D4:D7), and then press enter. When you're done, you'll see the result of 170">
            <a:extLst>
              <a:ext uri="{FF2B5EF4-FFF2-40B4-BE49-F238E27FC236}">
                <a16:creationId xmlns:a16="http://schemas.microsoft.com/office/drawing/2014/main" xmlns="" id="{00000000-0008-0000-1200-000004000000}"/>
              </a:ext>
            </a:extLst>
          </xdr:cNvPr>
          <xdr:cNvSpPr txBox="1"/>
        </xdr:nvSpPr>
        <xdr:spPr>
          <a:xfrm>
            <a:off x="620116" y="1385185"/>
            <a:ext cx="5002887" cy="18928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نحوۀ</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همکاری افراد شاغل (اعم از تمام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وقت، نیمه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وقت یا پاره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وقت) نیز در تعدیل تعداد شاغلین مؤثر است.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5" name="Add numbers introduction" descr="Here are some ways to add up numbers in Excel:">
            <a:extLst>
              <a:ext uri="{FF2B5EF4-FFF2-40B4-BE49-F238E27FC236}">
                <a16:creationId xmlns:a16="http://schemas.microsoft.com/office/drawing/2014/main" xmlns="" id="{00000000-0008-0000-1200-000005000000}"/>
              </a:ext>
            </a:extLst>
          </xdr:cNvPr>
          <xdr:cNvSpPr txBox="1"/>
        </xdr:nvSpPr>
        <xdr:spPr>
          <a:xfrm>
            <a:off x="703064" y="788704"/>
            <a:ext cx="5218192" cy="62110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تعداد افراد شاغل، ابتدا با توجه به صنعت مورد ارزیابی، تعداد معیار توسط 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تعیین میشود تا تعداد افرادِ شاغلِ تعدیل شده در فعال اقتصادی با آن مقایسه شده و وضعیت این شاخص تعیین شود. فعال اقتصادی که تعداد افراد شاغل آن از تعداد معیار بیشتر باشد، بالاترین امتیاز را اخذ خواهد کرد.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107738</xdr:colOff>
      <xdr:row>5</xdr:row>
      <xdr:rowOff>76201</xdr:rowOff>
    </xdr:from>
    <xdr:to>
      <xdr:col>0</xdr:col>
      <xdr:colOff>6146800</xdr:colOff>
      <xdr:row>9</xdr:row>
      <xdr:rowOff>133351</xdr:rowOff>
    </xdr:to>
    <xdr:sp macro="" textlink="">
      <xdr:nvSpPr>
        <xdr:cNvPr id="10" name="Step" descr="Here's another way to add, using a shortcut key. Select the yellow cell under the amounts for meat">
          <a:extLst>
            <a:ext uri="{FF2B5EF4-FFF2-40B4-BE49-F238E27FC236}">
              <a16:creationId xmlns:a16="http://schemas.microsoft.com/office/drawing/2014/main" xmlns="" id="{00000000-0008-0000-1200-00000A000000}"/>
            </a:ext>
          </a:extLst>
        </xdr:cNvPr>
        <xdr:cNvSpPr txBox="1"/>
      </xdr:nvSpPr>
      <xdr:spPr>
        <a:xfrm flipH="1">
          <a:off x="9988126667" y="1989668"/>
          <a:ext cx="6039062" cy="1039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تعدیل تعداد افراد شاغل، نوع قرارداد افراد شاغل در نظر</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گرفته می شود،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طوریکه چنانچه فعال اقتصادی مستقیماً مبادرت به استخدام شاغلین نماید، نسبت به استخدام غیرمستقیم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آنها از طریق پیمانکاران، بهتر ارزیابی می شود. البته شاغلین پیمانکاران به شرطی در تعداد شاغلین فعال اقتصادی لحاظ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شوند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که در فعالیت های دائمی شرکت به آنها نیاز باشد و شاغلین پیمانکاران در پروژه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موقت در نظر گرفته نمی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شوند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a:t>
          </a:r>
          <a:endPar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59267</xdr:colOff>
      <xdr:row>10</xdr:row>
      <xdr:rowOff>127746</xdr:rowOff>
    </xdr:from>
    <xdr:to>
      <xdr:col>0</xdr:col>
      <xdr:colOff>6173758</xdr:colOff>
      <xdr:row>22</xdr:row>
      <xdr:rowOff>211669</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200-00000B000000}"/>
            </a:ext>
          </a:extLst>
        </xdr:cNvPr>
        <xdr:cNvGrpSpPr/>
      </xdr:nvGrpSpPr>
      <xdr:grpSpPr>
        <a:xfrm flipH="1">
          <a:off x="9586998028" y="3270996"/>
          <a:ext cx="6114491" cy="2941423"/>
          <a:chOff x="326572" y="124631"/>
          <a:chExt cx="5705476" cy="4806679"/>
        </a:xfrm>
        <a:solidFill>
          <a:sysClr val="window" lastClr="FFFFFF"/>
        </a:solidFill>
      </xdr:grpSpPr>
      <xdr:grpSp>
        <xdr:nvGrpSpPr>
          <xdr:cNvPr id="12" name="Add numbers instruction">
            <a:extLst>
              <a:ext uri="{FF2B5EF4-FFF2-40B4-BE49-F238E27FC236}">
                <a16:creationId xmlns:a16="http://schemas.microsoft.com/office/drawing/2014/main" xmlns="" id="{00000000-0008-0000-1200-00000C000000}"/>
              </a:ext>
            </a:extLst>
          </xdr:cNvPr>
          <xdr:cNvGrpSpPr/>
        </xdr:nvGrpSpPr>
        <xdr:grpSpPr>
          <a:xfrm>
            <a:off x="326572" y="124631"/>
            <a:ext cx="5705476" cy="4806679"/>
            <a:chOff x="0" y="-140908"/>
            <a:chExt cx="5695950" cy="4767357"/>
          </a:xfrm>
          <a:grpFill/>
        </xdr:grpSpPr>
        <xdr:sp macro="" textlink="">
          <xdr:nvSpPr>
            <xdr:cNvPr id="14" name="Background" descr="Background">
              <a:extLst>
                <a:ext uri="{FF2B5EF4-FFF2-40B4-BE49-F238E27FC236}">
                  <a16:creationId xmlns:a16="http://schemas.microsoft.com/office/drawing/2014/main" xmlns="" id="{00000000-0008-0000-1200-00000E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a16="http://schemas.microsoft.com/office/drawing/2014/main" xmlns="" id="{00000000-0008-0000-1200-00000F000000}"/>
                </a:ext>
              </a:extLst>
            </xdr:cNvPr>
            <xdr:cNvSpPr txBox="1"/>
          </xdr:nvSpPr>
          <xdr:spPr>
            <a:xfrm>
              <a:off x="152877" y="-140908"/>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200-000010000000}"/>
                </a:ext>
              </a:extLst>
            </xdr:cNvPr>
            <xdr:cNvSpPr/>
          </xdr:nvSpPr>
          <xdr:spPr>
            <a:xfrm>
              <a:off x="4532182" y="3038540"/>
              <a:ext cx="1154430" cy="727106"/>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a16="http://schemas.microsoft.com/office/drawing/2014/main" xmlns="" id="{00000000-0008-0000-1200-000011000000}"/>
                </a:ext>
              </a:extLst>
            </xdr:cNvPr>
            <xdr:cNvCxnSpPr>
              <a:cxnSpLocks/>
            </xdr:cNvCxnSpPr>
          </xdr:nvCxnSpPr>
          <xdr:spPr>
            <a:xfrm flipV="1">
              <a:off x="53223" y="669319"/>
              <a:ext cx="5436211" cy="11576"/>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a16="http://schemas.microsoft.com/office/drawing/2014/main" xmlns="" id="{00000000-0008-0000-1200-00000D000000}"/>
              </a:ext>
            </a:extLst>
          </xdr:cNvPr>
          <xdr:cNvSpPr txBox="1"/>
        </xdr:nvSpPr>
        <xdr:spPr>
          <a:xfrm>
            <a:off x="413054" y="1137674"/>
            <a:ext cx="5309802" cy="20259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به دلیل افزایش 100 درصدی نیروی انسانی نسبت به دو سال گذشته امتیاز کامل در این بخش داده می شود</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6664118</xdr:colOff>
      <xdr:row>0</xdr:row>
      <xdr:rowOff>138007</xdr:rowOff>
    </xdr:from>
    <xdr:to>
      <xdr:col>8</xdr:col>
      <xdr:colOff>668868</xdr:colOff>
      <xdr:row>1</xdr:row>
      <xdr:rowOff>412327</xdr:rowOff>
    </xdr:to>
    <xdr:sp macro="" textlink="">
      <xdr:nvSpPr>
        <xdr:cNvPr id="18" name="Step" descr="Add numbers like a champ">
          <a:extLst>
            <a:ext uri="{FF2B5EF4-FFF2-40B4-BE49-F238E27FC236}">
              <a16:creationId xmlns:a16="http://schemas.microsoft.com/office/drawing/2014/main" xmlns="" id="{00000000-0008-0000-1200-000012000000}"/>
            </a:ext>
          </a:extLst>
        </xdr:cNvPr>
        <xdr:cNvSpPr txBox="1"/>
      </xdr:nvSpPr>
      <xdr:spPr>
        <a:xfrm flipH="1">
          <a:off x="9982343932" y="138007"/>
          <a:ext cx="5265417"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قراردادهای نیروی انسانی</a:t>
          </a:r>
          <a:endParaRPr kumimoji="0" lang="en-US"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135470</xdr:rowOff>
    </xdr:from>
    <xdr:to>
      <xdr:col>0</xdr:col>
      <xdr:colOff>6362700</xdr:colOff>
      <xdr:row>21</xdr:row>
      <xdr:rowOff>186268</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300-000002000000}"/>
            </a:ext>
          </a:extLst>
        </xdr:cNvPr>
        <xdr:cNvGrpSpPr/>
      </xdr:nvGrpSpPr>
      <xdr:grpSpPr>
        <a:xfrm flipH="1">
          <a:off x="9587394193" y="135470"/>
          <a:ext cx="6362700" cy="5806619"/>
          <a:chOff x="531805" y="70463"/>
          <a:chExt cx="5705475" cy="4600320"/>
        </a:xfrm>
        <a:solidFill>
          <a:sysClr val="window" lastClr="FFFFFF"/>
        </a:solidFill>
      </xdr:grpSpPr>
      <xdr:grpSp>
        <xdr:nvGrpSpPr>
          <xdr:cNvPr id="3" name="Add numbers instruction">
            <a:extLst>
              <a:ext uri="{FF2B5EF4-FFF2-40B4-BE49-F238E27FC236}">
                <a16:creationId xmlns:a16="http://schemas.microsoft.com/office/drawing/2014/main" xmlns="" id="{00000000-0008-0000-1300-000003000000}"/>
              </a:ext>
            </a:extLst>
          </xdr:cNvPr>
          <xdr:cNvGrpSpPr/>
        </xdr:nvGrpSpPr>
        <xdr:grpSpPr>
          <a:xfrm>
            <a:off x="531805" y="70463"/>
            <a:ext cx="5705475" cy="4600320"/>
            <a:chOff x="204890" y="-194634"/>
            <a:chExt cx="5695950" cy="4562687"/>
          </a:xfrm>
          <a:grpFill/>
        </xdr:grpSpPr>
        <xdr:sp macro="" textlink="">
          <xdr:nvSpPr>
            <xdr:cNvPr id="6" name="Background" descr="Background">
              <a:extLst>
                <a:ext uri="{FF2B5EF4-FFF2-40B4-BE49-F238E27FC236}">
                  <a16:creationId xmlns:a16="http://schemas.microsoft.com/office/drawing/2014/main" xmlns="" id="{00000000-0008-0000-1300-000006000000}"/>
                </a:ext>
              </a:extLst>
            </xdr:cNvPr>
            <xdr:cNvSpPr/>
          </xdr:nvSpPr>
          <xdr:spPr>
            <a:xfrm>
              <a:off x="204890" y="-87877"/>
              <a:ext cx="5695950" cy="445593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300-000007000000}"/>
                </a:ext>
              </a:extLst>
            </xdr:cNvPr>
            <xdr:cNvSpPr txBox="1"/>
          </xdr:nvSpPr>
          <xdr:spPr>
            <a:xfrm>
              <a:off x="257570" y="-194634"/>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تحصیلات نیروی انسانی</a:t>
              </a:r>
            </a:p>
          </xdr:txBody>
        </xdr:sp>
        <xdr:cxnSp macro="">
          <xdr:nvCxnSpPr>
            <xdr:cNvPr id="8" name="Bottom line" descr="Decorative line">
              <a:extLst>
                <a:ext uri="{FF2B5EF4-FFF2-40B4-BE49-F238E27FC236}">
                  <a16:creationId xmlns:a16="http://schemas.microsoft.com/office/drawing/2014/main" xmlns="" id="{00000000-0008-0000-1300-000008000000}"/>
                </a:ext>
              </a:extLst>
            </xdr:cNvPr>
            <xdr:cNvCxnSpPr>
              <a:cxnSpLocks/>
            </xdr:cNvCxnSpPr>
          </xdr:nvCxnSpPr>
          <xdr:spPr>
            <a:xfrm>
              <a:off x="358512" y="334338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300-000009000000}"/>
                </a:ext>
              </a:extLst>
            </xdr:cNvPr>
            <xdr:cNvCxnSpPr>
              <a:cxnSpLocks/>
            </xdr:cNvCxnSpPr>
          </xdr:nvCxnSpPr>
          <xdr:spPr>
            <a:xfrm>
              <a:off x="415886" y="449264"/>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Step" descr="Type =SUM(D4:D7), and then press enter. When you're done, you'll see the result of 170">
            <a:extLst>
              <a:ext uri="{FF2B5EF4-FFF2-40B4-BE49-F238E27FC236}">
                <a16:creationId xmlns:a16="http://schemas.microsoft.com/office/drawing/2014/main" xmlns="" id="{00000000-0008-0000-1300-000004000000}"/>
              </a:ext>
            </a:extLst>
          </xdr:cNvPr>
          <xdr:cNvSpPr txBox="1"/>
        </xdr:nvSpPr>
        <xdr:spPr>
          <a:xfrm>
            <a:off x="731072" y="1674167"/>
            <a:ext cx="5350570" cy="26613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r" defTabSz="914400" rtl="1" eaLnBrk="1" latinLnBrk="0" hangingPunct="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برای تعیین</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معیار و همچنین میزان تحصیلات فعال اقتصادی، تحصیلات آکادمیک که مدرک معتبری برای آنها صادر شده است، در نظر</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گرفته می شوند.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5" name="Add numbers introduction" descr="Here are some ways to add up numbers in Excel:">
            <a:extLst>
              <a:ext uri="{FF2B5EF4-FFF2-40B4-BE49-F238E27FC236}">
                <a16:creationId xmlns:a16="http://schemas.microsoft.com/office/drawing/2014/main" xmlns="" id="{00000000-0008-0000-1300-000005000000}"/>
              </a:ext>
            </a:extLst>
          </xdr:cNvPr>
          <xdr:cNvSpPr txBox="1"/>
        </xdr:nvSpPr>
        <xdr:spPr>
          <a:xfrm>
            <a:off x="714018" y="782845"/>
            <a:ext cx="5309802" cy="834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endPar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سطح تحصیلات شاغل، ابتدا یک وضعیت تحصیلات معیار، برای صنعت مربوطه در نظر گرفته می شود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 سپس سطح تحصیلات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شاغلین فعال اقتصادی با آن مقایسه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شود. در اینجا نیز، چنانچه میزان تحصیلات فعال اقتصادی از</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میزان تحصیلات معیار بیشتر باشد،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بهتر ارزیابی می شود و هرچه از آن کمتر باشد،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تناسب ضعیف</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تر ارزیابی می شود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a:t>
            </a:r>
            <a:endPar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226274</xdr:colOff>
      <xdr:row>7</xdr:row>
      <xdr:rowOff>240454</xdr:rowOff>
    </xdr:from>
    <xdr:to>
      <xdr:col>0</xdr:col>
      <xdr:colOff>6189134</xdr:colOff>
      <xdr:row>11</xdr:row>
      <xdr:rowOff>73025</xdr:rowOff>
    </xdr:to>
    <xdr:sp macro="" textlink="">
      <xdr:nvSpPr>
        <xdr:cNvPr id="10" name="Step" descr="Here's another way to add, using a shortcut key. Select the yellow cell under the amounts for meat">
          <a:extLst>
            <a:ext uri="{FF2B5EF4-FFF2-40B4-BE49-F238E27FC236}">
              <a16:creationId xmlns:a16="http://schemas.microsoft.com/office/drawing/2014/main" xmlns="" id="{00000000-0008-0000-1300-00000A000000}"/>
            </a:ext>
          </a:extLst>
        </xdr:cNvPr>
        <xdr:cNvSpPr txBox="1"/>
      </xdr:nvSpPr>
      <xdr:spPr>
        <a:xfrm flipH="1">
          <a:off x="9987542466" y="2644987"/>
          <a:ext cx="5962860" cy="814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به ترتیب تحصیلات زیر دیپلم، دیپلم، فوقدیپلم، کارشناسی، کارشناسی ارشد و دکتری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 معادل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آنها را در نظر گرفته و تحصیلات بالاتر را مطلوبتر ارزیابی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نماید به شرط آنکه ترکیب شاغلین، تفاوت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زیادی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با ترکیب معیار، پیدا نکند</a:t>
          </a:r>
          <a:r>
            <a:rPr kumimoji="0" lang="fa-IR" sz="1800" b="0" i="0" u="none" strike="noStrike" kern="1200" cap="none" spc="0" normalizeH="0" baseline="0">
              <a:ln>
                <a:noFill/>
              </a:ln>
              <a:solidFill>
                <a:schemeClr val="dk1"/>
              </a:solidFill>
              <a:effectLst/>
              <a:uLnTx/>
              <a:uFillTx/>
              <a:latin typeface="+mn-lt"/>
              <a:ea typeface="+mn-ea"/>
              <a:cs typeface="B Nazanin" panose="00000400000000000000" pitchFamily="2" charset="-78"/>
            </a:rPr>
            <a:t>.</a:t>
          </a: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0</xdr:colOff>
      <xdr:row>16</xdr:row>
      <xdr:rowOff>181302</xdr:rowOff>
    </xdr:from>
    <xdr:to>
      <xdr:col>0</xdr:col>
      <xdr:colOff>6229240</xdr:colOff>
      <xdr:row>34</xdr:row>
      <xdr:rowOff>22678</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300-00000B000000}"/>
            </a:ext>
          </a:extLst>
        </xdr:cNvPr>
        <xdr:cNvGrpSpPr/>
      </xdr:nvGrpSpPr>
      <xdr:grpSpPr>
        <a:xfrm flipH="1">
          <a:off x="9587527653" y="4794123"/>
          <a:ext cx="6229240" cy="3705805"/>
          <a:chOff x="326572" y="123073"/>
          <a:chExt cx="5705476" cy="4808236"/>
        </a:xfrm>
        <a:solidFill>
          <a:sysClr val="window" lastClr="FFFFFF"/>
        </a:solidFill>
      </xdr:grpSpPr>
      <xdr:grpSp>
        <xdr:nvGrpSpPr>
          <xdr:cNvPr id="12" name="Add numbers instruction">
            <a:extLst>
              <a:ext uri="{FF2B5EF4-FFF2-40B4-BE49-F238E27FC236}">
                <a16:creationId xmlns:a16="http://schemas.microsoft.com/office/drawing/2014/main" xmlns="" id="{00000000-0008-0000-1300-00000C000000}"/>
              </a:ext>
            </a:extLst>
          </xdr:cNvPr>
          <xdr:cNvGrpSpPr/>
        </xdr:nvGrpSpPr>
        <xdr:grpSpPr>
          <a:xfrm>
            <a:off x="326572" y="123073"/>
            <a:ext cx="5705476" cy="4808236"/>
            <a:chOff x="0" y="-142454"/>
            <a:chExt cx="5695950" cy="4768902"/>
          </a:xfrm>
          <a:grpFill/>
        </xdr:grpSpPr>
        <xdr:sp macro="" textlink="">
          <xdr:nvSpPr>
            <xdr:cNvPr id="14" name="Background" descr="Background">
              <a:extLst>
                <a:ext uri="{FF2B5EF4-FFF2-40B4-BE49-F238E27FC236}">
                  <a16:creationId xmlns:a16="http://schemas.microsoft.com/office/drawing/2014/main" xmlns="" id="{00000000-0008-0000-1300-00000E000000}"/>
                </a:ext>
              </a:extLst>
            </xdr:cNvPr>
            <xdr:cNvSpPr/>
          </xdr:nvSpPr>
          <xdr:spPr>
            <a:xfrm>
              <a:off x="0" y="6824"/>
              <a:ext cx="5695950" cy="4619624"/>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a16="http://schemas.microsoft.com/office/drawing/2014/main" xmlns="" id="{00000000-0008-0000-1300-00000F000000}"/>
                </a:ext>
              </a:extLst>
            </xdr:cNvPr>
            <xdr:cNvSpPr txBox="1"/>
          </xdr:nvSpPr>
          <xdr:spPr>
            <a:xfrm>
              <a:off x="185297" y="-142454"/>
              <a:ext cx="5216551" cy="49090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300-000010000000}"/>
                </a:ext>
              </a:extLst>
            </xdr:cNvPr>
            <xdr:cNvSpPr/>
          </xdr:nvSpPr>
          <xdr:spPr>
            <a:xfrm>
              <a:off x="4396463" y="3759441"/>
              <a:ext cx="1154430" cy="50698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a16="http://schemas.microsoft.com/office/drawing/2014/main" xmlns="" id="{00000000-0008-0000-1300-000011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a16="http://schemas.microsoft.com/office/drawing/2014/main" xmlns="" id="{00000000-0008-0000-1300-00000D000000}"/>
              </a:ext>
            </a:extLst>
          </xdr:cNvPr>
          <xdr:cNvSpPr txBox="1"/>
        </xdr:nvSpPr>
        <xdr:spPr>
          <a:xfrm>
            <a:off x="563161" y="834595"/>
            <a:ext cx="5309802" cy="304701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بازرگانی تخصصی</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42334</xdr:colOff>
      <xdr:row>0</xdr:row>
      <xdr:rowOff>95673</xdr:rowOff>
    </xdr:from>
    <xdr:to>
      <xdr:col>7</xdr:col>
      <xdr:colOff>855135</xdr:colOff>
      <xdr:row>1</xdr:row>
      <xdr:rowOff>369993</xdr:rowOff>
    </xdr:to>
    <xdr:sp macro="" textlink="">
      <xdr:nvSpPr>
        <xdr:cNvPr id="18" name="Step" descr="Add numbers like a champ">
          <a:extLst>
            <a:ext uri="{FF2B5EF4-FFF2-40B4-BE49-F238E27FC236}">
              <a16:creationId xmlns:a16="http://schemas.microsoft.com/office/drawing/2014/main" xmlns="" id="{00000000-0008-0000-1300-000012000000}"/>
            </a:ext>
          </a:extLst>
        </xdr:cNvPr>
        <xdr:cNvSpPr txBox="1"/>
      </xdr:nvSpPr>
      <xdr:spPr>
        <a:xfrm flipH="1">
          <a:off x="9982784199" y="95673"/>
          <a:ext cx="5740401"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تحصیلات نیروی انسانی</a:t>
          </a:r>
          <a:endParaRPr kumimoji="0" lang="en-US"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215900</xdr:colOff>
      <xdr:row>10</xdr:row>
      <xdr:rowOff>170392</xdr:rowOff>
    </xdr:from>
    <xdr:to>
      <xdr:col>0</xdr:col>
      <xdr:colOff>6155267</xdr:colOff>
      <xdr:row>12</xdr:row>
      <xdr:rowOff>158955</xdr:rowOff>
    </xdr:to>
    <xdr:sp macro="" textlink="">
      <xdr:nvSpPr>
        <xdr:cNvPr id="30" name="Step" descr="Here's another way to add, using a shortcut key. Select the yellow cell under the amounts for meat">
          <a:extLst>
            <a:ext uri="{FF2B5EF4-FFF2-40B4-BE49-F238E27FC236}">
              <a16:creationId xmlns:a16="http://schemas.microsoft.com/office/drawing/2014/main" xmlns="" id="{00000000-0008-0000-1300-00001E000000}"/>
            </a:ext>
          </a:extLst>
        </xdr:cNvPr>
        <xdr:cNvSpPr txBox="1"/>
      </xdr:nvSpPr>
      <xdr:spPr>
        <a:xfrm flipH="1">
          <a:off x="9987576333" y="3311525"/>
          <a:ext cx="5939367" cy="479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تعیین معیار و میزان تحصیلات فعال اقتصادی، امتیاز هر گروه از مدارک تحصیلی یاد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شده،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وزن آنها ضرب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شود تا میانگین وزنی بدست آید.</a:t>
          </a:r>
        </a:p>
      </xdr:txBody>
    </xdr:sp>
    <xdr:clientData/>
  </xdr:twoCellAnchor>
  <xdr:twoCellAnchor>
    <xdr:from>
      <xdr:col>0</xdr:col>
      <xdr:colOff>177386</xdr:colOff>
      <xdr:row>12</xdr:row>
      <xdr:rowOff>214841</xdr:rowOff>
    </xdr:from>
    <xdr:to>
      <xdr:col>0</xdr:col>
      <xdr:colOff>6146800</xdr:colOff>
      <xdr:row>15</xdr:row>
      <xdr:rowOff>86783</xdr:rowOff>
    </xdr:to>
    <xdr:sp macro="" textlink="">
      <xdr:nvSpPr>
        <xdr:cNvPr id="31" name="Step" descr="Here's another way to add, using a shortcut key. Select the yellow cell under the amounts for meat">
          <a:extLst>
            <a:ext uri="{FF2B5EF4-FFF2-40B4-BE49-F238E27FC236}">
              <a16:creationId xmlns:a16="http://schemas.microsoft.com/office/drawing/2014/main" xmlns="" id="{00000000-0008-0000-1300-00001F000000}"/>
            </a:ext>
          </a:extLst>
        </xdr:cNvPr>
        <xdr:cNvSpPr txBox="1"/>
      </xdr:nvSpPr>
      <xdr:spPr>
        <a:xfrm flipH="1">
          <a:off x="9987584800" y="3847041"/>
          <a:ext cx="5969414" cy="608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محاسبۀ میانگین وزنی، میزان تحصیلات فعال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اقتصادی، نسبت فراوانی افراد شاغلِ دسته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شده در هر گروه از مدارک تحصیلی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کل تعداد شاغلین،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عنوان وزن آن دسته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نظر گرفته می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شود</a:t>
          </a:r>
          <a:r>
            <a:rPr lang="fa-IR" sz="1800" b="0" i="0" u="none" strike="noStrike" kern="1200" baseline="0">
              <a:solidFill>
                <a:schemeClr val="dk1"/>
              </a:solidFill>
              <a:latin typeface="+mn-lt"/>
              <a:ea typeface="+mn-ea"/>
              <a:cs typeface="B Nazanin" panose="00000400000000000000" pitchFamily="2" charset="-78"/>
            </a:rPr>
            <a:t>.</a:t>
          </a: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xdr:from>
      <xdr:col>0</xdr:col>
      <xdr:colOff>466725</xdr:colOff>
      <xdr:row>22</xdr:row>
      <xdr:rowOff>228600</xdr:rowOff>
    </xdr:from>
    <xdr:to>
      <xdr:col>0</xdr:col>
      <xdr:colOff>5479634</xdr:colOff>
      <xdr:row>25</xdr:row>
      <xdr:rowOff>45713</xdr:rowOff>
    </xdr:to>
    <xdr:sp macro="" textlink="">
      <xdr:nvSpPr>
        <xdr:cNvPr id="32" name="Step" descr="Here's another way to add, using a shortcut key. Select the yellow cell under the amounts for meat">
          <a:extLst>
            <a:ext uri="{FF2B5EF4-FFF2-40B4-BE49-F238E27FC236}">
              <a16:creationId xmlns:a16="http://schemas.microsoft.com/office/drawing/2014/main" xmlns="" id="{00000000-0008-0000-1300-000020000000}"/>
            </a:ext>
          </a:extLst>
        </xdr:cNvPr>
        <xdr:cNvSpPr txBox="1"/>
      </xdr:nvSpPr>
      <xdr:spPr>
        <a:xfrm flipH="1">
          <a:off x="9675978016" y="6105525"/>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135470</xdr:rowOff>
    </xdr:from>
    <xdr:to>
      <xdr:col>0</xdr:col>
      <xdr:colOff>6362700</xdr:colOff>
      <xdr:row>21</xdr:row>
      <xdr:rowOff>186268</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400-000002000000}"/>
            </a:ext>
          </a:extLst>
        </xdr:cNvPr>
        <xdr:cNvGrpSpPr/>
      </xdr:nvGrpSpPr>
      <xdr:grpSpPr>
        <a:xfrm flipH="1">
          <a:off x="9711190467" y="135470"/>
          <a:ext cx="6362700" cy="5765798"/>
          <a:chOff x="531805" y="70463"/>
          <a:chExt cx="5705475" cy="4600320"/>
        </a:xfrm>
        <a:solidFill>
          <a:sysClr val="window" lastClr="FFFFFF"/>
        </a:solidFill>
      </xdr:grpSpPr>
      <xdr:grpSp>
        <xdr:nvGrpSpPr>
          <xdr:cNvPr id="3" name="Add numbers instruction">
            <a:extLst>
              <a:ext uri="{FF2B5EF4-FFF2-40B4-BE49-F238E27FC236}">
                <a16:creationId xmlns:a16="http://schemas.microsoft.com/office/drawing/2014/main" xmlns="" id="{00000000-0008-0000-1400-000003000000}"/>
              </a:ext>
            </a:extLst>
          </xdr:cNvPr>
          <xdr:cNvGrpSpPr/>
        </xdr:nvGrpSpPr>
        <xdr:grpSpPr>
          <a:xfrm>
            <a:off x="531805" y="70463"/>
            <a:ext cx="5705475" cy="4600320"/>
            <a:chOff x="204890" y="-194634"/>
            <a:chExt cx="5695950" cy="4562687"/>
          </a:xfrm>
          <a:grpFill/>
        </xdr:grpSpPr>
        <xdr:sp macro="" textlink="">
          <xdr:nvSpPr>
            <xdr:cNvPr id="6" name="Background" descr="Background">
              <a:extLst>
                <a:ext uri="{FF2B5EF4-FFF2-40B4-BE49-F238E27FC236}">
                  <a16:creationId xmlns:a16="http://schemas.microsoft.com/office/drawing/2014/main" xmlns="" id="{00000000-0008-0000-1400-000006000000}"/>
                </a:ext>
              </a:extLst>
            </xdr:cNvPr>
            <xdr:cNvSpPr/>
          </xdr:nvSpPr>
          <xdr:spPr>
            <a:xfrm>
              <a:off x="204890" y="-87877"/>
              <a:ext cx="5695950" cy="445593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400-000007000000}"/>
                </a:ext>
              </a:extLst>
            </xdr:cNvPr>
            <xdr:cNvSpPr txBox="1"/>
          </xdr:nvSpPr>
          <xdr:spPr>
            <a:xfrm>
              <a:off x="257570" y="-194634"/>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تجربه نیروی انسانی</a:t>
              </a:r>
            </a:p>
          </xdr:txBody>
        </xdr:sp>
        <xdr:cxnSp macro="">
          <xdr:nvCxnSpPr>
            <xdr:cNvPr id="8" name="Bottom line" descr="Decorative line">
              <a:extLst>
                <a:ext uri="{FF2B5EF4-FFF2-40B4-BE49-F238E27FC236}">
                  <a16:creationId xmlns:a16="http://schemas.microsoft.com/office/drawing/2014/main" xmlns="" id="{00000000-0008-0000-1400-000008000000}"/>
                </a:ext>
              </a:extLst>
            </xdr:cNvPr>
            <xdr:cNvCxnSpPr>
              <a:cxnSpLocks/>
            </xdr:cNvCxnSpPr>
          </xdr:nvCxnSpPr>
          <xdr:spPr>
            <a:xfrm>
              <a:off x="358512" y="334338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400-000009000000}"/>
                </a:ext>
              </a:extLst>
            </xdr:cNvPr>
            <xdr:cNvCxnSpPr>
              <a:cxnSpLocks/>
            </xdr:cNvCxnSpPr>
          </xdr:nvCxnSpPr>
          <xdr:spPr>
            <a:xfrm>
              <a:off x="415886" y="449264"/>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 name="Add numbers introduction" descr="Here are some ways to add up numbers in Excel:">
            <a:extLst>
              <a:ext uri="{FF2B5EF4-FFF2-40B4-BE49-F238E27FC236}">
                <a16:creationId xmlns:a16="http://schemas.microsoft.com/office/drawing/2014/main" xmlns="" id="{00000000-0008-0000-1400-000005000000}"/>
              </a:ext>
            </a:extLst>
          </xdr:cNvPr>
          <xdr:cNvSpPr txBox="1"/>
        </xdr:nvSpPr>
        <xdr:spPr>
          <a:xfrm>
            <a:off x="714018" y="782845"/>
            <a:ext cx="5309802" cy="834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تجربۀ افراد شاغل نیز یک تجربۀ معیار توسط شرکت رتبه بندی اعتباری برای صنعت مربوطه با توجه به اندازۀ فعال اقتصادی تعیین می شود. ابتدا مدت تجربه در چند طبقۀ مختلف (طبقۀ زیر 5 سال، بین 5 تا 10 سال و غیره)، دسته بندی می شود. میانگین نتایج ارزیابی طبقات تجربه، با لحاظ وزن هریک -که با توجه به شرایط صنعت و اندازۀ فعال اقتصادی توسط شرکت رتبه بندی اعتباری تعیین می شوند- به دست می آید، تا تجربۀ معیار حاصل شود. آنگاه تجربۀ شاغلین فعال اقتصادی بررسی شده و با مقایسۀ آن با وضعیت معیار، میزان شاخص برای فعال اقتصادی تعیین می شود.</a:t>
            </a:r>
          </a:p>
          <a:p>
            <a:pPr algn="r" rtl="1"/>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editAs="oneCell">
    <xdr:from>
      <xdr:col>0</xdr:col>
      <xdr:colOff>0</xdr:colOff>
      <xdr:row>16</xdr:row>
      <xdr:rowOff>181302</xdr:rowOff>
    </xdr:from>
    <xdr:to>
      <xdr:col>0</xdr:col>
      <xdr:colOff>6229240</xdr:colOff>
      <xdr:row>34</xdr:row>
      <xdr:rowOff>22678</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400-00000B000000}"/>
            </a:ext>
          </a:extLst>
        </xdr:cNvPr>
        <xdr:cNvGrpSpPr/>
      </xdr:nvGrpSpPr>
      <xdr:grpSpPr>
        <a:xfrm flipH="1">
          <a:off x="9711323927" y="4763885"/>
          <a:ext cx="6229240" cy="3683126"/>
          <a:chOff x="326572" y="123073"/>
          <a:chExt cx="5705476" cy="4808236"/>
        </a:xfrm>
        <a:solidFill>
          <a:sysClr val="window" lastClr="FFFFFF"/>
        </a:solidFill>
      </xdr:grpSpPr>
      <xdr:grpSp>
        <xdr:nvGrpSpPr>
          <xdr:cNvPr id="12" name="Add numbers instruction">
            <a:extLst>
              <a:ext uri="{FF2B5EF4-FFF2-40B4-BE49-F238E27FC236}">
                <a16:creationId xmlns:a16="http://schemas.microsoft.com/office/drawing/2014/main" xmlns="" id="{00000000-0008-0000-1400-00000C000000}"/>
              </a:ext>
            </a:extLst>
          </xdr:cNvPr>
          <xdr:cNvGrpSpPr/>
        </xdr:nvGrpSpPr>
        <xdr:grpSpPr>
          <a:xfrm>
            <a:off x="326572" y="123073"/>
            <a:ext cx="5705476" cy="4808236"/>
            <a:chOff x="0" y="-142454"/>
            <a:chExt cx="5695950" cy="4768902"/>
          </a:xfrm>
          <a:grpFill/>
        </xdr:grpSpPr>
        <xdr:sp macro="" textlink="">
          <xdr:nvSpPr>
            <xdr:cNvPr id="14" name="Background" descr="Background">
              <a:extLst>
                <a:ext uri="{FF2B5EF4-FFF2-40B4-BE49-F238E27FC236}">
                  <a16:creationId xmlns:a16="http://schemas.microsoft.com/office/drawing/2014/main" xmlns="" id="{00000000-0008-0000-1400-00000E000000}"/>
                </a:ext>
              </a:extLst>
            </xdr:cNvPr>
            <xdr:cNvSpPr/>
          </xdr:nvSpPr>
          <xdr:spPr>
            <a:xfrm>
              <a:off x="0" y="6824"/>
              <a:ext cx="5695950" cy="4619624"/>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a16="http://schemas.microsoft.com/office/drawing/2014/main" xmlns="" id="{00000000-0008-0000-1400-00000F000000}"/>
                </a:ext>
              </a:extLst>
            </xdr:cNvPr>
            <xdr:cNvSpPr txBox="1"/>
          </xdr:nvSpPr>
          <xdr:spPr>
            <a:xfrm>
              <a:off x="185297" y="-142454"/>
              <a:ext cx="5216551" cy="49090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400-000010000000}"/>
                </a:ext>
              </a:extLst>
            </xdr:cNvPr>
            <xdr:cNvSpPr/>
          </xdr:nvSpPr>
          <xdr:spPr>
            <a:xfrm>
              <a:off x="4396463" y="3759441"/>
              <a:ext cx="1154430" cy="50698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a16="http://schemas.microsoft.com/office/drawing/2014/main" xmlns="" id="{00000000-0008-0000-1400-000011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a16="http://schemas.microsoft.com/office/drawing/2014/main" xmlns="" id="{00000000-0008-0000-1400-00000D000000}"/>
              </a:ext>
            </a:extLst>
          </xdr:cNvPr>
          <xdr:cNvSpPr txBox="1"/>
        </xdr:nvSpPr>
        <xdr:spPr>
          <a:xfrm>
            <a:off x="563161" y="834595"/>
            <a:ext cx="5309802" cy="304701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بازرگانی تخصصی</a:t>
            </a:r>
          </a:p>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42334</xdr:colOff>
      <xdr:row>0</xdr:row>
      <xdr:rowOff>95673</xdr:rowOff>
    </xdr:from>
    <xdr:to>
      <xdr:col>7</xdr:col>
      <xdr:colOff>855135</xdr:colOff>
      <xdr:row>1</xdr:row>
      <xdr:rowOff>369993</xdr:rowOff>
    </xdr:to>
    <xdr:sp macro="" textlink="">
      <xdr:nvSpPr>
        <xdr:cNvPr id="18" name="Step" descr="Add numbers like a champ">
          <a:extLst>
            <a:ext uri="{FF2B5EF4-FFF2-40B4-BE49-F238E27FC236}">
              <a16:creationId xmlns:a16="http://schemas.microsoft.com/office/drawing/2014/main" xmlns="" id="{00000000-0008-0000-1400-000012000000}"/>
            </a:ext>
          </a:extLst>
        </xdr:cNvPr>
        <xdr:cNvSpPr txBox="1"/>
      </xdr:nvSpPr>
      <xdr:spPr>
        <a:xfrm flipH="1">
          <a:off x="9982777425" y="95673"/>
          <a:ext cx="5727701"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تجربه نیروی انسانی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466725</xdr:colOff>
      <xdr:row>22</xdr:row>
      <xdr:rowOff>228600</xdr:rowOff>
    </xdr:from>
    <xdr:to>
      <xdr:col>0</xdr:col>
      <xdr:colOff>5479634</xdr:colOff>
      <xdr:row>25</xdr:row>
      <xdr:rowOff>45713</xdr:rowOff>
    </xdr:to>
    <xdr:sp macro="" textlink="">
      <xdr:nvSpPr>
        <xdr:cNvPr id="21" name="Step" descr="Here's another way to add, using a shortcut key. Select the yellow cell under the amounts for meat">
          <a:extLst>
            <a:ext uri="{FF2B5EF4-FFF2-40B4-BE49-F238E27FC236}">
              <a16:creationId xmlns:a16="http://schemas.microsoft.com/office/drawing/2014/main" xmlns="" id="{00000000-0008-0000-1400-000015000000}"/>
            </a:ext>
          </a:extLst>
        </xdr:cNvPr>
        <xdr:cNvSpPr txBox="1"/>
      </xdr:nvSpPr>
      <xdr:spPr>
        <a:xfrm flipH="1">
          <a:off x="9989742946" y="619506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135470</xdr:rowOff>
    </xdr:from>
    <xdr:to>
      <xdr:col>0</xdr:col>
      <xdr:colOff>6362700</xdr:colOff>
      <xdr:row>18</xdr:row>
      <xdr:rowOff>172660</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500-000002000000}"/>
            </a:ext>
          </a:extLst>
        </xdr:cNvPr>
        <xdr:cNvGrpSpPr/>
      </xdr:nvGrpSpPr>
      <xdr:grpSpPr>
        <a:xfrm flipH="1">
          <a:off x="9587530264" y="135470"/>
          <a:ext cx="6362700" cy="5806619"/>
          <a:chOff x="531805" y="70463"/>
          <a:chExt cx="5705475" cy="4600320"/>
        </a:xfrm>
        <a:solidFill>
          <a:sysClr val="window" lastClr="FFFFFF"/>
        </a:solidFill>
      </xdr:grpSpPr>
      <xdr:grpSp>
        <xdr:nvGrpSpPr>
          <xdr:cNvPr id="3" name="Add numbers instruction">
            <a:extLst>
              <a:ext uri="{FF2B5EF4-FFF2-40B4-BE49-F238E27FC236}">
                <a16:creationId xmlns:a16="http://schemas.microsoft.com/office/drawing/2014/main" xmlns="" id="{00000000-0008-0000-1500-000003000000}"/>
              </a:ext>
            </a:extLst>
          </xdr:cNvPr>
          <xdr:cNvGrpSpPr/>
        </xdr:nvGrpSpPr>
        <xdr:grpSpPr>
          <a:xfrm>
            <a:off x="531805" y="70463"/>
            <a:ext cx="5705475" cy="4600320"/>
            <a:chOff x="204890" y="-194634"/>
            <a:chExt cx="5695950" cy="4562687"/>
          </a:xfrm>
          <a:grpFill/>
        </xdr:grpSpPr>
        <xdr:sp macro="" textlink="">
          <xdr:nvSpPr>
            <xdr:cNvPr id="5" name="Background" descr="Background">
              <a:extLst>
                <a:ext uri="{FF2B5EF4-FFF2-40B4-BE49-F238E27FC236}">
                  <a16:creationId xmlns:a16="http://schemas.microsoft.com/office/drawing/2014/main" xmlns="" id="{00000000-0008-0000-1500-000005000000}"/>
                </a:ext>
              </a:extLst>
            </xdr:cNvPr>
            <xdr:cNvSpPr/>
          </xdr:nvSpPr>
          <xdr:spPr>
            <a:xfrm>
              <a:off x="204890" y="-87877"/>
              <a:ext cx="5695950" cy="445593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6" name="Step" descr="Add numbers like a champ">
              <a:extLst>
                <a:ext uri="{FF2B5EF4-FFF2-40B4-BE49-F238E27FC236}">
                  <a16:creationId xmlns:a16="http://schemas.microsoft.com/office/drawing/2014/main" xmlns="" id="{00000000-0008-0000-1500-000006000000}"/>
                </a:ext>
              </a:extLst>
            </xdr:cNvPr>
            <xdr:cNvSpPr txBox="1"/>
          </xdr:nvSpPr>
          <xdr:spPr>
            <a:xfrm>
              <a:off x="257570" y="-194634"/>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تخصص و دوره‌های آموزشی نیروی انسانی</a:t>
              </a:r>
            </a:p>
          </xdr:txBody>
        </xdr:sp>
        <xdr:cxnSp macro="">
          <xdr:nvCxnSpPr>
            <xdr:cNvPr id="7" name="Bottom line" descr="Decorative line">
              <a:extLst>
                <a:ext uri="{FF2B5EF4-FFF2-40B4-BE49-F238E27FC236}">
                  <a16:creationId xmlns:a16="http://schemas.microsoft.com/office/drawing/2014/main" xmlns="" id="{00000000-0008-0000-1500-000007000000}"/>
                </a:ext>
              </a:extLst>
            </xdr:cNvPr>
            <xdr:cNvCxnSpPr>
              <a:cxnSpLocks/>
            </xdr:cNvCxnSpPr>
          </xdr:nvCxnSpPr>
          <xdr:spPr>
            <a:xfrm>
              <a:off x="358512" y="334338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Top line" descr="Decorative line">
              <a:extLst>
                <a:ext uri="{FF2B5EF4-FFF2-40B4-BE49-F238E27FC236}">
                  <a16:creationId xmlns:a16="http://schemas.microsoft.com/office/drawing/2014/main" xmlns="" id="{00000000-0008-0000-1500-000008000000}"/>
                </a:ext>
              </a:extLst>
            </xdr:cNvPr>
            <xdr:cNvCxnSpPr>
              <a:cxnSpLocks/>
            </xdr:cNvCxnSpPr>
          </xdr:nvCxnSpPr>
          <xdr:spPr>
            <a:xfrm>
              <a:off x="415886" y="449264"/>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Add numbers introduction" descr="Here are some ways to add up numbers in Excel:">
            <a:extLst>
              <a:ext uri="{FF2B5EF4-FFF2-40B4-BE49-F238E27FC236}">
                <a16:creationId xmlns:a16="http://schemas.microsoft.com/office/drawing/2014/main" xmlns="" id="{00000000-0008-0000-1500-000004000000}"/>
              </a:ext>
            </a:extLst>
          </xdr:cNvPr>
          <xdr:cNvSpPr txBox="1"/>
        </xdr:nvSpPr>
        <xdr:spPr>
          <a:xfrm>
            <a:off x="714018" y="782845"/>
            <a:ext cx="5309802" cy="834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تخصص افراد شاغل نیز با توجه به فهرست دوره های تخصصی گذرانده شدۀ افراد شاغل و تعداد افراد شرکت کننده در هر دوره، نهایتاً میانگین نفر-ساعت دوره های آموزشی که فعال اقتصادی برای شاغلین در سال برگزار نموده است، محاسبه می شود. البته برای محاسبۀ این میانگین، ابتدا نفر-ساعت هر دورۀ آموزشی با توجه به اعتبار و میزان ارتباط مطالب آموزشی با فعالیت فعال اقتصادی تعدیل می شود. نتیجه ارزیابی نهایی فعال اقتصادی در این شاخص، نهایتا با مقایسه وضعیت ارزیابی شده با معیار که توسط شرکت رتبه بندی اعتباری برای صنعت مربوطه تعیین می شود، به دست می آید.</a:t>
            </a:r>
          </a:p>
          <a:p>
            <a:pPr algn="r" rtl="1"/>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editAs="oneCell">
    <xdr:from>
      <xdr:col>0</xdr:col>
      <xdr:colOff>0</xdr:colOff>
      <xdr:row>30</xdr:row>
      <xdr:rowOff>181302</xdr:rowOff>
    </xdr:from>
    <xdr:to>
      <xdr:col>0</xdr:col>
      <xdr:colOff>6229240</xdr:colOff>
      <xdr:row>48</xdr:row>
      <xdr:rowOff>22679</xdr:rowOff>
    </xdr:to>
    <xdr:grpSp>
      <xdr:nvGrpSpPr>
        <xdr:cNvPr id="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500-000009000000}"/>
            </a:ext>
          </a:extLst>
        </xdr:cNvPr>
        <xdr:cNvGrpSpPr/>
      </xdr:nvGrpSpPr>
      <xdr:grpSpPr>
        <a:xfrm flipH="1">
          <a:off x="9587663724" y="9951231"/>
          <a:ext cx="6229240" cy="3705805"/>
          <a:chOff x="326572" y="123073"/>
          <a:chExt cx="5705476" cy="4808236"/>
        </a:xfrm>
        <a:solidFill>
          <a:sysClr val="window" lastClr="FFFFFF"/>
        </a:solidFill>
      </xdr:grpSpPr>
      <xdr:grpSp>
        <xdr:nvGrpSpPr>
          <xdr:cNvPr id="10" name="Add numbers instruction">
            <a:extLst>
              <a:ext uri="{FF2B5EF4-FFF2-40B4-BE49-F238E27FC236}">
                <a16:creationId xmlns:a16="http://schemas.microsoft.com/office/drawing/2014/main" xmlns="" id="{00000000-0008-0000-1500-00000A000000}"/>
              </a:ext>
            </a:extLst>
          </xdr:cNvPr>
          <xdr:cNvGrpSpPr/>
        </xdr:nvGrpSpPr>
        <xdr:grpSpPr>
          <a:xfrm>
            <a:off x="326572" y="123073"/>
            <a:ext cx="5705476" cy="4808236"/>
            <a:chOff x="0" y="-142454"/>
            <a:chExt cx="5695950" cy="4768902"/>
          </a:xfrm>
          <a:grpFill/>
        </xdr:grpSpPr>
        <xdr:sp macro="" textlink="">
          <xdr:nvSpPr>
            <xdr:cNvPr id="12" name="Background" descr="Background">
              <a:extLst>
                <a:ext uri="{FF2B5EF4-FFF2-40B4-BE49-F238E27FC236}">
                  <a16:creationId xmlns:a16="http://schemas.microsoft.com/office/drawing/2014/main" xmlns="" id="{00000000-0008-0000-1500-00000C000000}"/>
                </a:ext>
              </a:extLst>
            </xdr:cNvPr>
            <xdr:cNvSpPr/>
          </xdr:nvSpPr>
          <xdr:spPr>
            <a:xfrm>
              <a:off x="0" y="6824"/>
              <a:ext cx="5695950" cy="4619624"/>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3" name="Step" descr="Add numbers like a champ">
              <a:extLst>
                <a:ext uri="{FF2B5EF4-FFF2-40B4-BE49-F238E27FC236}">
                  <a16:creationId xmlns:a16="http://schemas.microsoft.com/office/drawing/2014/main" xmlns="" id="{00000000-0008-0000-1500-00000D000000}"/>
                </a:ext>
              </a:extLst>
            </xdr:cNvPr>
            <xdr:cNvSpPr txBox="1"/>
          </xdr:nvSpPr>
          <xdr:spPr>
            <a:xfrm>
              <a:off x="185297" y="-142454"/>
              <a:ext cx="5216551" cy="49090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500-00000E000000}"/>
                </a:ext>
              </a:extLst>
            </xdr:cNvPr>
            <xdr:cNvSpPr/>
          </xdr:nvSpPr>
          <xdr:spPr>
            <a:xfrm>
              <a:off x="4396463" y="3759441"/>
              <a:ext cx="1154430" cy="50698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5" name="Top line" descr="Decorative line">
              <a:extLst>
                <a:ext uri="{FF2B5EF4-FFF2-40B4-BE49-F238E27FC236}">
                  <a16:creationId xmlns:a16="http://schemas.microsoft.com/office/drawing/2014/main" xmlns="" id="{00000000-0008-0000-1500-00000F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Add numbers introduction" descr="Here are some ways to add up numbers in Excel:">
            <a:extLst>
              <a:ext uri="{FF2B5EF4-FFF2-40B4-BE49-F238E27FC236}">
                <a16:creationId xmlns:a16="http://schemas.microsoft.com/office/drawing/2014/main" xmlns="" id="{00000000-0008-0000-1500-00000B000000}"/>
              </a:ext>
            </a:extLst>
          </xdr:cNvPr>
          <xdr:cNvSpPr txBox="1"/>
        </xdr:nvSpPr>
        <xdr:spPr>
          <a:xfrm>
            <a:off x="563161" y="834595"/>
            <a:ext cx="5309802" cy="304701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p>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42334</xdr:colOff>
      <xdr:row>0</xdr:row>
      <xdr:rowOff>95673</xdr:rowOff>
    </xdr:from>
    <xdr:to>
      <xdr:col>7</xdr:col>
      <xdr:colOff>855135</xdr:colOff>
      <xdr:row>1</xdr:row>
      <xdr:rowOff>369993</xdr:rowOff>
    </xdr:to>
    <xdr:sp macro="" textlink="">
      <xdr:nvSpPr>
        <xdr:cNvPr id="16" name="Step" descr="Add numbers like a champ">
          <a:extLst>
            <a:ext uri="{FF2B5EF4-FFF2-40B4-BE49-F238E27FC236}">
              <a16:creationId xmlns:a16="http://schemas.microsoft.com/office/drawing/2014/main" xmlns="" id="{00000000-0008-0000-1500-000010000000}"/>
            </a:ext>
          </a:extLst>
        </xdr:cNvPr>
        <xdr:cNvSpPr txBox="1"/>
      </xdr:nvSpPr>
      <xdr:spPr>
        <a:xfrm flipH="1">
          <a:off x="9982777425" y="95673"/>
          <a:ext cx="5727701"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تخصص و دوره‌های آموزشی نیروی انسانی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466725</xdr:colOff>
      <xdr:row>36</xdr:row>
      <xdr:rowOff>228600</xdr:rowOff>
    </xdr:from>
    <xdr:to>
      <xdr:col>0</xdr:col>
      <xdr:colOff>5479634</xdr:colOff>
      <xdr:row>39</xdr:row>
      <xdr:rowOff>45713</xdr:rowOff>
    </xdr:to>
    <xdr:sp macro="" textlink="">
      <xdr:nvSpPr>
        <xdr:cNvPr id="17" name="Step" descr="Here's another way to add, using a shortcut key. Select the yellow cell under the amounts for meat">
          <a:extLst>
            <a:ext uri="{FF2B5EF4-FFF2-40B4-BE49-F238E27FC236}">
              <a16:creationId xmlns:a16="http://schemas.microsoft.com/office/drawing/2014/main" xmlns="" id="{00000000-0008-0000-1500-000011000000}"/>
            </a:ext>
          </a:extLst>
        </xdr:cNvPr>
        <xdr:cNvSpPr txBox="1"/>
      </xdr:nvSpPr>
      <xdr:spPr>
        <a:xfrm flipH="1">
          <a:off x="9989742946" y="619506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135470</xdr:rowOff>
    </xdr:from>
    <xdr:to>
      <xdr:col>0</xdr:col>
      <xdr:colOff>6362700</xdr:colOff>
      <xdr:row>20</xdr:row>
      <xdr:rowOff>101601</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600-000002000000}"/>
            </a:ext>
          </a:extLst>
        </xdr:cNvPr>
        <xdr:cNvGrpSpPr/>
      </xdr:nvGrpSpPr>
      <xdr:grpSpPr>
        <a:xfrm flipH="1">
          <a:off x="9732411918" y="135470"/>
          <a:ext cx="6362700" cy="5658719"/>
          <a:chOff x="531805" y="70463"/>
          <a:chExt cx="5705475" cy="4600320"/>
        </a:xfrm>
        <a:solidFill>
          <a:sysClr val="window" lastClr="FFFFFF"/>
        </a:solidFill>
      </xdr:grpSpPr>
      <xdr:grpSp>
        <xdr:nvGrpSpPr>
          <xdr:cNvPr id="3" name="Add numbers instruction">
            <a:extLst>
              <a:ext uri="{FF2B5EF4-FFF2-40B4-BE49-F238E27FC236}">
                <a16:creationId xmlns:a16="http://schemas.microsoft.com/office/drawing/2014/main" xmlns="" id="{00000000-0008-0000-1600-000003000000}"/>
              </a:ext>
            </a:extLst>
          </xdr:cNvPr>
          <xdr:cNvGrpSpPr/>
        </xdr:nvGrpSpPr>
        <xdr:grpSpPr>
          <a:xfrm>
            <a:off x="531805" y="70463"/>
            <a:ext cx="5705475" cy="4600320"/>
            <a:chOff x="204890" y="-194634"/>
            <a:chExt cx="5695950" cy="4562687"/>
          </a:xfrm>
          <a:grpFill/>
        </xdr:grpSpPr>
        <xdr:sp macro="" textlink="">
          <xdr:nvSpPr>
            <xdr:cNvPr id="5" name="Background" descr="Background">
              <a:extLst>
                <a:ext uri="{FF2B5EF4-FFF2-40B4-BE49-F238E27FC236}">
                  <a16:creationId xmlns:a16="http://schemas.microsoft.com/office/drawing/2014/main" xmlns="" id="{00000000-0008-0000-1600-000005000000}"/>
                </a:ext>
              </a:extLst>
            </xdr:cNvPr>
            <xdr:cNvSpPr/>
          </xdr:nvSpPr>
          <xdr:spPr>
            <a:xfrm>
              <a:off x="204890" y="-87877"/>
              <a:ext cx="5695950" cy="445593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a:p>
              <a:pPr algn="r" rtl="1"/>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6" name="Step" descr="Add numbers like a champ">
              <a:extLst>
                <a:ext uri="{FF2B5EF4-FFF2-40B4-BE49-F238E27FC236}">
                  <a16:creationId xmlns:a16="http://schemas.microsoft.com/office/drawing/2014/main" xmlns="" id="{00000000-0008-0000-1600-000006000000}"/>
                </a:ext>
              </a:extLst>
            </xdr:cNvPr>
            <xdr:cNvSpPr txBox="1"/>
          </xdr:nvSpPr>
          <xdr:spPr>
            <a:xfrm>
              <a:off x="257570" y="-194634"/>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حقوق ودستمزد نیروی انسانی</a:t>
              </a:r>
            </a:p>
          </xdr:txBody>
        </xdr:sp>
        <xdr:cxnSp macro="">
          <xdr:nvCxnSpPr>
            <xdr:cNvPr id="7" name="Bottom line" descr="Decorative line">
              <a:extLst>
                <a:ext uri="{FF2B5EF4-FFF2-40B4-BE49-F238E27FC236}">
                  <a16:creationId xmlns:a16="http://schemas.microsoft.com/office/drawing/2014/main" xmlns="" id="{00000000-0008-0000-1600-000007000000}"/>
                </a:ext>
              </a:extLst>
            </xdr:cNvPr>
            <xdr:cNvCxnSpPr>
              <a:cxnSpLocks/>
            </xdr:cNvCxnSpPr>
          </xdr:nvCxnSpPr>
          <xdr:spPr>
            <a:xfrm>
              <a:off x="358512" y="334338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Top line" descr="Decorative line">
              <a:extLst>
                <a:ext uri="{FF2B5EF4-FFF2-40B4-BE49-F238E27FC236}">
                  <a16:creationId xmlns:a16="http://schemas.microsoft.com/office/drawing/2014/main" xmlns="" id="{00000000-0008-0000-1600-000008000000}"/>
                </a:ext>
              </a:extLst>
            </xdr:cNvPr>
            <xdr:cNvCxnSpPr>
              <a:cxnSpLocks/>
            </xdr:cNvCxnSpPr>
          </xdr:nvCxnSpPr>
          <xdr:spPr>
            <a:xfrm>
              <a:off x="415886" y="449264"/>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Add numbers introduction" descr="Here are some ways to add up numbers in Excel:">
            <a:extLst>
              <a:ext uri="{FF2B5EF4-FFF2-40B4-BE49-F238E27FC236}">
                <a16:creationId xmlns:a16="http://schemas.microsoft.com/office/drawing/2014/main" xmlns="" id="{00000000-0008-0000-1600-000004000000}"/>
              </a:ext>
            </a:extLst>
          </xdr:cNvPr>
          <xdr:cNvSpPr txBox="1"/>
        </xdr:nvSpPr>
        <xdr:spPr>
          <a:xfrm>
            <a:off x="714018" y="782845"/>
            <a:ext cx="5309802" cy="83444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درآمد سرانۀ افراد شاغل، سرانۀ دستمزدِ معیار افراد شاغل در صنعت مربوطه با توجه به میزان تجربه و میزان تحصیلات معیار که</a:t>
            </a: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متناسب با شرایط (ازجمله صنعت موضوع فعالیت و اندازۀ فعال اقتصادی) است، تعیین می شود. پوشش دستمزد سرانۀ فعال اقتصادی در مقایسه با دستمزد معیار مربوطه، وضعیت این شاخص را برای فعال اقتصادی مشخص می کند.</a:t>
            </a:r>
          </a:p>
          <a:p>
            <a:pPr algn="r" rtl="1"/>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editAs="oneCell">
    <xdr:from>
      <xdr:col>0</xdr:col>
      <xdr:colOff>0</xdr:colOff>
      <xdr:row>15</xdr:row>
      <xdr:rowOff>181302</xdr:rowOff>
    </xdr:from>
    <xdr:to>
      <xdr:col>0</xdr:col>
      <xdr:colOff>6229240</xdr:colOff>
      <xdr:row>32</xdr:row>
      <xdr:rowOff>141212</xdr:rowOff>
    </xdr:to>
    <xdr:grpSp>
      <xdr:nvGrpSpPr>
        <xdr:cNvPr id="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600-000009000000}"/>
            </a:ext>
          </a:extLst>
        </xdr:cNvPr>
        <xdr:cNvGrpSpPr/>
      </xdr:nvGrpSpPr>
      <xdr:grpSpPr>
        <a:xfrm flipH="1">
          <a:off x="9732545378" y="4753302"/>
          <a:ext cx="6229240" cy="3702675"/>
          <a:chOff x="326572" y="123073"/>
          <a:chExt cx="5705476" cy="4808236"/>
        </a:xfrm>
        <a:solidFill>
          <a:sysClr val="window" lastClr="FFFFFF"/>
        </a:solidFill>
      </xdr:grpSpPr>
      <xdr:grpSp>
        <xdr:nvGrpSpPr>
          <xdr:cNvPr id="10" name="Add numbers instruction">
            <a:extLst>
              <a:ext uri="{FF2B5EF4-FFF2-40B4-BE49-F238E27FC236}">
                <a16:creationId xmlns:a16="http://schemas.microsoft.com/office/drawing/2014/main" xmlns="" id="{00000000-0008-0000-1600-00000A000000}"/>
              </a:ext>
            </a:extLst>
          </xdr:cNvPr>
          <xdr:cNvGrpSpPr/>
        </xdr:nvGrpSpPr>
        <xdr:grpSpPr>
          <a:xfrm>
            <a:off x="326572" y="123073"/>
            <a:ext cx="5705476" cy="4808236"/>
            <a:chOff x="0" y="-142454"/>
            <a:chExt cx="5695950" cy="4768902"/>
          </a:xfrm>
          <a:grpFill/>
        </xdr:grpSpPr>
        <xdr:sp macro="" textlink="">
          <xdr:nvSpPr>
            <xdr:cNvPr id="12" name="Background" descr="Background">
              <a:extLst>
                <a:ext uri="{FF2B5EF4-FFF2-40B4-BE49-F238E27FC236}">
                  <a16:creationId xmlns:a16="http://schemas.microsoft.com/office/drawing/2014/main" xmlns="" id="{00000000-0008-0000-1600-00000C000000}"/>
                </a:ext>
              </a:extLst>
            </xdr:cNvPr>
            <xdr:cNvSpPr/>
          </xdr:nvSpPr>
          <xdr:spPr>
            <a:xfrm>
              <a:off x="0" y="6824"/>
              <a:ext cx="5695950" cy="4619624"/>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3" name="Step" descr="Add numbers like a champ">
              <a:extLst>
                <a:ext uri="{FF2B5EF4-FFF2-40B4-BE49-F238E27FC236}">
                  <a16:creationId xmlns:a16="http://schemas.microsoft.com/office/drawing/2014/main" xmlns="" id="{00000000-0008-0000-1600-00000D000000}"/>
                </a:ext>
              </a:extLst>
            </xdr:cNvPr>
            <xdr:cNvSpPr txBox="1"/>
          </xdr:nvSpPr>
          <xdr:spPr>
            <a:xfrm>
              <a:off x="185297" y="-142454"/>
              <a:ext cx="5216551" cy="49090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600-00000E000000}"/>
                </a:ext>
              </a:extLst>
            </xdr:cNvPr>
            <xdr:cNvSpPr/>
          </xdr:nvSpPr>
          <xdr:spPr>
            <a:xfrm>
              <a:off x="4396463" y="3759441"/>
              <a:ext cx="1154430" cy="50698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5" name="Top line" descr="Decorative line">
              <a:extLst>
                <a:ext uri="{FF2B5EF4-FFF2-40B4-BE49-F238E27FC236}">
                  <a16:creationId xmlns:a16="http://schemas.microsoft.com/office/drawing/2014/main" xmlns="" id="{00000000-0008-0000-1600-00000F000000}"/>
                </a:ext>
              </a:extLst>
            </xdr:cNvPr>
            <xdr:cNvCxnSpPr>
              <a:cxnSpLocks/>
            </xdr:cNvCxnSpPr>
          </xdr:nvCxnSpPr>
          <xdr:spPr>
            <a:xfrm>
              <a:off x="242516" y="516933"/>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Add numbers introduction" descr="Here are some ways to add up numbers in Excel:">
            <a:extLst>
              <a:ext uri="{FF2B5EF4-FFF2-40B4-BE49-F238E27FC236}">
                <a16:creationId xmlns:a16="http://schemas.microsoft.com/office/drawing/2014/main" xmlns="" id="{00000000-0008-0000-1600-00000B000000}"/>
              </a:ext>
            </a:extLst>
          </xdr:cNvPr>
          <xdr:cNvSpPr txBox="1"/>
        </xdr:nvSpPr>
        <xdr:spPr>
          <a:xfrm>
            <a:off x="563161" y="834595"/>
            <a:ext cx="5309802" cy="304701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p>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42335</xdr:colOff>
      <xdr:row>0</xdr:row>
      <xdr:rowOff>95673</xdr:rowOff>
    </xdr:from>
    <xdr:to>
      <xdr:col>6</xdr:col>
      <xdr:colOff>982134</xdr:colOff>
      <xdr:row>1</xdr:row>
      <xdr:rowOff>369993</xdr:rowOff>
    </xdr:to>
    <xdr:sp macro="" textlink="">
      <xdr:nvSpPr>
        <xdr:cNvPr id="16" name="Step" descr="Add numbers like a champ">
          <a:extLst>
            <a:ext uri="{FF2B5EF4-FFF2-40B4-BE49-F238E27FC236}">
              <a16:creationId xmlns:a16="http://schemas.microsoft.com/office/drawing/2014/main" xmlns="" id="{00000000-0008-0000-1600-000010000000}"/>
            </a:ext>
          </a:extLst>
        </xdr:cNvPr>
        <xdr:cNvSpPr txBox="1"/>
      </xdr:nvSpPr>
      <xdr:spPr>
        <a:xfrm flipH="1">
          <a:off x="9983808666" y="95673"/>
          <a:ext cx="5537199"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 (وضعیت اشتغال)</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حقوق ودستمزد نیروی انسانی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466725</xdr:colOff>
      <xdr:row>21</xdr:row>
      <xdr:rowOff>228600</xdr:rowOff>
    </xdr:from>
    <xdr:to>
      <xdr:col>0</xdr:col>
      <xdr:colOff>5479634</xdr:colOff>
      <xdr:row>24</xdr:row>
      <xdr:rowOff>45713</xdr:rowOff>
    </xdr:to>
    <xdr:sp macro="" textlink="">
      <xdr:nvSpPr>
        <xdr:cNvPr id="17" name="Step" descr="Here's another way to add, using a shortcut key. Select the yellow cell under the amounts for meat">
          <a:extLst>
            <a:ext uri="{FF2B5EF4-FFF2-40B4-BE49-F238E27FC236}">
              <a16:creationId xmlns:a16="http://schemas.microsoft.com/office/drawing/2014/main" xmlns="" id="{00000000-0008-0000-1600-000011000000}"/>
            </a:ext>
          </a:extLst>
        </xdr:cNvPr>
        <xdr:cNvSpPr txBox="1"/>
      </xdr:nvSpPr>
      <xdr:spPr>
        <a:xfrm flipH="1">
          <a:off x="9989895346" y="619506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xdr:colOff>
      <xdr:row>0</xdr:row>
      <xdr:rowOff>121074</xdr:rowOff>
    </xdr:from>
    <xdr:to>
      <xdr:col>7</xdr:col>
      <xdr:colOff>872068</xdr:colOff>
      <xdr:row>1</xdr:row>
      <xdr:rowOff>395394</xdr:rowOff>
    </xdr:to>
    <xdr:sp macro="" textlink="">
      <xdr:nvSpPr>
        <xdr:cNvPr id="18" name="Step" descr="Add numbers like a champ">
          <a:extLst>
            <a:ext uri="{FF2B5EF4-FFF2-40B4-BE49-F238E27FC236}">
              <a16:creationId xmlns:a16="http://schemas.microsoft.com/office/drawing/2014/main" xmlns="" id="{00000000-0008-0000-1700-000012000000}"/>
            </a:ext>
          </a:extLst>
        </xdr:cNvPr>
        <xdr:cNvSpPr txBox="1"/>
      </xdr:nvSpPr>
      <xdr:spPr>
        <a:xfrm flipH="1">
          <a:off x="9982775732" y="121074"/>
          <a:ext cx="7281334"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rtl="1" eaLnBrk="1" fontAlgn="auto" latinLnBrk="0" hangingPunct="1"/>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تجاری(وضعیت اشتغال)</a:t>
          </a:r>
        </a:p>
        <a:p>
          <a:pPr algn="ctr" rtl="1" eaLnBrk="1" fontAlgn="auto" latinLnBrk="0" hangingPunct="1"/>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حقوق ودستمزد نیروی انسانی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4235</xdr:colOff>
      <xdr:row>29</xdr:row>
      <xdr:rowOff>59266</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800-000002000000}"/>
            </a:ext>
          </a:extLst>
        </xdr:cNvPr>
        <xdr:cNvGrpSpPr/>
      </xdr:nvGrpSpPr>
      <xdr:grpSpPr>
        <a:xfrm flipH="1">
          <a:off x="9676652815" y="0"/>
          <a:ext cx="6252635" cy="8117416"/>
          <a:chOff x="531803" y="21742"/>
          <a:chExt cx="5705477"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1800-000003000000}"/>
              </a:ext>
            </a:extLst>
          </xdr:cNvPr>
          <xdr:cNvGrpSpPr/>
        </xdr:nvGrpSpPr>
        <xdr:grpSpPr>
          <a:xfrm>
            <a:off x="531805" y="21742"/>
            <a:ext cx="5705475" cy="4902688"/>
            <a:chOff x="204890" y="-242956"/>
            <a:chExt cx="5695950" cy="4862581"/>
          </a:xfrm>
          <a:grpFill/>
        </xdr:grpSpPr>
        <xdr:sp macro="" textlink="">
          <xdr:nvSpPr>
            <xdr:cNvPr id="6" name="Background" descr="Background">
              <a:extLst>
                <a:ext uri="{FF2B5EF4-FFF2-40B4-BE49-F238E27FC236}">
                  <a16:creationId xmlns:a16="http://schemas.microsoft.com/office/drawing/2014/main" xmlns="" id="{00000000-0008-0000-1800-000006000000}"/>
                </a:ext>
              </a:extLst>
            </xdr:cNvPr>
            <xdr:cNvSpPr/>
          </xdr:nvSpPr>
          <xdr:spPr>
            <a:xfrm>
              <a:off x="204890" y="27509"/>
              <a:ext cx="5695950" cy="459211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800-000007000000}"/>
                </a:ext>
              </a:extLst>
            </xdr:cNvPr>
            <xdr:cNvSpPr txBox="1"/>
          </xdr:nvSpPr>
          <xdr:spPr>
            <a:xfrm>
              <a:off x="272731" y="-242956"/>
              <a:ext cx="5216550" cy="309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تجاری(وضعیت بهره وری)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بهره وری</a:t>
              </a:r>
            </a:p>
          </xdr:txBody>
        </xdr:sp>
        <xdr:cxnSp macro="">
          <xdr:nvCxnSpPr>
            <xdr:cNvPr id="8" name="Bottom line" descr="Decorative line">
              <a:extLst>
                <a:ext uri="{FF2B5EF4-FFF2-40B4-BE49-F238E27FC236}">
                  <a16:creationId xmlns:a16="http://schemas.microsoft.com/office/drawing/2014/main" xmlns="" id="{00000000-0008-0000-1800-000008000000}"/>
                </a:ext>
              </a:extLst>
            </xdr:cNvPr>
            <xdr:cNvCxnSpPr>
              <a:cxnSpLocks/>
            </xdr:cNvCxnSpPr>
          </xdr:nvCxnSpPr>
          <xdr:spPr>
            <a:xfrm>
              <a:off x="341300" y="2897592"/>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800-000009000000}"/>
                </a:ext>
              </a:extLst>
            </xdr:cNvPr>
            <xdr:cNvCxnSpPr>
              <a:cxnSpLocks/>
            </xdr:cNvCxnSpPr>
          </xdr:nvCxnSpPr>
          <xdr:spPr>
            <a:xfrm>
              <a:off x="335168" y="168845"/>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 name="Step" descr="Type =SUM(D4:D7), and then press enter. When you're done, you'll see the result of 170">
            <a:extLst>
              <a:ext uri="{FF2B5EF4-FFF2-40B4-BE49-F238E27FC236}">
                <a16:creationId xmlns:a16="http://schemas.microsoft.com/office/drawing/2014/main" xmlns="" id="{00000000-0008-0000-1800-000004000000}"/>
              </a:ext>
            </a:extLst>
          </xdr:cNvPr>
          <xdr:cNvSpPr txBox="1"/>
        </xdr:nvSpPr>
        <xdr:spPr>
          <a:xfrm>
            <a:off x="531803" y="963211"/>
            <a:ext cx="5230815" cy="48120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یکی از شاخص های ارزیابی بهره وری، بهره وری نیروی کار و رقابت پذیری آن است. رقابت پذیری، در مقایسۀ با فعالان اقتصادی رقیب با موضوع فعالیت و اندازۀ مشابه ارزیابی میشود. دلیل در نظر گرفتن اندازه، اثر مقیاس بر بهره وری است. هدف از ارزیابی بهره وری نیروی کار، سنجش توان مدیریت در به کارگیری نیروی انسانی است. ارزش افزوده ایجادشده نسبت به هزینه های پرداخت شده جهت جبران خدمت کارکنان، نشان میدهد که فعال اقتصادی به ازای هر یک ریال هزینه ای که بابت به کارگیری نیروی انسانی متحمل شده است، چند ریال ارزش افزوده ایجاد کرده است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sp macro="" textlink="">
        <xdr:nvSpPr>
          <xdr:cNvPr id="5" name="Add numbers introduction" descr="Here are some ways to add up numbers in Excel:">
            <a:extLst>
              <a:ext uri="{FF2B5EF4-FFF2-40B4-BE49-F238E27FC236}">
                <a16:creationId xmlns:a16="http://schemas.microsoft.com/office/drawing/2014/main" xmlns="" id="{00000000-0008-0000-1800-000005000000}"/>
              </a:ext>
            </a:extLst>
          </xdr:cNvPr>
          <xdr:cNvSpPr txBox="1"/>
        </xdr:nvSpPr>
        <xdr:spPr>
          <a:xfrm>
            <a:off x="600872" y="521608"/>
            <a:ext cx="5309802" cy="3958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r" defTabSz="914400" rtl="1" eaLnBrk="1" latinLnBrk="0" hangingPunct="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ارزش</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افزوده ایجادشده در فعال اقتصادی را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عنوان مبنای محاسبۀ بهره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وری در نظر میگیرد که طبق</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دستورالعمل، در سه سطح نیروی کار، سرمایه و انرژی اندازه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گیری میشود. ارزشافزوده ایجادشده عمدتاً با استفاده از اقلام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صورتهای مالی قابل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محاسبه است.</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0</xdr:colOff>
      <xdr:row>7</xdr:row>
      <xdr:rowOff>184968</xdr:rowOff>
    </xdr:from>
    <xdr:to>
      <xdr:col>0</xdr:col>
      <xdr:colOff>5814327</xdr:colOff>
      <xdr:row>10</xdr:row>
      <xdr:rowOff>163286</xdr:rowOff>
    </xdr:to>
    <xdr:sp macro="" textlink="">
      <xdr:nvSpPr>
        <xdr:cNvPr id="10" name="Step" descr="Here's another way to add, using a shortcut key. Select the yellow cell under the amounts for meat">
          <a:extLst>
            <a:ext uri="{FF2B5EF4-FFF2-40B4-BE49-F238E27FC236}">
              <a16:creationId xmlns:a16="http://schemas.microsoft.com/office/drawing/2014/main" xmlns="" id="{00000000-0008-0000-1800-00000A000000}"/>
            </a:ext>
          </a:extLst>
        </xdr:cNvPr>
        <xdr:cNvSpPr txBox="1"/>
      </xdr:nvSpPr>
      <xdr:spPr>
        <a:xfrm flipH="1">
          <a:off x="9586255280" y="2838361"/>
          <a:ext cx="5814327" cy="958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رتبه بندی اعتباری جهت ارزیابی بهره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وری سرمایه و رقابت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پذیری آن، میزان ارزش</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افزودۀ ایجادشده در مقایسه با دارایی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کار رفته شده مدنظر قرار میدهد. محاسبۀ بهره وری سرمایه و رقابت پذیری آن در مقایسه با دو شاخص دیگر بهره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وری، از</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حساسیت بیشتری برخوردار است. دلیل این امر، لزوم اعمال تعدیلات بر روی اقلام صورتهای مالی جهت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رسیدن به معیار</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مناسب بهره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وری است.</a:t>
          </a:r>
        </a:p>
      </xdr:txBody>
    </xdr:sp>
    <xdr:clientData/>
  </xdr:twoCellAnchor>
  <xdr:twoCellAnchor editAs="oneCell">
    <xdr:from>
      <xdr:col>0</xdr:col>
      <xdr:colOff>0</xdr:colOff>
      <xdr:row>16</xdr:row>
      <xdr:rowOff>121873</xdr:rowOff>
    </xdr:from>
    <xdr:to>
      <xdr:col>1</xdr:col>
      <xdr:colOff>1058</xdr:colOff>
      <xdr:row>30</xdr:row>
      <xdr:rowOff>105230</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800-00000B000000}"/>
            </a:ext>
          </a:extLst>
        </xdr:cNvPr>
        <xdr:cNvGrpSpPr/>
      </xdr:nvGrpSpPr>
      <xdr:grpSpPr>
        <a:xfrm flipH="1">
          <a:off x="9676655992" y="5408248"/>
          <a:ext cx="6249458" cy="2945632"/>
          <a:chOff x="326572" y="-150210"/>
          <a:chExt cx="5893630" cy="5081520"/>
        </a:xfrm>
        <a:solidFill>
          <a:sysClr val="window" lastClr="FFFFFF"/>
        </a:solidFill>
      </xdr:grpSpPr>
      <xdr:grpSp>
        <xdr:nvGrpSpPr>
          <xdr:cNvPr id="12" name="Add numbers instruction">
            <a:extLst>
              <a:ext uri="{FF2B5EF4-FFF2-40B4-BE49-F238E27FC236}">
                <a16:creationId xmlns:a16="http://schemas.microsoft.com/office/drawing/2014/main" xmlns="" id="{00000000-0008-0000-1800-00000C000000}"/>
              </a:ext>
            </a:extLst>
          </xdr:cNvPr>
          <xdr:cNvGrpSpPr/>
        </xdr:nvGrpSpPr>
        <xdr:grpSpPr>
          <a:xfrm>
            <a:off x="326572" y="-150210"/>
            <a:ext cx="5893630" cy="5081520"/>
            <a:chOff x="0" y="-413501"/>
            <a:chExt cx="5883790" cy="5039950"/>
          </a:xfrm>
          <a:grpFill/>
        </xdr:grpSpPr>
        <xdr:sp macro="" textlink="">
          <xdr:nvSpPr>
            <xdr:cNvPr id="14" name="Background" descr="Background">
              <a:extLst>
                <a:ext uri="{FF2B5EF4-FFF2-40B4-BE49-F238E27FC236}">
                  <a16:creationId xmlns:a16="http://schemas.microsoft.com/office/drawing/2014/main" xmlns="" id="{00000000-0008-0000-1800-00000E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a16="http://schemas.microsoft.com/office/drawing/2014/main" xmlns="" id="{00000000-0008-0000-1800-00000F000000}"/>
                </a:ext>
              </a:extLst>
            </xdr:cNvPr>
            <xdr:cNvSpPr txBox="1"/>
          </xdr:nvSpPr>
          <xdr:spPr>
            <a:xfrm>
              <a:off x="170728" y="-413501"/>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800-000010000000}"/>
                </a:ext>
              </a:extLst>
            </xdr:cNvPr>
            <xdr:cNvSpPr/>
          </xdr:nvSpPr>
          <xdr:spPr>
            <a:xfrm>
              <a:off x="4729360" y="3661573"/>
              <a:ext cx="1154430" cy="71366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a16="http://schemas.microsoft.com/office/drawing/2014/main" xmlns="" id="{00000000-0008-0000-1800-000011000000}"/>
                </a:ext>
              </a:extLst>
            </xdr:cNvPr>
            <xdr:cNvCxnSpPr>
              <a:cxnSpLocks/>
            </xdr:cNvCxnSpPr>
          </xdr:nvCxnSpPr>
          <xdr:spPr>
            <a:xfrm>
              <a:off x="67828" y="523234"/>
              <a:ext cx="5498348"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a16="http://schemas.microsoft.com/office/drawing/2014/main" xmlns="" id="{00000000-0008-0000-1800-00000D000000}"/>
              </a:ext>
            </a:extLst>
          </xdr:cNvPr>
          <xdr:cNvSpPr txBox="1"/>
        </xdr:nvSpPr>
        <xdr:spPr>
          <a:xfrm>
            <a:off x="563160" y="834594"/>
            <a:ext cx="5309802" cy="282824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25402</xdr:colOff>
      <xdr:row>0</xdr:row>
      <xdr:rowOff>129540</xdr:rowOff>
    </xdr:from>
    <xdr:to>
      <xdr:col>9</xdr:col>
      <xdr:colOff>914400</xdr:colOff>
      <xdr:row>1</xdr:row>
      <xdr:rowOff>403860</xdr:rowOff>
    </xdr:to>
    <xdr:sp macro="" textlink="">
      <xdr:nvSpPr>
        <xdr:cNvPr id="18" name="Step" descr="Add numbers like a champ">
          <a:extLst>
            <a:ext uri="{FF2B5EF4-FFF2-40B4-BE49-F238E27FC236}">
              <a16:creationId xmlns:a16="http://schemas.microsoft.com/office/drawing/2014/main" xmlns="" id="{00000000-0008-0000-1800-000012000000}"/>
            </a:ext>
          </a:extLst>
        </xdr:cNvPr>
        <xdr:cNvSpPr txBox="1"/>
      </xdr:nvSpPr>
      <xdr:spPr>
        <a:xfrm flipH="1">
          <a:off x="9980896133" y="129540"/>
          <a:ext cx="6045198"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اقتصادی و تجاری(وضعیت بهره وری)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وضعیت بهره وری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xdr:from>
      <xdr:col>0</xdr:col>
      <xdr:colOff>0</xdr:colOff>
      <xdr:row>11</xdr:row>
      <xdr:rowOff>32508</xdr:rowOff>
    </xdr:from>
    <xdr:to>
      <xdr:col>0</xdr:col>
      <xdr:colOff>6056840</xdr:colOff>
      <xdr:row>13</xdr:row>
      <xdr:rowOff>408214</xdr:rowOff>
    </xdr:to>
    <xdr:sp macro="" textlink="">
      <xdr:nvSpPr>
        <xdr:cNvPr id="31" name="Step" descr="Type =SUM(D4:D7), and then press enter. When you're done, you'll see the result of 170">
          <a:extLst>
            <a:ext uri="{FF2B5EF4-FFF2-40B4-BE49-F238E27FC236}">
              <a16:creationId xmlns:a16="http://schemas.microsoft.com/office/drawing/2014/main" xmlns="" id="{00000000-0008-0000-1800-00001F000000}"/>
            </a:ext>
          </a:extLst>
        </xdr:cNvPr>
        <xdr:cNvSpPr txBox="1"/>
      </xdr:nvSpPr>
      <xdr:spPr>
        <a:xfrm flipH="1">
          <a:off x="9586012767" y="3910544"/>
          <a:ext cx="6056840" cy="86556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شاخص سومِ ارزیابی بهره وری، بهره وری در انرژی و رقابت پذیری در آن است. در این شاخص نیز شرکت رتبه بندی اعتباری</a:t>
          </a: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بررسی میکند که به ازای هر ریال هزینۀ صورت گرفته برای انرژی، چه میزان ارزش افزوده در فعال اقتصادی ایجادشده است و</a:t>
          </a:r>
        </a:p>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شرکت های فعال در صنعت مشابه با اندازۀ قابل قیاس، از این منظر در چه وضعیتی قرار دارند.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101602</xdr:rowOff>
    </xdr:from>
    <xdr:to>
      <xdr:col>1</xdr:col>
      <xdr:colOff>5043</xdr:colOff>
      <xdr:row>7</xdr:row>
      <xdr:rowOff>220135</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900-000002000000}"/>
            </a:ext>
          </a:extLst>
        </xdr:cNvPr>
        <xdr:cNvGrpSpPr/>
      </xdr:nvGrpSpPr>
      <xdr:grpSpPr>
        <a:xfrm flipH="1">
          <a:off x="9728157604" y="101602"/>
          <a:ext cx="6257925" cy="2471768"/>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1900-000003000000}"/>
              </a:ext>
            </a:extLst>
          </xdr:cNvPr>
          <xdr:cNvGrpSpPr/>
        </xdr:nvGrpSpPr>
        <xdr:grpSpPr>
          <a:xfrm>
            <a:off x="531805" y="21742"/>
            <a:ext cx="5705475" cy="4902688"/>
            <a:chOff x="204890" y="-242956"/>
            <a:chExt cx="5695950" cy="4862581"/>
          </a:xfrm>
          <a:grpFill/>
        </xdr:grpSpPr>
        <xdr:sp macro="" textlink="">
          <xdr:nvSpPr>
            <xdr:cNvPr id="6" name="Background" descr="Background">
              <a:extLst>
                <a:ext uri="{FF2B5EF4-FFF2-40B4-BE49-F238E27FC236}">
                  <a16:creationId xmlns:a16="http://schemas.microsoft.com/office/drawing/2014/main" xmlns="" id="{00000000-0008-0000-1900-000006000000}"/>
                </a:ext>
              </a:extLst>
            </xdr:cNvPr>
            <xdr:cNvSpPr/>
          </xdr:nvSpPr>
          <xdr:spPr>
            <a:xfrm>
              <a:off x="204890" y="27509"/>
              <a:ext cx="5695950" cy="459211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900-000007000000}"/>
                </a:ext>
              </a:extLst>
            </xdr:cNvPr>
            <xdr:cNvSpPr txBox="1"/>
          </xdr:nvSpPr>
          <xdr:spPr>
            <a:xfrm>
              <a:off x="272731" y="-242956"/>
              <a:ext cx="5216550" cy="30936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اجتماعی و تشکلی(تشکل گرایی)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تشکل گرایی</a:t>
              </a:r>
            </a:p>
          </xdr:txBody>
        </xdr:sp>
        <xdr:cxnSp macro="">
          <xdr:nvCxnSpPr>
            <xdr:cNvPr id="8" name="Bottom line" descr="Decorative line">
              <a:extLst>
                <a:ext uri="{FF2B5EF4-FFF2-40B4-BE49-F238E27FC236}">
                  <a16:creationId xmlns:a16="http://schemas.microsoft.com/office/drawing/2014/main" xmlns="" id="{00000000-0008-0000-1900-000008000000}"/>
                </a:ext>
              </a:extLst>
            </xdr:cNvPr>
            <xdr:cNvCxnSpPr>
              <a:cxnSpLocks/>
            </xdr:cNvCxnSpPr>
          </xdr:nvCxnSpPr>
          <xdr:spPr>
            <a:xfrm>
              <a:off x="263402" y="1267251"/>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900-000009000000}"/>
                </a:ext>
              </a:extLst>
            </xdr:cNvPr>
            <xdr:cNvCxnSpPr>
              <a:cxnSpLocks/>
            </xdr:cNvCxnSpPr>
          </xdr:nvCxnSpPr>
          <xdr:spPr>
            <a:xfrm>
              <a:off x="295912" y="3882112"/>
              <a:ext cx="5213375"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 name="Add numbers introduction" descr="Here are some ways to add up numbers in Excel:">
            <a:extLst>
              <a:ext uri="{FF2B5EF4-FFF2-40B4-BE49-F238E27FC236}">
                <a16:creationId xmlns:a16="http://schemas.microsoft.com/office/drawing/2014/main" xmlns="" id="{00000000-0008-0000-1900-000005000000}"/>
              </a:ext>
            </a:extLst>
          </xdr:cNvPr>
          <xdr:cNvSpPr txBox="1"/>
        </xdr:nvSpPr>
        <xdr:spPr>
          <a:xfrm>
            <a:off x="627720" y="1754852"/>
            <a:ext cx="5309802" cy="72761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منظور از تشکل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گرایی در اینجا عضویت فعال اقتصادی یا فعالیت آن در یک یا چند تشکل حرفه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است. از نظر دستورالعمل، عضویت فعال اقتصادی در تشکل</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حرفه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ای و مشارکت فعال آن در امور حرفه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ای تشکل مربوطه،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نشان از حسن شهرت فعال اقتصادی و متعاقباً عاملی در بهبود ایفای تعهدات آن خواهد بود.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ارزیابی این شاخص، 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ابتدا میزان مشارکت فعال اقتصادی در تشکل مربوطه را ارزیابی و سپس آن را</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با دو عامل اعتبار و جایگاه تشکل مربوطه و میزان استقلال آن، تعدیل میکند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a:t>
            </a:r>
          </a:p>
        </xdr:txBody>
      </xdr:sp>
    </xdr:grpSp>
    <xdr:clientData/>
  </xdr:twoCellAnchor>
  <xdr:twoCellAnchor>
    <xdr:from>
      <xdr:col>2</xdr:col>
      <xdr:colOff>220983</xdr:colOff>
      <xdr:row>0</xdr:row>
      <xdr:rowOff>129540</xdr:rowOff>
    </xdr:from>
    <xdr:to>
      <xdr:col>11</xdr:col>
      <xdr:colOff>189028</xdr:colOff>
      <xdr:row>1</xdr:row>
      <xdr:rowOff>403860</xdr:rowOff>
    </xdr:to>
    <xdr:sp macro="" textlink="">
      <xdr:nvSpPr>
        <xdr:cNvPr id="18" name="Step" descr="Add numbers like a champ">
          <a:extLst>
            <a:ext uri="{FF2B5EF4-FFF2-40B4-BE49-F238E27FC236}">
              <a16:creationId xmlns:a16="http://schemas.microsoft.com/office/drawing/2014/main" xmlns="" id="{00000000-0008-0000-1900-000012000000}"/>
            </a:ext>
          </a:extLst>
        </xdr:cNvPr>
        <xdr:cNvSpPr txBox="1"/>
      </xdr:nvSpPr>
      <xdr:spPr>
        <a:xfrm flipH="1">
          <a:off x="9668743247" y="129540"/>
          <a:ext cx="5521120" cy="84582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اجتماعی و تشکلی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تشکل گرایی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0</xdr:colOff>
      <xdr:row>6</xdr:row>
      <xdr:rowOff>160866</xdr:rowOff>
    </xdr:from>
    <xdr:to>
      <xdr:col>1</xdr:col>
      <xdr:colOff>1868</xdr:colOff>
      <xdr:row>17</xdr:row>
      <xdr:rowOff>181718</xdr:rowOff>
    </xdr:to>
    <xdr:grpSp>
      <xdr:nvGrpSpPr>
        <xdr:cNvPr id="19"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900-000013000000}"/>
            </a:ext>
          </a:extLst>
        </xdr:cNvPr>
        <xdr:cNvGrpSpPr/>
      </xdr:nvGrpSpPr>
      <xdr:grpSpPr>
        <a:xfrm flipH="1">
          <a:off x="9728160779" y="2278778"/>
          <a:ext cx="6254750" cy="2923175"/>
          <a:chOff x="326572" y="174967"/>
          <a:chExt cx="5893630" cy="4756343"/>
        </a:xfrm>
        <a:solidFill>
          <a:sysClr val="window" lastClr="FFFFFF"/>
        </a:solidFill>
      </xdr:grpSpPr>
      <xdr:grpSp>
        <xdr:nvGrpSpPr>
          <xdr:cNvPr id="20" name="Add numbers instruction">
            <a:extLst>
              <a:ext uri="{FF2B5EF4-FFF2-40B4-BE49-F238E27FC236}">
                <a16:creationId xmlns:a16="http://schemas.microsoft.com/office/drawing/2014/main" xmlns="" id="{00000000-0008-0000-1900-000014000000}"/>
              </a:ext>
            </a:extLst>
          </xdr:cNvPr>
          <xdr:cNvGrpSpPr/>
        </xdr:nvGrpSpPr>
        <xdr:grpSpPr>
          <a:xfrm>
            <a:off x="326572" y="174967"/>
            <a:ext cx="5893630" cy="4756343"/>
            <a:chOff x="0" y="-90984"/>
            <a:chExt cx="5883790" cy="4717433"/>
          </a:xfrm>
          <a:grpFill/>
        </xdr:grpSpPr>
        <xdr:sp macro="" textlink="">
          <xdr:nvSpPr>
            <xdr:cNvPr id="22" name="Background" descr="Background">
              <a:extLst>
                <a:ext uri="{FF2B5EF4-FFF2-40B4-BE49-F238E27FC236}">
                  <a16:creationId xmlns:a16="http://schemas.microsoft.com/office/drawing/2014/main" xmlns="" id="{00000000-0008-0000-1900-000016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23" name="Step" descr="Add numbers like a champ">
              <a:extLst>
                <a:ext uri="{FF2B5EF4-FFF2-40B4-BE49-F238E27FC236}">
                  <a16:creationId xmlns:a16="http://schemas.microsoft.com/office/drawing/2014/main" xmlns="" id="{00000000-0008-0000-1900-000017000000}"/>
                </a:ext>
              </a:extLst>
            </xdr:cNvPr>
            <xdr:cNvSpPr txBox="1"/>
          </xdr:nvSpPr>
          <xdr:spPr>
            <a:xfrm>
              <a:off x="247628" y="-90984"/>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24"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900-000018000000}"/>
                </a:ext>
              </a:extLst>
            </xdr:cNvPr>
            <xdr:cNvSpPr/>
          </xdr:nvSpPr>
          <xdr:spPr>
            <a:xfrm>
              <a:off x="4729360" y="3661573"/>
              <a:ext cx="1154430" cy="713665"/>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25" name="Top line" descr="Decorative line">
              <a:extLst>
                <a:ext uri="{FF2B5EF4-FFF2-40B4-BE49-F238E27FC236}">
                  <a16:creationId xmlns:a16="http://schemas.microsoft.com/office/drawing/2014/main" xmlns="" id="{00000000-0008-0000-1900-000019000000}"/>
                </a:ext>
              </a:extLst>
            </xdr:cNvPr>
            <xdr:cNvCxnSpPr>
              <a:cxnSpLocks/>
            </xdr:cNvCxnSpPr>
          </xdr:nvCxnSpPr>
          <xdr:spPr>
            <a:xfrm>
              <a:off x="67828" y="636749"/>
              <a:ext cx="5498348"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1" name="Add numbers introduction" descr="Here are some ways to add up numbers in Excel:">
            <a:extLst>
              <a:ext uri="{FF2B5EF4-FFF2-40B4-BE49-F238E27FC236}">
                <a16:creationId xmlns:a16="http://schemas.microsoft.com/office/drawing/2014/main" xmlns="" id="{00000000-0008-0000-1900-000015000000}"/>
              </a:ext>
            </a:extLst>
          </xdr:cNvPr>
          <xdr:cNvSpPr txBox="1"/>
        </xdr:nvSpPr>
        <xdr:spPr>
          <a:xfrm>
            <a:off x="571114" y="1120723"/>
            <a:ext cx="5309802" cy="258792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6490323</xdr:colOff>
      <xdr:row>30</xdr:row>
      <xdr:rowOff>165598</xdr:rowOff>
    </xdr:to>
    <xdr:grpSp>
      <xdr:nvGrpSpPr>
        <xdr:cNvPr id="2"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A00-000002000000}"/>
            </a:ext>
          </a:extLst>
        </xdr:cNvPr>
        <xdr:cNvGrpSpPr/>
      </xdr:nvGrpSpPr>
      <xdr:grpSpPr>
        <a:xfrm flipH="1">
          <a:off x="9733001471" y="1"/>
          <a:ext cx="6490323" cy="8222626"/>
          <a:chOff x="531805" y="21742"/>
          <a:chExt cx="5705475" cy="4902688"/>
        </a:xfrm>
        <a:solidFill>
          <a:sysClr val="window" lastClr="FFFFFF"/>
        </a:solidFill>
      </xdr:grpSpPr>
      <xdr:grpSp>
        <xdr:nvGrpSpPr>
          <xdr:cNvPr id="3" name="Add numbers instruction">
            <a:extLst>
              <a:ext uri="{FF2B5EF4-FFF2-40B4-BE49-F238E27FC236}">
                <a16:creationId xmlns:a16="http://schemas.microsoft.com/office/drawing/2014/main" xmlns="" id="{00000000-0008-0000-1A00-000003000000}"/>
              </a:ext>
            </a:extLst>
          </xdr:cNvPr>
          <xdr:cNvGrpSpPr/>
        </xdr:nvGrpSpPr>
        <xdr:grpSpPr>
          <a:xfrm>
            <a:off x="531805" y="21742"/>
            <a:ext cx="5705475" cy="4902688"/>
            <a:chOff x="204890" y="-242956"/>
            <a:chExt cx="5695950" cy="4862581"/>
          </a:xfrm>
          <a:grpFill/>
        </xdr:grpSpPr>
        <xdr:sp macro="" textlink="">
          <xdr:nvSpPr>
            <xdr:cNvPr id="6" name="Background" descr="Background">
              <a:extLst>
                <a:ext uri="{FF2B5EF4-FFF2-40B4-BE49-F238E27FC236}">
                  <a16:creationId xmlns:a16="http://schemas.microsoft.com/office/drawing/2014/main" xmlns="" id="{00000000-0008-0000-1A00-000006000000}"/>
                </a:ext>
              </a:extLst>
            </xdr:cNvPr>
            <xdr:cNvSpPr/>
          </xdr:nvSpPr>
          <xdr:spPr>
            <a:xfrm>
              <a:off x="204890" y="27509"/>
              <a:ext cx="5695950" cy="459211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7" name="Step" descr="Add numbers like a champ">
              <a:extLst>
                <a:ext uri="{FF2B5EF4-FFF2-40B4-BE49-F238E27FC236}">
                  <a16:creationId xmlns:a16="http://schemas.microsoft.com/office/drawing/2014/main" xmlns="" id="{00000000-0008-0000-1A00-000007000000}"/>
                </a:ext>
              </a:extLst>
            </xdr:cNvPr>
            <xdr:cNvSpPr txBox="1"/>
          </xdr:nvSpPr>
          <xdr:spPr>
            <a:xfrm>
              <a:off x="272729" y="-242956"/>
              <a:ext cx="5216551" cy="26093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اجتماعی و تشکلی (فعالیت های عام المنفعه و محرومیت زدایی)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فعالیت های عام المنفعه و محرومیت زدایی</a:t>
              </a:r>
            </a:p>
          </xdr:txBody>
        </xdr:sp>
        <xdr:cxnSp macro="">
          <xdr:nvCxnSpPr>
            <xdr:cNvPr id="8" name="Bottom line" descr="Decorative line">
              <a:extLst>
                <a:ext uri="{FF2B5EF4-FFF2-40B4-BE49-F238E27FC236}">
                  <a16:creationId xmlns:a16="http://schemas.microsoft.com/office/drawing/2014/main" xmlns="" id="{00000000-0008-0000-1A00-000008000000}"/>
                </a:ext>
              </a:extLst>
            </xdr:cNvPr>
            <xdr:cNvCxnSpPr>
              <a:cxnSpLocks/>
            </xdr:cNvCxnSpPr>
          </xdr:nvCxnSpPr>
          <xdr:spPr>
            <a:xfrm>
              <a:off x="330536" y="1223141"/>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Top line" descr="Decorative line">
              <a:extLst>
                <a:ext uri="{FF2B5EF4-FFF2-40B4-BE49-F238E27FC236}">
                  <a16:creationId xmlns:a16="http://schemas.microsoft.com/office/drawing/2014/main" xmlns="" id="{00000000-0008-0000-1A00-000009000000}"/>
                </a:ext>
              </a:extLst>
            </xdr:cNvPr>
            <xdr:cNvCxnSpPr>
              <a:cxnSpLocks/>
            </xdr:cNvCxnSpPr>
          </xdr:nvCxnSpPr>
          <xdr:spPr>
            <a:xfrm>
              <a:off x="381552" y="172811"/>
              <a:ext cx="5213376"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 name="Add numbers introduction" descr="Here are some ways to add up numbers in Excel:">
            <a:extLst>
              <a:ext uri="{FF2B5EF4-FFF2-40B4-BE49-F238E27FC236}">
                <a16:creationId xmlns:a16="http://schemas.microsoft.com/office/drawing/2014/main" xmlns="" id="{00000000-0008-0000-1A00-000005000000}"/>
              </a:ext>
            </a:extLst>
          </xdr:cNvPr>
          <xdr:cNvSpPr txBox="1"/>
        </xdr:nvSpPr>
        <xdr:spPr>
          <a:xfrm>
            <a:off x="600869" y="499311"/>
            <a:ext cx="5309802" cy="81293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r" rtl="1"/>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فعالیت های عام المنفعه و محرومیت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زدایی یکی از شاخص هایی است که می تواند نشانگر تعهد فعال اقتصادی به ایفای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مسئولیتهای اجتماعی خود باشد. انجام فعالیتهای عام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المنفعه و محرومیت</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زدایی در مناطق کم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برخوردار، یکی از موارد</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منعکس</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کنندۀ دغدغه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تصمیم گیران فعال اقتصادی به ایفای مسئولیت اجتماعی</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شان است. شرکت رتبه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بندی اعتباری گزارش</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فعال اقتصادی را در مورد عضویت در انجمن</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های خیریه، میزان فعالیت های عام</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المنفعه و سرمایه</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گذاری در مناطق محروم را</a:t>
            </a:r>
            <a:r>
              <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 </a:t>
            </a:r>
            <a:r>
              <a:rPr kumimoji="0" lang="fa-IR"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بررسی و با توجه به وسعت و نحوۀ مشارکت های صورت گرفته در این خصوص در مقایسه با اندازۀ فعال اقتصادی، وضعیت این شاخص را تعیین میکند.</a:t>
            </a:r>
            <a:endParaRPr kumimoji="0" lang="en-US" sz="10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0</xdr:col>
      <xdr:colOff>611505</xdr:colOff>
      <xdr:row>10</xdr:row>
      <xdr:rowOff>198120</xdr:rowOff>
    </xdr:from>
    <xdr:to>
      <xdr:col>0</xdr:col>
      <xdr:colOff>5624414</xdr:colOff>
      <xdr:row>12</xdr:row>
      <xdr:rowOff>186683</xdr:rowOff>
    </xdr:to>
    <xdr:sp macro="" textlink="">
      <xdr:nvSpPr>
        <xdr:cNvPr id="10" name="Step" descr="Here's another way to add, using a shortcut key. Select the yellow cell under the amounts for meat">
          <a:extLst>
            <a:ext uri="{FF2B5EF4-FFF2-40B4-BE49-F238E27FC236}">
              <a16:creationId xmlns:a16="http://schemas.microsoft.com/office/drawing/2014/main" xmlns="" id="{00000000-0008-0000-1A00-00000A000000}"/>
            </a:ext>
          </a:extLst>
        </xdr:cNvPr>
        <xdr:cNvSpPr txBox="1"/>
      </xdr:nvSpPr>
      <xdr:spPr>
        <a:xfrm flipH="1">
          <a:off x="9675833236" y="3284220"/>
          <a:ext cx="5012909" cy="4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lgn="r" rtl="1">
            <a:defRPr/>
          </a:pPr>
          <a:endParaRPr lang="fa-IR" sz="1000" b="1" kern="0" baseline="0">
            <a:solidFill>
              <a:schemeClr val="tx1">
                <a:lumMod val="75000"/>
                <a:lumOff val="25000"/>
              </a:schemeClr>
            </a:solidFill>
            <a:latin typeface="Segoe UI" panose="020B0502040204020203" pitchFamily="34" charset="0"/>
            <a:ea typeface="Segoe UI" pitchFamily="34" charset="0"/>
            <a:cs typeface="B Nazanin" panose="00000400000000000000" pitchFamily="2" charset="-78"/>
          </a:endParaRPr>
        </a:p>
      </xdr:txBody>
    </xdr:sp>
    <xdr:clientData/>
  </xdr:twoCellAnchor>
  <xdr:twoCellAnchor editAs="oneCell">
    <xdr:from>
      <xdr:col>0</xdr:col>
      <xdr:colOff>0</xdr:colOff>
      <xdr:row>8</xdr:row>
      <xdr:rowOff>19697</xdr:rowOff>
    </xdr:from>
    <xdr:to>
      <xdr:col>0</xdr:col>
      <xdr:colOff>6434149</xdr:colOff>
      <xdr:row>28</xdr:row>
      <xdr:rowOff>110565</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xmlns="" id="{00000000-0008-0000-1A00-00000B000000}"/>
            </a:ext>
          </a:extLst>
        </xdr:cNvPr>
        <xdr:cNvGrpSpPr/>
      </xdr:nvGrpSpPr>
      <xdr:grpSpPr>
        <a:xfrm flipH="1">
          <a:off x="9733057645" y="2608256"/>
          <a:ext cx="6434149" cy="5178338"/>
          <a:chOff x="326572" y="273582"/>
          <a:chExt cx="5705476" cy="4657728"/>
        </a:xfrm>
        <a:solidFill>
          <a:sysClr val="window" lastClr="FFFFFF"/>
        </a:solidFill>
      </xdr:grpSpPr>
      <xdr:grpSp>
        <xdr:nvGrpSpPr>
          <xdr:cNvPr id="12" name="Add numbers instruction">
            <a:extLst>
              <a:ext uri="{FF2B5EF4-FFF2-40B4-BE49-F238E27FC236}">
                <a16:creationId xmlns:a16="http://schemas.microsoft.com/office/drawing/2014/main" xmlns="" id="{00000000-0008-0000-1A00-00000C000000}"/>
              </a:ext>
            </a:extLst>
          </xdr:cNvPr>
          <xdr:cNvGrpSpPr/>
        </xdr:nvGrpSpPr>
        <xdr:grpSpPr>
          <a:xfrm>
            <a:off x="326572" y="273582"/>
            <a:ext cx="5705476" cy="4657728"/>
            <a:chOff x="0" y="6824"/>
            <a:chExt cx="5695950" cy="4619625"/>
          </a:xfrm>
          <a:grpFill/>
        </xdr:grpSpPr>
        <xdr:sp macro="" textlink="">
          <xdr:nvSpPr>
            <xdr:cNvPr id="14" name="Background" descr="Background">
              <a:extLst>
                <a:ext uri="{FF2B5EF4-FFF2-40B4-BE49-F238E27FC236}">
                  <a16:creationId xmlns:a16="http://schemas.microsoft.com/office/drawing/2014/main" xmlns="" id="{00000000-0008-0000-1A00-00000E000000}"/>
                </a:ext>
              </a:extLst>
            </xdr:cNvPr>
            <xdr:cNvSpPr/>
          </xdr:nvSpPr>
          <xdr:spPr>
            <a:xfrm>
              <a:off x="0" y="6824"/>
              <a:ext cx="5695950" cy="461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cs typeface="B Nazanin" panose="00000400000000000000" pitchFamily="2" charset="-78"/>
              </a:endParaRPr>
            </a:p>
            <a:p>
              <a:pPr algn="l"/>
              <a:endParaRPr lang="en-US" sz="1100">
                <a:cs typeface="B Nazanin" panose="00000400000000000000" pitchFamily="2" charset="-78"/>
              </a:endParaRPr>
            </a:p>
          </xdr:txBody>
        </xdr:sp>
        <xdr:sp macro="" textlink="">
          <xdr:nvSpPr>
            <xdr:cNvPr id="15" name="Step" descr="Add numbers like a champ">
              <a:extLst>
                <a:ext uri="{FF2B5EF4-FFF2-40B4-BE49-F238E27FC236}">
                  <a16:creationId xmlns:a16="http://schemas.microsoft.com/office/drawing/2014/main" xmlns="" id="{00000000-0008-0000-1A00-00000F000000}"/>
                </a:ext>
              </a:extLst>
            </xdr:cNvPr>
            <xdr:cNvSpPr txBox="1"/>
          </xdr:nvSpPr>
          <xdr:spPr>
            <a:xfrm>
              <a:off x="231748" y="118698"/>
              <a:ext cx="5216551" cy="4909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دلایل و نحوه امتیازدهی شاخص های قضاوتی</a:t>
              </a:r>
              <a:endParaRPr kumimoji="0" lang="en-US" sz="14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sp macro="" textlink="">
          <xdr:nvSpPr>
            <xdr:cNvPr id="16" name="Next Button" descr="Next step button, hyperlinked to next sheet">
              <a:hlinkClick xmlns:r="http://schemas.openxmlformats.org/officeDocument/2006/relationships" r:id="rId1" tooltip="Select to go to the next step"/>
              <a:extLst>
                <a:ext uri="{FF2B5EF4-FFF2-40B4-BE49-F238E27FC236}">
                  <a16:creationId xmlns:a16="http://schemas.microsoft.com/office/drawing/2014/main" xmlns="" id="{00000000-0008-0000-1A00-000010000000}"/>
                </a:ext>
              </a:extLst>
            </xdr:cNvPr>
            <xdr:cNvSpPr/>
          </xdr:nvSpPr>
          <xdr:spPr>
            <a:xfrm>
              <a:off x="4497006" y="2683186"/>
              <a:ext cx="1154430" cy="348492"/>
            </a:xfrm>
            <a:prstGeom prst="rightArrowCallout">
              <a:avLst>
                <a:gd name="adj1" fmla="val 32829"/>
                <a:gd name="adj2" fmla="val 31524"/>
                <a:gd name="adj3" fmla="val 25000"/>
                <a:gd name="adj4" fmla="val 86357"/>
              </a:avLst>
            </a:prstGeom>
            <a:grpFill/>
            <a:ln>
              <a:solidFill>
                <a:srgbClr val="C00000"/>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fa-IR" sz="1400" b="1">
                  <a:solidFill>
                    <a:srgbClr val="C00000"/>
                  </a:solidFill>
                  <a:latin typeface="Segoe UI" pitchFamily="34" charset="0"/>
                  <a:ea typeface="Segoe UI" pitchFamily="34" charset="0"/>
                  <a:cs typeface="B Nazanin" panose="00000400000000000000" pitchFamily="2" charset="-78"/>
                </a:rPr>
                <a:t>گام بعد</a:t>
              </a:r>
              <a:endParaRPr lang="en-US" sz="1400" b="1">
                <a:solidFill>
                  <a:srgbClr val="C00000"/>
                </a:solidFill>
                <a:latin typeface="Segoe UI" pitchFamily="34" charset="0"/>
                <a:ea typeface="Segoe UI" pitchFamily="34" charset="0"/>
                <a:cs typeface="B Nazanin" panose="00000400000000000000" pitchFamily="2" charset="-78"/>
              </a:endParaRPr>
            </a:p>
          </xdr:txBody>
        </xdr:sp>
        <xdr:cxnSp macro="">
          <xdr:nvCxnSpPr>
            <xdr:cNvPr id="17" name="Top line" descr="Decorative line">
              <a:extLst>
                <a:ext uri="{FF2B5EF4-FFF2-40B4-BE49-F238E27FC236}">
                  <a16:creationId xmlns:a16="http://schemas.microsoft.com/office/drawing/2014/main" xmlns="" id="{00000000-0008-0000-1A00-000011000000}"/>
                </a:ext>
              </a:extLst>
            </xdr:cNvPr>
            <xdr:cNvCxnSpPr>
              <a:cxnSpLocks/>
            </xdr:cNvCxnSpPr>
          </xdr:nvCxnSpPr>
          <xdr:spPr>
            <a:xfrm>
              <a:off x="134914" y="516933"/>
              <a:ext cx="5320977" cy="0"/>
            </a:xfrm>
            <a:prstGeom prst="line">
              <a:avLst/>
            </a:prstGeom>
            <a:grpFill/>
            <a:ln w="254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 name="Add numbers introduction" descr="Here are some ways to add up numbers in Excel:">
            <a:extLst>
              <a:ext uri="{FF2B5EF4-FFF2-40B4-BE49-F238E27FC236}">
                <a16:creationId xmlns:a16="http://schemas.microsoft.com/office/drawing/2014/main" xmlns="" id="{00000000-0008-0000-1A00-00000D000000}"/>
              </a:ext>
            </a:extLst>
          </xdr:cNvPr>
          <xdr:cNvSpPr txBox="1"/>
        </xdr:nvSpPr>
        <xdr:spPr>
          <a:xfrm>
            <a:off x="563159" y="834595"/>
            <a:ext cx="5309802" cy="191199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در امتیازدهی شاخص های قضاوتی موارد ذیل لحاظ گردیده است: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rPr>
              <a:t>1- </a:t>
            </a:r>
            <a:endPar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B Nazanin" panose="00000400000000000000" pitchFamily="2" charset="-78"/>
            </a:endParaRPr>
          </a:p>
        </xdr:txBody>
      </xdr:sp>
    </xdr:grpSp>
    <xdr:clientData/>
  </xdr:twoCellAnchor>
  <xdr:twoCellAnchor>
    <xdr:from>
      <xdr:col>1</xdr:col>
      <xdr:colOff>42336</xdr:colOff>
      <xdr:row>0</xdr:row>
      <xdr:rowOff>129540</xdr:rowOff>
    </xdr:from>
    <xdr:to>
      <xdr:col>5</xdr:col>
      <xdr:colOff>338668</xdr:colOff>
      <xdr:row>1</xdr:row>
      <xdr:rowOff>403860</xdr:rowOff>
    </xdr:to>
    <xdr:sp macro="" textlink="">
      <xdr:nvSpPr>
        <xdr:cNvPr id="18" name="Step" descr="Add numbers like a champ">
          <a:extLst>
            <a:ext uri="{FF2B5EF4-FFF2-40B4-BE49-F238E27FC236}">
              <a16:creationId xmlns:a16="http://schemas.microsoft.com/office/drawing/2014/main" xmlns="" id="{00000000-0008-0000-1A00-000012000000}"/>
            </a:ext>
          </a:extLst>
        </xdr:cNvPr>
        <xdr:cNvSpPr txBox="1"/>
      </xdr:nvSpPr>
      <xdr:spPr>
        <a:xfrm flipH="1">
          <a:off x="9984299732" y="129540"/>
          <a:ext cx="5943599" cy="85005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زیر حوزه عملکرد اجتماعی و تشکلی(فعالیت های عام المنفعه و محرومیت زدایی)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1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ارزیابی فعالیت های عام المنفعه و محرومیت زدایی</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fa-IR"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rPr>
            <a:t>جداول محاسباتی</a:t>
          </a:r>
          <a:endParaRPr kumimoji="0" lang="en-US" sz="1600" b="1"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B Nazanin" panose="00000400000000000000" pitchFamily="2" charset="-78"/>
          </a:endParaRPr>
        </a:p>
      </xdr:txBody>
    </xdr:sp>
    <xdr:clientData/>
  </xdr:twoCellAnchor>
  <xdr:twoCellAnchor editAs="oneCell">
    <xdr:from>
      <xdr:col>8</xdr:col>
      <xdr:colOff>22412</xdr:colOff>
      <xdr:row>0</xdr:row>
      <xdr:rowOff>33618</xdr:rowOff>
    </xdr:from>
    <xdr:to>
      <xdr:col>30</xdr:col>
      <xdr:colOff>21907</xdr:colOff>
      <xdr:row>26</xdr:row>
      <xdr:rowOff>52875</xdr:rowOff>
    </xdr:to>
    <xdr:pic>
      <xdr:nvPicPr>
        <xdr:cNvPr id="19" name="Picture 18"/>
        <xdr:cNvPicPr>
          <a:picLocks noChangeAspect="1"/>
        </xdr:cNvPicPr>
      </xdr:nvPicPr>
      <xdr:blipFill>
        <a:blip xmlns:r="http://schemas.openxmlformats.org/officeDocument/2006/relationships" r:embed="rId2"/>
        <a:stretch>
          <a:fillRect/>
        </a:stretch>
      </xdr:blipFill>
      <xdr:spPr>
        <a:xfrm>
          <a:off x="9712811093" y="33618"/>
          <a:ext cx="13009524" cy="731428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500466</xdr:colOff>
      <xdr:row>0</xdr:row>
      <xdr:rowOff>58695</xdr:rowOff>
    </xdr:from>
    <xdr:to>
      <xdr:col>6</xdr:col>
      <xdr:colOff>1073580</xdr:colOff>
      <xdr:row>2</xdr:row>
      <xdr:rowOff>8071</xdr:rowOff>
    </xdr:to>
    <xdr:pic>
      <xdr:nvPicPr>
        <xdr:cNvPr id="2" name="Picture 1">
          <a:extLst>
            <a:ext uri="{FF2B5EF4-FFF2-40B4-BE49-F238E27FC236}">
              <a16:creationId xmlns:a16="http://schemas.microsoft.com/office/drawing/2014/main" xmlns="" id="{00000000-0008-0000-1C00-000002000000}"/>
            </a:ext>
          </a:extLst>
        </xdr:cNvPr>
        <xdr:cNvPicPr>
          <a:picLocks noChangeAspect="1"/>
        </xdr:cNvPicPr>
      </xdr:nvPicPr>
      <xdr:blipFill>
        <a:blip xmlns:r="http://schemas.openxmlformats.org/officeDocument/2006/relationships" r:embed="rId1"/>
        <a:stretch>
          <a:fillRect/>
        </a:stretch>
      </xdr:blipFill>
      <xdr:spPr>
        <a:xfrm>
          <a:off x="10707948496" y="58695"/>
          <a:ext cx="573114" cy="603211"/>
        </a:xfrm>
        <a:prstGeom prst="rect">
          <a:avLst/>
        </a:prstGeom>
      </xdr:spPr>
    </xdr:pic>
    <xdr:clientData/>
  </xdr:twoCellAnchor>
  <xdr:twoCellAnchor>
    <xdr:from>
      <xdr:col>6</xdr:col>
      <xdr:colOff>1285874</xdr:colOff>
      <xdr:row>44</xdr:row>
      <xdr:rowOff>23812</xdr:rowOff>
    </xdr:from>
    <xdr:to>
      <xdr:col>6</xdr:col>
      <xdr:colOff>1500186</xdr:colOff>
      <xdr:row>44</xdr:row>
      <xdr:rowOff>214312</xdr:rowOff>
    </xdr:to>
    <xdr:sp macro="" textlink="">
      <xdr:nvSpPr>
        <xdr:cNvPr id="3" name="Rectangle 2">
          <a:extLst>
            <a:ext uri="{FF2B5EF4-FFF2-40B4-BE49-F238E27FC236}">
              <a16:creationId xmlns:a16="http://schemas.microsoft.com/office/drawing/2014/main" xmlns="" id="{00000000-0008-0000-1C00-000003000000}"/>
            </a:ext>
          </a:extLst>
        </xdr:cNvPr>
        <xdr:cNvSpPr/>
      </xdr:nvSpPr>
      <xdr:spPr>
        <a:xfrm>
          <a:off x="10724614220" y="12322968"/>
          <a:ext cx="214312" cy="1905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r" rtl="1"/>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202165</xdr:colOff>
      <xdr:row>14</xdr:row>
      <xdr:rowOff>83872</xdr:rowOff>
    </xdr:from>
    <xdr:to>
      <xdr:col>6</xdr:col>
      <xdr:colOff>50651</xdr:colOff>
      <xdr:row>14</xdr:row>
      <xdr:rowOff>83872</xdr:rowOff>
    </xdr:to>
    <xdr:cxnSp macro="">
      <xdr:nvCxnSpPr>
        <xdr:cNvPr id="44" name="Straight Connector 43" descr="Decorative line">
          <a:extLst>
            <a:ext uri="{FF2B5EF4-FFF2-40B4-BE49-F238E27FC236}">
              <a16:creationId xmlns:a16="http://schemas.microsoft.com/office/drawing/2014/main" xmlns="" id="{00000000-0008-0000-1D00-00002C000000}"/>
            </a:ext>
          </a:extLst>
        </xdr:cNvPr>
        <xdr:cNvCxnSpPr/>
      </xdr:nvCxnSpPr>
      <xdr:spPr>
        <a:xfrm flipH="1">
          <a:off x="9983978149" y="3322372"/>
          <a:ext cx="880960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171451</xdr:colOff>
      <xdr:row>0</xdr:row>
      <xdr:rowOff>285750</xdr:rowOff>
    </xdr:from>
    <xdr:to>
      <xdr:col>6</xdr:col>
      <xdr:colOff>184462</xdr:colOff>
      <xdr:row>28</xdr:row>
      <xdr:rowOff>110803</xdr:rowOff>
    </xdr:to>
    <xdr:grpSp>
      <xdr:nvGrpSpPr>
        <xdr:cNvPr id="8" name="Group 7"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xmlns="" id="{00000000-0008-0000-1D00-000008000000}"/>
            </a:ext>
          </a:extLst>
        </xdr:cNvPr>
        <xdr:cNvGrpSpPr/>
      </xdr:nvGrpSpPr>
      <xdr:grpSpPr>
        <a:xfrm flipH="1">
          <a:off x="9671843438" y="285750"/>
          <a:ext cx="9309411" cy="5730553"/>
          <a:chOff x="171451" y="285750"/>
          <a:chExt cx="9309411" cy="5730553"/>
        </a:xfrm>
      </xdr:grpSpPr>
      <xdr:grpSp>
        <xdr:nvGrpSpPr>
          <xdr:cNvPr id="7" name="Group 6"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xmlns="" id="{00000000-0008-0000-1D00-000007000000}"/>
              </a:ext>
            </a:extLst>
          </xdr:cNvPr>
          <xdr:cNvGrpSpPr/>
        </xdr:nvGrpSpPr>
        <xdr:grpSpPr>
          <a:xfrm>
            <a:off x="171451" y="285750"/>
            <a:ext cx="9309411" cy="5730553"/>
            <a:chOff x="171451" y="285750"/>
            <a:chExt cx="9309411" cy="5730553"/>
          </a:xfrm>
        </xdr:grpSpPr>
        <xdr:grpSp>
          <xdr:nvGrpSpPr>
            <xdr:cNvPr id="3" name="Group 2">
              <a:extLst>
                <a:ext uri="{FF2B5EF4-FFF2-40B4-BE49-F238E27FC236}">
                  <a16:creationId xmlns:a16="http://schemas.microsoft.com/office/drawing/2014/main" xmlns="" id="{00000000-0008-0000-1D00-000003000000}"/>
                </a:ext>
              </a:extLst>
            </xdr:cNvPr>
            <xdr:cNvGrpSpPr/>
          </xdr:nvGrpSpPr>
          <xdr:grpSpPr>
            <a:xfrm>
              <a:off x="171451" y="285750"/>
              <a:ext cx="9309411" cy="5730553"/>
              <a:chOff x="171451" y="285750"/>
              <a:chExt cx="9309411" cy="5730553"/>
            </a:xfrm>
          </xdr:grpSpPr>
          <xdr:sp macro="" textlink="">
            <xdr:nvSpPr>
              <xdr:cNvPr id="27" name="Rectangle 26" descr="Background">
                <a:extLst>
                  <a:ext uri="{FF2B5EF4-FFF2-40B4-BE49-F238E27FC236}">
                    <a16:creationId xmlns:a16="http://schemas.microsoft.com/office/drawing/2014/main" xmlns="" id="{00000000-0008-0000-1D00-00001B000000}"/>
                  </a:ext>
                </a:extLst>
              </xdr:cNvPr>
              <xdr:cNvSpPr/>
            </xdr:nvSpPr>
            <xdr:spPr>
              <a:xfrm>
                <a:off x="171451" y="285750"/>
                <a:ext cx="9299853" cy="5730552"/>
              </a:xfrm>
              <a:prstGeom prst="rect">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descr="Background">
                <a:extLst>
                  <a:ext uri="{FF2B5EF4-FFF2-40B4-BE49-F238E27FC236}">
                    <a16:creationId xmlns:a16="http://schemas.microsoft.com/office/drawing/2014/main" xmlns="" id="{00000000-0008-0000-1D00-00001C000000}"/>
                  </a:ext>
                </a:extLst>
              </xdr:cNvPr>
              <xdr:cNvSpPr/>
            </xdr:nvSpPr>
            <xdr:spPr>
              <a:xfrm>
                <a:off x="171451" y="1332861"/>
                <a:ext cx="9309411" cy="468344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1" name="Welcome Message" descr="Keep going. There are lots more ways to simplify your work:">
              <a:extLst>
                <a:ext uri="{FF2B5EF4-FFF2-40B4-BE49-F238E27FC236}">
                  <a16:creationId xmlns:a16="http://schemas.microsoft.com/office/drawing/2014/main" xmlns="" id="{00000000-0008-0000-1D00-00001F000000}"/>
                </a:ext>
              </a:extLst>
            </xdr:cNvPr>
            <xdr:cNvSpPr txBox="1"/>
          </xdr:nvSpPr>
          <xdr:spPr>
            <a:xfrm>
              <a:off x="780726" y="2874970"/>
              <a:ext cx="8251976" cy="411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Keep going. There is more to learn with Excel:</a:t>
              </a:r>
              <a:endParaRPr lang="en-US" sz="1600" b="0">
                <a:solidFill>
                  <a:schemeClr val="tx1">
                    <a:lumMod val="75000"/>
                    <a:lumOff val="25000"/>
                  </a:schemeClr>
                </a:solidFill>
                <a:latin typeface="Segoe UI Light" panose="020B0502040204020203" pitchFamily="34" charset="0"/>
                <a:ea typeface="Segoe UI" pitchFamily="34" charset="0"/>
                <a:cs typeface="Segoe UI Light" panose="020B0502040204020203" pitchFamily="34" charset="0"/>
              </a:endParaRPr>
            </a:p>
          </xdr:txBody>
        </xdr:sp>
        <xdr:sp macro="" textlink="">
          <xdr:nvSpPr>
            <xdr:cNvPr id="32" name="Welcome Message" descr="More questions about Excel?">
              <a:extLst>
                <a:ext uri="{FF2B5EF4-FFF2-40B4-BE49-F238E27FC236}">
                  <a16:creationId xmlns:a16="http://schemas.microsoft.com/office/drawing/2014/main" xmlns="" id="{00000000-0008-0000-1D00-000020000000}"/>
                </a:ext>
              </a:extLst>
            </xdr:cNvPr>
            <xdr:cNvSpPr txBox="1"/>
          </xdr:nvSpPr>
          <xdr:spPr>
            <a:xfrm>
              <a:off x="752052" y="676037"/>
              <a:ext cx="7629650" cy="71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600" b="0" i="0" baseline="0">
                  <a:solidFill>
                    <a:schemeClr val="bg1"/>
                  </a:solidFill>
                  <a:effectLst/>
                  <a:latin typeface="Segoe UI Light" pitchFamily="34" charset="0"/>
                  <a:ea typeface="Segoe UI" pitchFamily="34" charset="0"/>
                  <a:cs typeface="Segoe UI" pitchFamily="34" charset="0"/>
                </a:rPr>
                <a:t>More questions about Excel?</a:t>
              </a:r>
              <a:endParaRPr lang="en-US" sz="2600" b="0">
                <a:latin typeface="Segoe UI Light" pitchFamily="34" charset="0"/>
                <a:ea typeface="Segoe UI" pitchFamily="34" charset="0"/>
                <a:cs typeface="Segoe UI" pitchFamily="34" charset="0"/>
              </a:endParaRPr>
            </a:p>
          </xdr:txBody>
        </xdr:sp>
        <xdr:sp macro="" textlink="">
          <xdr:nvSpPr>
            <xdr:cNvPr id="33" name="Freeform 10" descr="Hyperlinked to Give us feedback on this tour">
              <a:hlinkClick xmlns:r="http://schemas.openxmlformats.org/officeDocument/2006/relationships" r:id="rId1" tooltip="Select to Give us feedback on this tour"/>
              <a:extLst>
                <a:ext uri="{FF2B5EF4-FFF2-40B4-BE49-F238E27FC236}">
                  <a16:creationId xmlns:a16="http://schemas.microsoft.com/office/drawing/2014/main" xmlns="" id="{00000000-0008-0000-1D00-000021000000}"/>
                </a:ext>
              </a:extLst>
            </xdr:cNvPr>
            <xdr:cNvSpPr/>
          </xdr:nvSpPr>
          <xdr:spPr>
            <a:xfrm>
              <a:off x="8963466" y="4918631"/>
              <a:ext cx="433255" cy="431500"/>
            </a:xfrm>
            <a:custGeom>
              <a:avLst/>
              <a:gdLst>
                <a:gd name="connsiteX0" fmla="*/ 283692 w 643468"/>
                <a:gd name="connsiteY0" fmla="*/ 156886 h 643468"/>
                <a:gd name="connsiteX1" fmla="*/ 315574 w 643468"/>
                <a:gd name="connsiteY1" fmla="*/ 156886 h 643468"/>
                <a:gd name="connsiteX2" fmla="*/ 486582 w 643468"/>
                <a:gd name="connsiteY2" fmla="*/ 321734 h 643468"/>
                <a:gd name="connsiteX3" fmla="*/ 315574 w 643468"/>
                <a:gd name="connsiteY3" fmla="*/ 486582 h 643468"/>
                <a:gd name="connsiteX4" fmla="*/ 283692 w 643468"/>
                <a:gd name="connsiteY4" fmla="*/ 486582 h 643468"/>
                <a:gd name="connsiteX5" fmla="*/ 441545 w 643468"/>
                <a:gd name="connsiteY5" fmla="*/ 334415 h 643468"/>
                <a:gd name="connsiteX6" fmla="*/ 156887 w 643468"/>
                <a:gd name="connsiteY6" fmla="*/ 334415 h 643468"/>
                <a:gd name="connsiteX7" fmla="*/ 156887 w 643468"/>
                <a:gd name="connsiteY7" fmla="*/ 309054 h 643468"/>
                <a:gd name="connsiteX8" fmla="*/ 441545 w 643468"/>
                <a:gd name="connsiteY8" fmla="*/ 309054 h 643468"/>
                <a:gd name="connsiteX9" fmla="*/ 321733 w 643468"/>
                <a:gd name="connsiteY9" fmla="*/ 16937 h 643468"/>
                <a:gd name="connsiteX10" fmla="*/ 16936 w 643468"/>
                <a:gd name="connsiteY10" fmla="*/ 321734 h 643468"/>
                <a:gd name="connsiteX11" fmla="*/ 321733 w 643468"/>
                <a:gd name="connsiteY11" fmla="*/ 626531 h 643468"/>
                <a:gd name="connsiteX12" fmla="*/ 626530 w 643468"/>
                <a:gd name="connsiteY12" fmla="*/ 321734 h 643468"/>
                <a:gd name="connsiteX13" fmla="*/ 321733 w 643468"/>
                <a:gd name="connsiteY13" fmla="*/ 16937 h 643468"/>
                <a:gd name="connsiteX14" fmla="*/ 321734 w 643468"/>
                <a:gd name="connsiteY14" fmla="*/ 0 h 643468"/>
                <a:gd name="connsiteX15" fmla="*/ 643468 w 643468"/>
                <a:gd name="connsiteY15" fmla="*/ 321734 h 643468"/>
                <a:gd name="connsiteX16" fmla="*/ 321734 w 643468"/>
                <a:gd name="connsiteY16" fmla="*/ 643468 h 643468"/>
                <a:gd name="connsiteX17" fmla="*/ 0 w 643468"/>
                <a:gd name="connsiteY17" fmla="*/ 321734 h 643468"/>
                <a:gd name="connsiteX18" fmla="*/ 321734 w 643468"/>
                <a:gd name="connsiteY18" fmla="*/ 0 h 64346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643468" h="643468">
                  <a:moveTo>
                    <a:pt x="283692" y="156886"/>
                  </a:moveTo>
                  <a:lnTo>
                    <a:pt x="315574" y="156886"/>
                  </a:lnTo>
                  <a:lnTo>
                    <a:pt x="486582" y="321734"/>
                  </a:lnTo>
                  <a:lnTo>
                    <a:pt x="315574" y="486582"/>
                  </a:lnTo>
                  <a:lnTo>
                    <a:pt x="283692" y="486582"/>
                  </a:lnTo>
                  <a:lnTo>
                    <a:pt x="441545" y="334415"/>
                  </a:lnTo>
                  <a:lnTo>
                    <a:pt x="156887" y="334415"/>
                  </a:lnTo>
                  <a:lnTo>
                    <a:pt x="156887" y="309054"/>
                  </a:lnTo>
                  <a:lnTo>
                    <a:pt x="441545" y="309054"/>
                  </a:lnTo>
                  <a:close/>
                  <a:moveTo>
                    <a:pt x="321733" y="16937"/>
                  </a:moveTo>
                  <a:cubicBezTo>
                    <a:pt x="153398" y="16937"/>
                    <a:pt x="16936" y="153399"/>
                    <a:pt x="16936" y="321734"/>
                  </a:cubicBezTo>
                  <a:cubicBezTo>
                    <a:pt x="16936" y="490069"/>
                    <a:pt x="153398" y="626531"/>
                    <a:pt x="321733" y="626531"/>
                  </a:cubicBezTo>
                  <a:cubicBezTo>
                    <a:pt x="490068" y="626531"/>
                    <a:pt x="626530" y="490069"/>
                    <a:pt x="626530" y="321734"/>
                  </a:cubicBezTo>
                  <a:cubicBezTo>
                    <a:pt x="626530" y="153399"/>
                    <a:pt x="490068" y="16937"/>
                    <a:pt x="321733" y="16937"/>
                  </a:cubicBezTo>
                  <a:close/>
                  <a:moveTo>
                    <a:pt x="321734" y="0"/>
                  </a:moveTo>
                  <a:cubicBezTo>
                    <a:pt x="499423" y="0"/>
                    <a:pt x="643468" y="144045"/>
                    <a:pt x="643468" y="321734"/>
                  </a:cubicBezTo>
                  <a:cubicBezTo>
                    <a:pt x="643468" y="499423"/>
                    <a:pt x="499423" y="643468"/>
                    <a:pt x="321734" y="643468"/>
                  </a:cubicBezTo>
                  <a:cubicBezTo>
                    <a:pt x="144045" y="643468"/>
                    <a:pt x="0" y="499423"/>
                    <a:pt x="0" y="321734"/>
                  </a:cubicBezTo>
                  <a:cubicBezTo>
                    <a:pt x="0" y="144045"/>
                    <a:pt x="144045" y="0"/>
                    <a:pt x="321734" y="0"/>
                  </a:cubicBezTo>
                  <a:close/>
                </a:path>
              </a:pathLst>
            </a:cu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solidFill>
                    <a:schemeClr val="tx1"/>
                  </a:solidFill>
                </a:rPr>
                <a:t> </a:t>
              </a:r>
            </a:p>
          </xdr:txBody>
        </xdr:sp>
        <xdr:sp macro="" textlink="">
          <xdr:nvSpPr>
            <xdr:cNvPr id="34" name="TextBox 33" descr="Give us feedback on this tour">
              <a:hlinkClick xmlns:r="http://schemas.openxmlformats.org/officeDocument/2006/relationships" r:id="rId1" tooltip="Select to Give us feedback on this tour"/>
              <a:extLst>
                <a:ext uri="{FF2B5EF4-FFF2-40B4-BE49-F238E27FC236}">
                  <a16:creationId xmlns:a16="http://schemas.microsoft.com/office/drawing/2014/main" xmlns="" id="{00000000-0008-0000-1D00-000022000000}"/>
                </a:ext>
              </a:extLst>
            </xdr:cNvPr>
            <xdr:cNvSpPr txBox="1"/>
          </xdr:nvSpPr>
          <xdr:spPr>
            <a:xfrm>
              <a:off x="4299404" y="4900655"/>
              <a:ext cx="4605855" cy="44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aseline="0">
                  <a:solidFill>
                    <a:srgbClr val="217346"/>
                  </a:solidFill>
                  <a:effectLst/>
                  <a:latin typeface="Segoe UI Light" panose="020B0502040204020203" pitchFamily="34" charset="0"/>
                  <a:ea typeface="+mn-ea"/>
                  <a:cs typeface="Segoe UI Light" panose="020B0502040204020203" pitchFamily="34" charset="0"/>
                </a:rPr>
                <a:t>Give us feedback on this tour</a:t>
              </a:r>
              <a:endParaRPr lang="en-US" sz="1800">
                <a:solidFill>
                  <a:srgbClr val="217346"/>
                </a:solidFill>
                <a:latin typeface="Segoe UI Light" panose="020B0502040204020203" pitchFamily="34" charset="0"/>
                <a:cs typeface="Segoe UI Light" panose="020B0502040204020203" pitchFamily="34" charset="0"/>
              </a:endParaRPr>
            </a:p>
          </xdr:txBody>
        </xdr:sp>
        <xdr:pic>
          <xdr:nvPicPr>
            <xdr:cNvPr id="41" name="Picture 40" descr="Tell Me button">
              <a:extLst>
                <a:ext uri="{FF2B5EF4-FFF2-40B4-BE49-F238E27FC236}">
                  <a16:creationId xmlns:a16="http://schemas.microsoft.com/office/drawing/2014/main" xmlns="" id="{00000000-0008-0000-1D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3415" y="1468036"/>
              <a:ext cx="1012148" cy="942779"/>
            </a:xfrm>
            <a:prstGeom prst="rect">
              <a:avLst/>
            </a:prstGeom>
          </xdr:spPr>
        </xdr:pic>
        <xdr:sp macro="" textlink="">
          <xdr:nvSpPr>
            <xdr:cNvPr id="42" name="Welcome Message" descr="Click the Tell Me button and type what you want to know">
              <a:extLst>
                <a:ext uri="{FF2B5EF4-FFF2-40B4-BE49-F238E27FC236}">
                  <a16:creationId xmlns:a16="http://schemas.microsoft.com/office/drawing/2014/main" xmlns="" id="{00000000-0008-0000-1D00-00002A000000}"/>
                </a:ext>
              </a:extLst>
            </xdr:cNvPr>
            <xdr:cNvSpPr txBox="1"/>
          </xdr:nvSpPr>
          <xdr:spPr>
            <a:xfrm>
              <a:off x="762520" y="1762816"/>
              <a:ext cx="6653832" cy="731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Click the </a:t>
              </a:r>
              <a:r>
                <a:rPr lang="en-US" sz="1600" b="0" i="0" baseline="0">
                  <a:solidFill>
                    <a:srgbClr val="217346"/>
                  </a:solidFill>
                  <a:effectLst/>
                  <a:latin typeface="Segoe UI Semibold" panose="020B0702040204020203" pitchFamily="34" charset="0"/>
                  <a:ea typeface="Segoe UI" pitchFamily="34" charset="0"/>
                  <a:cs typeface="Segoe UI Semibold" panose="020B0702040204020203" pitchFamily="34" charset="0"/>
                </a:rPr>
                <a:t>Tell Me                  </a:t>
              </a:r>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button and type what you want to know.</a:t>
              </a:r>
            </a:p>
          </xdr:txBody>
        </xdr:sp>
        <xdr:pic>
          <xdr:nvPicPr>
            <xdr:cNvPr id="43" name="Picture 42" descr="Tell Me what you want to do button">
              <a:extLst>
                <a:ext uri="{FF2B5EF4-FFF2-40B4-BE49-F238E27FC236}">
                  <a16:creationId xmlns:a16="http://schemas.microsoft.com/office/drawing/2014/main" xmlns="" id="{00000000-0008-0000-1D00-00002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26676" y="1844959"/>
              <a:ext cx="2271866" cy="769703"/>
            </a:xfrm>
            <a:prstGeom prst="rect">
              <a:avLst/>
            </a:prstGeom>
          </xdr:spPr>
        </xdr:pic>
        <xdr:cxnSp macro="">
          <xdr:nvCxnSpPr>
            <xdr:cNvPr id="45" name="Straight Connector 44" descr="Decorative line">
              <a:extLst>
                <a:ext uri="{FF2B5EF4-FFF2-40B4-BE49-F238E27FC236}">
                  <a16:creationId xmlns:a16="http://schemas.microsoft.com/office/drawing/2014/main" xmlns="" id="{00000000-0008-0000-1D00-00002D000000}"/>
                </a:ext>
              </a:extLst>
            </xdr:cNvPr>
            <xdr:cNvCxnSpPr/>
          </xdr:nvCxnSpPr>
          <xdr:spPr>
            <a:xfrm>
              <a:off x="792715" y="4769289"/>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descr="Learn more">
              <a:hlinkClick xmlns:r="http://schemas.openxmlformats.org/officeDocument/2006/relationships" r:id="rId4" tooltip="Select to learn more"/>
              <a:extLst>
                <a:ext uri="{FF2B5EF4-FFF2-40B4-BE49-F238E27FC236}">
                  <a16:creationId xmlns:a16="http://schemas.microsoft.com/office/drawing/2014/main" xmlns="" id="{00000000-0008-0000-1D00-000026000000}"/>
                </a:ext>
              </a:extLst>
            </xdr:cNvPr>
            <xdr:cNvSpPr txBox="1"/>
          </xdr:nvSpPr>
          <xdr:spPr>
            <a:xfrm>
              <a:off x="2038350"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39" name="TextBox 38" descr="Learn more">
              <a:hlinkClick xmlns:r="http://schemas.openxmlformats.org/officeDocument/2006/relationships" r:id="rId5" tooltip="Select to learn more"/>
              <a:extLst>
                <a:ext uri="{FF2B5EF4-FFF2-40B4-BE49-F238E27FC236}">
                  <a16:creationId xmlns:a16="http://schemas.microsoft.com/office/drawing/2014/main" xmlns="" id="{00000000-0008-0000-1D00-000027000000}"/>
                </a:ext>
              </a:extLst>
            </xdr:cNvPr>
            <xdr:cNvSpPr txBox="1"/>
          </xdr:nvSpPr>
          <xdr:spPr>
            <a:xfrm>
              <a:off x="4891548"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0" name="TextBox 39" descr="Learn more">
              <a:hlinkClick xmlns:r="http://schemas.openxmlformats.org/officeDocument/2006/relationships" r:id="rId6" tooltip="Select to learn more"/>
              <a:extLst>
                <a:ext uri="{FF2B5EF4-FFF2-40B4-BE49-F238E27FC236}">
                  <a16:creationId xmlns:a16="http://schemas.microsoft.com/office/drawing/2014/main" xmlns="" id="{00000000-0008-0000-1D00-000028000000}"/>
                </a:ext>
              </a:extLst>
            </xdr:cNvPr>
            <xdr:cNvSpPr txBox="1"/>
          </xdr:nvSpPr>
          <xdr:spPr>
            <a:xfrm>
              <a:off x="7805492" y="4330350"/>
              <a:ext cx="1221386"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8" name="TextBox 47" descr="Community&#10;Ask questions and connect with other Excel fans">
              <a:extLst>
                <a:ext uri="{FF2B5EF4-FFF2-40B4-BE49-F238E27FC236}">
                  <a16:creationId xmlns:a16="http://schemas.microsoft.com/office/drawing/2014/main" xmlns="" id="{00000000-0008-0000-1D00-000030000000}"/>
                </a:ext>
              </a:extLst>
            </xdr:cNvPr>
            <xdr:cNvSpPr txBox="1"/>
          </xdr:nvSpPr>
          <xdr:spPr>
            <a:xfrm>
              <a:off x="4891548" y="3324224"/>
              <a:ext cx="1368295" cy="88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Community</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Ask questions and connect with other Excel fans.</a:t>
              </a:r>
            </a:p>
          </xdr:txBody>
        </xdr:sp>
        <xdr:sp macro="" textlink="">
          <xdr:nvSpPr>
            <xdr:cNvPr id="50" name="TextBox 49" descr="LinkedIn Learning&#10;Video courses for all levels—from beginner to advanced. Take at your own pace">
              <a:extLst>
                <a:ext uri="{FF2B5EF4-FFF2-40B4-BE49-F238E27FC236}">
                  <a16:creationId xmlns:a16="http://schemas.microsoft.com/office/drawing/2014/main" xmlns="" id="{00000000-0008-0000-1D00-000032000000}"/>
                </a:ext>
              </a:extLst>
            </xdr:cNvPr>
            <xdr:cNvSpPr txBox="1"/>
          </xdr:nvSpPr>
          <xdr:spPr>
            <a:xfrm>
              <a:off x="2038350" y="3322372"/>
              <a:ext cx="1790700" cy="111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LinkedIn Learning</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Video courses for all levels—from beginner to advanced. Take at your own pace.</a:t>
              </a:r>
            </a:p>
          </xdr:txBody>
        </xdr:sp>
        <xdr:pic>
          <xdr:nvPicPr>
            <xdr:cNvPr id="60" name="Picture 59" descr="Computer">
              <a:extLst>
                <a:ext uri="{FF2B5EF4-FFF2-40B4-BE49-F238E27FC236}">
                  <a16:creationId xmlns:a16="http://schemas.microsoft.com/office/drawing/2014/main" xmlns="" id="{00000000-0008-0000-1D00-00003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a:stretch/>
          </xdr:blipFill>
          <xdr:spPr>
            <a:xfrm>
              <a:off x="1104901" y="3554479"/>
              <a:ext cx="895350" cy="600076"/>
            </a:xfrm>
            <a:prstGeom prst="rect">
              <a:avLst/>
            </a:prstGeom>
          </xdr:spPr>
        </xdr:pic>
        <xdr:sp macro="" textlink="">
          <xdr:nvSpPr>
            <xdr:cNvPr id="35" name="TextBox 34" descr="What else is new?&#10;Office 365 subscribers get continual updates and new features">
              <a:extLst>
                <a:ext uri="{FF2B5EF4-FFF2-40B4-BE49-F238E27FC236}">
                  <a16:creationId xmlns:a16="http://schemas.microsoft.com/office/drawing/2014/main" xmlns="" id="{00000000-0008-0000-1D00-000023000000}"/>
                </a:ext>
              </a:extLst>
            </xdr:cNvPr>
            <xdr:cNvSpPr txBox="1"/>
          </xdr:nvSpPr>
          <xdr:spPr>
            <a:xfrm>
              <a:off x="7753351" y="3324225"/>
              <a:ext cx="1646696" cy="97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What else is new?</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Office 365 subscribers get continual updates and new features.</a:t>
              </a:r>
              <a:endParaRPr lang="en-US" sz="1100">
                <a:solidFill>
                  <a:schemeClr val="tx1">
                    <a:lumMod val="75000"/>
                    <a:lumOff val="25000"/>
                  </a:schemeClr>
                </a:solidFill>
                <a:latin typeface="Segoe UI" panose="020B0502040204020203" pitchFamily="34" charset="0"/>
                <a:cs typeface="Segoe UI" panose="020B0502040204020203" pitchFamily="34" charset="0"/>
              </a:endParaRPr>
            </a:p>
          </xdr:txBody>
        </xdr:sp>
        <xdr:pic>
          <xdr:nvPicPr>
            <xdr:cNvPr id="6" name="Picture 5" descr="Community">
              <a:extLst>
                <a:ext uri="{FF2B5EF4-FFF2-40B4-BE49-F238E27FC236}">
                  <a16:creationId xmlns:a16="http://schemas.microsoft.com/office/drawing/2014/main" xmlns="" id="{00000000-0008-0000-1D00-000006000000}"/>
                </a:ext>
              </a:extLst>
            </xdr:cNvPr>
            <xdr:cNvPicPr>
              <a:picLocks noChangeAspect="1"/>
            </xdr:cNvPicPr>
          </xdr:nvPicPr>
          <xdr:blipFill>
            <a:blip xmlns:r="http://schemas.openxmlformats.org/officeDocument/2006/relationships" r:embed="rId8"/>
            <a:stretch>
              <a:fillRect/>
            </a:stretch>
          </xdr:blipFill>
          <xdr:spPr>
            <a:xfrm>
              <a:off x="3952875" y="3467216"/>
              <a:ext cx="926984" cy="774603"/>
            </a:xfrm>
            <a:prstGeom prst="rect">
              <a:avLst/>
            </a:prstGeom>
          </xdr:spPr>
        </xdr:pic>
      </xdr:grpSp>
      <xdr:grpSp>
        <xdr:nvGrpSpPr>
          <xdr:cNvPr id="57" name="Group 56" descr="What else is new?">
            <a:extLst>
              <a:ext uri="{FF2B5EF4-FFF2-40B4-BE49-F238E27FC236}">
                <a16:creationId xmlns:a16="http://schemas.microsoft.com/office/drawing/2014/main" xmlns="" id="{00000000-0008-0000-1D00-000039000000}"/>
              </a:ext>
            </a:extLst>
          </xdr:cNvPr>
          <xdr:cNvGrpSpPr/>
        </xdr:nvGrpSpPr>
        <xdr:grpSpPr>
          <a:xfrm>
            <a:off x="6717588" y="3461037"/>
            <a:ext cx="974505" cy="786961"/>
            <a:chOff x="6717588" y="3592566"/>
            <a:chExt cx="974505" cy="786961"/>
          </a:xfrm>
        </xdr:grpSpPr>
        <xdr:pic>
          <xdr:nvPicPr>
            <xdr:cNvPr id="49" name="Graphic 48" descr="Newspaper">
              <a:extLst>
                <a:ext uri="{FF2B5EF4-FFF2-40B4-BE49-F238E27FC236}">
                  <a16:creationId xmlns:a16="http://schemas.microsoft.com/office/drawing/2014/main" xmlns="" id="{00000000-0008-0000-1D00-000031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6873201" y="3769928"/>
              <a:ext cx="669283" cy="609599"/>
            </a:xfrm>
            <a:prstGeom prst="rect">
              <a:avLst/>
            </a:prstGeom>
          </xdr:spPr>
        </xdr:pic>
        <xdr:grpSp>
          <xdr:nvGrpSpPr>
            <xdr:cNvPr id="56" name="Group 55" descr="Radiating lines">
              <a:extLst>
                <a:ext uri="{FF2B5EF4-FFF2-40B4-BE49-F238E27FC236}">
                  <a16:creationId xmlns:a16="http://schemas.microsoft.com/office/drawing/2014/main" xmlns="" id="{00000000-0008-0000-1D00-000038000000}"/>
                </a:ext>
              </a:extLst>
            </xdr:cNvPr>
            <xdr:cNvGrpSpPr/>
          </xdr:nvGrpSpPr>
          <xdr:grpSpPr>
            <a:xfrm>
              <a:off x="6717588" y="3592566"/>
              <a:ext cx="974505" cy="414995"/>
              <a:chOff x="6717588" y="3592566"/>
              <a:chExt cx="974505" cy="414995"/>
            </a:xfrm>
          </xdr:grpSpPr>
          <xdr:cxnSp macro="">
            <xdr:nvCxnSpPr>
              <xdr:cNvPr id="51" name="Straight Connector 50" descr="Line">
                <a:extLst>
                  <a:ext uri="{FF2B5EF4-FFF2-40B4-BE49-F238E27FC236}">
                    <a16:creationId xmlns:a16="http://schemas.microsoft.com/office/drawing/2014/main" xmlns="" id="{00000000-0008-0000-1D00-000033000000}"/>
                  </a:ext>
                </a:extLst>
              </xdr:cNvPr>
              <xdr:cNvCxnSpPr/>
            </xdr:nvCxnSpPr>
            <xdr:spPr>
              <a:xfrm>
                <a:off x="6797564"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descr="Line">
                <a:extLst>
                  <a:ext uri="{FF2B5EF4-FFF2-40B4-BE49-F238E27FC236}">
                    <a16:creationId xmlns:a16="http://schemas.microsoft.com/office/drawing/2014/main" xmlns="" id="{00000000-0008-0000-1D00-000034000000}"/>
                  </a:ext>
                </a:extLst>
              </xdr:cNvPr>
              <xdr:cNvCxnSpPr/>
            </xdr:nvCxnSpPr>
            <xdr:spPr>
              <a:xfrm>
                <a:off x="7171996" y="3592566"/>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descr="Line">
                <a:extLst>
                  <a:ext uri="{FF2B5EF4-FFF2-40B4-BE49-F238E27FC236}">
                    <a16:creationId xmlns:a16="http://schemas.microsoft.com/office/drawing/2014/main" xmlns="" id="{00000000-0008-0000-1D00-000035000000}"/>
                  </a:ext>
                </a:extLst>
              </xdr:cNvPr>
              <xdr:cNvCxnSpPr/>
            </xdr:nvCxnSpPr>
            <xdr:spPr>
              <a:xfrm flipH="1">
                <a:off x="7454461"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descr="Line">
                <a:extLst>
                  <a:ext uri="{FF2B5EF4-FFF2-40B4-BE49-F238E27FC236}">
                    <a16:creationId xmlns:a16="http://schemas.microsoft.com/office/drawing/2014/main" xmlns="" id="{00000000-0008-0000-1D00-000036000000}"/>
                  </a:ext>
                </a:extLst>
              </xdr:cNvPr>
              <xdr:cNvCxnSpPr/>
            </xdr:nvCxnSpPr>
            <xdr:spPr>
              <a:xfrm rot="5400000">
                <a:off x="6790996"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Line">
                <a:extLst>
                  <a:ext uri="{FF2B5EF4-FFF2-40B4-BE49-F238E27FC236}">
                    <a16:creationId xmlns:a16="http://schemas.microsoft.com/office/drawing/2014/main" xmlns="" id="{00000000-0008-0000-1D00-000037000000}"/>
                  </a:ext>
                </a:extLst>
              </xdr:cNvPr>
              <xdr:cNvCxnSpPr/>
            </xdr:nvCxnSpPr>
            <xdr:spPr>
              <a:xfrm rot="5400000">
                <a:off x="7618685"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deghi/&#1580;&#1583;&#1740;&#1583;/&#1575;&#1740;&#1605;&#1575;%20&#1607;&#1605;&#1585;&#1575;&#1607;/&#1576;&#1585;&#1607;&#1575;&#1606;/&#1575;&#1585;&#1586;&#1740;&#1575;&#1576;&#1740;/Doc3_Managers_(ver%2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sadeghi\&#1580;&#1583;&#1740;&#1583;\&#1575;&#1740;&#1605;&#1575;%20&#1607;&#1605;&#1585;&#1575;&#1607;\&#1576;&#1585;&#1607;&#1575;&#1606;\&#1575;&#1585;&#1586;&#1740;&#1575;&#1576;&#1740;\Doc3_Managers_(ver%2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sadeghi\&#1580;&#1583;&#1740;&#1583;\&#1575;&#1740;&#1605;&#1575;%20&#1607;&#1605;&#1585;&#1575;&#1607;\&#1576;&#1585;&#1607;&#1575;&#1606;\&#1575;&#1585;&#1586;&#1740;&#1575;&#1576;&#1740;\Doc3_Managers_(ver%2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amimi/MainProcess%20(ORG)_080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inP_V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1589;&#1605;&#1740;&#1605;&#1740;\MainProcess%20(ORG)_080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amimi/MainProcess%20(ORG)_Org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deghi/Makouie/SAMT/&#1662;&#1608;&#1740;&#1575;%20&#1662;&#1583;&#1740;&#1583;&#1607;%20&#1575;&#1587;&#1662;&#1585;&#1604;&#1608;&#1587;/&#1601;&#1575;&#1740;&#1604;&#1607;&#1575;&#1740;%20&#1583;&#1585;&#1740;&#1575;&#1601;&#1578;&#1740;/Copy%20of%20Doc2_company%20full_(ver%2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sadeghi\Makouie\SAMT\&#1662;&#1608;&#1740;&#1575;%20&#1662;&#1583;&#1740;&#1583;&#1607;%20&#1575;&#1587;&#1662;&#1585;&#1604;&#1608;&#1587;\&#1601;&#1575;&#1740;&#1604;&#1607;&#1575;&#1740;%20&#1583;&#1585;&#1740;&#1575;&#1601;&#1578;&#1740;\Copy%20of%20Doc2_company%20full_(ver%20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sadeghi\Makouie\SAMT\&#1662;&#1608;&#1740;&#1575;%20&#1662;&#1583;&#1740;&#1583;&#1607;%20&#1575;&#1587;&#1662;&#1585;&#1604;&#1608;&#1587;\&#1601;&#1575;&#1740;&#1604;&#1607;&#1575;&#1740;%20&#1583;&#1585;&#1740;&#1575;&#1601;&#1578;&#1740;\Copy%20of%20Doc2_company%20full_(ver%20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adeghi/F.Mohammadi/99/&#1578;&#1608;&#1587;%20&#1570;&#1608;&#1575;%20&#1582;&#1575;&#1608;&#1585;&#1575;&#1606;/&#1605;&#1583;&#1575;&#1585;&#1705;%20&#1575;&#1585;&#1587;&#1575;&#1604;&#1740;/&#1662;&#1585;&#1587;&#1588;&#1606;&#1575;&#1605;&#1607;%20&#1607;&#1575;/Doc2_company%20full_(ver%201.4).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sadeghi\F.Mohammadi\99\&#1578;&#1608;&#1587;%20&#1570;&#1608;&#1575;%20&#1582;&#1575;&#1608;&#1585;&#1575;&#1606;\&#1605;&#1583;&#1575;&#1585;&#1705;%20&#1575;&#1585;&#1587;&#1575;&#1604;&#1740;\&#1662;&#1585;&#1587;&#1588;&#1606;&#1575;&#1605;&#1607;%20&#1607;&#1575;\Doc2_company%20full_(ver%201.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sadeghi\F.Mohammadi\99\&#1578;&#1608;&#1587;%20&#1570;&#1608;&#1575;%20&#1582;&#1575;&#1608;&#1585;&#1575;&#1606;\&#1605;&#1583;&#1575;&#1585;&#1705;%20&#1575;&#1585;&#1587;&#1575;&#1604;&#1740;\&#1662;&#1585;&#1587;&#1588;&#1606;&#1575;&#1605;&#1607;%20&#1607;&#1575;\Doc2_company%20full_(ver%201.4).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1589;&#1605;&#1740;&#1605;&#1740;/check%20list(BASE)%20-%20Cop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adeghi/Users/V.RAZAGHI/Desktop/done/&#1583;&#1585;%20&#1575;&#1606;&#1578;&#1592;&#1575;&#1585;/&#1606;&#1711;&#1740;&#1606;%20&#1580;&#1575;&#1605;&#1607;%20&#1608;%20&#1605;&#1607;/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sadeghi\Users\V.RAZAGHI\Desktop\done\&#1583;&#1585;%20&#1575;&#1606;&#1578;&#1592;&#1575;&#1585;\&#1606;&#1711;&#1740;&#1606;%20&#1580;&#1575;&#1605;&#1607;%20&#1608;%20&#1605;&#1607;\2.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Z:\sadeghi\Users\V.RAZAGHI\Desktop\done\&#1583;&#1585;%20&#1575;&#1606;&#1578;&#1592;&#1575;&#1585;\&#1606;&#1711;&#1740;&#1606;%20&#1580;&#1575;&#1605;&#1607;%20&#1608;%20&#1605;&#1607;\2.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sadeghi/Makouie/SAMT/&#1570;&#1585;&#1605;&#1575;&#1606;%20&#1578;&#1580;&#1575;&#1585;&#1578;%20&#1589;&#1576;&#1575;/Doc3_Managers_(ver%2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sadeghi\Makouie\SAMT\&#1570;&#1585;&#1605;&#1575;&#1606;%20&#1578;&#1580;&#1575;&#1585;&#1578;%20&#1589;&#1576;&#1575;\Doc3_Managers_(ver%2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Z:\sadeghi\Makouie\SAMT\&#1570;&#1585;&#1605;&#1575;&#1606;%20&#1578;&#1580;&#1575;&#1585;&#1578;%20&#1589;&#1576;&#1575;\Doc3_Managers_(ver%2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MainP-V5-1.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arskian/&#1587;&#1575;&#1605;&#1575;&#1606;&#1607;%20&#1740;&#1705;&#1662;&#1575;&#1585;&#1670;&#1607;%20&#1575;&#1593;&#1578;&#1576;&#1575;&#1585;&#1587;&#1606;&#1580;&#1740;%20&#1608;%20&#1585;&#1578;&#1576;&#1607;%20&#1576;&#1606;&#1583;&#1740;%20&#1575;&#1593;&#1578;&#1576;&#1575;&#1585;&#1740;/&#1605;&#1576;&#1578;&#1705;&#1585;&#1575;&#1606;/&#1604;&#1740;&#1587;&#1578;%20&#1605;&#1585;&#1578;&#1576;/excel/SamtRating(Mobtakeran)V2%20-%20Copy.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MainFS-org.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Parskian/&#1587;&#1575;&#1605;&#1575;&#1606;&#1607;%20&#1740;&#1705;&#1662;&#1575;&#1585;&#1670;&#1607;%20&#1575;&#1593;&#1578;&#1576;&#1575;&#1585;&#1587;&#1606;&#1580;&#1740;%20&#1608;%20&#1585;&#1578;&#1576;&#1607;%20&#1576;&#1606;&#1583;&#1740;%20&#1575;&#1593;&#1578;&#1576;&#1575;&#1585;&#1740;/&#1605;&#1576;&#1578;&#1705;&#1585;&#1575;&#1606;/&#1604;&#1740;&#1587;&#1578;%20&#1605;&#1585;&#1578;&#1576;/excel/SamtRating(Mobtakeran)V2.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1589;&#1605;&#1740;&#1605;&#1740;/SamtRating%20(Jooya)%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s>
    <sheetDataSet>
      <sheetData sheetId="0" refreshError="1">
        <row r="1">
          <cell r="C1" t="str">
            <v>پاره وقت</v>
          </cell>
          <cell r="E1" t="str">
            <v>فروردین</v>
          </cell>
          <cell r="F1">
            <v>1</v>
          </cell>
          <cell r="G1">
            <v>1360</v>
          </cell>
        </row>
        <row r="2">
          <cell r="C2" t="str">
            <v>نیمه وقت</v>
          </cell>
          <cell r="E2" t="str">
            <v>اردیبهشت</v>
          </cell>
          <cell r="F2">
            <v>2</v>
          </cell>
          <cell r="G2">
            <v>1361</v>
          </cell>
        </row>
        <row r="3">
          <cell r="C3" t="str">
            <v>تمام وقت</v>
          </cell>
          <cell r="E3" t="str">
            <v>خرداد</v>
          </cell>
          <cell r="F3">
            <v>3</v>
          </cell>
          <cell r="G3">
            <v>1362</v>
          </cell>
        </row>
        <row r="4">
          <cell r="E4" t="str">
            <v>تیر</v>
          </cell>
          <cell r="F4">
            <v>4</v>
          </cell>
          <cell r="G4">
            <v>1363</v>
          </cell>
        </row>
        <row r="5">
          <cell r="E5" t="str">
            <v>مرداد</v>
          </cell>
          <cell r="F5">
            <v>5</v>
          </cell>
          <cell r="G5">
            <v>1364</v>
          </cell>
        </row>
        <row r="6">
          <cell r="E6" t="str">
            <v>شهریور</v>
          </cell>
          <cell r="F6">
            <v>6</v>
          </cell>
          <cell r="G6">
            <v>1365</v>
          </cell>
        </row>
        <row r="7">
          <cell r="E7" t="str">
            <v>مهر</v>
          </cell>
          <cell r="F7">
            <v>7</v>
          </cell>
          <cell r="G7">
            <v>1366</v>
          </cell>
        </row>
        <row r="8">
          <cell r="E8" t="str">
            <v xml:space="preserve">آبان </v>
          </cell>
          <cell r="F8">
            <v>8</v>
          </cell>
          <cell r="G8">
            <v>1367</v>
          </cell>
        </row>
        <row r="9">
          <cell r="E9" t="str">
            <v>آذر</v>
          </cell>
          <cell r="F9">
            <v>9</v>
          </cell>
          <cell r="G9">
            <v>1368</v>
          </cell>
        </row>
        <row r="10">
          <cell r="E10" t="str">
            <v>دی</v>
          </cell>
          <cell r="F10">
            <v>10</v>
          </cell>
          <cell r="G10">
            <v>1369</v>
          </cell>
        </row>
        <row r="11">
          <cell r="E11" t="str">
            <v xml:space="preserve">بهمن </v>
          </cell>
          <cell r="F11">
            <v>11</v>
          </cell>
          <cell r="G11">
            <v>1370</v>
          </cell>
        </row>
        <row r="12">
          <cell r="E12" t="str">
            <v>اسفند</v>
          </cell>
          <cell r="F12">
            <v>12</v>
          </cell>
          <cell r="G12">
            <v>1371</v>
          </cell>
        </row>
        <row r="13">
          <cell r="F13">
            <v>13</v>
          </cell>
          <cell r="G13">
            <v>1372</v>
          </cell>
        </row>
        <row r="14">
          <cell r="F14">
            <v>14</v>
          </cell>
          <cell r="G14">
            <v>1373</v>
          </cell>
        </row>
        <row r="15">
          <cell r="F15">
            <v>15</v>
          </cell>
          <cell r="G15">
            <v>1374</v>
          </cell>
        </row>
        <row r="16">
          <cell r="F16">
            <v>16</v>
          </cell>
          <cell r="G16">
            <v>1375</v>
          </cell>
        </row>
        <row r="17">
          <cell r="F17">
            <v>17</v>
          </cell>
          <cell r="G17">
            <v>1376</v>
          </cell>
        </row>
        <row r="18">
          <cell r="F18">
            <v>18</v>
          </cell>
          <cell r="G18">
            <v>1377</v>
          </cell>
        </row>
        <row r="19">
          <cell r="F19">
            <v>19</v>
          </cell>
          <cell r="G19">
            <v>1378</v>
          </cell>
        </row>
        <row r="20">
          <cell r="F20">
            <v>20</v>
          </cell>
          <cell r="G20">
            <v>1379</v>
          </cell>
        </row>
        <row r="21">
          <cell r="F21">
            <v>21</v>
          </cell>
          <cell r="G21">
            <v>1380</v>
          </cell>
        </row>
        <row r="22">
          <cell r="F22">
            <v>22</v>
          </cell>
          <cell r="G22">
            <v>1381</v>
          </cell>
        </row>
        <row r="23">
          <cell r="F23">
            <v>23</v>
          </cell>
          <cell r="G23">
            <v>1382</v>
          </cell>
        </row>
        <row r="24">
          <cell r="F24">
            <v>24</v>
          </cell>
          <cell r="G24">
            <v>1383</v>
          </cell>
        </row>
        <row r="25">
          <cell r="F25">
            <v>25</v>
          </cell>
          <cell r="G25">
            <v>1384</v>
          </cell>
        </row>
        <row r="26">
          <cell r="F26">
            <v>26</v>
          </cell>
          <cell r="G26">
            <v>1385</v>
          </cell>
        </row>
        <row r="27">
          <cell r="F27">
            <v>27</v>
          </cell>
          <cell r="G27">
            <v>1386</v>
          </cell>
        </row>
        <row r="28">
          <cell r="F28">
            <v>28</v>
          </cell>
          <cell r="G28">
            <v>1387</v>
          </cell>
        </row>
        <row r="29">
          <cell r="F29">
            <v>29</v>
          </cell>
          <cell r="G29">
            <v>1388</v>
          </cell>
        </row>
        <row r="30">
          <cell r="F30">
            <v>30</v>
          </cell>
          <cell r="G30">
            <v>1389</v>
          </cell>
        </row>
        <row r="31">
          <cell r="F31">
            <v>31</v>
          </cell>
          <cell r="G31">
            <v>1390</v>
          </cell>
        </row>
        <row r="32">
          <cell r="G32">
            <v>1391</v>
          </cell>
        </row>
        <row r="33">
          <cell r="G33">
            <v>1392</v>
          </cell>
        </row>
        <row r="34">
          <cell r="G34">
            <v>1393</v>
          </cell>
        </row>
        <row r="35">
          <cell r="G35">
            <v>1394</v>
          </cell>
        </row>
        <row r="36">
          <cell r="G36">
            <v>1395</v>
          </cell>
        </row>
        <row r="37">
          <cell r="G37">
            <v>1396</v>
          </cell>
        </row>
        <row r="38">
          <cell r="G38">
            <v>1397</v>
          </cell>
        </row>
        <row r="39">
          <cell r="G39">
            <v>1398</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s>
    <sheetDataSet>
      <sheetData sheetId="0" refreshError="1">
        <row r="1">
          <cell r="C1" t="str">
            <v>پاره وقت</v>
          </cell>
          <cell r="E1" t="str">
            <v>فروردین</v>
          </cell>
          <cell r="F1">
            <v>1</v>
          </cell>
          <cell r="G1">
            <v>1360</v>
          </cell>
        </row>
        <row r="2">
          <cell r="C2" t="str">
            <v>نیمه وقت</v>
          </cell>
          <cell r="E2" t="str">
            <v>اردیبهشت</v>
          </cell>
          <cell r="F2">
            <v>2</v>
          </cell>
          <cell r="G2">
            <v>1361</v>
          </cell>
        </row>
        <row r="3">
          <cell r="C3" t="str">
            <v>تمام وقت</v>
          </cell>
          <cell r="E3" t="str">
            <v>خرداد</v>
          </cell>
          <cell r="F3">
            <v>3</v>
          </cell>
          <cell r="G3">
            <v>1362</v>
          </cell>
        </row>
        <row r="4">
          <cell r="E4" t="str">
            <v>تیر</v>
          </cell>
          <cell r="F4">
            <v>4</v>
          </cell>
          <cell r="G4">
            <v>1363</v>
          </cell>
        </row>
        <row r="5">
          <cell r="E5" t="str">
            <v>مرداد</v>
          </cell>
          <cell r="F5">
            <v>5</v>
          </cell>
          <cell r="G5">
            <v>1364</v>
          </cell>
        </row>
        <row r="6">
          <cell r="E6" t="str">
            <v>شهریور</v>
          </cell>
          <cell r="F6">
            <v>6</v>
          </cell>
          <cell r="G6">
            <v>1365</v>
          </cell>
        </row>
        <row r="7">
          <cell r="E7" t="str">
            <v>مهر</v>
          </cell>
          <cell r="F7">
            <v>7</v>
          </cell>
          <cell r="G7">
            <v>1366</v>
          </cell>
        </row>
        <row r="8">
          <cell r="E8" t="str">
            <v xml:space="preserve">آبان </v>
          </cell>
          <cell r="F8">
            <v>8</v>
          </cell>
          <cell r="G8">
            <v>1367</v>
          </cell>
        </row>
        <row r="9">
          <cell r="E9" t="str">
            <v>آذر</v>
          </cell>
          <cell r="F9">
            <v>9</v>
          </cell>
          <cell r="G9">
            <v>1368</v>
          </cell>
        </row>
        <row r="10">
          <cell r="E10" t="str">
            <v>دی</v>
          </cell>
          <cell r="F10">
            <v>10</v>
          </cell>
          <cell r="G10">
            <v>1369</v>
          </cell>
        </row>
        <row r="11">
          <cell r="E11" t="str">
            <v xml:space="preserve">بهمن </v>
          </cell>
          <cell r="F11">
            <v>11</v>
          </cell>
          <cell r="G11">
            <v>1370</v>
          </cell>
        </row>
        <row r="12">
          <cell r="E12" t="str">
            <v>اسفند</v>
          </cell>
          <cell r="F12">
            <v>12</v>
          </cell>
          <cell r="G12">
            <v>1371</v>
          </cell>
        </row>
        <row r="13">
          <cell r="F13">
            <v>13</v>
          </cell>
          <cell r="G13">
            <v>1372</v>
          </cell>
        </row>
        <row r="14">
          <cell r="F14">
            <v>14</v>
          </cell>
          <cell r="G14">
            <v>1373</v>
          </cell>
        </row>
        <row r="15">
          <cell r="F15">
            <v>15</v>
          </cell>
          <cell r="G15">
            <v>1374</v>
          </cell>
        </row>
        <row r="16">
          <cell r="F16">
            <v>16</v>
          </cell>
          <cell r="G16">
            <v>1375</v>
          </cell>
        </row>
        <row r="17">
          <cell r="F17">
            <v>17</v>
          </cell>
          <cell r="G17">
            <v>1376</v>
          </cell>
        </row>
        <row r="18">
          <cell r="F18">
            <v>18</v>
          </cell>
          <cell r="G18">
            <v>1377</v>
          </cell>
        </row>
        <row r="19">
          <cell r="F19">
            <v>19</v>
          </cell>
          <cell r="G19">
            <v>1378</v>
          </cell>
        </row>
        <row r="20">
          <cell r="F20">
            <v>20</v>
          </cell>
          <cell r="G20">
            <v>1379</v>
          </cell>
        </row>
        <row r="21">
          <cell r="F21">
            <v>21</v>
          </cell>
          <cell r="G21">
            <v>1380</v>
          </cell>
        </row>
        <row r="22">
          <cell r="F22">
            <v>22</v>
          </cell>
          <cell r="G22">
            <v>1381</v>
          </cell>
        </row>
        <row r="23">
          <cell r="F23">
            <v>23</v>
          </cell>
          <cell r="G23">
            <v>1382</v>
          </cell>
        </row>
        <row r="24">
          <cell r="F24">
            <v>24</v>
          </cell>
          <cell r="G24">
            <v>1383</v>
          </cell>
        </row>
        <row r="25">
          <cell r="F25">
            <v>25</v>
          </cell>
          <cell r="G25">
            <v>1384</v>
          </cell>
        </row>
        <row r="26">
          <cell r="F26">
            <v>26</v>
          </cell>
          <cell r="G26">
            <v>1385</v>
          </cell>
        </row>
        <row r="27">
          <cell r="F27">
            <v>27</v>
          </cell>
          <cell r="G27">
            <v>1386</v>
          </cell>
        </row>
        <row r="28">
          <cell r="F28">
            <v>28</v>
          </cell>
          <cell r="G28">
            <v>1387</v>
          </cell>
        </row>
        <row r="29">
          <cell r="F29">
            <v>29</v>
          </cell>
          <cell r="G29">
            <v>1388</v>
          </cell>
        </row>
        <row r="30">
          <cell r="F30">
            <v>30</v>
          </cell>
          <cell r="G30">
            <v>1389</v>
          </cell>
        </row>
        <row r="31">
          <cell r="F31">
            <v>31</v>
          </cell>
          <cell r="G31">
            <v>1390</v>
          </cell>
        </row>
        <row r="32">
          <cell r="G32">
            <v>1391</v>
          </cell>
        </row>
        <row r="33">
          <cell r="G33">
            <v>1392</v>
          </cell>
        </row>
        <row r="34">
          <cell r="G34">
            <v>1393</v>
          </cell>
        </row>
        <row r="35">
          <cell r="G35">
            <v>1394</v>
          </cell>
        </row>
        <row r="36">
          <cell r="G36">
            <v>1395</v>
          </cell>
        </row>
        <row r="37">
          <cell r="G37">
            <v>1396</v>
          </cell>
        </row>
        <row r="38">
          <cell r="G38">
            <v>1397</v>
          </cell>
        </row>
        <row r="39">
          <cell r="G39">
            <v>1398</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s>
    <sheetDataSet>
      <sheetData sheetId="0" refreshError="1">
        <row r="1">
          <cell r="C1" t="str">
            <v>پاره وقت</v>
          </cell>
          <cell r="E1" t="str">
            <v>فروردین</v>
          </cell>
          <cell r="F1">
            <v>1</v>
          </cell>
          <cell r="G1">
            <v>1360</v>
          </cell>
        </row>
        <row r="2">
          <cell r="C2" t="str">
            <v>نیمه وقت</v>
          </cell>
          <cell r="E2" t="str">
            <v>اردیبهشت</v>
          </cell>
          <cell r="F2">
            <v>2</v>
          </cell>
          <cell r="G2">
            <v>1361</v>
          </cell>
        </row>
        <row r="3">
          <cell r="C3" t="str">
            <v>تمام وقت</v>
          </cell>
          <cell r="E3" t="str">
            <v>خرداد</v>
          </cell>
          <cell r="F3">
            <v>3</v>
          </cell>
          <cell r="G3">
            <v>1362</v>
          </cell>
        </row>
        <row r="4">
          <cell r="E4" t="str">
            <v>تیر</v>
          </cell>
          <cell r="F4">
            <v>4</v>
          </cell>
          <cell r="G4">
            <v>1363</v>
          </cell>
        </row>
        <row r="5">
          <cell r="E5" t="str">
            <v>مرداد</v>
          </cell>
          <cell r="F5">
            <v>5</v>
          </cell>
          <cell r="G5">
            <v>1364</v>
          </cell>
        </row>
        <row r="6">
          <cell r="E6" t="str">
            <v>شهریور</v>
          </cell>
          <cell r="F6">
            <v>6</v>
          </cell>
          <cell r="G6">
            <v>1365</v>
          </cell>
        </row>
        <row r="7">
          <cell r="E7" t="str">
            <v>مهر</v>
          </cell>
          <cell r="F7">
            <v>7</v>
          </cell>
          <cell r="G7">
            <v>1366</v>
          </cell>
        </row>
        <row r="8">
          <cell r="E8" t="str">
            <v xml:space="preserve">آبان </v>
          </cell>
          <cell r="F8">
            <v>8</v>
          </cell>
          <cell r="G8">
            <v>1367</v>
          </cell>
        </row>
        <row r="9">
          <cell r="E9" t="str">
            <v>آذر</v>
          </cell>
          <cell r="F9">
            <v>9</v>
          </cell>
          <cell r="G9">
            <v>1368</v>
          </cell>
        </row>
        <row r="10">
          <cell r="E10" t="str">
            <v>دی</v>
          </cell>
          <cell r="F10">
            <v>10</v>
          </cell>
          <cell r="G10">
            <v>1369</v>
          </cell>
        </row>
        <row r="11">
          <cell r="E11" t="str">
            <v xml:space="preserve">بهمن </v>
          </cell>
          <cell r="F11">
            <v>11</v>
          </cell>
          <cell r="G11">
            <v>1370</v>
          </cell>
        </row>
        <row r="12">
          <cell r="E12" t="str">
            <v>اسفند</v>
          </cell>
          <cell r="F12">
            <v>12</v>
          </cell>
          <cell r="G12">
            <v>1371</v>
          </cell>
        </row>
        <row r="13">
          <cell r="F13">
            <v>13</v>
          </cell>
          <cell r="G13">
            <v>1372</v>
          </cell>
        </row>
        <row r="14">
          <cell r="F14">
            <v>14</v>
          </cell>
          <cell r="G14">
            <v>1373</v>
          </cell>
        </row>
        <row r="15">
          <cell r="F15">
            <v>15</v>
          </cell>
          <cell r="G15">
            <v>1374</v>
          </cell>
        </row>
        <row r="16">
          <cell r="F16">
            <v>16</v>
          </cell>
          <cell r="G16">
            <v>1375</v>
          </cell>
        </row>
        <row r="17">
          <cell r="F17">
            <v>17</v>
          </cell>
          <cell r="G17">
            <v>1376</v>
          </cell>
        </row>
        <row r="18">
          <cell r="F18">
            <v>18</v>
          </cell>
          <cell r="G18">
            <v>1377</v>
          </cell>
        </row>
        <row r="19">
          <cell r="F19">
            <v>19</v>
          </cell>
          <cell r="G19">
            <v>1378</v>
          </cell>
        </row>
        <row r="20">
          <cell r="F20">
            <v>20</v>
          </cell>
          <cell r="G20">
            <v>1379</v>
          </cell>
        </row>
        <row r="21">
          <cell r="F21">
            <v>21</v>
          </cell>
          <cell r="G21">
            <v>1380</v>
          </cell>
        </row>
        <row r="22">
          <cell r="F22">
            <v>22</v>
          </cell>
          <cell r="G22">
            <v>1381</v>
          </cell>
        </row>
        <row r="23">
          <cell r="F23">
            <v>23</v>
          </cell>
          <cell r="G23">
            <v>1382</v>
          </cell>
        </row>
        <row r="24">
          <cell r="F24">
            <v>24</v>
          </cell>
          <cell r="G24">
            <v>1383</v>
          </cell>
        </row>
        <row r="25">
          <cell r="F25">
            <v>25</v>
          </cell>
          <cell r="G25">
            <v>1384</v>
          </cell>
        </row>
        <row r="26">
          <cell r="F26">
            <v>26</v>
          </cell>
          <cell r="G26">
            <v>1385</v>
          </cell>
        </row>
        <row r="27">
          <cell r="F27">
            <v>27</v>
          </cell>
          <cell r="G27">
            <v>1386</v>
          </cell>
        </row>
        <row r="28">
          <cell r="F28">
            <v>28</v>
          </cell>
          <cell r="G28">
            <v>1387</v>
          </cell>
        </row>
        <row r="29">
          <cell r="F29">
            <v>29</v>
          </cell>
          <cell r="G29">
            <v>1388</v>
          </cell>
        </row>
        <row r="30">
          <cell r="F30">
            <v>30</v>
          </cell>
          <cell r="G30">
            <v>1389</v>
          </cell>
        </row>
        <row r="31">
          <cell r="F31">
            <v>31</v>
          </cell>
          <cell r="G31">
            <v>1390</v>
          </cell>
        </row>
        <row r="32">
          <cell r="G32">
            <v>1391</v>
          </cell>
        </row>
        <row r="33">
          <cell r="G33">
            <v>1392</v>
          </cell>
        </row>
        <row r="34">
          <cell r="G34">
            <v>1393</v>
          </cell>
        </row>
        <row r="35">
          <cell r="G35">
            <v>1394</v>
          </cell>
        </row>
        <row r="36">
          <cell r="G36">
            <v>1395</v>
          </cell>
        </row>
        <row r="37">
          <cell r="G37">
            <v>1396</v>
          </cell>
        </row>
        <row r="38">
          <cell r="G38">
            <v>1397</v>
          </cell>
        </row>
        <row r="39">
          <cell r="G39">
            <v>1398</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چک لیست"/>
      <sheetName val="1. مدرک تحصیلی"/>
      <sheetName val="2. تجربه"/>
      <sheetName val="3. دوره های آموزشی"/>
      <sheetName val="4.آموزش"/>
      <sheetName val="نوع مالکیت.5"/>
      <sheetName val="نظامنامه.6"/>
      <sheetName val="7.استاندارد"/>
      <sheetName val="8.گواهینامه ها"/>
      <sheetName val="9.جوایز"/>
      <sheetName val="10.حاکمیت شرکتی"/>
      <sheetName val="11.زنجیره ارزش"/>
      <sheetName val="13.تحقیق و توسعه"/>
      <sheetName val="14.تولید"/>
      <sheetName val="15.curve"/>
      <sheetName val="زمینه ها.16"/>
      <sheetName val="زمینه ها"/>
      <sheetName val="17.تعداد"/>
      <sheetName val="18.تحصیلات"/>
      <sheetName val="19.تجربه"/>
      <sheetName val="20.تخصص"/>
      <sheetName val="21.دستمزد"/>
      <sheetName val="22.(دستمزد(2"/>
      <sheetName val="16.بهره وری"/>
      <sheetName val="17تشکل"/>
      <sheetName val="18.عام المنفعه"/>
      <sheetName val="19.رونق فعالیت"/>
      <sheetName val="امتیاز نهایی"/>
      <sheetName val="Learn mo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چک لیست"/>
      <sheetName val="مدرک تحصیلی-جدید"/>
      <sheetName val="تجربه کاری-جدید "/>
      <sheetName val="نوع مالکیت"/>
      <sheetName val="2. تجربه"/>
      <sheetName val="1. مدرک تحصیلی"/>
      <sheetName val="3. دوره های آموزشی"/>
      <sheetName val="4.آموزش"/>
      <sheetName val="نظامنامه.6"/>
      <sheetName val="7.استاندارد"/>
      <sheetName val="8.گواهینامه ها"/>
      <sheetName val="9.جوایز"/>
      <sheetName val="10.حاکمیت شرکتی"/>
      <sheetName val="12.برنامه ریزی"/>
      <sheetName val="11.زنجیره ارزش"/>
      <sheetName val="13.تحقیق و توسعه"/>
      <sheetName val="14.تولید"/>
      <sheetName val="15.curve"/>
      <sheetName val="زمینه ها.16"/>
      <sheetName val="زمینه ها"/>
      <sheetName val="17.تعداد"/>
      <sheetName val="18.تحصیلات"/>
      <sheetName val="19.تجربه"/>
      <sheetName val="20.تخصص"/>
      <sheetName val="21.دستمزد"/>
      <sheetName val="22.(دستمزد(2"/>
      <sheetName val="16.بهره وری"/>
      <sheetName val="17تشکل"/>
      <sheetName val="18.عام المنفعه"/>
      <sheetName val="رونق فعالیت "/>
      <sheetName val="امتیاز نهایی"/>
      <sheetName val="Learn more"/>
    </sheetNames>
    <sheetDataSet>
      <sheetData sheetId="0"/>
      <sheetData sheetId="1"/>
      <sheetData sheetId="2"/>
      <sheetData sheetId="3"/>
      <sheetData sheetId="4"/>
      <sheetData sheetId="5"/>
      <sheetData sheetId="6"/>
      <sheetData sheetId="7"/>
      <sheetData sheetId="8"/>
      <sheetData sheetId="9"/>
      <sheetData sheetId="10"/>
      <sheetData sheetId="11">
        <row r="10">
          <cell r="I10">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چک لیست"/>
      <sheetName val="1. مدرک تحصیلی"/>
      <sheetName val="2. تجربه"/>
      <sheetName val="3. دوره های آموزشی"/>
      <sheetName val="4.آموزش"/>
      <sheetName val="نوع مالکیت.5"/>
      <sheetName val="نظامنامه.6"/>
      <sheetName val="7.استاندارد"/>
      <sheetName val="8.گواهینامه ها"/>
      <sheetName val="9.جوایز"/>
      <sheetName val="10.حاکمیت شرکتی"/>
      <sheetName val="11.زنجیره ارزش"/>
      <sheetName val="13.تحقیق و توسعه"/>
      <sheetName val="14.تولید"/>
      <sheetName val="15.curve"/>
      <sheetName val="زمینه ها.16"/>
      <sheetName val="زمینه ها"/>
      <sheetName val="17.تعداد"/>
      <sheetName val="18.تحصیلات"/>
      <sheetName val="19.تجربه"/>
      <sheetName val="20.تخصص"/>
      <sheetName val="21.دستمزد"/>
      <sheetName val="22.(دستمزد(2"/>
      <sheetName val="16.بهره وری"/>
      <sheetName val="17تشکل"/>
      <sheetName val="18.عام المنفعه"/>
      <sheetName val="19.رونق فعالیت"/>
      <sheetName val="امتیاز نهایی"/>
      <sheetName val="Learn mo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چک لیست"/>
      <sheetName val="1. مدرک تحصیلی"/>
      <sheetName val="2. تجربه"/>
      <sheetName val="3. دوره های آموزشی"/>
      <sheetName val="4.آموزش"/>
      <sheetName val="نوع مالکیت"/>
      <sheetName val="نظامنامه.6"/>
      <sheetName val="7.استاندارد"/>
      <sheetName val="8.گواهینامه ها"/>
      <sheetName val="9.جوایز"/>
      <sheetName val="حاکمیت شرکتی"/>
      <sheetName val="12.برنامه ریزی"/>
      <sheetName val="11.زنجیره ارزش"/>
      <sheetName val="تحقیق توسعه"/>
      <sheetName val="14.تولید"/>
      <sheetName val="15.curve"/>
      <sheetName val="زمینه ها.16"/>
      <sheetName val="زمینه ها"/>
      <sheetName val="17.تعداد"/>
      <sheetName val="18.تحصیلات"/>
      <sheetName val="19.تجربه"/>
      <sheetName val="20.تخصص"/>
      <sheetName val="21.دستمزد"/>
      <sheetName val="22.(دستمزد(2"/>
      <sheetName val="16.بهره وری"/>
      <sheetName val="17تشکل"/>
      <sheetName val="18.عام المنفعه"/>
      <sheetName val="رونق فعالیت "/>
      <sheetName val="امتیاز نهایی"/>
      <sheetName val="Learn mo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 val="مشخصات دعاوی "/>
      <sheetName val="احکام و اخطاریه ها"/>
    </sheetNames>
    <sheetDataSet>
      <sheetData sheetId="0">
        <row r="1">
          <cell r="E1" t="str">
            <v>بلی</v>
          </cell>
        </row>
        <row r="2">
          <cell r="E2" t="str">
            <v>خیر</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 val="مشخصات دعاوی "/>
      <sheetName val="احکام و اخطاریه ها"/>
    </sheetNames>
    <sheetDataSet>
      <sheetData sheetId="0">
        <row r="1">
          <cell r="E1" t="str">
            <v>بلی</v>
          </cell>
        </row>
        <row r="2">
          <cell r="E2" t="str">
            <v>خیر</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 val="مشخصات دعاوی "/>
      <sheetName val="احکام و اخطاریه ها"/>
    </sheetNames>
    <sheetDataSet>
      <sheetData sheetId="0">
        <row r="1">
          <cell r="E1" t="str">
            <v>بلی</v>
          </cell>
        </row>
        <row r="2">
          <cell r="E2" t="str">
            <v>خیر</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K1" t="str">
            <v>لجستیک درونی</v>
          </cell>
        </row>
        <row r="2">
          <cell r="K2" t="str">
            <v>فرآیندهای تولیدی</v>
          </cell>
        </row>
        <row r="3">
          <cell r="K3" t="str">
            <v>لجستیک بیرونی</v>
          </cell>
        </row>
        <row r="4">
          <cell r="K4" t="str">
            <v xml:space="preserve">بازاریابی و فروش </v>
          </cell>
        </row>
        <row r="5">
          <cell r="K5" t="str">
            <v>خدمات پس از فروش</v>
          </cell>
        </row>
        <row r="6">
          <cell r="K6" t="str">
            <v>زیر ساخت ها</v>
          </cell>
        </row>
        <row r="7">
          <cell r="K7" t="str">
            <v>مدیریت منابع انسانی</v>
          </cell>
        </row>
        <row r="8">
          <cell r="K8" t="str">
            <v>توسعۀ تکنولوژی</v>
          </cell>
        </row>
        <row r="9">
          <cell r="K9" t="str">
            <v>تدارکات</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K1" t="str">
            <v>لجستیک درونی</v>
          </cell>
        </row>
        <row r="2">
          <cell r="K2" t="str">
            <v>فرآیندهای تولیدی</v>
          </cell>
        </row>
        <row r="3">
          <cell r="K3" t="str">
            <v>لجستیک بیرونی</v>
          </cell>
        </row>
        <row r="4">
          <cell r="K4" t="str">
            <v xml:space="preserve">بازاریابی و فروش </v>
          </cell>
        </row>
        <row r="5">
          <cell r="K5" t="str">
            <v>خدمات پس از فروش</v>
          </cell>
        </row>
        <row r="6">
          <cell r="K6" t="str">
            <v>زیر ساخت ها</v>
          </cell>
        </row>
        <row r="7">
          <cell r="K7" t="str">
            <v>مدیریت منابع انسانی</v>
          </cell>
        </row>
        <row r="8">
          <cell r="K8" t="str">
            <v>توسعۀ تکنولوژی</v>
          </cell>
        </row>
        <row r="9">
          <cell r="K9" t="str">
            <v>تدارکات</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K1" t="str">
            <v>لجستیک درونی</v>
          </cell>
        </row>
        <row r="2">
          <cell r="K2" t="str">
            <v>فرآیندهای تولیدی</v>
          </cell>
        </row>
        <row r="3">
          <cell r="K3" t="str">
            <v>لجستیک بیرونی</v>
          </cell>
        </row>
        <row r="4">
          <cell r="K4" t="str">
            <v xml:space="preserve">بازاریابی و فروش </v>
          </cell>
        </row>
        <row r="5">
          <cell r="K5" t="str">
            <v>خدمات پس از فروش</v>
          </cell>
        </row>
        <row r="6">
          <cell r="K6" t="str">
            <v>زیر ساخت ها</v>
          </cell>
        </row>
        <row r="7">
          <cell r="K7" t="str">
            <v>مدیریت منابع انسانی</v>
          </cell>
        </row>
        <row r="8">
          <cell r="K8" t="str">
            <v>توسعۀ تکنولوژی</v>
          </cell>
        </row>
        <row r="9">
          <cell r="K9" t="str">
            <v>تدارکات</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1. مدرک تحصیلی"/>
      <sheetName val="2. تجربه"/>
      <sheetName val="3. دوره های آموزشی"/>
      <sheetName val="4.آموزش"/>
      <sheetName val="نوع مالکیت.5"/>
      <sheetName val="نظامنامه.6"/>
      <sheetName val="7.استاندارد"/>
      <sheetName val="8.گواهینامه ها"/>
      <sheetName val="9.جوایز"/>
      <sheetName val="10.حاکمیت شرکتی"/>
      <sheetName val="11.زنجیره ارزش"/>
      <sheetName val="12.برنامه ریزی"/>
      <sheetName val="13.تحقیق و توسعه"/>
      <sheetName val="14.تولید"/>
      <sheetName val="15.curve"/>
      <sheetName val="زمینه ها.16"/>
      <sheetName val="17.تعداد"/>
      <sheetName val="18.تحصیلات"/>
      <sheetName val="19.تجربه"/>
      <sheetName val="20.تخصص"/>
      <sheetName val="21.دستمزد"/>
      <sheetName val="22.(دستمزد(2"/>
      <sheetName val="16.بهره وری"/>
      <sheetName val="17تشکل"/>
      <sheetName val="18.عام المنفعه"/>
      <sheetName val="19.رونق فعالیت"/>
      <sheetName val="امتیاز نهایی"/>
      <sheetName val="Learn more"/>
    </sheetNames>
    <sheetDataSet>
      <sheetData sheetId="0">
        <row r="5">
          <cell r="C5" t="str">
            <v>شرکت آذر صنعت گالان</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8">
          <cell r="G8">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J1" t="str">
            <v>عرضه محصول یا خدمت با کیفیت مشابه رقبا ولی با قیمت کمتر</v>
          </cell>
        </row>
        <row r="2">
          <cell r="J2" t="str">
            <v>عرضه محصول یا خدمات با قیمت مشابه ولی کیفیت بالاتر</v>
          </cell>
        </row>
        <row r="3">
          <cell r="J3" t="str">
            <v>هر دو</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J1" t="str">
            <v>عرضه محصول یا خدمت با کیفیت مشابه رقبا ولی با قیمت کمتر</v>
          </cell>
        </row>
        <row r="2">
          <cell r="J2" t="str">
            <v>عرضه محصول یا خدمات با قیمت مشابه ولی کیفیت بالاتر</v>
          </cell>
        </row>
        <row r="3">
          <cell r="J3" t="str">
            <v>هر دو</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شرکت"/>
      <sheetName val="نام صاحبان امضا"/>
      <sheetName val="نام سهامداران"/>
      <sheetName val="دوره های آموزشی"/>
      <sheetName val="تشکلها"/>
      <sheetName val="نظام نامه ها"/>
      <sheetName val="جوایز"/>
      <sheetName val="استانداردها"/>
      <sheetName val="گواهینامه ها"/>
      <sheetName val="فعالیتهای عام المنفعه"/>
      <sheetName val="تولید"/>
      <sheetName val="ظرفیت تولید"/>
      <sheetName val="واردات"/>
      <sheetName val="صادرات"/>
      <sheetName val="حاکمیت شرکتی"/>
      <sheetName val="زنجیره ارزش"/>
      <sheetName val="تحقیق و توسعه1"/>
      <sheetName val="تحقیق و توسعه 2"/>
      <sheetName val="بودجه تحقیقات"/>
      <sheetName val="رقبای مشتری"/>
      <sheetName val="مشخصات نرم افزارهای کاربردی"/>
      <sheetName val="سخت افزارهای عمده و اصلی"/>
      <sheetName val="مشخصات مرکز داده "/>
      <sheetName val="مشخصات مشتریان عمده"/>
    </sheetNames>
    <sheetDataSet>
      <sheetData sheetId="0">
        <row r="1">
          <cell r="J1" t="str">
            <v>عرضه محصول یا خدمت با کیفیت مشابه رقبا ولی با قیمت کمتر</v>
          </cell>
        </row>
        <row r="2">
          <cell r="J2" t="str">
            <v>عرضه محصول یا خدمات با قیمت مشابه ولی کیفیت بالاتر</v>
          </cell>
        </row>
        <row r="3">
          <cell r="J3" t="str">
            <v>هر دو</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 val="Sheet1"/>
    </sheetNames>
    <sheetDataSet>
      <sheetData sheetId="0"/>
      <sheetData sheetId="1"/>
      <sheetData sheetId="2"/>
      <sheetData sheetId="3"/>
      <sheetData sheetId="4"/>
      <sheetData sheetId="5"/>
      <sheetData sheetId="6"/>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 val="Sheet1"/>
    </sheetNames>
    <sheetDataSet>
      <sheetData sheetId="0"/>
      <sheetData sheetId="1"/>
      <sheetData sheetId="2"/>
      <sheetData sheetId="3"/>
      <sheetData sheetId="4"/>
      <sheetData sheetId="5"/>
      <sheetData sheetId="6"/>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فهرست"/>
      <sheetName val="اطلاعات مدیران"/>
      <sheetName val="سوابق کاری مدیران"/>
      <sheetName val="تحصیلات مدیران"/>
      <sheetName val="دوره های آموزشی مدیران"/>
      <sheetName val="اطلاعات شاغلین"/>
      <sheetName val="Sheet1"/>
    </sheetNames>
    <sheetDataSet>
      <sheetData sheetId="0"/>
      <sheetData sheetId="1"/>
      <sheetData sheetId="2"/>
      <sheetData sheetId="3"/>
      <sheetData sheetId="4"/>
      <sheetData sheetId="5"/>
      <sheetData sheetId="6"/>
      <sheetData sheetId="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چک لیست"/>
      <sheetName val="Start"/>
      <sheetName val="مدرک تحصیلی"/>
      <sheetName val="تجربه کاری "/>
      <sheetName val="آموزش "/>
      <sheetName val="نوع مالکیت1"/>
      <sheetName val="نوع مالکیت"/>
      <sheetName val="نظامنامه.6"/>
      <sheetName val="8.گواهینامه ها"/>
      <sheetName val="9.جوایز"/>
      <sheetName val="7.استاندارد"/>
      <sheetName val="10.حاکمیت شرکتی"/>
      <sheetName val="12.برنامه ریزی"/>
      <sheetName val="11.زنجیره ارزش"/>
      <sheetName val="13.تحقیق و توسعه"/>
      <sheetName val="14.تولید"/>
      <sheetName val="15.curve"/>
      <sheetName val="زمینه ها.16"/>
      <sheetName val="زمینه ها"/>
      <sheetName val="17.تعداد"/>
      <sheetName val="18.تحصیلات"/>
      <sheetName val="19.تجربه"/>
      <sheetName val="20.تخصص"/>
      <sheetName val="21.دستمزد"/>
      <sheetName val="22.(دستمزد(2"/>
      <sheetName val="16.بهره وری"/>
      <sheetName val="17تشکل"/>
      <sheetName val="18.عام المنفعه"/>
      <sheetName val="رونق فعالیت "/>
      <sheetName val="امتیاز نهایی"/>
      <sheetName val="Learn more"/>
    </sheetNames>
    <sheetDataSet>
      <sheetData sheetId="0"/>
      <sheetData sheetId="1">
        <row r="6">
          <cell r="E6" t="str">
            <v>بورسی</v>
          </cell>
        </row>
        <row r="7">
          <cell r="C7" t="str">
            <v>غیربورسی</v>
          </cell>
        </row>
      </sheetData>
      <sheetData sheetId="2">
        <row r="3">
          <cell r="E3">
            <v>1</v>
          </cell>
        </row>
        <row r="4">
          <cell r="E4">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امتیاز نهایی"/>
      <sheetName val="مدرک تحصیلی"/>
      <sheetName val="تجربه کاری "/>
      <sheetName val="فرم دوره های آموزشی هیات مدیره"/>
      <sheetName val="آموزش"/>
      <sheetName val="نوع مالکیت"/>
      <sheetName val="نظامنامه"/>
      <sheetName val="استاندارد"/>
      <sheetName val="گواهینامه ها"/>
      <sheetName val="جوایز"/>
      <sheetName val="حاکمیت شرکتی"/>
      <sheetName val="زنجیرۀ ارزش"/>
      <sheetName val="برنامه ریزی"/>
      <sheetName val="تحقیق توسعه"/>
      <sheetName val="تولید"/>
      <sheetName val="curve"/>
      <sheetName val="زمینه ها"/>
      <sheetName val="تعداد"/>
      <sheetName val="تحصیلات"/>
      <sheetName val="تجربه"/>
      <sheetName val="تخصص "/>
      <sheetName val="دستمزد"/>
      <sheetName val="دستمزد (2)"/>
      <sheetName val="بهره وری"/>
      <sheetName val="تشکل"/>
      <sheetName val="عام المنفعه"/>
      <sheetName val="رونق فعالیت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C3">
            <v>1000000000</v>
          </cell>
        </row>
      </sheetData>
      <sheetData sheetId="16">
        <row r="2">
          <cell r="A2" t="str">
            <v>زمینه های فعالیت</v>
          </cell>
          <cell r="B2" t="str">
            <v>نصاب</v>
          </cell>
        </row>
        <row r="3">
          <cell r="A3" t="str">
            <v>تولیدی</v>
          </cell>
          <cell r="B3">
            <v>5000</v>
          </cell>
        </row>
        <row r="4">
          <cell r="A4" t="str">
            <v>بازرگانی</v>
          </cell>
          <cell r="B4">
            <v>9500</v>
          </cell>
        </row>
        <row r="5">
          <cell r="A5" t="str">
            <v>مالی</v>
          </cell>
          <cell r="B5">
            <v>100000</v>
          </cell>
        </row>
        <row r="6">
          <cell r="A6" t="str">
            <v>سایر خدمات</v>
          </cell>
          <cell r="B6">
            <v>2000</v>
          </cell>
        </row>
      </sheetData>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رازنامه"/>
      <sheetName val="RATE1"/>
      <sheetName val="سود (زیان)"/>
      <sheetName val="بهره وری"/>
      <sheetName val="هزینه ثابت و متغیر"/>
      <sheetName val="دستمزد(بر اساس تحصیلات)"/>
      <sheetName val="دستمزد(بر اساس تجربه)"/>
    </sheetNames>
    <sheetDataSet>
      <sheetData sheetId="0" refreshError="1"/>
      <sheetData sheetId="1">
        <row r="9">
          <cell r="F9">
            <v>1.2574970116033575</v>
          </cell>
        </row>
        <row r="32">
          <cell r="F32">
            <v>3.0443396358969796E-2</v>
          </cell>
        </row>
      </sheetData>
      <sheetData sheetId="2" refreshError="1"/>
      <sheetData sheetId="3">
        <row r="11">
          <cell r="D11">
            <v>109</v>
          </cell>
        </row>
      </sheetData>
      <sheetData sheetId="4">
        <row r="2">
          <cell r="C2">
            <v>60684</v>
          </cell>
        </row>
        <row r="10">
          <cell r="C10">
            <v>2416405</v>
          </cell>
        </row>
        <row r="11">
          <cell r="C11">
            <v>90940</v>
          </cell>
        </row>
        <row r="12">
          <cell r="C12">
            <v>2188070</v>
          </cell>
        </row>
        <row r="16">
          <cell r="E16">
            <v>7.1559240810888741E-2</v>
          </cell>
        </row>
        <row r="18">
          <cell r="E18">
            <v>0.31980195066662692</v>
          </cell>
        </row>
        <row r="19">
          <cell r="E19">
            <v>0.29081039162466071</v>
          </cell>
        </row>
        <row r="20">
          <cell r="E20">
            <v>1.6161103985842258E-2</v>
          </cell>
        </row>
        <row r="21">
          <cell r="E21">
            <v>0.3016673129119814</v>
          </cell>
        </row>
      </sheetData>
      <sheetData sheetId="5" refreshError="1"/>
      <sheetData sheetId="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امتیاز نهایی"/>
      <sheetName val="مدرک تحصیلی"/>
      <sheetName val="تجربه کاری "/>
      <sheetName val="فرم دوره های آموزشی هیات مدیره"/>
      <sheetName val="آموزش"/>
      <sheetName val="نوع مالکیت"/>
      <sheetName val="نظامنامه"/>
      <sheetName val="استاندارد"/>
      <sheetName val="گواهینامه ها"/>
      <sheetName val="جوایز"/>
      <sheetName val="حاکمیت شرکتی"/>
      <sheetName val="زنجیرۀ ارزش"/>
      <sheetName val="برنامه ریزی"/>
      <sheetName val="تحقیق توسعه"/>
      <sheetName val="تولید"/>
      <sheetName val="curve"/>
      <sheetName val="زمینه ها"/>
      <sheetName val="تعداد"/>
      <sheetName val="تحصیلات"/>
      <sheetName val="تجربه"/>
      <sheetName val="تخصص "/>
      <sheetName val="دستمزد"/>
      <sheetName val="دستمزد (2)"/>
      <sheetName val="بهره وری"/>
      <sheetName val="تشکل"/>
      <sheetName val="عام المنفعه"/>
      <sheetName val="رونق فعالیت "/>
    </sheetNames>
    <sheetDataSet>
      <sheetData sheetId="0"/>
      <sheetData sheetId="1"/>
      <sheetData sheetId="2"/>
      <sheetData sheetId="3">
        <row r="2">
          <cell r="B2" t="str">
            <v>فهرست دوره های آموزشی اعضای هیات مدیره و مدیران ارشد</v>
          </cell>
        </row>
      </sheetData>
      <sheetData sheetId="4">
        <row r="4">
          <cell r="C4" t="str">
            <v>عنوان دوره</v>
          </cell>
        </row>
      </sheetData>
      <sheetData sheetId="5"/>
      <sheetData sheetId="6"/>
      <sheetData sheetId="7"/>
      <sheetData sheetId="8"/>
      <sheetData sheetId="9"/>
      <sheetData sheetId="10"/>
      <sheetData sheetId="11"/>
      <sheetData sheetId="12"/>
      <sheetData sheetId="13"/>
      <sheetData sheetId="14"/>
      <sheetData sheetId="15">
        <row r="4">
          <cell r="C4">
            <v>5</v>
          </cell>
          <cell r="D4">
            <v>3.7669490700039683</v>
          </cell>
        </row>
        <row r="5">
          <cell r="C5">
            <v>10</v>
          </cell>
          <cell r="D5">
            <v>3.826702351539597</v>
          </cell>
        </row>
        <row r="6">
          <cell r="C6">
            <v>20</v>
          </cell>
          <cell r="D6">
            <v>3.9462857596547023</v>
          </cell>
        </row>
        <row r="7">
          <cell r="C7">
            <v>40</v>
          </cell>
          <cell r="D7">
            <v>4.1857618425806127</v>
          </cell>
        </row>
        <row r="8">
          <cell r="C8">
            <v>80</v>
          </cell>
          <cell r="D8">
            <v>4.6659663166473129</v>
          </cell>
        </row>
        <row r="9">
          <cell r="C9">
            <v>100</v>
          </cell>
          <cell r="D9">
            <v>4.9067035205595975</v>
          </cell>
        </row>
        <row r="10">
          <cell r="C10">
            <v>150</v>
          </cell>
          <cell r="D10">
            <v>5.5104344676942434</v>
          </cell>
        </row>
        <row r="11">
          <cell r="C11">
            <v>200</v>
          </cell>
          <cell r="D11">
            <v>6.1169196830595913</v>
          </cell>
        </row>
        <row r="12">
          <cell r="C12">
            <v>300</v>
          </cell>
          <cell r="D12">
            <v>7.33844738602936</v>
          </cell>
        </row>
        <row r="13">
          <cell r="C13">
            <v>500</v>
          </cell>
          <cell r="D13">
            <v>9.8179048198284864</v>
          </cell>
        </row>
        <row r="14">
          <cell r="C14">
            <v>1000</v>
          </cell>
          <cell r="D14">
            <v>16.261349103849099</v>
          </cell>
        </row>
        <row r="15">
          <cell r="C15">
            <v>1500</v>
          </cell>
          <cell r="D15">
            <v>23.137249295362292</v>
          </cell>
        </row>
        <row r="16">
          <cell r="C16">
            <v>2000</v>
          </cell>
          <cell r="D16">
            <v>30.575169184252832</v>
          </cell>
        </row>
        <row r="17">
          <cell r="C17">
            <v>3000</v>
          </cell>
          <cell r="D17">
            <v>47.861039437462729</v>
          </cell>
        </row>
        <row r="18">
          <cell r="C18">
            <v>3500</v>
          </cell>
          <cell r="D18">
            <v>58.21220685292657</v>
          </cell>
        </row>
        <row r="19">
          <cell r="C19">
            <v>4000</v>
          </cell>
          <cell r="D19">
            <v>70.166584026063362</v>
          </cell>
        </row>
        <row r="20">
          <cell r="C20">
            <v>5000</v>
          </cell>
          <cell r="D20">
            <v>100.9501585833134</v>
          </cell>
        </row>
        <row r="21">
          <cell r="C21">
            <v>6000</v>
          </cell>
          <cell r="D21">
            <v>146.0527879928984</v>
          </cell>
        </row>
        <row r="40">
          <cell r="C40">
            <v>10</v>
          </cell>
          <cell r="D40">
            <v>8.0092928413069941</v>
          </cell>
        </row>
        <row r="41">
          <cell r="C41">
            <v>15</v>
          </cell>
          <cell r="D41">
            <v>9.5760078626591199</v>
          </cell>
        </row>
        <row r="42">
          <cell r="C42">
            <v>20</v>
          </cell>
          <cell r="D42">
            <v>11.305061790736973</v>
          </cell>
        </row>
        <row r="43">
          <cell r="C43">
            <v>25</v>
          </cell>
          <cell r="D43">
            <v>13.221160306166961</v>
          </cell>
        </row>
        <row r="44">
          <cell r="C44">
            <v>30</v>
          </cell>
          <cell r="D44">
            <v>15.352768943990682</v>
          </cell>
        </row>
        <row r="45">
          <cell r="C45">
            <v>35</v>
          </cell>
          <cell r="D45">
            <v>17.732685290215112</v>
          </cell>
        </row>
        <row r="46">
          <cell r="C46">
            <v>40</v>
          </cell>
          <cell r="D46">
            <v>20.398698258567411</v>
          </cell>
        </row>
        <row r="47">
          <cell r="C47">
            <v>45</v>
          </cell>
          <cell r="D47">
            <v>23.394347699827318</v>
          </cell>
        </row>
        <row r="48">
          <cell r="C48">
            <v>50</v>
          </cell>
          <cell r="D48">
            <v>26.769799612933234</v>
          </cell>
        </row>
        <row r="49">
          <cell r="C49">
            <v>55</v>
          </cell>
          <cell r="D49">
            <v>30.58285455081359</v>
          </cell>
        </row>
        <row r="50">
          <cell r="C50">
            <v>60</v>
          </cell>
          <cell r="D50">
            <v>34.900109491292611</v>
          </cell>
        </row>
        <row r="51">
          <cell r="C51">
            <v>65</v>
          </cell>
          <cell r="D51">
            <v>39.798296528279742</v>
          </cell>
        </row>
        <row r="52">
          <cell r="C52">
            <v>70</v>
          </cell>
          <cell r="D52">
            <v>45.365825292783491</v>
          </cell>
        </row>
        <row r="53">
          <cell r="C53">
            <v>75</v>
          </cell>
          <cell r="D53">
            <v>51.704560108541635</v>
          </cell>
        </row>
        <row r="54">
          <cell r="C54">
            <v>80</v>
          </cell>
          <cell r="D54">
            <v>58.931867605548923</v>
          </cell>
        </row>
        <row r="55">
          <cell r="C55">
            <v>85</v>
          </cell>
          <cell r="D55">
            <v>67.182975951341263</v>
          </cell>
        </row>
        <row r="56">
          <cell r="C56">
            <v>90</v>
          </cell>
          <cell r="D56">
            <v>76.613693123841216</v>
          </cell>
        </row>
        <row r="57">
          <cell r="C57">
            <v>95</v>
          </cell>
          <cell r="D57">
            <v>87.403538866802876</v>
          </cell>
        </row>
        <row r="58">
          <cell r="C58">
            <v>100</v>
          </cell>
          <cell r="D58">
            <v>99.759353284482685</v>
          </cell>
        </row>
        <row r="74">
          <cell r="C74">
            <v>100</v>
          </cell>
          <cell r="D74">
            <v>1.0017699776991225</v>
          </cell>
        </row>
        <row r="75">
          <cell r="C75">
            <v>200</v>
          </cell>
          <cell r="D75">
            <v>2.0031151607504558</v>
          </cell>
        </row>
        <row r="76">
          <cell r="C76">
            <v>300</v>
          </cell>
          <cell r="D76">
            <v>3.0054826829208019</v>
          </cell>
        </row>
        <row r="77">
          <cell r="C77">
            <v>400</v>
          </cell>
          <cell r="D77">
            <v>4.0096495219406112</v>
          </cell>
        </row>
        <row r="78">
          <cell r="C78">
            <v>500</v>
          </cell>
          <cell r="D78">
            <v>5.0169831586154761</v>
          </cell>
        </row>
        <row r="79">
          <cell r="C79">
            <v>600</v>
          </cell>
          <cell r="D79">
            <v>6.0298903591632378</v>
          </cell>
        </row>
        <row r="80">
          <cell r="C80">
            <v>700</v>
          </cell>
          <cell r="D80">
            <v>7.0526070321272991</v>
          </cell>
        </row>
        <row r="81">
          <cell r="C81">
            <v>800</v>
          </cell>
          <cell r="D81">
            <v>8.0925883765440449</v>
          </cell>
        </row>
        <row r="82">
          <cell r="C82">
            <v>900</v>
          </cell>
          <cell r="D82">
            <v>9.1629555427175209</v>
          </cell>
        </row>
        <row r="83">
          <cell r="C83">
            <v>1000</v>
          </cell>
          <cell r="D83">
            <v>10.286801755182836</v>
          </cell>
        </row>
        <row r="84">
          <cell r="C84">
            <v>1100</v>
          </cell>
          <cell r="D84">
            <v>11.504771089121792</v>
          </cell>
        </row>
        <row r="85">
          <cell r="C85">
            <v>1200</v>
          </cell>
          <cell r="D85">
            <v>12.888397116854353</v>
          </cell>
        </row>
        <row r="86">
          <cell r="C86">
            <v>1300</v>
          </cell>
          <cell r="D86">
            <v>14.563578925663663</v>
          </cell>
        </row>
        <row r="87">
          <cell r="C87">
            <v>1400</v>
          </cell>
          <cell r="D87">
            <v>16.751898909168045</v>
          </cell>
        </row>
        <row r="88">
          <cell r="C88">
            <v>1500</v>
          </cell>
          <cell r="D88">
            <v>19.843342080135756</v>
          </cell>
        </row>
        <row r="89">
          <cell r="C89">
            <v>1600</v>
          </cell>
          <cell r="D89">
            <v>24.524282061038946</v>
          </cell>
        </row>
        <row r="90">
          <cell r="C90">
            <v>1700</v>
          </cell>
          <cell r="D90">
            <v>32.002736427428545</v>
          </cell>
        </row>
        <row r="91">
          <cell r="C91">
            <v>1800</v>
          </cell>
          <cell r="D91">
            <v>44.404816112274247</v>
          </cell>
        </row>
        <row r="92">
          <cell r="C92">
            <v>1900</v>
          </cell>
          <cell r="D92">
            <v>65.472476357602673</v>
          </cell>
        </row>
        <row r="93">
          <cell r="C93">
            <v>2000</v>
          </cell>
          <cell r="D93">
            <v>101.79155838938071</v>
          </cell>
        </row>
        <row r="109">
          <cell r="C109">
            <v>10</v>
          </cell>
          <cell r="D109">
            <v>0.72472000000000003</v>
          </cell>
        </row>
        <row r="110">
          <cell r="C110">
            <v>60</v>
          </cell>
          <cell r="D110">
            <v>3.3007260517982724</v>
          </cell>
        </row>
        <row r="111">
          <cell r="C111">
            <v>110</v>
          </cell>
          <cell r="D111">
            <v>5.9024392943671105</v>
          </cell>
        </row>
        <row r="112">
          <cell r="C112">
            <v>160</v>
          </cell>
          <cell r="D112">
            <v>8.538554557153363</v>
          </cell>
        </row>
        <row r="113">
          <cell r="C113">
            <v>210</v>
          </cell>
          <cell r="D113">
            <v>11.220707483315671</v>
          </cell>
        </row>
        <row r="114">
          <cell r="C114">
            <v>260</v>
          </cell>
          <cell r="D114">
            <v>13.964469188140757</v>
          </cell>
        </row>
        <row r="115">
          <cell r="C115">
            <v>310</v>
          </cell>
          <cell r="D115">
            <v>16.790677336377069</v>
          </cell>
        </row>
        <row r="116">
          <cell r="C116">
            <v>360</v>
          </cell>
          <cell r="D116">
            <v>19.727217423968433</v>
          </cell>
        </row>
        <row r="117">
          <cell r="C117">
            <v>410</v>
          </cell>
          <cell r="D117">
            <v>22.81140653483094</v>
          </cell>
        </row>
        <row r="118">
          <cell r="C118">
            <v>460</v>
          </cell>
          <cell r="D118">
            <v>26.093183345142549</v>
          </cell>
        </row>
        <row r="119">
          <cell r="C119">
            <v>510</v>
          </cell>
          <cell r="D119">
            <v>29.63937706867609</v>
          </cell>
        </row>
        <row r="120">
          <cell r="C120">
            <v>560</v>
          </cell>
          <cell r="D120">
            <v>33.539420268633251</v>
          </cell>
        </row>
        <row r="121">
          <cell r="C121">
            <v>610</v>
          </cell>
          <cell r="D121">
            <v>37.912993888560891</v>
          </cell>
        </row>
        <row r="122">
          <cell r="C122">
            <v>660</v>
          </cell>
          <cell r="D122">
            <v>42.920258028264662</v>
          </cell>
        </row>
        <row r="123">
          <cell r="C123">
            <v>710</v>
          </cell>
          <cell r="D123">
            <v>48.775543029815523</v>
          </cell>
        </row>
        <row r="124">
          <cell r="C124">
            <v>760</v>
          </cell>
          <cell r="D124">
            <v>55.765671239028535</v>
          </cell>
        </row>
        <row r="125">
          <cell r="C125">
            <v>810</v>
          </cell>
          <cell r="D125">
            <v>64.274475655300677</v>
          </cell>
        </row>
        <row r="126">
          <cell r="C126">
            <v>860</v>
          </cell>
          <cell r="D126">
            <v>74.815611415951892</v>
          </cell>
        </row>
        <row r="127">
          <cell r="C127">
            <v>910</v>
          </cell>
          <cell r="D127">
            <v>88.076464963809386</v>
          </cell>
        </row>
        <row r="128">
          <cell r="C128">
            <v>960</v>
          </cell>
          <cell r="D128">
            <v>104.97691441835998</v>
          </cell>
        </row>
        <row r="145">
          <cell r="A145">
            <v>1</v>
          </cell>
          <cell r="B145">
            <v>1</v>
          </cell>
        </row>
        <row r="146">
          <cell r="A146">
            <v>1.1000000000000001</v>
          </cell>
          <cell r="B146">
            <v>0.90909090909090906</v>
          </cell>
        </row>
        <row r="147">
          <cell r="A147">
            <v>1.2000000000000002</v>
          </cell>
          <cell r="B147">
            <v>0.83333333333333326</v>
          </cell>
        </row>
        <row r="148">
          <cell r="A148">
            <v>1.3000000000000003</v>
          </cell>
          <cell r="B148">
            <v>0.76923076923076905</v>
          </cell>
        </row>
        <row r="149">
          <cell r="A149">
            <v>1.4000000000000004</v>
          </cell>
          <cell r="B149">
            <v>0.71428571428571408</v>
          </cell>
        </row>
        <row r="150">
          <cell r="A150">
            <v>1.5000000000000004</v>
          </cell>
          <cell r="B150">
            <v>0.66666666666666652</v>
          </cell>
        </row>
        <row r="151">
          <cell r="A151">
            <v>1.6000000000000005</v>
          </cell>
          <cell r="B151">
            <v>0.62499999999999978</v>
          </cell>
        </row>
        <row r="152">
          <cell r="A152">
            <v>1.7000000000000006</v>
          </cell>
          <cell r="B152">
            <v>0.58823529411764686</v>
          </cell>
        </row>
        <row r="153">
          <cell r="A153">
            <v>1.8000000000000007</v>
          </cell>
          <cell r="B153">
            <v>0.55555555555555536</v>
          </cell>
        </row>
        <row r="154">
          <cell r="A154">
            <v>1.9000000000000008</v>
          </cell>
          <cell r="B154">
            <v>0.52631578947368396</v>
          </cell>
        </row>
        <row r="155">
          <cell r="A155">
            <v>2.0000000000000009</v>
          </cell>
          <cell r="B155">
            <v>0.49999999999999978</v>
          </cell>
        </row>
        <row r="156">
          <cell r="A156">
            <v>2.100000000000001</v>
          </cell>
          <cell r="B156">
            <v>0.47619047619047594</v>
          </cell>
        </row>
        <row r="157">
          <cell r="A157">
            <v>2.2000000000000011</v>
          </cell>
          <cell r="B157">
            <v>0.45454545454545431</v>
          </cell>
        </row>
        <row r="158">
          <cell r="A158">
            <v>2.3000000000000012</v>
          </cell>
          <cell r="B158">
            <v>0.43478260869565194</v>
          </cell>
        </row>
        <row r="159">
          <cell r="A159">
            <v>2.4000000000000012</v>
          </cell>
          <cell r="B159">
            <v>0.41666666666666646</v>
          </cell>
        </row>
        <row r="160">
          <cell r="A160">
            <v>2.5000000000000013</v>
          </cell>
          <cell r="B160">
            <v>0.39999999999999969</v>
          </cell>
        </row>
        <row r="161">
          <cell r="A161">
            <v>2.6000000000000014</v>
          </cell>
          <cell r="B161">
            <v>0.38461538461538436</v>
          </cell>
        </row>
        <row r="162">
          <cell r="A162">
            <v>2.7000000000000015</v>
          </cell>
          <cell r="B162">
            <v>0.37037037037037013</v>
          </cell>
        </row>
        <row r="163">
          <cell r="A163">
            <v>2.8000000000000016</v>
          </cell>
          <cell r="B163">
            <v>0.35714285714285687</v>
          </cell>
        </row>
        <row r="164">
          <cell r="A164">
            <v>2.9000000000000017</v>
          </cell>
          <cell r="B164">
            <v>0.3448275862068963</v>
          </cell>
        </row>
        <row r="165">
          <cell r="A165">
            <v>3.0000000000000018</v>
          </cell>
          <cell r="B165">
            <v>0.33333333333333309</v>
          </cell>
        </row>
        <row r="166">
          <cell r="A166">
            <v>3.1000000000000019</v>
          </cell>
          <cell r="B166">
            <v>0.32258064516129009</v>
          </cell>
        </row>
        <row r="167">
          <cell r="A167">
            <v>3.200000000000002</v>
          </cell>
          <cell r="B167">
            <v>0.31249999999999978</v>
          </cell>
        </row>
        <row r="168">
          <cell r="A168">
            <v>3.300000000000002</v>
          </cell>
          <cell r="B168">
            <v>0.30303030303030282</v>
          </cell>
        </row>
        <row r="169">
          <cell r="A169">
            <v>3.4000000000000021</v>
          </cell>
          <cell r="B169">
            <v>0.29411764705882332</v>
          </cell>
        </row>
        <row r="170">
          <cell r="A170">
            <v>3.5000000000000022</v>
          </cell>
          <cell r="B170">
            <v>0.28571428571428548</v>
          </cell>
        </row>
        <row r="171">
          <cell r="A171">
            <v>3.6000000000000023</v>
          </cell>
          <cell r="B171">
            <v>0.27777777777777757</v>
          </cell>
        </row>
        <row r="172">
          <cell r="A172">
            <v>3.7000000000000024</v>
          </cell>
          <cell r="B172">
            <v>0.27027027027027006</v>
          </cell>
        </row>
        <row r="173">
          <cell r="A173">
            <v>3.8000000000000025</v>
          </cell>
          <cell r="B173">
            <v>0.26315789473684192</v>
          </cell>
        </row>
        <row r="174">
          <cell r="A174">
            <v>3.9000000000000026</v>
          </cell>
          <cell r="B174">
            <v>0.25641025641025622</v>
          </cell>
        </row>
        <row r="175">
          <cell r="A175">
            <v>4.0000000000000027</v>
          </cell>
          <cell r="B175">
            <v>0.24999999999999983</v>
          </cell>
        </row>
        <row r="176">
          <cell r="A176">
            <v>4.1000000000000023</v>
          </cell>
          <cell r="B176">
            <v>0.2439024390243901</v>
          </cell>
        </row>
        <row r="177">
          <cell r="A177">
            <v>4.200000000000002</v>
          </cell>
          <cell r="B177">
            <v>0.23809523809523797</v>
          </cell>
        </row>
        <row r="178">
          <cell r="A178">
            <v>4.3000000000000016</v>
          </cell>
          <cell r="B178">
            <v>0.23255813953488363</v>
          </cell>
        </row>
        <row r="179">
          <cell r="A179">
            <v>4.4000000000000012</v>
          </cell>
          <cell r="B179">
            <v>0.22727272727272715</v>
          </cell>
        </row>
        <row r="180">
          <cell r="A180">
            <v>4.5000000000000009</v>
          </cell>
          <cell r="B180">
            <v>0.22222222222222218</v>
          </cell>
        </row>
        <row r="181">
          <cell r="A181">
            <v>4.6000000000000005</v>
          </cell>
          <cell r="B181">
            <v>0.21739130434782605</v>
          </cell>
        </row>
        <row r="182">
          <cell r="A182">
            <v>4.7</v>
          </cell>
          <cell r="B182">
            <v>0.21276595744680851</v>
          </cell>
        </row>
        <row r="183">
          <cell r="A183">
            <v>4.8</v>
          </cell>
          <cell r="B183">
            <v>0.20833333333333334</v>
          </cell>
        </row>
        <row r="184">
          <cell r="A184">
            <v>4.8999999999999995</v>
          </cell>
          <cell r="B184">
            <v>0.2040816326530612</v>
          </cell>
        </row>
        <row r="185">
          <cell r="A185">
            <v>4.9999999999999991</v>
          </cell>
          <cell r="B185">
            <v>0.20000000000000004</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امتیاز نهایی"/>
      <sheetName val="مدرک تحصیلی"/>
      <sheetName val="تجربه کاری "/>
      <sheetName val="فرم دوره های آموزشی هیات مدیره"/>
      <sheetName val="آموزش"/>
      <sheetName val="نوع مالکیت"/>
      <sheetName val="نظامنامه"/>
      <sheetName val="استاندارد"/>
      <sheetName val="گواهینامه ها"/>
      <sheetName val="جوایز"/>
      <sheetName val="حاکمیت شرکتی"/>
      <sheetName val="زنجیرۀ ارزش"/>
      <sheetName val="برنامه ریزی"/>
      <sheetName val="تحقیق توسعه"/>
      <sheetName val="تولید"/>
      <sheetName val="curve"/>
      <sheetName val="زمینه ها"/>
      <sheetName val="تعداد"/>
      <sheetName val="تحصیلات"/>
      <sheetName val="تخصص "/>
      <sheetName val="دستمزد"/>
      <sheetName val="دستمزد (2)"/>
      <sheetName val="بهره وری"/>
      <sheetName val="تشکل"/>
      <sheetName val="عام المنفعه"/>
      <sheetName val="رونق فعالیت "/>
      <sheetName val="تجرب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G6">
            <v>641789.42357800005</v>
          </cell>
        </row>
      </sheetData>
      <sheetData sheetId="15">
        <row r="2">
          <cell r="B2">
            <v>0.01</v>
          </cell>
        </row>
        <row r="3">
          <cell r="B3">
            <v>1</v>
          </cell>
        </row>
        <row r="4">
          <cell r="B4">
            <v>1.1399999999999999</v>
          </cell>
        </row>
        <row r="5">
          <cell r="B5">
            <v>4.0000000000000001E-3</v>
          </cell>
        </row>
        <row r="6">
          <cell r="B6">
            <v>10</v>
          </cell>
        </row>
        <row r="38">
          <cell r="B38">
            <v>0.1</v>
          </cell>
        </row>
        <row r="39">
          <cell r="B39">
            <v>1.7</v>
          </cell>
        </row>
        <row r="40">
          <cell r="B40">
            <v>1.1200000000000001</v>
          </cell>
        </row>
        <row r="41">
          <cell r="B41">
            <v>0.25</v>
          </cell>
        </row>
        <row r="42">
          <cell r="B42">
            <v>10</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2" Type="http://schemas.openxmlformats.org/officeDocument/2006/relationships/drawing" Target="../drawings/drawing2.xml"/><Relationship Id="rId16" Type="http://schemas.openxmlformats.org/officeDocument/2006/relationships/ctrlProp" Target="../ctrlProps/ctrlProp13.xml"/><Relationship Id="rId20" Type="http://schemas.openxmlformats.org/officeDocument/2006/relationships/ctrlProp" Target="../ctrlProps/ctrlProp17.xml"/><Relationship Id="rId29" Type="http://schemas.openxmlformats.org/officeDocument/2006/relationships/ctrlProp" Target="../ctrlProps/ctrlProp26.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8" Type="http://schemas.openxmlformats.org/officeDocument/2006/relationships/ctrlProp" Target="../ctrlProps/ctrlProp5.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3" Type="http://schemas.openxmlformats.org/officeDocument/2006/relationships/hyperlink" Target="http://go.microsoft.com/fwlink/?LinkId=846286" TargetMode="External"/><Relationship Id="rId2" Type="http://schemas.openxmlformats.org/officeDocument/2006/relationships/hyperlink" Target="http://go.microsoft.com/fwlink/?LinkId=844969" TargetMode="External"/><Relationship Id="rId1" Type="http://schemas.openxmlformats.org/officeDocument/2006/relationships/hyperlink" Target="http://go.microsoft.com/fwlink/?LinkId=846285" TargetMode="External"/><Relationship Id="rId5" Type="http://schemas.openxmlformats.org/officeDocument/2006/relationships/drawing" Target="../drawings/drawing23.xml"/><Relationship Id="rId4" Type="http://schemas.openxmlformats.org/officeDocument/2006/relationships/hyperlink" Target="https://go.microsoft.com/fwlink/?linkid=8449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sheetPr>
  <dimension ref="A1:E33"/>
  <sheetViews>
    <sheetView showGridLines="0" rightToLeft="1" topLeftCell="A4" zoomScale="85" zoomScaleNormal="85" workbookViewId="0">
      <selection activeCell="G7" sqref="G7"/>
    </sheetView>
  </sheetViews>
  <sheetFormatPr defaultColWidth="11.140625" defaultRowHeight="20.25" customHeight="1" x14ac:dyDescent="0.45"/>
  <cols>
    <col min="1" max="1" width="24.28515625" style="1" customWidth="1"/>
    <col min="2" max="2" width="37.42578125" style="13" customWidth="1"/>
    <col min="3" max="3" width="40.5703125" style="1" customWidth="1"/>
    <col min="4" max="4" width="17.5703125" style="1" customWidth="1"/>
    <col min="5" max="16384" width="11.140625" style="1"/>
  </cols>
  <sheetData>
    <row r="1" spans="1:5" ht="15" customHeight="1" x14ac:dyDescent="0.45">
      <c r="B1" s="14"/>
    </row>
    <row r="2" spans="1:5" ht="39.75" x14ac:dyDescent="0.25">
      <c r="A2" s="1216" t="s">
        <v>12</v>
      </c>
      <c r="B2" s="1216"/>
      <c r="C2" s="1216"/>
      <c r="D2" s="1216"/>
    </row>
    <row r="3" spans="1:5" ht="20.45" customHeight="1" x14ac:dyDescent="0.25">
      <c r="A3" s="1217" t="s">
        <v>7</v>
      </c>
      <c r="B3" s="1217"/>
      <c r="C3" s="1217"/>
      <c r="D3" s="1217"/>
    </row>
    <row r="4" spans="1:5" ht="64.900000000000006" customHeight="1" x14ac:dyDescent="0.25">
      <c r="B4" s="15"/>
    </row>
    <row r="5" spans="1:5" ht="43.9" customHeight="1" x14ac:dyDescent="0.25">
      <c r="B5" s="16" t="s">
        <v>570</v>
      </c>
      <c r="C5" s="562" t="s">
        <v>821</v>
      </c>
    </row>
    <row r="6" spans="1:5" ht="43.9" customHeight="1" x14ac:dyDescent="0.25">
      <c r="B6" s="16" t="s">
        <v>466</v>
      </c>
      <c r="C6" s="562">
        <v>10102649740</v>
      </c>
    </row>
    <row r="7" spans="1:5" ht="39" customHeight="1" x14ac:dyDescent="0.25">
      <c r="B7" s="16" t="s">
        <v>632</v>
      </c>
      <c r="C7" s="827"/>
    </row>
    <row r="8" spans="1:5" ht="30" customHeight="1" x14ac:dyDescent="0.25">
      <c r="B8" s="16" t="s">
        <v>633</v>
      </c>
      <c r="C8" s="827" t="s">
        <v>545</v>
      </c>
      <c r="E8"/>
    </row>
    <row r="9" spans="1:5" ht="25.15" customHeight="1" x14ac:dyDescent="0.25">
      <c r="B9" s="15"/>
      <c r="E9"/>
    </row>
    <row r="10" spans="1:5" ht="25.15" customHeight="1" x14ac:dyDescent="0.25">
      <c r="A10" s="17" t="s">
        <v>8</v>
      </c>
      <c r="B10" s="193"/>
    </row>
    <row r="11" spans="1:5" ht="25.15" customHeight="1" x14ac:dyDescent="0.25">
      <c r="A11" s="17" t="s">
        <v>9</v>
      </c>
      <c r="B11" s="193" t="s">
        <v>472</v>
      </c>
    </row>
    <row r="12" spans="1:5" ht="25.15" customHeight="1" x14ac:dyDescent="0.25">
      <c r="A12" s="17" t="s">
        <v>10</v>
      </c>
      <c r="B12" s="18"/>
    </row>
    <row r="13" spans="1:5" ht="100.9" customHeight="1" x14ac:dyDescent="0.25">
      <c r="A13" s="17"/>
      <c r="B13" s="18"/>
    </row>
    <row r="14" spans="1:5" ht="20.25" customHeight="1" x14ac:dyDescent="0.25">
      <c r="A14" s="1215" t="s">
        <v>11</v>
      </c>
      <c r="B14" s="1215"/>
      <c r="C14" s="1026" t="s">
        <v>733</v>
      </c>
      <c r="D14" s="1142">
        <f>C27</f>
        <v>4.9824894597123404</v>
      </c>
    </row>
    <row r="15" spans="1:5" ht="20.25" customHeight="1" x14ac:dyDescent="0.45">
      <c r="C15" s="1026" t="s">
        <v>734</v>
      </c>
      <c r="D15" s="1139">
        <f>D27</f>
        <v>154.4928859306288</v>
      </c>
    </row>
    <row r="16" spans="1:5" ht="20.25" customHeight="1" x14ac:dyDescent="0.5">
      <c r="B16" s="1013"/>
      <c r="C16" s="1022" t="s">
        <v>731</v>
      </c>
      <c r="D16" s="1023" t="str">
        <f>IF(D27&gt;125,D29,IF(D27&gt;100,D30,IF(D27&gt;60,D31,IF(D27&gt;30,D32,D33))))</f>
        <v>خیلی خوب</v>
      </c>
    </row>
    <row r="18" spans="1:5" ht="20.25" customHeight="1" x14ac:dyDescent="0.25">
      <c r="A18" s="1015" t="s">
        <v>727</v>
      </c>
      <c r="B18" s="1016" t="s">
        <v>728</v>
      </c>
      <c r="C18" s="1017" t="s">
        <v>729</v>
      </c>
      <c r="D18" s="1017" t="s">
        <v>730</v>
      </c>
      <c r="E18"/>
    </row>
    <row r="19" spans="1:5" ht="20.25" customHeight="1" x14ac:dyDescent="0.25">
      <c r="A19" s="1014" t="s">
        <v>404</v>
      </c>
      <c r="B19" s="1019">
        <v>30</v>
      </c>
      <c r="C19" s="1140">
        <f>'امتیاز نهایی'!G9</f>
        <v>0.77405924999999998</v>
      </c>
      <c r="D19" s="1020">
        <f>C19*B19</f>
        <v>23.221777499999998</v>
      </c>
      <c r="E19"/>
    </row>
    <row r="20" spans="1:5" ht="20.25" customHeight="1" x14ac:dyDescent="0.25">
      <c r="A20" s="1014" t="s">
        <v>407</v>
      </c>
      <c r="B20" s="1019">
        <v>40</v>
      </c>
      <c r="C20" s="1140">
        <f>'امتیاز نهایی'!G12</f>
        <v>0.50378248073081699</v>
      </c>
      <c r="D20" s="1020">
        <f t="shared" ref="D20:D25" si="0">C20*B20</f>
        <v>20.151299229232681</v>
      </c>
      <c r="E20"/>
    </row>
    <row r="21" spans="1:5" ht="20.25" customHeight="1" x14ac:dyDescent="0.25">
      <c r="A21" s="1014" t="s">
        <v>412</v>
      </c>
      <c r="B21" s="1019">
        <v>65</v>
      </c>
      <c r="C21" s="1140">
        <f>'امتیاز نهایی'!G16</f>
        <v>0.67475000000000007</v>
      </c>
      <c r="D21" s="1020">
        <f t="shared" si="0"/>
        <v>43.858750000000008</v>
      </c>
      <c r="E21"/>
    </row>
    <row r="22" spans="1:5" ht="20.25" customHeight="1" x14ac:dyDescent="0.25">
      <c r="A22" s="1014" t="s">
        <v>417</v>
      </c>
      <c r="B22" s="1019">
        <v>30</v>
      </c>
      <c r="C22" s="1140">
        <f>'امتیاز نهایی'!G20</f>
        <v>0.46750112730778032</v>
      </c>
      <c r="D22" s="1020">
        <f t="shared" si="0"/>
        <v>14.025033819233409</v>
      </c>
      <c r="E22"/>
    </row>
    <row r="23" spans="1:5" ht="20.25" customHeight="1" x14ac:dyDescent="0.25">
      <c r="A23" s="1014" t="s">
        <v>419</v>
      </c>
      <c r="B23" s="1019">
        <v>20</v>
      </c>
      <c r="C23" s="1140">
        <f>'امتیاز نهایی'!G25</f>
        <v>0.88855172413793104</v>
      </c>
      <c r="D23" s="1020">
        <f t="shared" si="0"/>
        <v>17.771034482758623</v>
      </c>
      <c r="E23"/>
    </row>
    <row r="24" spans="1:5" ht="20.25" customHeight="1" x14ac:dyDescent="0.25">
      <c r="A24" s="1014" t="s">
        <v>425</v>
      </c>
      <c r="B24" s="1019">
        <v>15</v>
      </c>
      <c r="C24" s="1140">
        <f>'امتیاز نهایی'!G30</f>
        <v>0.63811310389912235</v>
      </c>
      <c r="D24" s="1020">
        <f t="shared" si="0"/>
        <v>9.5716965584868348</v>
      </c>
      <c r="E24"/>
    </row>
    <row r="25" spans="1:5" ht="20.25" customHeight="1" x14ac:dyDescent="0.25">
      <c r="A25" s="1014" t="s">
        <v>428</v>
      </c>
      <c r="B25" s="1019">
        <v>25</v>
      </c>
      <c r="C25" s="1140">
        <f>'امتیاز نهایی'!G33</f>
        <v>0.68872000000000022</v>
      </c>
      <c r="D25" s="1020">
        <f t="shared" si="0"/>
        <v>17.218000000000007</v>
      </c>
      <c r="E25"/>
    </row>
    <row r="26" spans="1:5" ht="20.25" customHeight="1" x14ac:dyDescent="0.25">
      <c r="A26" s="1014" t="s">
        <v>430</v>
      </c>
      <c r="B26" s="1021">
        <v>25</v>
      </c>
      <c r="C26" s="1140">
        <f>'امتیاز نهایی'!G38</f>
        <v>0.34701177363668878</v>
      </c>
      <c r="D26" s="1020">
        <f>C26*B26</f>
        <v>8.675294340917219</v>
      </c>
      <c r="E26"/>
    </row>
    <row r="27" spans="1:5" ht="20.25" customHeight="1" x14ac:dyDescent="0.25">
      <c r="A27" s="1025" t="s">
        <v>732</v>
      </c>
      <c r="B27" s="1024">
        <f>SUM(B19:B26)</f>
        <v>250</v>
      </c>
      <c r="C27" s="1141">
        <f>SUM(C19:C26)</f>
        <v>4.9824894597123404</v>
      </c>
      <c r="D27" s="1139">
        <f>SUM(D19:D26)</f>
        <v>154.4928859306288</v>
      </c>
      <c r="E27"/>
    </row>
    <row r="28" spans="1:5" ht="20.25" customHeight="1" x14ac:dyDescent="0.45">
      <c r="E28"/>
    </row>
    <row r="29" spans="1:5" ht="20.25" customHeight="1" x14ac:dyDescent="0.45">
      <c r="D29" s="772" t="s">
        <v>610</v>
      </c>
      <c r="E29"/>
    </row>
    <row r="30" spans="1:5" ht="20.25" customHeight="1" x14ac:dyDescent="0.45">
      <c r="D30" s="772" t="s">
        <v>611</v>
      </c>
    </row>
    <row r="31" spans="1:5" ht="20.25" customHeight="1" x14ac:dyDescent="0.45">
      <c r="D31" s="772" t="s">
        <v>72</v>
      </c>
    </row>
    <row r="32" spans="1:5" ht="20.25" customHeight="1" x14ac:dyDescent="0.45">
      <c r="D32" s="1018" t="s">
        <v>612</v>
      </c>
    </row>
    <row r="33" spans="4:4" ht="20.25" customHeight="1" x14ac:dyDescent="0.45">
      <c r="D33" s="1018" t="s">
        <v>583</v>
      </c>
    </row>
  </sheetData>
  <mergeCells count="3">
    <mergeCell ref="A14:B14"/>
    <mergeCell ref="A2:D2"/>
    <mergeCell ref="A3:D3"/>
  </mergeCells>
  <conditionalFormatting sqref="D14">
    <cfRule type="colorScale" priority="2">
      <colorScale>
        <cfvo type="num" val="0"/>
        <cfvo type="num" val="3"/>
        <cfvo type="num" val="5"/>
        <color rgb="FFF8696B"/>
        <color rgb="FFFFEB84"/>
        <color rgb="FF63BE7B"/>
      </colorScale>
    </cfRule>
  </conditionalFormatting>
  <conditionalFormatting sqref="D15">
    <cfRule type="colorScale" priority="1">
      <colorScale>
        <cfvo type="num" val="0"/>
        <cfvo type="num" val="3"/>
        <cfvo type="num" val="5"/>
        <color rgb="FFF8696B"/>
        <color rgb="FFFFEB84"/>
        <color rgb="FF63BE7B"/>
      </colorScale>
    </cfRule>
  </conditionalFormatting>
  <dataValidations count="1">
    <dataValidation type="list" allowBlank="1" showInputMessage="1" showErrorMessage="1" sqref="C8">
      <formula1>$E$8:$E$9</formula1>
    </dataValidation>
  </dataValidations>
  <pageMargins left="0" right="0.78740157480314965" top="0.39370078740157483" bottom="0.39370078740157483" header="0.39370078740157483" footer="0.39370078740157483"/>
  <pageSetup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D46"/>
  <sheetViews>
    <sheetView rightToLeft="1" topLeftCell="A37" zoomScale="160" zoomScaleNormal="160" workbookViewId="0">
      <selection activeCell="F7" sqref="F7"/>
    </sheetView>
  </sheetViews>
  <sheetFormatPr defaultRowHeight="15" x14ac:dyDescent="0.25"/>
  <cols>
    <col min="1" max="1" width="4.42578125" style="1" customWidth="1"/>
    <col min="2" max="2" width="50.42578125" style="1" bestFit="1" customWidth="1"/>
    <col min="3" max="3" width="11.140625" style="1" customWidth="1"/>
    <col min="4" max="4" width="22.140625" style="1" customWidth="1"/>
    <col min="5" max="16384" width="9.140625" style="1"/>
  </cols>
  <sheetData>
    <row r="1" spans="1:4" ht="15.75" customHeight="1" x14ac:dyDescent="0.25">
      <c r="A1" s="992"/>
      <c r="B1" s="993" t="str">
        <f>Start!C5</f>
        <v>ابزار یراق توسن</v>
      </c>
      <c r="C1" s="994" t="s">
        <v>465</v>
      </c>
      <c r="D1" s="995">
        <f>'17.تعداد'!I4</f>
        <v>154</v>
      </c>
    </row>
    <row r="2" spans="1:4" ht="15.75" customHeight="1" x14ac:dyDescent="0.25">
      <c r="A2" s="1218" t="s">
        <v>464</v>
      </c>
      <c r="B2" s="1219"/>
      <c r="C2" s="1219"/>
      <c r="D2" s="1220"/>
    </row>
    <row r="3" spans="1:4" ht="18" x14ac:dyDescent="0.45">
      <c r="A3" s="996" t="s">
        <v>38</v>
      </c>
      <c r="B3" s="400" t="s">
        <v>463</v>
      </c>
      <c r="C3" s="400" t="s">
        <v>241</v>
      </c>
      <c r="D3" s="997" t="s">
        <v>462</v>
      </c>
    </row>
    <row r="4" spans="1:4" ht="18" x14ac:dyDescent="0.45">
      <c r="A4" s="998">
        <v>1</v>
      </c>
      <c r="B4" s="404" t="s">
        <v>461</v>
      </c>
      <c r="C4" s="405" t="b">
        <v>0</v>
      </c>
      <c r="D4" s="999"/>
    </row>
    <row r="5" spans="1:4" ht="18" x14ac:dyDescent="0.45">
      <c r="A5" s="998">
        <v>2</v>
      </c>
      <c r="B5" s="399" t="s">
        <v>721</v>
      </c>
      <c r="C5" s="406" t="b">
        <v>0</v>
      </c>
      <c r="D5" s="1000"/>
    </row>
    <row r="6" spans="1:4" ht="18" x14ac:dyDescent="0.45">
      <c r="A6" s="998">
        <v>3</v>
      </c>
      <c r="B6" s="404" t="s">
        <v>460</v>
      </c>
      <c r="C6" s="405" t="b">
        <v>0</v>
      </c>
      <c r="D6" s="999"/>
    </row>
    <row r="7" spans="1:4" ht="18" x14ac:dyDescent="0.45">
      <c r="A7" s="998">
        <v>4</v>
      </c>
      <c r="B7" s="399" t="s">
        <v>722</v>
      </c>
      <c r="C7" s="406" t="b">
        <v>0</v>
      </c>
      <c r="D7" s="1000"/>
    </row>
    <row r="8" spans="1:4" ht="18" x14ac:dyDescent="0.45">
      <c r="A8" s="998">
        <v>5</v>
      </c>
      <c r="B8" s="404" t="s">
        <v>459</v>
      </c>
      <c r="C8" s="405" t="b">
        <v>0</v>
      </c>
      <c r="D8" s="999"/>
    </row>
    <row r="9" spans="1:4" ht="18" x14ac:dyDescent="0.45">
      <c r="A9" s="998">
        <v>6</v>
      </c>
      <c r="B9" s="399" t="s">
        <v>458</v>
      </c>
      <c r="C9" s="406" t="b">
        <v>0</v>
      </c>
      <c r="D9" s="1000"/>
    </row>
    <row r="10" spans="1:4" ht="18" x14ac:dyDescent="0.45">
      <c r="A10" s="998">
        <v>7</v>
      </c>
      <c r="B10" s="404" t="s">
        <v>720</v>
      </c>
      <c r="C10" s="405" t="b">
        <v>0</v>
      </c>
      <c r="D10" s="999"/>
    </row>
    <row r="11" spans="1:4" ht="18" x14ac:dyDescent="0.45">
      <c r="A11" s="998">
        <v>8</v>
      </c>
      <c r="B11" s="399" t="s">
        <v>719</v>
      </c>
      <c r="C11" s="406" t="b">
        <v>0</v>
      </c>
      <c r="D11" s="1000"/>
    </row>
    <row r="12" spans="1:4" ht="18" x14ac:dyDescent="0.45">
      <c r="A12" s="998">
        <v>9</v>
      </c>
      <c r="B12" s="404" t="s">
        <v>457</v>
      </c>
      <c r="C12" s="405" t="b">
        <v>0</v>
      </c>
      <c r="D12" s="999"/>
    </row>
    <row r="13" spans="1:4" ht="18" x14ac:dyDescent="0.45">
      <c r="A13" s="998">
        <v>10</v>
      </c>
      <c r="B13" s="399" t="s">
        <v>456</v>
      </c>
      <c r="C13" s="406" t="b">
        <v>0</v>
      </c>
      <c r="D13" s="1000"/>
    </row>
    <row r="14" spans="1:4" ht="18" x14ac:dyDescent="0.45">
      <c r="A14" s="998">
        <v>11</v>
      </c>
      <c r="B14" s="404" t="s">
        <v>455</v>
      </c>
      <c r="C14" s="405" t="b">
        <v>0</v>
      </c>
      <c r="D14" s="999"/>
    </row>
    <row r="15" spans="1:4" ht="18" x14ac:dyDescent="0.45">
      <c r="A15" s="998">
        <v>12</v>
      </c>
      <c r="B15" s="399" t="s">
        <v>469</v>
      </c>
      <c r="C15" s="406" t="b">
        <v>0</v>
      </c>
      <c r="D15" s="1000"/>
    </row>
    <row r="16" spans="1:4" ht="18" x14ac:dyDescent="0.45">
      <c r="A16" s="998">
        <v>13</v>
      </c>
      <c r="B16" s="404" t="s">
        <v>454</v>
      </c>
      <c r="C16" s="405" t="b">
        <v>0</v>
      </c>
      <c r="D16" s="999"/>
    </row>
    <row r="17" spans="1:4" ht="18" x14ac:dyDescent="0.45">
      <c r="A17" s="998">
        <v>14</v>
      </c>
      <c r="B17" s="399" t="s">
        <v>470</v>
      </c>
      <c r="C17" s="406" t="b">
        <v>0</v>
      </c>
      <c r="D17" s="1000"/>
    </row>
    <row r="18" spans="1:4" ht="18" x14ac:dyDescent="0.45">
      <c r="A18" s="998">
        <v>15</v>
      </c>
      <c r="B18" s="404" t="s">
        <v>453</v>
      </c>
      <c r="C18" s="405" t="b">
        <v>0</v>
      </c>
      <c r="D18" s="999"/>
    </row>
    <row r="19" spans="1:4" ht="18" x14ac:dyDescent="0.45">
      <c r="A19" s="998">
        <v>16</v>
      </c>
      <c r="B19" s="399" t="s">
        <v>452</v>
      </c>
      <c r="C19" s="406" t="b">
        <v>0</v>
      </c>
      <c r="D19" s="1000"/>
    </row>
    <row r="20" spans="1:4" ht="18" x14ac:dyDescent="0.45">
      <c r="A20" s="998">
        <v>17</v>
      </c>
      <c r="B20" s="404" t="s">
        <v>451</v>
      </c>
      <c r="C20" s="405" t="b">
        <v>0</v>
      </c>
      <c r="D20" s="999"/>
    </row>
    <row r="21" spans="1:4" ht="18" x14ac:dyDescent="0.45">
      <c r="A21" s="998">
        <v>18</v>
      </c>
      <c r="B21" s="399" t="s">
        <v>450</v>
      </c>
      <c r="C21" s="406" t="b">
        <v>0</v>
      </c>
      <c r="D21" s="1000"/>
    </row>
    <row r="22" spans="1:4" ht="18" x14ac:dyDescent="0.45">
      <c r="A22" s="998">
        <v>19</v>
      </c>
      <c r="B22" s="404" t="s">
        <v>471</v>
      </c>
      <c r="C22" s="405" t="b">
        <v>0</v>
      </c>
      <c r="D22" s="999"/>
    </row>
    <row r="23" spans="1:4" ht="18" x14ac:dyDescent="0.45">
      <c r="A23" s="998">
        <v>20</v>
      </c>
      <c r="B23" s="399" t="s">
        <v>449</v>
      </c>
      <c r="C23" s="406" t="b">
        <v>0</v>
      </c>
      <c r="D23" s="1000"/>
    </row>
    <row r="24" spans="1:4" ht="18" x14ac:dyDescent="0.45">
      <c r="A24" s="998">
        <v>21</v>
      </c>
      <c r="B24" s="404" t="s">
        <v>448</v>
      </c>
      <c r="C24" s="405" t="b">
        <v>0</v>
      </c>
      <c r="D24" s="999"/>
    </row>
    <row r="25" spans="1:4" ht="18" x14ac:dyDescent="0.45">
      <c r="A25" s="998">
        <v>22</v>
      </c>
      <c r="B25" s="399" t="s">
        <v>447</v>
      </c>
      <c r="C25" s="398" t="b">
        <v>0</v>
      </c>
      <c r="D25" s="1001"/>
    </row>
    <row r="26" spans="1:4" ht="18" x14ac:dyDescent="0.45">
      <c r="A26" s="998">
        <v>23</v>
      </c>
      <c r="B26" s="404" t="s">
        <v>555</v>
      </c>
      <c r="C26" s="403" t="b">
        <v>0</v>
      </c>
      <c r="D26" s="1002"/>
    </row>
    <row r="27" spans="1:4" ht="18" x14ac:dyDescent="0.45">
      <c r="A27" s="998">
        <v>24</v>
      </c>
      <c r="B27" s="399" t="s">
        <v>723</v>
      </c>
      <c r="C27" s="398" t="b">
        <v>0</v>
      </c>
      <c r="D27" s="1001"/>
    </row>
    <row r="28" spans="1:4" ht="18" x14ac:dyDescent="0.45">
      <c r="A28" s="998">
        <v>25</v>
      </c>
      <c r="B28" s="404" t="s">
        <v>446</v>
      </c>
      <c r="C28" s="403" t="b">
        <v>0</v>
      </c>
      <c r="D28" s="1002"/>
    </row>
    <row r="29" spans="1:4" ht="18" x14ac:dyDescent="0.45">
      <c r="A29" s="998">
        <v>26</v>
      </c>
      <c r="B29" s="399" t="s">
        <v>445</v>
      </c>
      <c r="C29" s="398" t="b">
        <v>0</v>
      </c>
      <c r="D29" s="1001"/>
    </row>
    <row r="30" spans="1:4" ht="18" x14ac:dyDescent="0.45">
      <c r="A30" s="998">
        <v>27</v>
      </c>
      <c r="B30" s="402" t="s">
        <v>444</v>
      </c>
      <c r="C30" s="401" t="b">
        <v>0</v>
      </c>
      <c r="D30" s="1003"/>
    </row>
    <row r="31" spans="1:4" ht="18" x14ac:dyDescent="0.45">
      <c r="A31" s="998">
        <v>28</v>
      </c>
      <c r="B31" s="399" t="s">
        <v>443</v>
      </c>
      <c r="C31" s="398" t="b">
        <v>0</v>
      </c>
      <c r="D31" s="1001"/>
    </row>
    <row r="32" spans="1:4" ht="18" x14ac:dyDescent="0.45">
      <c r="A32" s="998">
        <v>29</v>
      </c>
      <c r="B32" s="402" t="s">
        <v>558</v>
      </c>
      <c r="C32" s="401" t="b">
        <v>0</v>
      </c>
      <c r="D32" s="1003"/>
    </row>
    <row r="33" spans="1:4" ht="18" x14ac:dyDescent="0.45">
      <c r="A33" s="998">
        <v>30</v>
      </c>
      <c r="B33" s="399" t="s">
        <v>559</v>
      </c>
      <c r="C33" s="398" t="b">
        <v>0</v>
      </c>
      <c r="D33" s="1001"/>
    </row>
    <row r="34" spans="1:4" ht="18" x14ac:dyDescent="0.45">
      <c r="A34" s="998">
        <v>31</v>
      </c>
      <c r="B34" s="402" t="s">
        <v>557</v>
      </c>
      <c r="C34" s="401" t="b">
        <v>0</v>
      </c>
      <c r="D34" s="1003"/>
    </row>
    <row r="35" spans="1:4" ht="18" x14ac:dyDescent="0.45">
      <c r="A35" s="998">
        <v>32</v>
      </c>
      <c r="B35" s="399" t="s">
        <v>556</v>
      </c>
      <c r="C35" s="398" t="b">
        <v>0</v>
      </c>
      <c r="D35" s="1001"/>
    </row>
    <row r="36" spans="1:4" ht="18" x14ac:dyDescent="0.45">
      <c r="A36" s="998">
        <v>33</v>
      </c>
      <c r="B36" s="402" t="s">
        <v>442</v>
      </c>
      <c r="C36" s="401" t="b">
        <v>0</v>
      </c>
      <c r="D36" s="1003"/>
    </row>
    <row r="37" spans="1:4" ht="18" x14ac:dyDescent="0.45">
      <c r="A37" s="998">
        <v>34</v>
      </c>
      <c r="B37" s="399" t="s">
        <v>441</v>
      </c>
      <c r="C37" s="398" t="b">
        <v>0</v>
      </c>
      <c r="D37" s="1001"/>
    </row>
    <row r="38" spans="1:4" ht="18" x14ac:dyDescent="0.45">
      <c r="A38" s="998">
        <v>35</v>
      </c>
      <c r="B38" s="402" t="s">
        <v>440</v>
      </c>
      <c r="C38" s="401" t="b">
        <v>0</v>
      </c>
      <c r="D38" s="1003"/>
    </row>
    <row r="39" spans="1:4" ht="18" x14ac:dyDescent="0.45">
      <c r="A39" s="1004">
        <v>36</v>
      </c>
      <c r="B39" s="1005" t="s">
        <v>439</v>
      </c>
      <c r="C39" s="1006" t="b">
        <v>0</v>
      </c>
      <c r="D39" s="1007"/>
    </row>
    <row r="40" spans="1:4" x14ac:dyDescent="0.25">
      <c r="B40"/>
    </row>
    <row r="41" spans="1:4" x14ac:dyDescent="0.25">
      <c r="B41"/>
    </row>
    <row r="42" spans="1:4" x14ac:dyDescent="0.25">
      <c r="B42"/>
    </row>
    <row r="43" spans="1:4" x14ac:dyDescent="0.25">
      <c r="B43"/>
    </row>
    <row r="44" spans="1:4" x14ac:dyDescent="0.25">
      <c r="B44"/>
    </row>
    <row r="45" spans="1:4" x14ac:dyDescent="0.25">
      <c r="B45"/>
    </row>
    <row r="46" spans="1:4" x14ac:dyDescent="0.25">
      <c r="B46"/>
    </row>
  </sheetData>
  <mergeCells count="1">
    <mergeCell ref="A2:D2"/>
  </mergeCells>
  <conditionalFormatting sqref="B6">
    <cfRule type="colorScale" priority="1">
      <colorScale>
        <cfvo type="min"/>
        <cfvo type="max"/>
        <color rgb="FF63BE7B"/>
        <color rgb="FFFCFCFF"/>
      </colorScale>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2769" r:id="rId4" name="Check Box 1">
              <controlPr defaultSize="0" autoFill="0" autoLine="0" autoPict="0">
                <anchor moveWithCells="1">
                  <from>
                    <xdr:col>2</xdr:col>
                    <xdr:colOff>0</xdr:colOff>
                    <xdr:row>3</xdr:row>
                    <xdr:rowOff>0</xdr:rowOff>
                  </from>
                  <to>
                    <xdr:col>2</xdr:col>
                    <xdr:colOff>304800</xdr:colOff>
                    <xdr:row>3</xdr:row>
                    <xdr:rowOff>190500</xdr:rowOff>
                  </to>
                </anchor>
              </controlPr>
            </control>
          </mc:Choice>
        </mc:AlternateContent>
        <mc:AlternateContent xmlns:mc="http://schemas.openxmlformats.org/markup-compatibility/2006">
          <mc:Choice Requires="x14">
            <control shapeId="32770" r:id="rId5" name="Check Box 2">
              <controlPr defaultSize="0" autoFill="0" autoLine="0" autoPict="0" altText="">
                <anchor moveWithCells="1">
                  <from>
                    <xdr:col>2</xdr:col>
                    <xdr:colOff>0</xdr:colOff>
                    <xdr:row>4</xdr:row>
                    <xdr:rowOff>9525</xdr:rowOff>
                  </from>
                  <to>
                    <xdr:col>2</xdr:col>
                    <xdr:colOff>381000</xdr:colOff>
                    <xdr:row>4</xdr:row>
                    <xdr:rowOff>190500</xdr:rowOff>
                  </to>
                </anchor>
              </controlPr>
            </control>
          </mc:Choice>
        </mc:AlternateContent>
        <mc:AlternateContent xmlns:mc="http://schemas.openxmlformats.org/markup-compatibility/2006">
          <mc:Choice Requires="x14">
            <control shapeId="32771" r:id="rId6" name="Check Box 3">
              <controlPr defaultSize="0" autoFill="0" autoLine="0" autoPict="0">
                <anchor moveWithCells="1">
                  <from>
                    <xdr:col>2</xdr:col>
                    <xdr:colOff>0</xdr:colOff>
                    <xdr:row>5</xdr:row>
                    <xdr:rowOff>9525</xdr:rowOff>
                  </from>
                  <to>
                    <xdr:col>2</xdr:col>
                    <xdr:colOff>390525</xdr:colOff>
                    <xdr:row>5</xdr:row>
                    <xdr:rowOff>190500</xdr:rowOff>
                  </to>
                </anchor>
              </controlPr>
            </control>
          </mc:Choice>
        </mc:AlternateContent>
        <mc:AlternateContent xmlns:mc="http://schemas.openxmlformats.org/markup-compatibility/2006">
          <mc:Choice Requires="x14">
            <control shapeId="32772" r:id="rId7" name="Check Box 4">
              <controlPr defaultSize="0" autoFill="0" autoLine="0" autoPict="0">
                <anchor moveWithCells="1">
                  <from>
                    <xdr:col>2</xdr:col>
                    <xdr:colOff>0</xdr:colOff>
                    <xdr:row>6</xdr:row>
                    <xdr:rowOff>9525</xdr:rowOff>
                  </from>
                  <to>
                    <xdr:col>2</xdr:col>
                    <xdr:colOff>304800</xdr:colOff>
                    <xdr:row>6</xdr:row>
                    <xdr:rowOff>190500</xdr:rowOff>
                  </to>
                </anchor>
              </controlPr>
            </control>
          </mc:Choice>
        </mc:AlternateContent>
        <mc:AlternateContent xmlns:mc="http://schemas.openxmlformats.org/markup-compatibility/2006">
          <mc:Choice Requires="x14">
            <control shapeId="32773" r:id="rId8" name="Check Box 5">
              <controlPr defaultSize="0" autoFill="0" autoLine="0" autoPict="0">
                <anchor moveWithCells="1">
                  <from>
                    <xdr:col>2</xdr:col>
                    <xdr:colOff>0</xdr:colOff>
                    <xdr:row>7</xdr:row>
                    <xdr:rowOff>9525</xdr:rowOff>
                  </from>
                  <to>
                    <xdr:col>2</xdr:col>
                    <xdr:colOff>304800</xdr:colOff>
                    <xdr:row>7</xdr:row>
                    <xdr:rowOff>190500</xdr:rowOff>
                  </to>
                </anchor>
              </controlPr>
            </control>
          </mc:Choice>
        </mc:AlternateContent>
        <mc:AlternateContent xmlns:mc="http://schemas.openxmlformats.org/markup-compatibility/2006">
          <mc:Choice Requires="x14">
            <control shapeId="32774" r:id="rId9" name="Check Box 6">
              <controlPr defaultSize="0" autoFill="0" autoLine="0" autoPict="0">
                <anchor moveWithCells="1">
                  <from>
                    <xdr:col>2</xdr:col>
                    <xdr:colOff>0</xdr:colOff>
                    <xdr:row>8</xdr:row>
                    <xdr:rowOff>9525</xdr:rowOff>
                  </from>
                  <to>
                    <xdr:col>2</xdr:col>
                    <xdr:colOff>304800</xdr:colOff>
                    <xdr:row>8</xdr:row>
                    <xdr:rowOff>190500</xdr:rowOff>
                  </to>
                </anchor>
              </controlPr>
            </control>
          </mc:Choice>
        </mc:AlternateContent>
        <mc:AlternateContent xmlns:mc="http://schemas.openxmlformats.org/markup-compatibility/2006">
          <mc:Choice Requires="x14">
            <control shapeId="32775" r:id="rId10" name="Check Box 7">
              <controlPr defaultSize="0" autoFill="0" autoLine="0" autoPict="0">
                <anchor moveWithCells="1">
                  <from>
                    <xdr:col>2</xdr:col>
                    <xdr:colOff>0</xdr:colOff>
                    <xdr:row>9</xdr:row>
                    <xdr:rowOff>9525</xdr:rowOff>
                  </from>
                  <to>
                    <xdr:col>2</xdr:col>
                    <xdr:colOff>304800</xdr:colOff>
                    <xdr:row>9</xdr:row>
                    <xdr:rowOff>190500</xdr:rowOff>
                  </to>
                </anchor>
              </controlPr>
            </control>
          </mc:Choice>
        </mc:AlternateContent>
        <mc:AlternateContent xmlns:mc="http://schemas.openxmlformats.org/markup-compatibility/2006">
          <mc:Choice Requires="x14">
            <control shapeId="32776" r:id="rId11" name="Check Box 8">
              <controlPr defaultSize="0" autoFill="0" autoLine="0" autoPict="0">
                <anchor moveWithCells="1">
                  <from>
                    <xdr:col>2</xdr:col>
                    <xdr:colOff>0</xdr:colOff>
                    <xdr:row>10</xdr:row>
                    <xdr:rowOff>0</xdr:rowOff>
                  </from>
                  <to>
                    <xdr:col>2</xdr:col>
                    <xdr:colOff>304800</xdr:colOff>
                    <xdr:row>10</xdr:row>
                    <xdr:rowOff>190500</xdr:rowOff>
                  </to>
                </anchor>
              </controlPr>
            </control>
          </mc:Choice>
        </mc:AlternateContent>
        <mc:AlternateContent xmlns:mc="http://schemas.openxmlformats.org/markup-compatibility/2006">
          <mc:Choice Requires="x14">
            <control shapeId="32777" r:id="rId12" name="Check Box 9">
              <controlPr defaultSize="0" autoFill="0" autoLine="0" autoPict="0">
                <anchor moveWithCells="1">
                  <from>
                    <xdr:col>2</xdr:col>
                    <xdr:colOff>0</xdr:colOff>
                    <xdr:row>11</xdr:row>
                    <xdr:rowOff>0</xdr:rowOff>
                  </from>
                  <to>
                    <xdr:col>2</xdr:col>
                    <xdr:colOff>304800</xdr:colOff>
                    <xdr:row>11</xdr:row>
                    <xdr:rowOff>190500</xdr:rowOff>
                  </to>
                </anchor>
              </controlPr>
            </control>
          </mc:Choice>
        </mc:AlternateContent>
        <mc:AlternateContent xmlns:mc="http://schemas.openxmlformats.org/markup-compatibility/2006">
          <mc:Choice Requires="x14">
            <control shapeId="32778" r:id="rId13" name="Check Box 10">
              <controlPr defaultSize="0" autoFill="0" autoLine="0" autoPict="0">
                <anchor moveWithCells="1">
                  <from>
                    <xdr:col>2</xdr:col>
                    <xdr:colOff>0</xdr:colOff>
                    <xdr:row>12</xdr:row>
                    <xdr:rowOff>0</xdr:rowOff>
                  </from>
                  <to>
                    <xdr:col>2</xdr:col>
                    <xdr:colOff>304800</xdr:colOff>
                    <xdr:row>12</xdr:row>
                    <xdr:rowOff>190500</xdr:rowOff>
                  </to>
                </anchor>
              </controlPr>
            </control>
          </mc:Choice>
        </mc:AlternateContent>
        <mc:AlternateContent xmlns:mc="http://schemas.openxmlformats.org/markup-compatibility/2006">
          <mc:Choice Requires="x14">
            <control shapeId="32779" r:id="rId14" name="Check Box 11">
              <controlPr defaultSize="0" autoFill="0" autoLine="0" autoPict="0">
                <anchor moveWithCells="1">
                  <from>
                    <xdr:col>2</xdr:col>
                    <xdr:colOff>0</xdr:colOff>
                    <xdr:row>12</xdr:row>
                    <xdr:rowOff>219075</xdr:rowOff>
                  </from>
                  <to>
                    <xdr:col>2</xdr:col>
                    <xdr:colOff>304800</xdr:colOff>
                    <xdr:row>13</xdr:row>
                    <xdr:rowOff>190500</xdr:rowOff>
                  </to>
                </anchor>
              </controlPr>
            </control>
          </mc:Choice>
        </mc:AlternateContent>
        <mc:AlternateContent xmlns:mc="http://schemas.openxmlformats.org/markup-compatibility/2006">
          <mc:Choice Requires="x14">
            <control shapeId="32780" r:id="rId15" name="Check Box 12">
              <controlPr defaultSize="0" autoFill="0" autoLine="0" autoPict="0">
                <anchor moveWithCells="1">
                  <from>
                    <xdr:col>2</xdr:col>
                    <xdr:colOff>0</xdr:colOff>
                    <xdr:row>14</xdr:row>
                    <xdr:rowOff>0</xdr:rowOff>
                  </from>
                  <to>
                    <xdr:col>2</xdr:col>
                    <xdr:colOff>304800</xdr:colOff>
                    <xdr:row>14</xdr:row>
                    <xdr:rowOff>190500</xdr:rowOff>
                  </to>
                </anchor>
              </controlPr>
            </control>
          </mc:Choice>
        </mc:AlternateContent>
        <mc:AlternateContent xmlns:mc="http://schemas.openxmlformats.org/markup-compatibility/2006">
          <mc:Choice Requires="x14">
            <control shapeId="32781" r:id="rId16" name="Check Box 13">
              <controlPr defaultSize="0" autoFill="0" autoLine="0" autoPict="0">
                <anchor moveWithCells="1">
                  <from>
                    <xdr:col>2</xdr:col>
                    <xdr:colOff>0</xdr:colOff>
                    <xdr:row>15</xdr:row>
                    <xdr:rowOff>0</xdr:rowOff>
                  </from>
                  <to>
                    <xdr:col>2</xdr:col>
                    <xdr:colOff>304800</xdr:colOff>
                    <xdr:row>15</xdr:row>
                    <xdr:rowOff>190500</xdr:rowOff>
                  </to>
                </anchor>
              </controlPr>
            </control>
          </mc:Choice>
        </mc:AlternateContent>
        <mc:AlternateContent xmlns:mc="http://schemas.openxmlformats.org/markup-compatibility/2006">
          <mc:Choice Requires="x14">
            <control shapeId="32782" r:id="rId17" name="Check Box 14">
              <controlPr defaultSize="0" autoFill="0" autoLine="0" autoPict="0">
                <anchor moveWithCells="1">
                  <from>
                    <xdr:col>2</xdr:col>
                    <xdr:colOff>0</xdr:colOff>
                    <xdr:row>17</xdr:row>
                    <xdr:rowOff>0</xdr:rowOff>
                  </from>
                  <to>
                    <xdr:col>2</xdr:col>
                    <xdr:colOff>304800</xdr:colOff>
                    <xdr:row>17</xdr:row>
                    <xdr:rowOff>190500</xdr:rowOff>
                  </to>
                </anchor>
              </controlPr>
            </control>
          </mc:Choice>
        </mc:AlternateContent>
        <mc:AlternateContent xmlns:mc="http://schemas.openxmlformats.org/markup-compatibility/2006">
          <mc:Choice Requires="x14">
            <control shapeId="32783" r:id="rId18" name="Check Box 15">
              <controlPr defaultSize="0" autoFill="0" autoLine="0" autoPict="0">
                <anchor moveWithCells="1">
                  <from>
                    <xdr:col>2</xdr:col>
                    <xdr:colOff>0</xdr:colOff>
                    <xdr:row>18</xdr:row>
                    <xdr:rowOff>0</xdr:rowOff>
                  </from>
                  <to>
                    <xdr:col>2</xdr:col>
                    <xdr:colOff>304800</xdr:colOff>
                    <xdr:row>18</xdr:row>
                    <xdr:rowOff>190500</xdr:rowOff>
                  </to>
                </anchor>
              </controlPr>
            </control>
          </mc:Choice>
        </mc:AlternateContent>
        <mc:AlternateContent xmlns:mc="http://schemas.openxmlformats.org/markup-compatibility/2006">
          <mc:Choice Requires="x14">
            <control shapeId="32784" r:id="rId19" name="Check Box 16">
              <controlPr defaultSize="0" autoFill="0" autoLine="0" autoPict="0">
                <anchor moveWithCells="1">
                  <from>
                    <xdr:col>2</xdr:col>
                    <xdr:colOff>0</xdr:colOff>
                    <xdr:row>19</xdr:row>
                    <xdr:rowOff>0</xdr:rowOff>
                  </from>
                  <to>
                    <xdr:col>2</xdr:col>
                    <xdr:colOff>304800</xdr:colOff>
                    <xdr:row>19</xdr:row>
                    <xdr:rowOff>190500</xdr:rowOff>
                  </to>
                </anchor>
              </controlPr>
            </control>
          </mc:Choice>
        </mc:AlternateContent>
        <mc:AlternateContent xmlns:mc="http://schemas.openxmlformats.org/markup-compatibility/2006">
          <mc:Choice Requires="x14">
            <control shapeId="32785" r:id="rId20" name="Check Box 17">
              <controlPr defaultSize="0" autoFill="0" autoLine="0" autoPict="0">
                <anchor moveWithCells="1">
                  <from>
                    <xdr:col>2</xdr:col>
                    <xdr:colOff>0</xdr:colOff>
                    <xdr:row>20</xdr:row>
                    <xdr:rowOff>9525</xdr:rowOff>
                  </from>
                  <to>
                    <xdr:col>2</xdr:col>
                    <xdr:colOff>304800</xdr:colOff>
                    <xdr:row>20</xdr:row>
                    <xdr:rowOff>190500</xdr:rowOff>
                  </to>
                </anchor>
              </controlPr>
            </control>
          </mc:Choice>
        </mc:AlternateContent>
        <mc:AlternateContent xmlns:mc="http://schemas.openxmlformats.org/markup-compatibility/2006">
          <mc:Choice Requires="x14">
            <control shapeId="32786" r:id="rId21" name="Check Box 18">
              <controlPr defaultSize="0" autoFill="0" autoLine="0" autoPict="0">
                <anchor moveWithCells="1">
                  <from>
                    <xdr:col>2</xdr:col>
                    <xdr:colOff>0</xdr:colOff>
                    <xdr:row>22</xdr:row>
                    <xdr:rowOff>0</xdr:rowOff>
                  </from>
                  <to>
                    <xdr:col>2</xdr:col>
                    <xdr:colOff>304800</xdr:colOff>
                    <xdr:row>22</xdr:row>
                    <xdr:rowOff>190500</xdr:rowOff>
                  </to>
                </anchor>
              </controlPr>
            </control>
          </mc:Choice>
        </mc:AlternateContent>
        <mc:AlternateContent xmlns:mc="http://schemas.openxmlformats.org/markup-compatibility/2006">
          <mc:Choice Requires="x14">
            <control shapeId="32787" r:id="rId22" name="Check Box 19">
              <controlPr defaultSize="0" autoFill="0" autoLine="0" autoPict="0">
                <anchor moveWithCells="1">
                  <from>
                    <xdr:col>2</xdr:col>
                    <xdr:colOff>0</xdr:colOff>
                    <xdr:row>23</xdr:row>
                    <xdr:rowOff>0</xdr:rowOff>
                  </from>
                  <to>
                    <xdr:col>2</xdr:col>
                    <xdr:colOff>304800</xdr:colOff>
                    <xdr:row>23</xdr:row>
                    <xdr:rowOff>190500</xdr:rowOff>
                  </to>
                </anchor>
              </controlPr>
            </control>
          </mc:Choice>
        </mc:AlternateContent>
        <mc:AlternateContent xmlns:mc="http://schemas.openxmlformats.org/markup-compatibility/2006">
          <mc:Choice Requires="x14">
            <control shapeId="32788" r:id="rId23" name="Check Box 20">
              <controlPr defaultSize="0" autoFill="0" autoLine="0" autoPict="0">
                <anchor moveWithCells="1">
                  <from>
                    <xdr:col>2</xdr:col>
                    <xdr:colOff>0</xdr:colOff>
                    <xdr:row>23</xdr:row>
                    <xdr:rowOff>219075</xdr:rowOff>
                  </from>
                  <to>
                    <xdr:col>2</xdr:col>
                    <xdr:colOff>304800</xdr:colOff>
                    <xdr:row>24</xdr:row>
                    <xdr:rowOff>180975</xdr:rowOff>
                  </to>
                </anchor>
              </controlPr>
            </control>
          </mc:Choice>
        </mc:AlternateContent>
        <mc:AlternateContent xmlns:mc="http://schemas.openxmlformats.org/markup-compatibility/2006">
          <mc:Choice Requires="x14">
            <control shapeId="32789" r:id="rId24" name="Check Box 21">
              <controlPr defaultSize="0" autoFill="0" autoLine="0" autoPict="0">
                <anchor moveWithCells="1">
                  <from>
                    <xdr:col>2</xdr:col>
                    <xdr:colOff>9525</xdr:colOff>
                    <xdr:row>24</xdr:row>
                    <xdr:rowOff>200025</xdr:rowOff>
                  </from>
                  <to>
                    <xdr:col>3</xdr:col>
                    <xdr:colOff>104775</xdr:colOff>
                    <xdr:row>25</xdr:row>
                    <xdr:rowOff>180975</xdr:rowOff>
                  </to>
                </anchor>
              </controlPr>
            </control>
          </mc:Choice>
        </mc:AlternateContent>
        <mc:AlternateContent xmlns:mc="http://schemas.openxmlformats.org/markup-compatibility/2006">
          <mc:Choice Requires="x14">
            <control shapeId="32790" r:id="rId25" name="Check Box 22">
              <controlPr defaultSize="0" autoFill="0" autoLine="0" autoPict="0">
                <anchor moveWithCells="1">
                  <from>
                    <xdr:col>2</xdr:col>
                    <xdr:colOff>9525</xdr:colOff>
                    <xdr:row>26</xdr:row>
                    <xdr:rowOff>0</xdr:rowOff>
                  </from>
                  <to>
                    <xdr:col>3</xdr:col>
                    <xdr:colOff>104775</xdr:colOff>
                    <xdr:row>26</xdr:row>
                    <xdr:rowOff>209550</xdr:rowOff>
                  </to>
                </anchor>
              </controlPr>
            </control>
          </mc:Choice>
        </mc:AlternateContent>
        <mc:AlternateContent xmlns:mc="http://schemas.openxmlformats.org/markup-compatibility/2006">
          <mc:Choice Requires="x14">
            <control shapeId="32791" r:id="rId26" name="Check Box 23">
              <controlPr defaultSize="0" autoFill="0" autoLine="0" autoPict="0">
                <anchor moveWithCells="1">
                  <from>
                    <xdr:col>2</xdr:col>
                    <xdr:colOff>9525</xdr:colOff>
                    <xdr:row>27</xdr:row>
                    <xdr:rowOff>9525</xdr:rowOff>
                  </from>
                  <to>
                    <xdr:col>3</xdr:col>
                    <xdr:colOff>104775</xdr:colOff>
                    <xdr:row>27</xdr:row>
                    <xdr:rowOff>219075</xdr:rowOff>
                  </to>
                </anchor>
              </controlPr>
            </control>
          </mc:Choice>
        </mc:AlternateContent>
        <mc:AlternateContent xmlns:mc="http://schemas.openxmlformats.org/markup-compatibility/2006">
          <mc:Choice Requires="x14">
            <control shapeId="32792" r:id="rId27" name="Check Box 24">
              <controlPr defaultSize="0" autoFill="0" autoLine="0" autoPict="0">
                <anchor moveWithCells="1">
                  <from>
                    <xdr:col>2</xdr:col>
                    <xdr:colOff>9525</xdr:colOff>
                    <xdr:row>28</xdr:row>
                    <xdr:rowOff>0</xdr:rowOff>
                  </from>
                  <to>
                    <xdr:col>3</xdr:col>
                    <xdr:colOff>104775</xdr:colOff>
                    <xdr:row>28</xdr:row>
                    <xdr:rowOff>209550</xdr:rowOff>
                  </to>
                </anchor>
              </controlPr>
            </control>
          </mc:Choice>
        </mc:AlternateContent>
        <mc:AlternateContent xmlns:mc="http://schemas.openxmlformats.org/markup-compatibility/2006">
          <mc:Choice Requires="x14">
            <control shapeId="32793" r:id="rId28" name="Check Box 25">
              <controlPr defaultSize="0" autoFill="0" autoLine="0" autoPict="0">
                <anchor moveWithCells="1">
                  <from>
                    <xdr:col>2</xdr:col>
                    <xdr:colOff>9525</xdr:colOff>
                    <xdr:row>28</xdr:row>
                    <xdr:rowOff>219075</xdr:rowOff>
                  </from>
                  <to>
                    <xdr:col>3</xdr:col>
                    <xdr:colOff>104775</xdr:colOff>
                    <xdr:row>29</xdr:row>
                    <xdr:rowOff>200025</xdr:rowOff>
                  </to>
                </anchor>
              </controlPr>
            </control>
          </mc:Choice>
        </mc:AlternateContent>
        <mc:AlternateContent xmlns:mc="http://schemas.openxmlformats.org/markup-compatibility/2006">
          <mc:Choice Requires="x14">
            <control shapeId="32794" r:id="rId29" name="Check Box 26">
              <controlPr defaultSize="0" autoFill="0" autoLine="0" autoPict="0">
                <anchor moveWithCells="1">
                  <from>
                    <xdr:col>2</xdr:col>
                    <xdr:colOff>9525</xdr:colOff>
                    <xdr:row>29</xdr:row>
                    <xdr:rowOff>219075</xdr:rowOff>
                  </from>
                  <to>
                    <xdr:col>3</xdr:col>
                    <xdr:colOff>104775</xdr:colOff>
                    <xdr:row>30</xdr:row>
                    <xdr:rowOff>200025</xdr:rowOff>
                  </to>
                </anchor>
              </controlPr>
            </control>
          </mc:Choice>
        </mc:AlternateContent>
        <mc:AlternateContent xmlns:mc="http://schemas.openxmlformats.org/markup-compatibility/2006">
          <mc:Choice Requires="x14">
            <control shapeId="32795" r:id="rId30" name="Check Box 27">
              <controlPr defaultSize="0" autoFill="0" autoLine="0" autoPict="0">
                <anchor moveWithCells="1">
                  <from>
                    <xdr:col>2</xdr:col>
                    <xdr:colOff>9525</xdr:colOff>
                    <xdr:row>31</xdr:row>
                    <xdr:rowOff>0</xdr:rowOff>
                  </from>
                  <to>
                    <xdr:col>3</xdr:col>
                    <xdr:colOff>104775</xdr:colOff>
                    <xdr:row>31</xdr:row>
                    <xdr:rowOff>209550</xdr:rowOff>
                  </to>
                </anchor>
              </controlPr>
            </control>
          </mc:Choice>
        </mc:AlternateContent>
        <mc:AlternateContent xmlns:mc="http://schemas.openxmlformats.org/markup-compatibility/2006">
          <mc:Choice Requires="x14">
            <control shapeId="32796" r:id="rId31" name="Check Box 28">
              <controlPr defaultSize="0" autoFill="0" autoLine="0" autoPict="0">
                <anchor moveWithCells="1">
                  <from>
                    <xdr:col>2</xdr:col>
                    <xdr:colOff>9525</xdr:colOff>
                    <xdr:row>32</xdr:row>
                    <xdr:rowOff>0</xdr:rowOff>
                  </from>
                  <to>
                    <xdr:col>3</xdr:col>
                    <xdr:colOff>104775</xdr:colOff>
                    <xdr:row>32</xdr:row>
                    <xdr:rowOff>209550</xdr:rowOff>
                  </to>
                </anchor>
              </controlPr>
            </control>
          </mc:Choice>
        </mc:AlternateContent>
        <mc:AlternateContent xmlns:mc="http://schemas.openxmlformats.org/markup-compatibility/2006">
          <mc:Choice Requires="x14">
            <control shapeId="32797" r:id="rId32" name="Check Box 29">
              <controlPr defaultSize="0" autoFill="0" autoLine="0" autoPict="0">
                <anchor moveWithCells="1">
                  <from>
                    <xdr:col>2</xdr:col>
                    <xdr:colOff>9525</xdr:colOff>
                    <xdr:row>33</xdr:row>
                    <xdr:rowOff>0</xdr:rowOff>
                  </from>
                  <to>
                    <xdr:col>3</xdr:col>
                    <xdr:colOff>104775</xdr:colOff>
                    <xdr:row>33</xdr:row>
                    <xdr:rowOff>209550</xdr:rowOff>
                  </to>
                </anchor>
              </controlPr>
            </control>
          </mc:Choice>
        </mc:AlternateContent>
        <mc:AlternateContent xmlns:mc="http://schemas.openxmlformats.org/markup-compatibility/2006">
          <mc:Choice Requires="x14">
            <control shapeId="32798" r:id="rId33" name="Check Box 30">
              <controlPr defaultSize="0" autoFill="0" autoLine="0" autoPict="0">
                <anchor moveWithCells="1">
                  <from>
                    <xdr:col>2</xdr:col>
                    <xdr:colOff>9525</xdr:colOff>
                    <xdr:row>33</xdr:row>
                    <xdr:rowOff>219075</xdr:rowOff>
                  </from>
                  <to>
                    <xdr:col>3</xdr:col>
                    <xdr:colOff>104775</xdr:colOff>
                    <xdr:row>34</xdr:row>
                    <xdr:rowOff>200025</xdr:rowOff>
                  </to>
                </anchor>
              </controlPr>
            </control>
          </mc:Choice>
        </mc:AlternateContent>
        <mc:AlternateContent xmlns:mc="http://schemas.openxmlformats.org/markup-compatibility/2006">
          <mc:Choice Requires="x14">
            <control shapeId="32799" r:id="rId34" name="Check Box 31">
              <controlPr defaultSize="0" autoFill="0" autoLine="0" autoPict="0">
                <anchor moveWithCells="1">
                  <from>
                    <xdr:col>2</xdr:col>
                    <xdr:colOff>9525</xdr:colOff>
                    <xdr:row>34</xdr:row>
                    <xdr:rowOff>219075</xdr:rowOff>
                  </from>
                  <to>
                    <xdr:col>3</xdr:col>
                    <xdr:colOff>104775</xdr:colOff>
                    <xdr:row>35</xdr:row>
                    <xdr:rowOff>200025</xdr:rowOff>
                  </to>
                </anchor>
              </controlPr>
            </control>
          </mc:Choice>
        </mc:AlternateContent>
        <mc:AlternateContent xmlns:mc="http://schemas.openxmlformats.org/markup-compatibility/2006">
          <mc:Choice Requires="x14">
            <control shapeId="32800" r:id="rId35" name="Check Box 32">
              <controlPr defaultSize="0" autoFill="0" autoLine="0" autoPict="0">
                <anchor moveWithCells="1">
                  <from>
                    <xdr:col>2</xdr:col>
                    <xdr:colOff>9525</xdr:colOff>
                    <xdr:row>36</xdr:row>
                    <xdr:rowOff>0</xdr:rowOff>
                  </from>
                  <to>
                    <xdr:col>3</xdr:col>
                    <xdr:colOff>104775</xdr:colOff>
                    <xdr:row>36</xdr:row>
                    <xdr:rowOff>209550</xdr:rowOff>
                  </to>
                </anchor>
              </controlPr>
            </control>
          </mc:Choice>
        </mc:AlternateContent>
        <mc:AlternateContent xmlns:mc="http://schemas.openxmlformats.org/markup-compatibility/2006">
          <mc:Choice Requires="x14">
            <control shapeId="32801" r:id="rId36" name="Check Box 33">
              <controlPr defaultSize="0" autoFill="0" autoLine="0" autoPict="0">
                <anchor moveWithCells="1">
                  <from>
                    <xdr:col>2</xdr:col>
                    <xdr:colOff>9525</xdr:colOff>
                    <xdr:row>37</xdr:row>
                    <xdr:rowOff>0</xdr:rowOff>
                  </from>
                  <to>
                    <xdr:col>3</xdr:col>
                    <xdr:colOff>104775</xdr:colOff>
                    <xdr:row>37</xdr:row>
                    <xdr:rowOff>209550</xdr:rowOff>
                  </to>
                </anchor>
              </controlPr>
            </control>
          </mc:Choice>
        </mc:AlternateContent>
        <mc:AlternateContent xmlns:mc="http://schemas.openxmlformats.org/markup-compatibility/2006">
          <mc:Choice Requires="x14">
            <control shapeId="32802" r:id="rId37" name="Check Box 34">
              <controlPr defaultSize="0" autoFill="0" autoLine="0" autoPict="0">
                <anchor moveWithCells="1">
                  <from>
                    <xdr:col>2</xdr:col>
                    <xdr:colOff>9525</xdr:colOff>
                    <xdr:row>37</xdr:row>
                    <xdr:rowOff>219075</xdr:rowOff>
                  </from>
                  <to>
                    <xdr:col>3</xdr:col>
                    <xdr:colOff>104775</xdr:colOff>
                    <xdr:row>38</xdr:row>
                    <xdr:rowOff>200025</xdr:rowOff>
                  </to>
                </anchor>
              </controlPr>
            </control>
          </mc:Choice>
        </mc:AlternateContent>
        <mc:AlternateContent xmlns:mc="http://schemas.openxmlformats.org/markup-compatibility/2006">
          <mc:Choice Requires="x14">
            <control shapeId="32806" r:id="rId38" name="Check Box 38">
              <controlPr defaultSize="0" autoFill="0" autoLine="0" autoPict="0">
                <anchor moveWithCells="1">
                  <from>
                    <xdr:col>2</xdr:col>
                    <xdr:colOff>9525</xdr:colOff>
                    <xdr:row>15</xdr:row>
                    <xdr:rowOff>209550</xdr:rowOff>
                  </from>
                  <to>
                    <xdr:col>2</xdr:col>
                    <xdr:colOff>361950</xdr:colOff>
                    <xdr:row>16</xdr:row>
                    <xdr:rowOff>219075</xdr:rowOff>
                  </to>
                </anchor>
              </controlPr>
            </control>
          </mc:Choice>
        </mc:AlternateContent>
        <mc:AlternateContent xmlns:mc="http://schemas.openxmlformats.org/markup-compatibility/2006">
          <mc:Choice Requires="x14">
            <control shapeId="32807" r:id="rId39" name="Check Box 39">
              <controlPr defaultSize="0" autoFill="0" autoLine="0" autoPict="0">
                <anchor moveWithCells="1">
                  <from>
                    <xdr:col>2</xdr:col>
                    <xdr:colOff>0</xdr:colOff>
                    <xdr:row>20</xdr:row>
                    <xdr:rowOff>209550</xdr:rowOff>
                  </from>
                  <to>
                    <xdr:col>2</xdr:col>
                    <xdr:colOff>304800</xdr:colOff>
                    <xdr:row>21</xdr:row>
                    <xdr:rowOff>200025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B1:AI103"/>
  <sheetViews>
    <sheetView rightToLeft="1" topLeftCell="A7" zoomScale="85" zoomScaleNormal="85" zoomScaleSheetLayoutView="106" workbookViewId="0">
      <selection activeCell="Q17" sqref="Q17:Q18"/>
    </sheetView>
  </sheetViews>
  <sheetFormatPr defaultColWidth="9.140625" defaultRowHeight="19.5" x14ac:dyDescent="0.45"/>
  <cols>
    <col min="1" max="1" width="1.7109375" style="834" customWidth="1"/>
    <col min="2" max="3" width="5" style="812" customWidth="1"/>
    <col min="4" max="4" width="17.28515625" style="834" customWidth="1"/>
    <col min="5" max="5" width="25.5703125" style="834" customWidth="1"/>
    <col min="6" max="6" width="14.5703125" style="834" customWidth="1"/>
    <col min="7" max="7" width="14.28515625" style="834" bestFit="1" customWidth="1"/>
    <col min="8" max="8" width="14.28515625" style="834" customWidth="1"/>
    <col min="9" max="9" width="19" style="834" customWidth="1"/>
    <col min="10" max="10" width="9.85546875" style="834" customWidth="1"/>
    <col min="11" max="11" width="14.85546875" style="834" customWidth="1"/>
    <col min="12" max="12" width="13.5703125" style="834" customWidth="1"/>
    <col min="13" max="13" width="14.28515625" style="834" customWidth="1"/>
    <col min="14" max="15" width="7" style="834" customWidth="1"/>
    <col min="16" max="16" width="5.85546875" style="834" customWidth="1"/>
    <col min="17" max="17" width="5.140625" style="834" customWidth="1"/>
    <col min="18" max="18" width="9.5703125" style="834" customWidth="1"/>
    <col min="19" max="19" width="7.140625" style="834" customWidth="1"/>
    <col min="20" max="21" width="6" style="834" customWidth="1"/>
    <col min="22" max="22" width="16.7109375" style="1" customWidth="1"/>
    <col min="23" max="23" width="14.5703125" style="834" customWidth="1"/>
    <col min="24" max="24" width="16.5703125" style="834" customWidth="1"/>
    <col min="25" max="25" width="12.28515625" style="834" customWidth="1"/>
    <col min="26" max="26" width="13" style="835" customWidth="1"/>
    <col min="27" max="27" width="15.28515625" style="835" customWidth="1"/>
    <col min="28" max="28" width="17.5703125" style="834" customWidth="1"/>
    <col min="29" max="29" width="19.42578125" style="834" bestFit="1" customWidth="1"/>
    <col min="30" max="31" width="15" style="834" bestFit="1" customWidth="1"/>
    <col min="32" max="32" width="28" style="834" bestFit="1" customWidth="1"/>
    <col min="33" max="33" width="9.42578125" style="834" bestFit="1" customWidth="1"/>
    <col min="34" max="16384" width="9.140625" style="834"/>
  </cols>
  <sheetData>
    <row r="1" spans="2:35" ht="6.75" customHeight="1" thickBot="1" x14ac:dyDescent="0.5"/>
    <row r="2" spans="2:35" s="836" customFormat="1" ht="28.5" thickBot="1" x14ac:dyDescent="0.7">
      <c r="B2" s="1267" t="s">
        <v>634</v>
      </c>
      <c r="C2" s="1268"/>
      <c r="D2" s="1268"/>
      <c r="E2" s="1269"/>
      <c r="F2" s="1269"/>
      <c r="G2" s="1269"/>
      <c r="H2" s="1269"/>
      <c r="I2" s="1269"/>
      <c r="J2" s="1269"/>
      <c r="K2" s="1269"/>
      <c r="L2" s="1269"/>
      <c r="M2" s="1269"/>
      <c r="N2" s="1269"/>
      <c r="O2" s="1269"/>
      <c r="P2" s="1269"/>
      <c r="Q2" s="1269"/>
      <c r="R2" s="1270"/>
      <c r="U2" s="1"/>
      <c r="V2" s="1"/>
      <c r="W2" s="1"/>
      <c r="X2" s="1"/>
      <c r="Y2" s="1"/>
      <c r="Z2" s="1"/>
      <c r="AA2" s="1"/>
      <c r="AB2" s="1"/>
      <c r="AC2" s="1"/>
      <c r="AD2" s="1"/>
      <c r="AE2" s="1"/>
      <c r="AF2" s="1"/>
      <c r="AG2" s="1"/>
      <c r="AH2" s="1"/>
      <c r="AI2" s="1"/>
    </row>
    <row r="3" spans="2:35" s="836" customFormat="1" ht="28.5" thickBot="1" x14ac:dyDescent="0.7">
      <c r="B3" s="1271" t="s">
        <v>635</v>
      </c>
      <c r="C3" s="1269"/>
      <c r="D3" s="1270"/>
      <c r="E3" s="1008">
        <f>COUNTA(D8:D12)</f>
        <v>4</v>
      </c>
      <c r="F3" s="837"/>
      <c r="G3" s="837"/>
      <c r="H3" s="837"/>
      <c r="I3" s="837"/>
      <c r="J3" s="837"/>
      <c r="K3" s="837"/>
      <c r="L3" s="837"/>
      <c r="M3" s="837"/>
      <c r="N3" s="837"/>
      <c r="O3" s="837"/>
      <c r="P3" s="837"/>
      <c r="Q3" s="837"/>
      <c r="R3" s="838"/>
      <c r="U3" s="1"/>
      <c r="V3" s="1"/>
      <c r="W3" s="1"/>
      <c r="X3" s="1"/>
      <c r="Y3" s="1"/>
      <c r="Z3" s="1"/>
      <c r="AA3" s="1"/>
      <c r="AB3" s="1"/>
      <c r="AC3" s="1"/>
      <c r="AD3" s="1"/>
      <c r="AE3" s="1"/>
      <c r="AF3" s="1"/>
      <c r="AG3" s="1"/>
      <c r="AH3" s="1"/>
      <c r="AI3" s="1"/>
    </row>
    <row r="4" spans="2:35" s="836" customFormat="1" ht="28.5" thickBot="1" x14ac:dyDescent="0.7">
      <c r="B4" s="1271" t="s">
        <v>636</v>
      </c>
      <c r="C4" s="1269"/>
      <c r="D4" s="1270"/>
      <c r="E4" s="1272"/>
      <c r="F4" s="1273"/>
      <c r="G4" s="1273"/>
      <c r="H4" s="1273"/>
      <c r="I4" s="1273"/>
      <c r="J4" s="1273"/>
      <c r="K4" s="1273"/>
      <c r="L4" s="1273"/>
      <c r="M4" s="1273"/>
      <c r="N4" s="1273"/>
      <c r="O4" s="1273"/>
      <c r="P4" s="1273"/>
      <c r="Q4" s="1273"/>
      <c r="R4" s="1274"/>
      <c r="U4" s="1"/>
      <c r="V4" s="1"/>
      <c r="W4" s="1"/>
      <c r="X4" s="1"/>
      <c r="Y4" s="1"/>
      <c r="Z4" s="1"/>
      <c r="AA4" s="1"/>
      <c r="AB4" s="1"/>
      <c r="AC4" s="1"/>
      <c r="AD4" s="1"/>
      <c r="AE4" s="1"/>
      <c r="AF4" s="1"/>
      <c r="AG4" s="1"/>
      <c r="AH4" s="1"/>
      <c r="AI4" s="1"/>
    </row>
    <row r="5" spans="2:35" s="839" customFormat="1" ht="28.5" customHeight="1" x14ac:dyDescent="0.25">
      <c r="B5" s="1275"/>
      <c r="C5" s="1276"/>
      <c r="D5" s="1276"/>
      <c r="E5" s="1276"/>
      <c r="F5" s="1276"/>
      <c r="G5" s="1279" t="s">
        <v>13</v>
      </c>
      <c r="H5" s="1280"/>
      <c r="I5" s="1280"/>
      <c r="J5" s="1281"/>
      <c r="K5" s="1282" t="s">
        <v>637</v>
      </c>
      <c r="L5" s="1283"/>
      <c r="M5" s="1283"/>
      <c r="N5" s="1283"/>
      <c r="O5" s="1283"/>
      <c r="P5" s="1283"/>
      <c r="Q5" s="1283"/>
      <c r="R5" s="1284"/>
      <c r="T5" s="840"/>
      <c r="U5" s="1"/>
      <c r="V5" s="1"/>
      <c r="W5" s="1"/>
      <c r="X5" s="1"/>
      <c r="Y5" s="1"/>
      <c r="Z5" s="1"/>
      <c r="AA5" s="1"/>
      <c r="AB5" s="1"/>
      <c r="AC5" s="1"/>
      <c r="AD5" s="1"/>
      <c r="AE5" s="1"/>
      <c r="AF5" s="1"/>
      <c r="AG5" s="1"/>
      <c r="AH5" s="1"/>
      <c r="AI5" s="1"/>
    </row>
    <row r="6" spans="2:35" s="846" customFormat="1" ht="68.25" thickBot="1" x14ac:dyDescent="0.3">
      <c r="B6" s="1277"/>
      <c r="C6" s="1278"/>
      <c r="D6" s="1278"/>
      <c r="E6" s="1278"/>
      <c r="F6" s="1278"/>
      <c r="G6" s="1285" t="s">
        <v>638</v>
      </c>
      <c r="H6" s="1286"/>
      <c r="I6" s="841" t="s">
        <v>15</v>
      </c>
      <c r="J6" s="842" t="s">
        <v>16</v>
      </c>
      <c r="K6" s="1285" t="s">
        <v>639</v>
      </c>
      <c r="L6" s="1286"/>
      <c r="M6" s="1286"/>
      <c r="N6" s="843" t="s">
        <v>17</v>
      </c>
      <c r="O6" s="844" t="s">
        <v>640</v>
      </c>
      <c r="P6" s="843" t="s">
        <v>18</v>
      </c>
      <c r="Q6" s="845" t="s">
        <v>15</v>
      </c>
      <c r="R6" s="842" t="s">
        <v>16</v>
      </c>
      <c r="T6" s="1287" t="s">
        <v>641</v>
      </c>
      <c r="U6" s="1287"/>
      <c r="V6" s="1"/>
      <c r="W6" s="1"/>
      <c r="X6" s="1"/>
      <c r="Y6" s="1"/>
      <c r="Z6" s="1"/>
      <c r="AA6" s="1"/>
      <c r="AB6" s="1"/>
      <c r="AC6" s="1"/>
      <c r="AD6" s="1"/>
      <c r="AE6" s="1"/>
      <c r="AF6" s="1"/>
      <c r="AG6" s="1"/>
      <c r="AH6" s="1"/>
      <c r="AI6" s="1"/>
    </row>
    <row r="7" spans="2:35" s="846" customFormat="1" ht="33" customHeight="1" thickBot="1" x14ac:dyDescent="0.5">
      <c r="B7" s="1288" t="s">
        <v>19</v>
      </c>
      <c r="C7" s="1288"/>
      <c r="D7" s="847" t="s">
        <v>26</v>
      </c>
      <c r="E7" s="848" t="s">
        <v>642</v>
      </c>
      <c r="F7" s="848" t="s">
        <v>643</v>
      </c>
      <c r="G7" s="849" t="s">
        <v>14</v>
      </c>
      <c r="H7" s="849" t="s">
        <v>644</v>
      </c>
      <c r="I7" s="850"/>
      <c r="J7" s="851">
        <v>0.7</v>
      </c>
      <c r="K7" s="849" t="s">
        <v>17</v>
      </c>
      <c r="L7" s="849" t="s">
        <v>640</v>
      </c>
      <c r="M7" s="849" t="s">
        <v>645</v>
      </c>
      <c r="N7" s="852">
        <v>0.33</v>
      </c>
      <c r="O7" s="852">
        <v>0.33</v>
      </c>
      <c r="P7" s="852">
        <v>0.34</v>
      </c>
      <c r="Q7" s="853">
        <f>SUM(N7:P7)</f>
        <v>1</v>
      </c>
      <c r="R7" s="854">
        <v>0.3</v>
      </c>
      <c r="T7" s="855">
        <f>COUNTA(F8:F12)</f>
        <v>4</v>
      </c>
      <c r="U7" s="856" t="s">
        <v>646</v>
      </c>
      <c r="V7" s="1"/>
      <c r="W7" s="1"/>
      <c r="X7" s="1"/>
      <c r="Y7" s="1"/>
      <c r="Z7" s="1"/>
      <c r="AA7" s="1"/>
      <c r="AB7" s="1"/>
      <c r="AC7" s="1"/>
      <c r="AD7" s="1"/>
      <c r="AE7" s="1"/>
      <c r="AF7" s="1"/>
      <c r="AG7" s="1"/>
      <c r="AH7" s="1"/>
      <c r="AI7" s="1"/>
    </row>
    <row r="8" spans="2:35" ht="23.25" customHeight="1" thickBot="1" x14ac:dyDescent="0.5">
      <c r="B8" s="1289" t="s">
        <v>20</v>
      </c>
      <c r="C8" s="1235">
        <v>0.6</v>
      </c>
      <c r="D8" s="857" t="s">
        <v>767</v>
      </c>
      <c r="E8" s="858" t="s">
        <v>683</v>
      </c>
      <c r="F8" s="858" t="s">
        <v>681</v>
      </c>
      <c r="G8" s="858" t="s">
        <v>21</v>
      </c>
      <c r="H8" s="859"/>
      <c r="I8" s="860">
        <f>IFERROR(HLOOKUP(G8,$D$34:$J$35,2,FALSE),"")</f>
        <v>10</v>
      </c>
      <c r="J8" s="1293">
        <f>AVERAGE(I8:I12)</f>
        <v>8.75</v>
      </c>
      <c r="K8" s="858" t="s">
        <v>666</v>
      </c>
      <c r="L8" s="1012" t="str">
        <f>IF(('تجربه کاری '!I6*'تجربه کاری '!L6)&gt;699.9,$E$50,'مدرک تحصیلی '!F$50)</f>
        <v>سطح بالاتر</v>
      </c>
      <c r="M8" s="858" t="s">
        <v>675</v>
      </c>
      <c r="N8" s="862">
        <f t="shared" ref="N8:N18" si="0">IFERROR(HLOOKUP(K8,$E$39:$I$40,2,FALSE),"")</f>
        <v>30</v>
      </c>
      <c r="O8" s="862">
        <f>IFERROR(INDEX($E$51:$F$56,MATCH(G8,$D$51:$D$56,0),MATCH(L8,$E$50:$F$50,0)),"")</f>
        <v>30</v>
      </c>
      <c r="P8" s="862">
        <f t="shared" ref="P8:P18" si="1">IFERROR(HLOOKUP(M8,$E$45:$M$46,2,FALSE),"")</f>
        <v>100</v>
      </c>
      <c r="Q8" s="863">
        <f>SUMPRODUCT(N8:P8,$N$7:$P$7)</f>
        <v>53.8</v>
      </c>
      <c r="R8" s="1241">
        <f>AVERAGEIF(D8:D12,"&lt;&gt;",Q8:Q12)</f>
        <v>50.5</v>
      </c>
      <c r="T8" s="855">
        <f>IF(K8=$E$39,2,IF(K8=$F$39,1,0))</f>
        <v>0</v>
      </c>
      <c r="U8" s="856" t="s">
        <v>648</v>
      </c>
      <c r="W8" s="1"/>
      <c r="X8" s="1"/>
      <c r="Y8" s="1"/>
      <c r="Z8" s="1"/>
      <c r="AA8" s="1"/>
      <c r="AB8" s="1"/>
      <c r="AC8" s="1"/>
      <c r="AD8" s="1"/>
      <c r="AE8" s="1"/>
      <c r="AF8" s="1"/>
      <c r="AG8" s="1"/>
      <c r="AH8" s="1"/>
      <c r="AI8" s="1"/>
    </row>
    <row r="9" spans="2:35" ht="23.25" customHeight="1" thickBot="1" x14ac:dyDescent="0.5">
      <c r="B9" s="1290"/>
      <c r="C9" s="1236"/>
      <c r="D9" s="864" t="s">
        <v>768</v>
      </c>
      <c r="E9" s="865" t="s">
        <v>647</v>
      </c>
      <c r="F9" s="865" t="s">
        <v>682</v>
      </c>
      <c r="G9" s="858" t="s">
        <v>30</v>
      </c>
      <c r="H9" s="866"/>
      <c r="I9" s="867">
        <f>IFERROR(HLOOKUP(G9,$D$34:$J$35,2,FALSE),"")</f>
        <v>5</v>
      </c>
      <c r="J9" s="1294"/>
      <c r="K9" s="865" t="s">
        <v>667</v>
      </c>
      <c r="L9" s="861" t="str">
        <f>IF(('تجربه کاری '!I7*'تجربه کاری '!L7)&gt;699.9,$E$50,'مدرک تحصیلی '!F$50)</f>
        <v>سطح بالاتر</v>
      </c>
      <c r="M9" s="858" t="s">
        <v>675</v>
      </c>
      <c r="N9" s="868">
        <f t="shared" si="0"/>
        <v>5</v>
      </c>
      <c r="O9" s="862">
        <f t="shared" ref="O9:O11" si="2">IFERROR(INDEX($E$51:$F$56,MATCH(G9,$D$51:$D$56,0),MATCH(L9,$E$50:$F$50,0)),"")</f>
        <v>15</v>
      </c>
      <c r="P9" s="868">
        <f t="shared" si="1"/>
        <v>100</v>
      </c>
      <c r="Q9" s="869">
        <f t="shared" ref="Q9:Q11" si="3">SUMPRODUCT(N9:P9,$N$7:$P$7)</f>
        <v>40.6</v>
      </c>
      <c r="R9" s="1242"/>
      <c r="T9" s="855">
        <f>IF(K9=$E$39,2,IF(K9=$F$39,1,0))</f>
        <v>0</v>
      </c>
      <c r="U9" s="856" t="s">
        <v>648</v>
      </c>
      <c r="W9" s="1"/>
      <c r="X9" s="1"/>
      <c r="Y9" s="1"/>
      <c r="Z9" s="1"/>
      <c r="AA9" s="1"/>
      <c r="AB9" s="1"/>
      <c r="AC9" s="1"/>
      <c r="AD9" s="1"/>
      <c r="AE9" s="1"/>
      <c r="AF9" s="1"/>
      <c r="AG9" s="1"/>
      <c r="AH9" s="1"/>
      <c r="AI9" s="1"/>
    </row>
    <row r="10" spans="2:35" ht="23.25" customHeight="1" thickBot="1" x14ac:dyDescent="0.5">
      <c r="B10" s="1290"/>
      <c r="C10" s="1236"/>
      <c r="D10" s="864" t="s">
        <v>769</v>
      </c>
      <c r="E10" s="865" t="s">
        <v>683</v>
      </c>
      <c r="F10" s="865" t="s">
        <v>681</v>
      </c>
      <c r="G10" s="858" t="s">
        <v>21</v>
      </c>
      <c r="H10" s="866"/>
      <c r="I10" s="867">
        <f t="shared" ref="I10:I18" si="4">IFERROR(HLOOKUP(G10,$D$34:$J$35,2,FALSE),"")</f>
        <v>10</v>
      </c>
      <c r="J10" s="1294"/>
      <c r="K10" s="865" t="s">
        <v>666</v>
      </c>
      <c r="L10" s="861" t="str">
        <f>IF(('تجربه کاری '!I8*'تجربه کاری '!L8)&gt;699.9,$E$50,'مدرک تحصیلی '!F$50)</f>
        <v>سطح بالاتر</v>
      </c>
      <c r="M10" s="858" t="s">
        <v>675</v>
      </c>
      <c r="N10" s="868">
        <f t="shared" si="0"/>
        <v>30</v>
      </c>
      <c r="O10" s="862">
        <f t="shared" si="2"/>
        <v>30</v>
      </c>
      <c r="P10" s="868">
        <f t="shared" si="1"/>
        <v>100</v>
      </c>
      <c r="Q10" s="869">
        <f t="shared" si="3"/>
        <v>53.8</v>
      </c>
      <c r="R10" s="1242"/>
      <c r="T10" s="855">
        <f>IF(K10=$E$39,2,IF(K10=$F$39,1,0))</f>
        <v>0</v>
      </c>
      <c r="U10" s="856" t="s">
        <v>648</v>
      </c>
      <c r="W10" s="1"/>
      <c r="X10" s="1"/>
      <c r="Y10" s="1"/>
      <c r="Z10" s="1"/>
      <c r="AA10" s="1"/>
      <c r="AB10" s="1"/>
      <c r="AC10" s="1"/>
      <c r="AD10" s="1"/>
      <c r="AE10" s="1"/>
      <c r="AF10" s="1"/>
      <c r="AG10" s="1"/>
      <c r="AH10" s="1"/>
      <c r="AI10" s="1"/>
    </row>
    <row r="11" spans="2:35" ht="23.25" customHeight="1" x14ac:dyDescent="0.45">
      <c r="B11" s="1290"/>
      <c r="C11" s="1236"/>
      <c r="D11" s="864" t="s">
        <v>770</v>
      </c>
      <c r="E11" s="865" t="s">
        <v>683</v>
      </c>
      <c r="F11" s="865" t="s">
        <v>682</v>
      </c>
      <c r="G11" s="858" t="s">
        <v>21</v>
      </c>
      <c r="H11" s="866"/>
      <c r="I11" s="867">
        <f t="shared" si="4"/>
        <v>10</v>
      </c>
      <c r="J11" s="1294"/>
      <c r="K11" s="865" t="s">
        <v>666</v>
      </c>
      <c r="L11" s="861" t="str">
        <f>IF(('تجربه کاری '!I9*'تجربه کاری '!L9)&gt;699.9,$E$50,'مدرک تحصیلی '!F$50)</f>
        <v>سطح بالاتر</v>
      </c>
      <c r="M11" s="858" t="s">
        <v>675</v>
      </c>
      <c r="N11" s="868">
        <f t="shared" si="0"/>
        <v>30</v>
      </c>
      <c r="O11" s="862">
        <f t="shared" si="2"/>
        <v>30</v>
      </c>
      <c r="P11" s="868">
        <f t="shared" si="1"/>
        <v>100</v>
      </c>
      <c r="Q11" s="869">
        <f t="shared" si="3"/>
        <v>53.8</v>
      </c>
      <c r="R11" s="1242"/>
      <c r="T11" s="855">
        <f>IF(K11=$E$39,2,IF(K11=$F$39,1,0))</f>
        <v>0</v>
      </c>
      <c r="U11" s="856" t="s">
        <v>648</v>
      </c>
      <c r="W11" s="1"/>
      <c r="X11" s="1"/>
      <c r="Y11" s="1"/>
      <c r="Z11" s="1"/>
      <c r="AA11" s="1"/>
      <c r="AB11" s="1"/>
      <c r="AC11" s="1"/>
      <c r="AD11" s="1"/>
      <c r="AE11" s="1"/>
      <c r="AF11" s="1"/>
      <c r="AG11" s="1"/>
      <c r="AH11" s="1"/>
      <c r="AI11" s="1"/>
    </row>
    <row r="12" spans="2:35" ht="23.25" customHeight="1" thickBot="1" x14ac:dyDescent="0.5">
      <c r="B12" s="1291"/>
      <c r="C12" s="1292"/>
      <c r="D12" s="1047"/>
      <c r="E12" s="880"/>
      <c r="F12" s="880"/>
      <c r="G12" s="880"/>
      <c r="H12" s="881"/>
      <c r="I12" s="882"/>
      <c r="J12" s="1295"/>
      <c r="K12" s="880"/>
      <c r="L12" s="1048"/>
      <c r="M12" s="880"/>
      <c r="N12" s="1049" t="str">
        <f t="shared" si="0"/>
        <v/>
      </c>
      <c r="O12" s="1049"/>
      <c r="P12" s="1049" t="str">
        <f t="shared" si="1"/>
        <v/>
      </c>
      <c r="Q12" s="1050"/>
      <c r="R12" s="1296"/>
      <c r="T12" s="855">
        <f>IF(K12=$E$39,2,IF(K12=$F$39,1,0))</f>
        <v>0</v>
      </c>
      <c r="U12" s="876" t="s">
        <v>648</v>
      </c>
    </row>
    <row r="13" spans="2:35" ht="22.5" customHeight="1" x14ac:dyDescent="0.45">
      <c r="B13" s="1232" t="s">
        <v>23</v>
      </c>
      <c r="C13" s="1235">
        <v>0.4</v>
      </c>
      <c r="D13" s="864" t="s">
        <v>769</v>
      </c>
      <c r="E13" s="858" t="s">
        <v>684</v>
      </c>
      <c r="F13" s="858"/>
      <c r="G13" s="858" t="s">
        <v>21</v>
      </c>
      <c r="H13" s="859"/>
      <c r="I13" s="860">
        <f t="shared" si="4"/>
        <v>10</v>
      </c>
      <c r="J13" s="1238">
        <f>AVERAGE(I13:I18)</f>
        <v>47.5</v>
      </c>
      <c r="K13" s="858" t="s">
        <v>666</v>
      </c>
      <c r="L13" s="1012" t="str">
        <f>IF(('تجربه کاری '!I11*'تجربه کاری '!L11)&gt;699.9,$E$50,'مدرک تحصیلی '!F$50)</f>
        <v>سطح بالاتر</v>
      </c>
      <c r="M13" s="858" t="s">
        <v>675</v>
      </c>
      <c r="N13" s="862">
        <f t="shared" si="0"/>
        <v>30</v>
      </c>
      <c r="O13" s="862">
        <f>IFERROR(INDEX($E$51:$F$56,MATCH(G13,$D$51:$D$56,0),MATCH(L13,$E$50:$F$50,0)),"")</f>
        <v>30</v>
      </c>
      <c r="P13" s="862">
        <f t="shared" si="1"/>
        <v>100</v>
      </c>
      <c r="Q13" s="863">
        <f t="shared" ref="Q13:Q18" si="5">SUMPRODUCT(N13:P13,$N$7:$P$7)</f>
        <v>53.8</v>
      </c>
      <c r="R13" s="1241">
        <f>AVERAGE(Q13:Q18)</f>
        <v>65</v>
      </c>
      <c r="U13" s="877">
        <v>1</v>
      </c>
      <c r="Z13" s="834"/>
      <c r="AA13" s="834"/>
    </row>
    <row r="14" spans="2:35" ht="22.5" customHeight="1" x14ac:dyDescent="0.45">
      <c r="B14" s="1233"/>
      <c r="C14" s="1236"/>
      <c r="D14" s="878" t="s">
        <v>771</v>
      </c>
      <c r="E14" s="865" t="s">
        <v>685</v>
      </c>
      <c r="F14" s="865" t="s">
        <v>772</v>
      </c>
      <c r="G14" s="865" t="s">
        <v>22</v>
      </c>
      <c r="H14" s="866" t="s">
        <v>773</v>
      </c>
      <c r="I14" s="867">
        <f t="shared" si="4"/>
        <v>60</v>
      </c>
      <c r="J14" s="1239"/>
      <c r="K14" s="865" t="s">
        <v>664</v>
      </c>
      <c r="L14" s="861" t="str">
        <f>IF(('تجربه کاری '!I12*'تجربه کاری '!L12)&gt;699.9,$E$50,'مدرک تحصیلی '!F$50)</f>
        <v>سطح بالاتر</v>
      </c>
      <c r="M14" s="865" t="s">
        <v>674</v>
      </c>
      <c r="N14" s="868">
        <f t="shared" si="0"/>
        <v>70</v>
      </c>
      <c r="O14" s="868">
        <f>IFERROR(INDEX($E$51:$F$56,MATCH(G14,$D$51:$D$56,0),MATCH(L14,$E$50:$F$50,0)),"")</f>
        <v>80</v>
      </c>
      <c r="P14" s="868">
        <f t="shared" si="1"/>
        <v>50</v>
      </c>
      <c r="Q14" s="869">
        <f t="shared" si="5"/>
        <v>66.5</v>
      </c>
      <c r="R14" s="1242"/>
      <c r="U14" s="877">
        <v>1</v>
      </c>
      <c r="Z14" s="834"/>
      <c r="AA14" s="834"/>
    </row>
    <row r="15" spans="2:35" ht="22.5" customHeight="1" x14ac:dyDescent="0.45">
      <c r="B15" s="1233"/>
      <c r="C15" s="1236"/>
      <c r="D15" s="878" t="s">
        <v>774</v>
      </c>
      <c r="E15" s="865" t="s">
        <v>685</v>
      </c>
      <c r="F15" s="865" t="s">
        <v>775</v>
      </c>
      <c r="G15" s="865" t="s">
        <v>22</v>
      </c>
      <c r="H15" s="866" t="s">
        <v>776</v>
      </c>
      <c r="I15" s="867">
        <f t="shared" si="4"/>
        <v>60</v>
      </c>
      <c r="J15" s="1239"/>
      <c r="K15" s="865" t="s">
        <v>663</v>
      </c>
      <c r="L15" s="861" t="str">
        <f>IF(('تجربه کاری '!I13*'تجربه کاری '!L13)&gt;699.9,$E$50,'مدرک تحصیلی '!F$50)</f>
        <v>سطح بالاتر</v>
      </c>
      <c r="M15" s="865" t="s">
        <v>674</v>
      </c>
      <c r="N15" s="868">
        <f t="shared" si="0"/>
        <v>100</v>
      </c>
      <c r="O15" s="868">
        <f>IFERROR(INDEX($E$51:$F$56,MATCH(G15,$D$51:$D$56,0),MATCH(L15,$E$50:$F$50,0)),"")</f>
        <v>80</v>
      </c>
      <c r="P15" s="868">
        <f t="shared" si="1"/>
        <v>50</v>
      </c>
      <c r="Q15" s="869">
        <f t="shared" si="5"/>
        <v>76.400000000000006</v>
      </c>
      <c r="R15" s="1242"/>
      <c r="T15" s="879"/>
      <c r="U15" s="877"/>
      <c r="Z15" s="834"/>
      <c r="AA15" s="834"/>
    </row>
    <row r="16" spans="2:35" ht="22.5" customHeight="1" x14ac:dyDescent="0.45">
      <c r="B16" s="1233"/>
      <c r="C16" s="1236"/>
      <c r="D16" s="878" t="s">
        <v>777</v>
      </c>
      <c r="E16" s="865" t="s">
        <v>685</v>
      </c>
      <c r="F16" s="865" t="s">
        <v>778</v>
      </c>
      <c r="G16" s="865" t="s">
        <v>22</v>
      </c>
      <c r="H16" s="866" t="s">
        <v>779</v>
      </c>
      <c r="I16" s="867">
        <f t="shared" si="4"/>
        <v>60</v>
      </c>
      <c r="J16" s="1239"/>
      <c r="K16" s="865" t="s">
        <v>665</v>
      </c>
      <c r="L16" s="861" t="str">
        <f>IF(('تجربه کاری '!I14*'تجربه کاری '!L14)&gt;699.9,$E$50,'مدرک تحصیلی '!F$50)</f>
        <v>سطح بالاتر</v>
      </c>
      <c r="M16" s="865" t="s">
        <v>672</v>
      </c>
      <c r="N16" s="868">
        <f t="shared" si="0"/>
        <v>50</v>
      </c>
      <c r="O16" s="868">
        <f>IFERROR(INDEX($E$51:$F$56,MATCH(G16,$D$51:$D$56,0),MATCH(L16,$E$50:$F$50,0)),"")</f>
        <v>80</v>
      </c>
      <c r="P16" s="868">
        <f t="shared" si="1"/>
        <v>60</v>
      </c>
      <c r="Q16" s="869">
        <f t="shared" si="5"/>
        <v>63.300000000000011</v>
      </c>
      <c r="R16" s="1242"/>
      <c r="U16" s="877"/>
      <c r="Z16" s="834"/>
      <c r="AA16" s="834"/>
    </row>
    <row r="17" spans="2:33" ht="22.5" customHeight="1" x14ac:dyDescent="0.45">
      <c r="B17" s="1233"/>
      <c r="C17" s="1236"/>
      <c r="D17" s="878"/>
      <c r="E17" s="865"/>
      <c r="F17" s="865"/>
      <c r="G17" s="865"/>
      <c r="H17" s="866"/>
      <c r="I17" s="867"/>
      <c r="J17" s="1239"/>
      <c r="K17" s="865"/>
      <c r="L17" s="861" t="str">
        <f>IF(('تجربه کاری '!I15*'تجربه کاری '!L15)&gt;699.9,$E$50,'مدرک تحصیلی '!F$50)</f>
        <v xml:space="preserve">سطح فعلی </v>
      </c>
      <c r="M17" s="865"/>
      <c r="N17" s="868" t="str">
        <f t="shared" si="0"/>
        <v/>
      </c>
      <c r="O17" s="868"/>
      <c r="P17" s="868" t="str">
        <f t="shared" si="1"/>
        <v/>
      </c>
      <c r="Q17" s="869"/>
      <c r="R17" s="1242"/>
      <c r="U17" s="877"/>
      <c r="Z17" s="834"/>
      <c r="AA17" s="834"/>
    </row>
    <row r="18" spans="2:33" ht="22.5" customHeight="1" thickBot="1" x14ac:dyDescent="0.5">
      <c r="B18" s="1234"/>
      <c r="C18" s="1237"/>
      <c r="D18" s="1051"/>
      <c r="E18" s="870"/>
      <c r="F18" s="870"/>
      <c r="G18" s="870"/>
      <c r="H18" s="871"/>
      <c r="I18" s="872"/>
      <c r="J18" s="1240"/>
      <c r="K18" s="870"/>
      <c r="L18" s="873" t="str">
        <f>IF(('تجربه کاری '!I16*'تجربه کاری '!L16)&gt;699.9,$E$50,'مدرک تحصیلی '!F$50)</f>
        <v xml:space="preserve">سطح فعلی </v>
      </c>
      <c r="M18" s="870"/>
      <c r="N18" s="874" t="str">
        <f t="shared" si="0"/>
        <v/>
      </c>
      <c r="O18" s="874" t="str">
        <f>IFERROR(INDEX($E$51:$F$56,MATCH(G18,$D$51:$D$56,0),MATCH(L18,$E$50:$F$50,0)),"")</f>
        <v/>
      </c>
      <c r="P18" s="874" t="str">
        <f t="shared" si="1"/>
        <v/>
      </c>
      <c r="Q18" s="875"/>
      <c r="R18" s="1243"/>
      <c r="U18" s="877"/>
      <c r="Z18" s="834"/>
      <c r="AA18" s="834"/>
    </row>
    <row r="19" spans="2:33" ht="22.5" customHeight="1" thickBot="1" x14ac:dyDescent="0.6">
      <c r="B19" s="1244" t="s">
        <v>649</v>
      </c>
      <c r="C19" s="1245"/>
      <c r="D19" s="1245"/>
      <c r="E19" s="1245"/>
      <c r="F19" s="1245"/>
      <c r="G19" s="1245"/>
      <c r="H19" s="1245"/>
      <c r="I19" s="1246">
        <f>IF([21]Start!C7=[21]Start!E6,F31,IF(E31/E30&gt;0.6,G31,IF(E31/E30&gt;0.5,H31,IF(E31/E30&gt;0.39999,I31,J31))))</f>
        <v>0.6</v>
      </c>
      <c r="J19" s="1247"/>
      <c r="K19" s="1248" t="s">
        <v>25</v>
      </c>
      <c r="L19" s="1249"/>
      <c r="M19" s="1249"/>
      <c r="N19" s="1249"/>
      <c r="O19" s="1249"/>
      <c r="P19" s="1250"/>
      <c r="Q19" s="1251">
        <f>IF((T8+T9+T10+T11+T12)/T7&gt;1,D66,IF((T8+T9+T10+T11+T12)/T7=1,E66,IF((T8+T9+T10+T11+T12)/T7&gt;0.5,F66,IF((T8+T9+T10+T11+T12)/T7=0.5,F66,G66))))</f>
        <v>0.3</v>
      </c>
      <c r="R19" s="1252"/>
      <c r="U19" s="877"/>
      <c r="Z19" s="834"/>
      <c r="AA19" s="834"/>
    </row>
    <row r="20" spans="2:33" ht="27.75" customHeight="1" thickBot="1" x14ac:dyDescent="0.5">
      <c r="B20" s="1253" t="s">
        <v>24</v>
      </c>
      <c r="C20" s="1254"/>
      <c r="D20" s="1254"/>
      <c r="E20" s="1254"/>
      <c r="F20" s="1254"/>
      <c r="G20" s="1254"/>
      <c r="H20" s="1254"/>
      <c r="I20" s="1254"/>
      <c r="J20" s="1255"/>
      <c r="K20" s="1256">
        <f>(J8*I19*C8*J7+AVERAGE(I19,Q19)*R8*R7*C8+J13*C13*J7+R13*C13*R7)/100</f>
        <v>0.273955</v>
      </c>
      <c r="L20" s="1257"/>
      <c r="M20" s="1257"/>
      <c r="N20" s="1257"/>
      <c r="O20" s="1257"/>
      <c r="P20" s="1257"/>
      <c r="Q20" s="1257"/>
      <c r="R20" s="1258"/>
      <c r="U20" s="877"/>
      <c r="Z20" s="834"/>
      <c r="AA20" s="834"/>
    </row>
    <row r="21" spans="2:33" x14ac:dyDescent="0.45">
      <c r="X21" s="1"/>
      <c r="Y21" s="1"/>
      <c r="Z21" s="883"/>
      <c r="AA21" s="883"/>
      <c r="AB21" s="884"/>
      <c r="AC21" s="884"/>
      <c r="AD21" s="884"/>
      <c r="AE21" s="884"/>
      <c r="AF21" s="884"/>
      <c r="AG21" s="884"/>
    </row>
    <row r="22" spans="2:33" ht="20.25" x14ac:dyDescent="0.5">
      <c r="C22" s="1"/>
      <c r="D22" s="1"/>
      <c r="E22" s="1"/>
      <c r="F22" s="1"/>
      <c r="G22" s="1"/>
      <c r="H22" s="1"/>
      <c r="I22" s="1"/>
      <c r="J22" s="1"/>
      <c r="K22" s="1"/>
      <c r="L22" s="1"/>
      <c r="M22" s="1"/>
      <c r="N22" s="885"/>
      <c r="O22" s="886"/>
      <c r="X22" s="1"/>
      <c r="Y22" s="1"/>
      <c r="Z22" s="887"/>
      <c r="AA22" s="887"/>
      <c r="AB22" s="884"/>
      <c r="AG22" s="884"/>
    </row>
    <row r="23" spans="2:33" ht="20.25" thickBot="1" x14ac:dyDescent="0.5">
      <c r="B23" s="1"/>
      <c r="C23" s="1"/>
      <c r="D23" s="1"/>
      <c r="E23" s="1"/>
      <c r="F23" s="1"/>
      <c r="G23" s="1"/>
      <c r="H23" s="1"/>
      <c r="I23" s="1"/>
      <c r="J23" s="1"/>
      <c r="K23" s="1"/>
      <c r="L23" s="1"/>
      <c r="M23" s="1"/>
      <c r="N23" s="885"/>
      <c r="O23" s="885"/>
      <c r="P23" s="1"/>
      <c r="Q23" s="1"/>
      <c r="R23" s="1"/>
      <c r="X23" s="1"/>
      <c r="Y23" s="1"/>
      <c r="Z23" s="887"/>
      <c r="AA23" s="887"/>
      <c r="AB23" s="884"/>
      <c r="AG23" s="884"/>
    </row>
    <row r="24" spans="2:33" ht="20.25" thickBot="1" x14ac:dyDescent="0.5">
      <c r="B24" s="1"/>
      <c r="C24" s="1"/>
      <c r="D24" s="408"/>
      <c r="E24" s="1"/>
      <c r="F24" s="1"/>
      <c r="G24" s="1"/>
      <c r="H24" s="1"/>
      <c r="I24" s="1"/>
      <c r="J24" s="1"/>
      <c r="K24" s="1"/>
      <c r="L24" s="1259" t="s">
        <v>760</v>
      </c>
      <c r="M24" s="1260"/>
      <c r="N24" s="1260"/>
      <c r="O24" s="1260"/>
      <c r="P24" s="1261"/>
      <c r="Q24" s="1"/>
      <c r="R24" s="1"/>
      <c r="T24" s="884"/>
      <c r="U24" s="884"/>
      <c r="W24" s="884"/>
      <c r="X24" s="884"/>
      <c r="Y24" s="884"/>
      <c r="Z24" s="887"/>
      <c r="AA24" s="887"/>
      <c r="AB24" s="884"/>
    </row>
    <row r="25" spans="2:33" ht="20.25" thickBot="1" x14ac:dyDescent="0.5">
      <c r="B25" s="1"/>
      <c r="C25" s="1"/>
      <c r="D25" s="408"/>
      <c r="E25" s="408"/>
      <c r="F25" s="1"/>
      <c r="G25" s="1"/>
      <c r="H25" s="1"/>
      <c r="I25" s="1"/>
      <c r="J25" s="1"/>
      <c r="K25" s="1"/>
      <c r="L25" s="1265" t="s">
        <v>671</v>
      </c>
      <c r="M25" s="1266"/>
      <c r="N25" s="1223" t="s">
        <v>740</v>
      </c>
      <c r="O25" s="1224"/>
      <c r="P25" s="1225"/>
      <c r="Q25" s="1"/>
      <c r="R25" s="1"/>
    </row>
    <row r="26" spans="2:33" ht="19.5" customHeight="1" x14ac:dyDescent="0.45">
      <c r="B26" s="1"/>
      <c r="C26" s="1"/>
      <c r="D26" s="1"/>
      <c r="E26" s="1"/>
      <c r="F26" s="1"/>
      <c r="G26" s="1"/>
      <c r="H26" s="1"/>
      <c r="I26" s="1"/>
      <c r="J26" s="1"/>
      <c r="K26" s="1"/>
      <c r="L26" s="1221" t="s">
        <v>741</v>
      </c>
      <c r="M26" s="1222"/>
      <c r="N26" s="1226" t="s">
        <v>742</v>
      </c>
      <c r="O26" s="1227"/>
      <c r="P26" s="1228"/>
      <c r="Q26" s="1"/>
      <c r="R26" s="1"/>
      <c r="AD26" s="889"/>
    </row>
    <row r="27" spans="2:33" ht="19.5" customHeight="1" thickBot="1" x14ac:dyDescent="0.5">
      <c r="B27" s="1"/>
      <c r="C27" s="1"/>
      <c r="D27" s="1"/>
      <c r="E27" s="1"/>
      <c r="F27" s="1"/>
      <c r="G27" s="1"/>
      <c r="H27" s="1"/>
      <c r="I27" s="1"/>
      <c r="J27" s="1"/>
      <c r="K27" s="1"/>
      <c r="L27" s="1229" t="s">
        <v>743</v>
      </c>
      <c r="M27" s="1306"/>
      <c r="N27" s="1229" t="s">
        <v>744</v>
      </c>
      <c r="O27" s="1230"/>
      <c r="P27" s="1231"/>
      <c r="Q27" s="1"/>
      <c r="R27" s="1"/>
      <c r="AD27" s="889"/>
    </row>
    <row r="28" spans="2:33" ht="19.5" customHeight="1" thickBot="1" x14ac:dyDescent="0.55000000000000004">
      <c r="B28" s="1"/>
      <c r="C28" s="1"/>
      <c r="D28" s="1262" t="s">
        <v>650</v>
      </c>
      <c r="E28" s="1263"/>
      <c r="F28" s="1263"/>
      <c r="G28" s="1263"/>
      <c r="H28" s="1263"/>
      <c r="I28" s="1263"/>
      <c r="J28" s="1264"/>
      <c r="K28" s="1"/>
      <c r="L28" s="1229" t="s">
        <v>745</v>
      </c>
      <c r="M28" s="1306"/>
      <c r="N28" s="1229" t="s">
        <v>746</v>
      </c>
      <c r="O28" s="1230"/>
      <c r="P28" s="1231"/>
      <c r="Q28" s="1"/>
      <c r="R28" s="1"/>
      <c r="AD28" s="889"/>
    </row>
    <row r="29" spans="2:33" ht="19.5" customHeight="1" thickBot="1" x14ac:dyDescent="0.55000000000000004">
      <c r="B29" s="1"/>
      <c r="C29" s="1"/>
      <c r="D29" s="1262" t="s">
        <v>651</v>
      </c>
      <c r="E29" s="1263"/>
      <c r="F29" s="1045" t="s">
        <v>761</v>
      </c>
      <c r="G29" s="1262" t="s">
        <v>762</v>
      </c>
      <c r="H29" s="1263"/>
      <c r="I29" s="1263"/>
      <c r="J29" s="1264"/>
      <c r="K29" s="1"/>
      <c r="L29" s="1229" t="s">
        <v>747</v>
      </c>
      <c r="M29" s="1306"/>
      <c r="N29" s="1229" t="s">
        <v>748</v>
      </c>
      <c r="O29" s="1230"/>
      <c r="P29" s="1231"/>
      <c r="Q29" s="1"/>
      <c r="R29" s="1"/>
      <c r="AD29" s="889"/>
    </row>
    <row r="30" spans="2:33" ht="19.5" customHeight="1" x14ac:dyDescent="0.45">
      <c r="B30" s="1"/>
      <c r="C30" s="1"/>
      <c r="D30" s="890" t="s">
        <v>652</v>
      </c>
      <c r="E30" s="891">
        <f>E3</f>
        <v>4</v>
      </c>
      <c r="F30" s="23" t="s">
        <v>653</v>
      </c>
      <c r="G30" s="23" t="s">
        <v>654</v>
      </c>
      <c r="H30" s="23" t="s">
        <v>655</v>
      </c>
      <c r="I30" s="23" t="s">
        <v>656</v>
      </c>
      <c r="J30" s="892" t="s">
        <v>657</v>
      </c>
      <c r="K30" s="1"/>
      <c r="L30" s="1229" t="s">
        <v>749</v>
      </c>
      <c r="M30" s="1306"/>
      <c r="N30" s="1229" t="s">
        <v>750</v>
      </c>
      <c r="O30" s="1230"/>
      <c r="P30" s="1231"/>
      <c r="Q30" s="1"/>
      <c r="R30" s="1"/>
      <c r="AD30" s="889"/>
    </row>
    <row r="31" spans="2:33" ht="19.5" customHeight="1" thickBot="1" x14ac:dyDescent="0.5">
      <c r="B31" s="1"/>
      <c r="C31" s="1"/>
      <c r="D31" s="893" t="s">
        <v>658</v>
      </c>
      <c r="E31" s="894">
        <f>COUNTIF(F8:F12,D59)</f>
        <v>2</v>
      </c>
      <c r="F31" s="895">
        <v>1</v>
      </c>
      <c r="G31" s="895">
        <v>1</v>
      </c>
      <c r="H31" s="895">
        <v>0.8</v>
      </c>
      <c r="I31" s="895">
        <v>0.6</v>
      </c>
      <c r="J31" s="896">
        <v>0.3</v>
      </c>
      <c r="K31" s="1"/>
      <c r="L31" s="1229" t="s">
        <v>751</v>
      </c>
      <c r="M31" s="1306"/>
      <c r="N31" s="1229" t="s">
        <v>752</v>
      </c>
      <c r="O31" s="1230"/>
      <c r="P31" s="1231"/>
      <c r="Q31" s="1"/>
      <c r="R31" s="1"/>
      <c r="AD31" s="889"/>
    </row>
    <row r="32" spans="2:33" ht="27.75" customHeight="1" thickBot="1" x14ac:dyDescent="0.5">
      <c r="B32" s="1"/>
      <c r="C32" s="1"/>
      <c r="D32" s="1"/>
      <c r="E32" s="888"/>
      <c r="F32" s="1"/>
      <c r="G32" s="1"/>
      <c r="H32" s="1"/>
      <c r="I32" s="1"/>
      <c r="J32" s="1"/>
      <c r="K32" s="1"/>
      <c r="L32" s="1312" t="s">
        <v>753</v>
      </c>
      <c r="M32" s="1313"/>
      <c r="N32" s="1229" t="s">
        <v>754</v>
      </c>
      <c r="O32" s="1230"/>
      <c r="P32" s="1231"/>
      <c r="Q32" s="1"/>
      <c r="R32" s="1"/>
      <c r="AD32" s="889"/>
    </row>
    <row r="33" spans="4:33" ht="20.25" x14ac:dyDescent="0.5">
      <c r="D33" s="1297" t="s">
        <v>659</v>
      </c>
      <c r="E33" s="1298"/>
      <c r="F33" s="1298"/>
      <c r="G33" s="1298"/>
      <c r="H33" s="1298"/>
      <c r="I33" s="1299"/>
      <c r="J33"/>
      <c r="K33"/>
      <c r="L33"/>
      <c r="M33"/>
      <c r="N33" s="1229" t="s">
        <v>755</v>
      </c>
      <c r="O33" s="1230"/>
      <c r="P33" s="1231"/>
    </row>
    <row r="34" spans="4:33" x14ac:dyDescent="0.45">
      <c r="D34" s="897" t="str">
        <f>D51</f>
        <v>دکتری</v>
      </c>
      <c r="E34" s="898" t="str">
        <f>D52</f>
        <v>کارشناسی ارشد</v>
      </c>
      <c r="F34" s="898" t="str">
        <f>D53</f>
        <v>کارشناسی</v>
      </c>
      <c r="G34" s="898" t="str">
        <f>D54</f>
        <v>فوق دیپلم</v>
      </c>
      <c r="H34" s="898" t="str">
        <f>D55</f>
        <v xml:space="preserve">دیپلم </v>
      </c>
      <c r="I34" s="899" t="s">
        <v>30</v>
      </c>
      <c r="J34" s="772">
        <v>0</v>
      </c>
      <c r="K34"/>
      <c r="L34"/>
      <c r="M34"/>
      <c r="N34" s="1229" t="s">
        <v>756</v>
      </c>
      <c r="O34" s="1230"/>
      <c r="P34" s="1231"/>
    </row>
    <row r="35" spans="4:33" ht="20.25" thickBot="1" x14ac:dyDescent="0.5">
      <c r="D35" s="900">
        <v>100</v>
      </c>
      <c r="E35" s="901">
        <v>80</v>
      </c>
      <c r="F35" s="901">
        <v>60</v>
      </c>
      <c r="G35" s="901">
        <v>30</v>
      </c>
      <c r="H35" s="901">
        <v>10</v>
      </c>
      <c r="I35" s="902">
        <v>5</v>
      </c>
      <c r="J35" s="1046">
        <v>0</v>
      </c>
      <c r="K35"/>
      <c r="L35"/>
      <c r="M35"/>
      <c r="N35" s="1229" t="s">
        <v>757</v>
      </c>
      <c r="O35" s="1230"/>
      <c r="P35" s="1231"/>
    </row>
    <row r="36" spans="4:33" ht="20.25" thickBot="1" x14ac:dyDescent="0.5">
      <c r="J36"/>
      <c r="K36"/>
      <c r="L36"/>
      <c r="M36"/>
      <c r="N36" s="1229" t="s">
        <v>758</v>
      </c>
      <c r="O36" s="1230"/>
      <c r="P36" s="1231"/>
      <c r="Y36" s="1"/>
      <c r="Z36" s="1"/>
      <c r="AA36" s="1"/>
      <c r="AB36" s="1"/>
      <c r="AC36" s="1"/>
      <c r="AD36" s="1"/>
      <c r="AE36" s="1"/>
      <c r="AF36" s="1"/>
      <c r="AG36" s="1"/>
    </row>
    <row r="37" spans="4:33" ht="21" thickBot="1" x14ac:dyDescent="0.55000000000000004">
      <c r="D37" s="1300" t="s">
        <v>660</v>
      </c>
      <c r="E37" s="1301"/>
      <c r="F37" s="1301"/>
      <c r="G37" s="1301"/>
      <c r="H37" s="1301"/>
      <c r="I37" s="1302"/>
      <c r="J37"/>
      <c r="K37"/>
      <c r="L37"/>
      <c r="M37"/>
      <c r="N37" s="1307" t="s">
        <v>759</v>
      </c>
      <c r="O37" s="1308"/>
      <c r="P37" s="1309"/>
      <c r="Y37" s="1"/>
      <c r="Z37" s="1"/>
      <c r="AA37" s="1"/>
      <c r="AB37" s="1"/>
      <c r="AC37" s="1"/>
      <c r="AD37" s="1"/>
      <c r="AE37" s="1"/>
      <c r="AF37" s="1"/>
      <c r="AG37" s="1"/>
    </row>
    <row r="38" spans="4:33" ht="20.25" thickBot="1" x14ac:dyDescent="0.5">
      <c r="D38" s="903"/>
      <c r="E38" s="1303" t="s">
        <v>661</v>
      </c>
      <c r="F38" s="1304"/>
      <c r="G38" s="1305"/>
      <c r="H38" s="1303" t="s">
        <v>662</v>
      </c>
      <c r="I38" s="1305"/>
      <c r="J38" s="1"/>
      <c r="K38" s="1"/>
      <c r="L38" s="1"/>
      <c r="Y38" s="1"/>
      <c r="Z38" s="1"/>
      <c r="AA38" s="1"/>
      <c r="AB38" s="1"/>
      <c r="AC38" s="1"/>
      <c r="AD38" s="1"/>
      <c r="AE38" s="1"/>
      <c r="AF38" s="1"/>
      <c r="AG38" s="1"/>
    </row>
    <row r="39" spans="4:33" x14ac:dyDescent="0.45">
      <c r="D39" s="904"/>
      <c r="E39" s="905" t="s">
        <v>663</v>
      </c>
      <c r="F39" s="905" t="s">
        <v>664</v>
      </c>
      <c r="G39" s="905" t="s">
        <v>665</v>
      </c>
      <c r="H39" s="905" t="s">
        <v>666</v>
      </c>
      <c r="I39" s="906" t="s">
        <v>667</v>
      </c>
      <c r="J39" s="1"/>
      <c r="K39" s="1"/>
      <c r="L39" s="1"/>
      <c r="M39" s="1"/>
      <c r="N39" s="884"/>
      <c r="Y39" s="1"/>
      <c r="Z39" s="1"/>
      <c r="AA39" s="1"/>
      <c r="AB39" s="1"/>
      <c r="AC39" s="1"/>
      <c r="AD39" s="1"/>
      <c r="AE39" s="1"/>
      <c r="AF39" s="1"/>
      <c r="AG39" s="1"/>
    </row>
    <row r="40" spans="4:33" ht="20.25" thickBot="1" x14ac:dyDescent="0.5">
      <c r="D40" s="907" t="s">
        <v>17</v>
      </c>
      <c r="E40" s="908">
        <v>100</v>
      </c>
      <c r="F40" s="908">
        <v>70</v>
      </c>
      <c r="G40" s="908">
        <v>50</v>
      </c>
      <c r="H40" s="908">
        <v>30</v>
      </c>
      <c r="I40" s="909">
        <v>5</v>
      </c>
      <c r="J40" s="1"/>
      <c r="K40" s="1"/>
      <c r="L40" s="1"/>
      <c r="M40" s="1"/>
      <c r="Y40" s="1"/>
      <c r="Z40" s="1"/>
      <c r="AA40" s="1"/>
      <c r="AB40" s="1"/>
      <c r="AC40" s="1"/>
      <c r="AD40" s="1"/>
      <c r="AE40" s="1"/>
      <c r="AF40" s="1"/>
      <c r="AG40" s="1"/>
    </row>
    <row r="41" spans="4:33" ht="19.899999999999999" customHeight="1" x14ac:dyDescent="0.45">
      <c r="D41"/>
      <c r="E41"/>
      <c r="F41"/>
      <c r="G41"/>
      <c r="H41" s="910"/>
      <c r="I41" s="911"/>
      <c r="J41" s="911"/>
      <c r="K41" s="1"/>
      <c r="L41" s="1"/>
      <c r="M41" s="1"/>
      <c r="Y41" s="1"/>
      <c r="Z41" s="1"/>
      <c r="AA41" s="1"/>
      <c r="AB41" s="1"/>
      <c r="AC41" s="1"/>
      <c r="AD41" s="1"/>
      <c r="AE41" s="1"/>
      <c r="AF41" s="1"/>
      <c r="AG41" s="1"/>
    </row>
    <row r="42" spans="4:33" ht="19.899999999999999" customHeight="1" x14ac:dyDescent="0.45">
      <c r="D42"/>
      <c r="E42"/>
      <c r="F42"/>
      <c r="G42"/>
      <c r="H42" s="911"/>
      <c r="I42" s="911"/>
      <c r="J42" s="911"/>
      <c r="K42" s="1"/>
      <c r="L42" s="1"/>
      <c r="M42" s="1"/>
      <c r="Y42" s="1"/>
      <c r="Z42" s="1"/>
      <c r="AA42" s="1"/>
      <c r="AB42" s="1"/>
      <c r="AC42" s="1"/>
      <c r="AD42" s="1"/>
      <c r="AE42" s="1"/>
      <c r="AF42" s="1"/>
      <c r="AG42" s="1"/>
    </row>
    <row r="43" spans="4:33" ht="20.25" thickBot="1" x14ac:dyDescent="0.5">
      <c r="D43" s="813"/>
      <c r="E43" s="813"/>
      <c r="F43" s="813"/>
      <c r="G43" s="813"/>
      <c r="H43" s="813"/>
      <c r="I43" s="813"/>
      <c r="J43" s="813"/>
      <c r="K43" s="813"/>
      <c r="L43" s="813"/>
      <c r="Y43" s="1"/>
      <c r="Z43" s="1"/>
      <c r="AA43" s="1"/>
      <c r="AB43" s="1"/>
      <c r="AC43" s="1"/>
      <c r="AD43" s="1"/>
      <c r="AE43" s="1"/>
      <c r="AF43" s="1"/>
      <c r="AG43" s="1"/>
    </row>
    <row r="44" spans="4:33" ht="21" thickBot="1" x14ac:dyDescent="0.55000000000000004">
      <c r="D44" s="1300" t="s">
        <v>668</v>
      </c>
      <c r="E44" s="1301"/>
      <c r="F44" s="1301"/>
      <c r="G44" s="1301"/>
      <c r="H44" s="1301"/>
      <c r="I44" s="1301"/>
      <c r="J44" s="1301"/>
      <c r="K44" s="1301"/>
      <c r="L44" s="1301"/>
      <c r="M44" s="1302"/>
      <c r="Y44" s="1"/>
      <c r="Z44" s="1"/>
      <c r="AA44" s="1"/>
      <c r="AB44" s="1"/>
      <c r="AC44" s="1"/>
      <c r="AD44" s="1"/>
      <c r="AE44" s="1"/>
      <c r="AF44" s="1"/>
      <c r="AG44" s="1"/>
    </row>
    <row r="45" spans="4:33" x14ac:dyDescent="0.45">
      <c r="D45" s="1310" t="s">
        <v>18</v>
      </c>
      <c r="E45" s="912" t="s">
        <v>669</v>
      </c>
      <c r="F45" s="912" t="s">
        <v>670</v>
      </c>
      <c r="G45" s="912" t="s">
        <v>671</v>
      </c>
      <c r="H45" s="912" t="s">
        <v>672</v>
      </c>
      <c r="I45" s="912" t="s">
        <v>673</v>
      </c>
      <c r="J45" s="912" t="s">
        <v>674</v>
      </c>
      <c r="K45" s="912" t="s">
        <v>675</v>
      </c>
      <c r="L45" s="912" t="s">
        <v>676</v>
      </c>
      <c r="M45" s="913" t="s">
        <v>677</v>
      </c>
      <c r="N45" s="1"/>
      <c r="O45" s="1"/>
      <c r="Y45" s="1"/>
      <c r="Z45" s="1"/>
      <c r="AA45" s="1"/>
      <c r="AB45" s="1"/>
      <c r="AC45" s="1"/>
      <c r="AD45" s="1"/>
      <c r="AE45" s="1"/>
      <c r="AF45" s="1"/>
      <c r="AG45" s="1"/>
    </row>
    <row r="46" spans="4:33" ht="20.25" thickBot="1" x14ac:dyDescent="0.5">
      <c r="D46" s="1311"/>
      <c r="E46" s="914">
        <v>100</v>
      </c>
      <c r="F46" s="914">
        <v>85</v>
      </c>
      <c r="G46" s="914">
        <v>70</v>
      </c>
      <c r="H46" s="914">
        <v>60</v>
      </c>
      <c r="I46" s="914">
        <v>50</v>
      </c>
      <c r="J46" s="914">
        <v>50</v>
      </c>
      <c r="K46" s="914">
        <v>100</v>
      </c>
      <c r="L46" s="914">
        <v>100</v>
      </c>
      <c r="M46" s="915">
        <v>0</v>
      </c>
      <c r="N46" s="1"/>
      <c r="O46" s="1"/>
      <c r="Y46" s="1"/>
      <c r="Z46" s="1"/>
      <c r="AA46" s="1"/>
      <c r="AB46" s="1"/>
      <c r="AC46" s="1"/>
      <c r="AD46" s="1"/>
      <c r="AE46" s="1"/>
      <c r="AF46" s="1"/>
      <c r="AG46" s="1"/>
    </row>
    <row r="47" spans="4:33" x14ac:dyDescent="0.45">
      <c r="D47" s="1"/>
      <c r="E47" s="1"/>
      <c r="F47" s="1"/>
      <c r="G47" s="1"/>
      <c r="H47" s="1"/>
      <c r="I47" s="1"/>
      <c r="J47" s="1"/>
      <c r="M47" s="1"/>
    </row>
    <row r="48" spans="4:33" ht="20.25" thickBot="1" x14ac:dyDescent="0.5">
      <c r="D48" s="1"/>
      <c r="E48" s="1"/>
      <c r="F48" s="1"/>
      <c r="G48" s="1"/>
      <c r="H48" s="1"/>
      <c r="I48" s="1"/>
      <c r="J48" s="1"/>
      <c r="M48" s="1"/>
    </row>
    <row r="49" spans="2:12" ht="20.25" x14ac:dyDescent="0.5">
      <c r="D49" s="1297" t="s">
        <v>678</v>
      </c>
      <c r="E49" s="1298"/>
      <c r="F49" s="1299"/>
      <c r="G49" s="1"/>
    </row>
    <row r="50" spans="2:12" x14ac:dyDescent="0.45">
      <c r="D50" s="916"/>
      <c r="E50" s="898" t="s">
        <v>679</v>
      </c>
      <c r="F50" s="899" t="s">
        <v>680</v>
      </c>
      <c r="G50" s="1"/>
    </row>
    <row r="51" spans="2:12" x14ac:dyDescent="0.45">
      <c r="D51" s="917" t="s">
        <v>27</v>
      </c>
      <c r="E51" s="918">
        <v>100</v>
      </c>
      <c r="F51" s="919">
        <v>100</v>
      </c>
      <c r="G51" s="1"/>
      <c r="H51" s="1"/>
      <c r="I51" s="1"/>
      <c r="J51" s="1"/>
    </row>
    <row r="52" spans="2:12" x14ac:dyDescent="0.45">
      <c r="D52" s="917" t="s">
        <v>28</v>
      </c>
      <c r="E52" s="920">
        <v>100</v>
      </c>
      <c r="F52" s="921">
        <v>80</v>
      </c>
      <c r="G52" s="1"/>
    </row>
    <row r="53" spans="2:12" x14ac:dyDescent="0.45">
      <c r="D53" s="917" t="s">
        <v>22</v>
      </c>
      <c r="E53" s="920">
        <v>80</v>
      </c>
      <c r="F53" s="921">
        <v>60</v>
      </c>
      <c r="G53" s="1"/>
    </row>
    <row r="54" spans="2:12" x14ac:dyDescent="0.45">
      <c r="D54" s="917" t="s">
        <v>29</v>
      </c>
      <c r="E54" s="920">
        <v>50</v>
      </c>
      <c r="F54" s="921">
        <v>30</v>
      </c>
      <c r="G54" s="1"/>
    </row>
    <row r="55" spans="2:12" x14ac:dyDescent="0.45">
      <c r="D55" s="917" t="s">
        <v>21</v>
      </c>
      <c r="E55" s="920">
        <v>30</v>
      </c>
      <c r="F55" s="921">
        <v>10</v>
      </c>
      <c r="G55" s="1"/>
    </row>
    <row r="56" spans="2:12" ht="20.25" thickBot="1" x14ac:dyDescent="0.5">
      <c r="D56" s="922" t="s">
        <v>30</v>
      </c>
      <c r="E56" s="923">
        <v>15</v>
      </c>
      <c r="F56" s="924">
        <v>5</v>
      </c>
      <c r="G56" s="1"/>
    </row>
    <row r="57" spans="2:12" x14ac:dyDescent="0.45">
      <c r="D57" s="175"/>
      <c r="E57" s="813"/>
      <c r="F57" s="813"/>
      <c r="G57" s="813"/>
    </row>
    <row r="58" spans="2:12" x14ac:dyDescent="0.45">
      <c r="B58"/>
      <c r="C58"/>
      <c r="D58"/>
      <c r="E58"/>
      <c r="F58"/>
      <c r="G58"/>
      <c r="H58"/>
      <c r="I58"/>
      <c r="J58"/>
      <c r="K58"/>
      <c r="L58"/>
    </row>
    <row r="59" spans="2:12" x14ac:dyDescent="0.45">
      <c r="D59" s="897" t="s">
        <v>681</v>
      </c>
      <c r="E59" s="897" t="s">
        <v>682</v>
      </c>
      <c r="F59" s="834">
        <v>0</v>
      </c>
    </row>
    <row r="60" spans="2:12" ht="12.75" customHeight="1" thickBot="1" x14ac:dyDescent="0.5"/>
    <row r="61" spans="2:12" ht="15" customHeight="1" thickBot="1" x14ac:dyDescent="0.5">
      <c r="D61" s="925" t="s">
        <v>647</v>
      </c>
      <c r="E61" s="926" t="s">
        <v>683</v>
      </c>
      <c r="F61" s="926" t="s">
        <v>684</v>
      </c>
      <c r="G61" s="927" t="s">
        <v>685</v>
      </c>
    </row>
    <row r="64" spans="2:12" ht="20.25" thickBot="1" x14ac:dyDescent="0.5">
      <c r="B64" s="1"/>
      <c r="C64" s="1"/>
      <c r="D64" s="1"/>
      <c r="E64" s="1"/>
      <c r="F64" s="1"/>
      <c r="G64" s="1"/>
      <c r="H64" s="1"/>
      <c r="I64" s="1"/>
      <c r="J64" s="1"/>
      <c r="K64" s="1"/>
      <c r="L64" s="1"/>
    </row>
    <row r="65" spans="2:12" ht="20.25" thickBot="1" x14ac:dyDescent="0.5">
      <c r="B65" s="1"/>
      <c r="C65" s="1"/>
      <c r="D65" s="925" t="s">
        <v>686</v>
      </c>
      <c r="E65" s="926" t="s">
        <v>687</v>
      </c>
      <c r="F65" s="926" t="s">
        <v>688</v>
      </c>
      <c r="G65" s="927" t="s">
        <v>689</v>
      </c>
      <c r="K65" s="1"/>
      <c r="L65" s="1"/>
    </row>
    <row r="66" spans="2:12" ht="20.25" thickBot="1" x14ac:dyDescent="0.5">
      <c r="B66" s="1"/>
      <c r="C66" s="1"/>
      <c r="D66" s="928">
        <v>1</v>
      </c>
      <c r="E66" s="928">
        <v>0.7</v>
      </c>
      <c r="F66" s="928">
        <v>0.5</v>
      </c>
      <c r="G66" s="929">
        <v>0.3</v>
      </c>
      <c r="H66" s="1"/>
      <c r="I66" s="1"/>
      <c r="J66" s="1"/>
      <c r="K66" s="1"/>
      <c r="L66" s="1"/>
    </row>
    <row r="67" spans="2:12" x14ac:dyDescent="0.45">
      <c r="B67" s="1"/>
      <c r="C67" s="1"/>
      <c r="D67" s="1"/>
      <c r="E67" s="1"/>
      <c r="F67" s="1"/>
      <c r="G67" s="1"/>
      <c r="H67" s="1"/>
      <c r="I67" s="1"/>
      <c r="J67" s="1"/>
      <c r="K67" s="1"/>
      <c r="L67" s="1"/>
    </row>
    <row r="68" spans="2:12" x14ac:dyDescent="0.45">
      <c r="C68" s="1"/>
      <c r="D68" s="1"/>
      <c r="E68" s="1"/>
    </row>
    <row r="69" spans="2:12" x14ac:dyDescent="0.45">
      <c r="C69" s="1"/>
      <c r="D69" s="1"/>
      <c r="E69" s="1"/>
    </row>
    <row r="70" spans="2:12" x14ac:dyDescent="0.45">
      <c r="C70" s="1"/>
      <c r="D70" s="1"/>
      <c r="E70" s="1"/>
    </row>
    <row r="71" spans="2:12" x14ac:dyDescent="0.45">
      <c r="C71" s="1"/>
      <c r="D71" s="1"/>
      <c r="E71" s="1"/>
    </row>
    <row r="72" spans="2:12" x14ac:dyDescent="0.45">
      <c r="C72" s="1"/>
      <c r="D72" s="1"/>
      <c r="E72" s="1"/>
    </row>
    <row r="73" spans="2:12" x14ac:dyDescent="0.45">
      <c r="C73" s="1"/>
      <c r="D73" s="1"/>
      <c r="E73" s="1"/>
    </row>
    <row r="74" spans="2:12" x14ac:dyDescent="0.45">
      <c r="C74" s="1"/>
      <c r="D74" s="1"/>
      <c r="E74" s="1"/>
    </row>
    <row r="75" spans="2:12" x14ac:dyDescent="0.45">
      <c r="C75" s="1"/>
      <c r="D75" s="1"/>
      <c r="E75" s="1"/>
    </row>
    <row r="76" spans="2:12" x14ac:dyDescent="0.45">
      <c r="C76" s="1"/>
      <c r="D76" s="1"/>
      <c r="E76" s="1"/>
    </row>
    <row r="77" spans="2:12" x14ac:dyDescent="0.45">
      <c r="C77" s="1"/>
      <c r="D77" s="1"/>
      <c r="E77" s="1"/>
    </row>
    <row r="78" spans="2:12" x14ac:dyDescent="0.45">
      <c r="C78" s="1"/>
      <c r="D78" s="1"/>
      <c r="E78" s="1"/>
    </row>
    <row r="79" spans="2:12" x14ac:dyDescent="0.45">
      <c r="C79" s="1"/>
      <c r="D79" s="1"/>
      <c r="E79" s="1"/>
    </row>
    <row r="80" spans="2:12" x14ac:dyDescent="0.45">
      <c r="C80" s="1"/>
      <c r="D80" s="1"/>
      <c r="E80" s="1"/>
    </row>
    <row r="81" spans="3:10" x14ac:dyDescent="0.45">
      <c r="C81" s="1"/>
      <c r="D81" s="1"/>
      <c r="E81" s="1"/>
    </row>
    <row r="82" spans="3:10" x14ac:dyDescent="0.45">
      <c r="C82" s="1"/>
      <c r="D82" s="1"/>
      <c r="E82" s="1"/>
      <c r="F82" s="1"/>
      <c r="G82" s="1"/>
      <c r="H82" s="1"/>
      <c r="I82" s="1"/>
      <c r="J82" s="1"/>
    </row>
    <row r="83" spans="3:10" x14ac:dyDescent="0.45">
      <c r="C83" s="1"/>
      <c r="D83" s="1"/>
      <c r="E83" s="1"/>
      <c r="F83" s="1"/>
      <c r="G83" s="1"/>
      <c r="H83" s="1"/>
      <c r="I83" s="1"/>
      <c r="J83" s="1"/>
    </row>
    <row r="84" spans="3:10" x14ac:dyDescent="0.45">
      <c r="C84" s="1"/>
      <c r="D84" s="1"/>
      <c r="E84" s="1"/>
      <c r="F84" s="1"/>
      <c r="G84" s="1"/>
      <c r="H84" s="1"/>
      <c r="I84" s="1"/>
      <c r="J84" s="1"/>
    </row>
    <row r="85" spans="3:10" x14ac:dyDescent="0.45">
      <c r="C85" s="1"/>
      <c r="D85" s="1"/>
      <c r="E85" s="1"/>
      <c r="F85" s="1"/>
      <c r="G85" s="1"/>
      <c r="H85" s="1"/>
      <c r="I85" s="1"/>
      <c r="J85" s="1"/>
    </row>
    <row r="86" spans="3:10" x14ac:dyDescent="0.45">
      <c r="C86" s="1"/>
      <c r="D86" s="1"/>
      <c r="E86" s="1"/>
      <c r="F86" s="1"/>
      <c r="G86" s="1"/>
      <c r="H86" s="1"/>
      <c r="I86" s="1"/>
      <c r="J86" s="1"/>
    </row>
    <row r="87" spans="3:10" x14ac:dyDescent="0.45">
      <c r="C87" s="1"/>
      <c r="D87" s="1"/>
      <c r="E87" s="1"/>
      <c r="F87" s="1"/>
      <c r="G87" s="1"/>
      <c r="H87" s="1"/>
      <c r="I87" s="1"/>
      <c r="J87" s="1"/>
    </row>
    <row r="88" spans="3:10" x14ac:dyDescent="0.45">
      <c r="C88" s="1"/>
      <c r="D88" s="1"/>
      <c r="E88" s="1"/>
      <c r="F88" s="1"/>
      <c r="G88" s="1"/>
      <c r="H88" s="1"/>
      <c r="I88" s="1"/>
      <c r="J88" s="1"/>
    </row>
    <row r="89" spans="3:10" x14ac:dyDescent="0.45">
      <c r="C89" s="1"/>
      <c r="D89" s="1"/>
      <c r="E89" s="1"/>
      <c r="F89" s="1"/>
      <c r="G89" s="1"/>
      <c r="H89" s="1"/>
      <c r="I89" s="1"/>
      <c r="J89" s="1"/>
    </row>
    <row r="90" spans="3:10" x14ac:dyDescent="0.45">
      <c r="C90" s="1"/>
      <c r="D90" s="1"/>
      <c r="E90" s="1"/>
      <c r="F90" s="1"/>
      <c r="G90" s="1"/>
      <c r="H90" s="1"/>
      <c r="I90" s="1"/>
      <c r="J90" s="1"/>
    </row>
    <row r="91" spans="3:10" x14ac:dyDescent="0.45">
      <c r="C91" s="1"/>
      <c r="D91" s="1"/>
      <c r="E91" s="1"/>
      <c r="F91" s="1"/>
      <c r="G91" s="1"/>
      <c r="H91" s="1"/>
      <c r="I91" s="1"/>
      <c r="J91" s="1"/>
    </row>
    <row r="92" spans="3:10" x14ac:dyDescent="0.45">
      <c r="C92" s="1"/>
      <c r="D92" s="1"/>
      <c r="E92" s="1"/>
      <c r="F92" s="1"/>
      <c r="G92" s="1"/>
      <c r="H92" s="1"/>
      <c r="I92" s="1"/>
      <c r="J92" s="1"/>
    </row>
    <row r="93" spans="3:10" x14ac:dyDescent="0.45">
      <c r="C93" s="1"/>
      <c r="D93" s="1"/>
      <c r="E93" s="1"/>
      <c r="F93" s="1"/>
      <c r="G93" s="1"/>
      <c r="H93" s="1"/>
      <c r="I93" s="1"/>
      <c r="J93" s="1"/>
    </row>
    <row r="94" spans="3:10" x14ac:dyDescent="0.45">
      <c r="C94" s="1"/>
      <c r="D94" s="1"/>
      <c r="E94" s="1"/>
      <c r="F94" s="1"/>
      <c r="G94" s="1"/>
      <c r="H94" s="1"/>
      <c r="I94" s="1"/>
      <c r="J94" s="1"/>
    </row>
    <row r="95" spans="3:10" x14ac:dyDescent="0.45">
      <c r="C95" s="1"/>
      <c r="D95" s="1"/>
      <c r="E95" s="1"/>
      <c r="F95" s="1"/>
      <c r="G95" s="1"/>
      <c r="H95" s="1"/>
      <c r="I95" s="1"/>
      <c r="J95" s="1"/>
    </row>
    <row r="96" spans="3:10" x14ac:dyDescent="0.45">
      <c r="C96" s="1"/>
      <c r="D96" s="1"/>
      <c r="E96" s="1"/>
      <c r="F96" s="1"/>
      <c r="G96" s="1"/>
      <c r="H96" s="1"/>
      <c r="I96" s="1"/>
      <c r="J96" s="1"/>
    </row>
    <row r="97" spans="3:11" x14ac:dyDescent="0.45">
      <c r="C97" s="1"/>
      <c r="D97" s="1"/>
      <c r="E97" s="1"/>
      <c r="F97" s="1"/>
      <c r="G97" s="1"/>
      <c r="H97" s="1"/>
      <c r="I97" s="1"/>
      <c r="J97" s="1"/>
      <c r="K97" s="1"/>
    </row>
    <row r="98" spans="3:11" x14ac:dyDescent="0.45">
      <c r="C98" s="1"/>
      <c r="D98" s="1"/>
      <c r="E98" s="1"/>
      <c r="F98" s="1"/>
      <c r="G98" s="1"/>
      <c r="H98" s="1"/>
      <c r="I98" s="1"/>
      <c r="J98" s="1"/>
      <c r="K98" s="1"/>
    </row>
    <row r="99" spans="3:11" x14ac:dyDescent="0.45">
      <c r="C99" s="1"/>
      <c r="D99" s="1"/>
      <c r="E99" s="1"/>
      <c r="F99" s="1"/>
      <c r="G99" s="1"/>
      <c r="H99" s="1"/>
      <c r="I99" s="1"/>
      <c r="J99" s="1"/>
      <c r="K99" s="1"/>
    </row>
    <row r="100" spans="3:11" x14ac:dyDescent="0.45">
      <c r="C100" s="1"/>
      <c r="D100" s="1"/>
      <c r="E100" s="1"/>
      <c r="F100" s="1"/>
      <c r="G100" s="1"/>
      <c r="H100" s="1"/>
      <c r="I100" s="1"/>
      <c r="J100" s="1"/>
    </row>
    <row r="101" spans="3:11" x14ac:dyDescent="0.45">
      <c r="C101" s="1"/>
      <c r="D101" s="1"/>
      <c r="E101" s="1"/>
      <c r="F101" s="1"/>
      <c r="G101" s="1"/>
      <c r="H101" s="1"/>
      <c r="I101" s="1"/>
      <c r="J101" s="1"/>
    </row>
    <row r="102" spans="3:11" x14ac:dyDescent="0.45">
      <c r="C102" s="1"/>
      <c r="D102" s="1"/>
      <c r="E102" s="1"/>
      <c r="F102" s="1"/>
      <c r="G102" s="1"/>
      <c r="H102" s="1"/>
      <c r="I102" s="1"/>
      <c r="J102" s="1"/>
    </row>
    <row r="103" spans="3:11" x14ac:dyDescent="0.45">
      <c r="C103" s="1"/>
      <c r="D103" s="1"/>
      <c r="E103" s="1"/>
      <c r="F103" s="1"/>
      <c r="G103" s="1"/>
      <c r="H103" s="1"/>
      <c r="I103" s="1"/>
      <c r="J103" s="1"/>
    </row>
  </sheetData>
  <mergeCells count="57">
    <mergeCell ref="L32:M32"/>
    <mergeCell ref="N30:P30"/>
    <mergeCell ref="N31:P31"/>
    <mergeCell ref="N32:P32"/>
    <mergeCell ref="L28:M28"/>
    <mergeCell ref="L29:M29"/>
    <mergeCell ref="L30:M30"/>
    <mergeCell ref="L31:M31"/>
    <mergeCell ref="N37:P37"/>
    <mergeCell ref="N36:P36"/>
    <mergeCell ref="D33:I33"/>
    <mergeCell ref="D45:D46"/>
    <mergeCell ref="N34:P34"/>
    <mergeCell ref="N35:P35"/>
    <mergeCell ref="D49:F49"/>
    <mergeCell ref="D37:I37"/>
    <mergeCell ref="E38:G38"/>
    <mergeCell ref="H38:I38"/>
    <mergeCell ref="D44:M44"/>
    <mergeCell ref="T6:U6"/>
    <mergeCell ref="B7:C7"/>
    <mergeCell ref="B8:B12"/>
    <mergeCell ref="C8:C12"/>
    <mergeCell ref="J8:J12"/>
    <mergeCell ref="R8:R12"/>
    <mergeCell ref="B2:R2"/>
    <mergeCell ref="B3:D3"/>
    <mergeCell ref="B4:D4"/>
    <mergeCell ref="E4:R4"/>
    <mergeCell ref="B5:F6"/>
    <mergeCell ref="G5:J5"/>
    <mergeCell ref="K5:R5"/>
    <mergeCell ref="G6:H6"/>
    <mergeCell ref="K6:M6"/>
    <mergeCell ref="B13:B18"/>
    <mergeCell ref="C13:C18"/>
    <mergeCell ref="J13:J18"/>
    <mergeCell ref="R13:R18"/>
    <mergeCell ref="N33:P33"/>
    <mergeCell ref="B19:H19"/>
    <mergeCell ref="I19:J19"/>
    <mergeCell ref="K19:P19"/>
    <mergeCell ref="Q19:R19"/>
    <mergeCell ref="B20:J20"/>
    <mergeCell ref="K20:R20"/>
    <mergeCell ref="L24:P24"/>
    <mergeCell ref="G29:J29"/>
    <mergeCell ref="D28:J28"/>
    <mergeCell ref="D29:E29"/>
    <mergeCell ref="L25:M25"/>
    <mergeCell ref="L26:M26"/>
    <mergeCell ref="N25:P25"/>
    <mergeCell ref="N26:P26"/>
    <mergeCell ref="N27:P27"/>
    <mergeCell ref="N29:P29"/>
    <mergeCell ref="N28:P28"/>
    <mergeCell ref="L27:M27"/>
  </mergeCells>
  <conditionalFormatting sqref="E30">
    <cfRule type="cellIs" dxfId="18" priority="4" operator="notEqual">
      <formula>$T$7</formula>
    </cfRule>
  </conditionalFormatting>
  <conditionalFormatting sqref="T7">
    <cfRule type="cellIs" dxfId="17" priority="3" operator="notEqual">
      <formula>$T$7</formula>
    </cfRule>
  </conditionalFormatting>
  <conditionalFormatting sqref="E3">
    <cfRule type="cellIs" dxfId="16" priority="1" operator="greaterThan">
      <formula>5</formula>
    </cfRule>
    <cfRule type="cellIs" dxfId="15" priority="2" operator="notEqual">
      <formula>$T$7</formula>
    </cfRule>
  </conditionalFormatting>
  <conditionalFormatting sqref="B2:R2 B3:B4">
    <cfRule type="expression" dxfId="14" priority="5">
      <formula>$E$5=$T$7</formula>
    </cfRule>
  </conditionalFormatting>
  <dataValidations count="5">
    <dataValidation type="list" allowBlank="1" showInputMessage="1" showErrorMessage="1" sqref="K8:K18">
      <formula1>$E$39:$I$39</formula1>
    </dataValidation>
    <dataValidation type="list" allowBlank="1" showInputMessage="1" showErrorMessage="1" sqref="G8:G18">
      <formula1>$D$34:$J$34</formula1>
    </dataValidation>
    <dataValidation type="list" allowBlank="1" showInputMessage="1" showErrorMessage="1" sqref="F8:F12">
      <formula1>$D$59:$F$59</formula1>
    </dataValidation>
    <dataValidation type="list" allowBlank="1" showInputMessage="1" showErrorMessage="1" sqref="E8:E18">
      <formula1>$D$61:$G$61</formula1>
    </dataValidation>
    <dataValidation type="list" allowBlank="1" showInputMessage="1" showErrorMessage="1" sqref="M8:M18">
      <formula1>$E$45:$L$45</formula1>
    </dataValidation>
  </dataValidations>
  <pageMargins left="0.7" right="0.7" top="0.75" bottom="0.75" header="0.3" footer="0.3"/>
  <pageSetup scale="77"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B1:AF67"/>
  <sheetViews>
    <sheetView rightToLeft="1" view="pageLayout" topLeftCell="A10" zoomScaleNormal="110" zoomScaleSheetLayoutView="98" workbookViewId="0">
      <selection activeCell="F15" sqref="F15"/>
    </sheetView>
  </sheetViews>
  <sheetFormatPr defaultColWidth="9.140625" defaultRowHeight="19.5" x14ac:dyDescent="0.45"/>
  <cols>
    <col min="1" max="1" width="1.42578125" style="834" customWidth="1"/>
    <col min="2" max="3" width="5" style="812" customWidth="1"/>
    <col min="4" max="4" width="17.140625" style="834" customWidth="1"/>
    <col min="5" max="5" width="9.85546875" style="834" customWidth="1"/>
    <col min="6" max="7" width="9.5703125" style="834" customWidth="1"/>
    <col min="8" max="10" width="7.7109375" style="834" customWidth="1"/>
    <col min="11" max="11" width="9.42578125" style="834" customWidth="1"/>
    <col min="12" max="12" width="8.7109375" style="834" customWidth="1"/>
    <col min="13" max="13" width="6.7109375" style="941" customWidth="1"/>
    <col min="14" max="14" width="10.42578125" style="834" customWidth="1"/>
    <col min="15" max="15" width="17.85546875" style="834" customWidth="1"/>
    <col min="16" max="16" width="11.85546875" style="834" customWidth="1"/>
    <col min="17" max="17" width="6.5703125" style="834" customWidth="1"/>
    <col min="18" max="18" width="0" style="834" hidden="1" customWidth="1"/>
    <col min="19" max="19" width="5.7109375" style="834" customWidth="1"/>
    <col min="20" max="20" width="12.42578125" style="834" bestFit="1" customWidth="1"/>
    <col min="21" max="21" width="36.28515625" style="834" bestFit="1" customWidth="1"/>
    <col min="22" max="22" width="35" style="834" bestFit="1" customWidth="1"/>
    <col min="23" max="23" width="27.7109375" style="834" bestFit="1" customWidth="1"/>
    <col min="24" max="24" width="20" style="834" bestFit="1" customWidth="1"/>
    <col min="25" max="25" width="8.85546875" style="834" customWidth="1"/>
    <col min="26" max="26" width="7.7109375" style="834" customWidth="1"/>
    <col min="27" max="27" width="7.140625" style="834" bestFit="1" customWidth="1"/>
    <col min="28" max="28" width="11.28515625" style="834" bestFit="1" customWidth="1"/>
    <col min="29" max="29" width="7.28515625" style="834" bestFit="1" customWidth="1"/>
    <col min="30" max="30" width="3.85546875" style="834" bestFit="1" customWidth="1"/>
    <col min="31" max="31" width="13.85546875" style="834" bestFit="1" customWidth="1"/>
    <col min="32" max="32" width="7.28515625" style="834" bestFit="1" customWidth="1"/>
    <col min="33" max="16384" width="9.140625" style="834"/>
  </cols>
  <sheetData>
    <row r="1" spans="2:26" s="836" customFormat="1" ht="6.75" customHeight="1" thickBot="1" x14ac:dyDescent="0.7">
      <c r="M1" s="930"/>
    </row>
    <row r="2" spans="2:26" s="836" customFormat="1" ht="28.5" thickBot="1" x14ac:dyDescent="0.7">
      <c r="B2" s="1314" t="s">
        <v>690</v>
      </c>
      <c r="C2" s="1315"/>
      <c r="D2" s="1315"/>
      <c r="E2" s="1315"/>
      <c r="F2" s="1315"/>
      <c r="G2" s="1315"/>
      <c r="H2" s="1315"/>
      <c r="I2" s="1315"/>
      <c r="J2" s="1315"/>
      <c r="K2" s="1315"/>
      <c r="L2" s="1315"/>
      <c r="M2" s="1315"/>
      <c r="N2" s="1316"/>
      <c r="P2" s="1"/>
      <c r="Q2" s="1"/>
      <c r="R2" s="1"/>
      <c r="S2" s="1"/>
      <c r="T2" s="1"/>
      <c r="U2" s="1"/>
      <c r="V2" s="1"/>
      <c r="W2" s="1"/>
      <c r="X2" s="1"/>
      <c r="Y2" s="1"/>
      <c r="Z2" s="1"/>
    </row>
    <row r="3" spans="2:26" s="839" customFormat="1" ht="20.25" customHeight="1" x14ac:dyDescent="0.25">
      <c r="B3" s="1317"/>
      <c r="C3" s="1318"/>
      <c r="D3" s="1318"/>
      <c r="E3" s="1321" t="s">
        <v>31</v>
      </c>
      <c r="F3" s="1321"/>
      <c r="G3" s="1321"/>
      <c r="H3" s="1321"/>
      <c r="I3" s="1321" t="s">
        <v>13</v>
      </c>
      <c r="J3" s="1321"/>
      <c r="K3" s="1322" t="s">
        <v>637</v>
      </c>
      <c r="L3" s="1323"/>
      <c r="M3" s="1323"/>
      <c r="N3" s="1324"/>
      <c r="P3" s="1"/>
      <c r="Q3" s="1"/>
      <c r="R3" s="1"/>
      <c r="S3" s="1"/>
      <c r="T3" s="1"/>
      <c r="U3" s="1"/>
      <c r="V3" s="1"/>
      <c r="W3" s="1"/>
      <c r="X3" s="1"/>
      <c r="Y3" s="1"/>
      <c r="Z3" s="1"/>
    </row>
    <row r="4" spans="2:26" s="846" customFormat="1" ht="37.5" customHeight="1" x14ac:dyDescent="0.25">
      <c r="B4" s="1319"/>
      <c r="C4" s="1320"/>
      <c r="D4" s="1320"/>
      <c r="E4" s="1071" t="s">
        <v>691</v>
      </c>
      <c r="F4" s="931">
        <v>240</v>
      </c>
      <c r="G4" s="1071" t="s">
        <v>692</v>
      </c>
      <c r="H4" s="931">
        <v>120</v>
      </c>
      <c r="I4" s="1325" t="s">
        <v>15</v>
      </c>
      <c r="J4" s="932" t="s">
        <v>19</v>
      </c>
      <c r="K4" s="1327" t="s">
        <v>693</v>
      </c>
      <c r="L4" s="1325" t="s">
        <v>15</v>
      </c>
      <c r="M4" s="1331" t="s">
        <v>32</v>
      </c>
      <c r="N4" s="933" t="s">
        <v>19</v>
      </c>
      <c r="P4" s="1"/>
      <c r="Q4" s="1"/>
      <c r="R4" s="1"/>
      <c r="S4" s="1"/>
      <c r="T4" s="1"/>
      <c r="U4" s="1"/>
      <c r="V4" s="1"/>
      <c r="W4" s="1"/>
      <c r="X4" s="1"/>
      <c r="Y4" s="1"/>
      <c r="Z4" s="1"/>
    </row>
    <row r="5" spans="2:26" s="846" customFormat="1" ht="17.45" customHeight="1" thickBot="1" x14ac:dyDescent="0.3">
      <c r="B5" s="1329" t="s">
        <v>19</v>
      </c>
      <c r="C5" s="1330"/>
      <c r="D5" s="1030" t="s">
        <v>26</v>
      </c>
      <c r="E5" s="1035" t="s">
        <v>696</v>
      </c>
      <c r="F5" s="1031" t="s">
        <v>695</v>
      </c>
      <c r="G5" s="1031" t="s">
        <v>694</v>
      </c>
      <c r="H5" s="1032" t="s">
        <v>62</v>
      </c>
      <c r="I5" s="1326"/>
      <c r="J5" s="1033">
        <v>0.7</v>
      </c>
      <c r="K5" s="1328"/>
      <c r="L5" s="1326"/>
      <c r="M5" s="1332"/>
      <c r="N5" s="1034">
        <v>0.3</v>
      </c>
      <c r="P5" s="1"/>
      <c r="Q5" s="1"/>
      <c r="R5" s="1"/>
      <c r="S5" s="1"/>
      <c r="T5" s="1"/>
      <c r="U5" s="1"/>
      <c r="V5" s="1"/>
      <c r="W5" s="1"/>
      <c r="X5" s="1"/>
      <c r="Y5" s="1"/>
      <c r="Z5" s="1"/>
    </row>
    <row r="6" spans="2:26" ht="21.95" customHeight="1" x14ac:dyDescent="0.45">
      <c r="B6" s="1345" t="s">
        <v>20</v>
      </c>
      <c r="C6" s="1348">
        <v>0.6</v>
      </c>
      <c r="D6" s="1074" t="str">
        <f>'مدرک تحصیلی '!D8</f>
        <v>زهرا افشار</v>
      </c>
      <c r="E6" s="1039">
        <f>15+21</f>
        <v>36</v>
      </c>
      <c r="F6" s="1040">
        <v>0</v>
      </c>
      <c r="G6" s="1040">
        <v>0</v>
      </c>
      <c r="H6" s="934">
        <f>E6+(F6*0.33)+(G6*0.5)</f>
        <v>36</v>
      </c>
      <c r="I6" s="935">
        <f>MIN(100,ROUND((H6/$F$4)*100,0))</f>
        <v>15</v>
      </c>
      <c r="J6" s="1351">
        <f>SUMPRODUCT(I6:I10,M6:M10)/COUNT(M6:M10)</f>
        <v>42</v>
      </c>
      <c r="K6" s="936" t="str">
        <f>IF((E6+0.33*F6)&gt;59.9999,E$25,IF((E6+0.33*F6)&gt;24,F$25,IF((E6+0.33*F6)&gt;0.001,$G$25,$H$25)))</f>
        <v>متناسب</v>
      </c>
      <c r="L6" s="936">
        <f t="shared" ref="L6:L16" si="0">IFERROR(HLOOKUP(K6,$D$25:$H$26,2,FALSE),"")</f>
        <v>70</v>
      </c>
      <c r="M6" s="1085">
        <v>1</v>
      </c>
      <c r="N6" s="1354">
        <f>SUMPRODUCT(L6:L10,M6:M10)/COUNT(M6:M10)</f>
        <v>85</v>
      </c>
      <c r="P6" s="1"/>
      <c r="Q6" s="1"/>
      <c r="R6" s="1"/>
      <c r="S6" s="1"/>
      <c r="T6" s="1"/>
      <c r="U6" s="1"/>
      <c r="V6" s="1"/>
      <c r="W6" s="1"/>
      <c r="X6" s="1"/>
      <c r="Y6" s="1"/>
      <c r="Z6" s="1"/>
    </row>
    <row r="7" spans="2:26" ht="21.95" customHeight="1" x14ac:dyDescent="0.5">
      <c r="B7" s="1346"/>
      <c r="C7" s="1349"/>
      <c r="D7" s="1075" t="str">
        <f>'مدرک تحصیلی '!D9</f>
        <v>اصغر بهزادی</v>
      </c>
      <c r="E7" s="1041">
        <f>90+21</f>
        <v>111</v>
      </c>
      <c r="F7" s="938">
        <v>0</v>
      </c>
      <c r="G7" s="938">
        <v>0</v>
      </c>
      <c r="H7" s="1072">
        <f t="shared" ref="H7:H16" si="1">E7+(F7*0.33)+(G7*0.5)</f>
        <v>111</v>
      </c>
      <c r="I7" s="1073">
        <f t="shared" ref="I7:I16" si="2">MIN(100,ROUND((H7/$F$4)*100,0))</f>
        <v>46</v>
      </c>
      <c r="J7" s="1352"/>
      <c r="K7" s="937" t="str">
        <f t="shared" ref="K7:K16" si="3">IF((E7+0.33*F7)&gt;59.9999,E$25,IF((E7+0.33*F7)&gt;24,F$25,IF((E7+0.33*F7)&gt;0.001,$G$25,$H$25)))</f>
        <v>با کیفیت</v>
      </c>
      <c r="L7" s="937">
        <f t="shared" si="0"/>
        <v>100</v>
      </c>
      <c r="M7" s="1086">
        <v>1</v>
      </c>
      <c r="N7" s="1355"/>
      <c r="Q7" s="886"/>
    </row>
    <row r="8" spans="2:26" ht="21.95" customHeight="1" x14ac:dyDescent="0.5">
      <c r="B8" s="1346"/>
      <c r="C8" s="1349"/>
      <c r="D8" s="1075" t="str">
        <f>'مدرک تحصیلی '!D10</f>
        <v>حمیدرضا تیغ بند</v>
      </c>
      <c r="E8" s="1041">
        <f>188+21</f>
        <v>209</v>
      </c>
      <c r="F8" s="938">
        <v>0</v>
      </c>
      <c r="G8" s="938">
        <v>0</v>
      </c>
      <c r="H8" s="1072">
        <f t="shared" si="1"/>
        <v>209</v>
      </c>
      <c r="I8" s="1073">
        <f t="shared" si="2"/>
        <v>87</v>
      </c>
      <c r="J8" s="1352"/>
      <c r="K8" s="937" t="str">
        <f t="shared" si="3"/>
        <v>با کیفیت</v>
      </c>
      <c r="L8" s="937">
        <f t="shared" si="0"/>
        <v>100</v>
      </c>
      <c r="M8" s="1086">
        <v>1</v>
      </c>
      <c r="N8" s="1355"/>
      <c r="Q8" s="886"/>
    </row>
    <row r="9" spans="2:26" ht="21.95" customHeight="1" x14ac:dyDescent="0.45">
      <c r="B9" s="1346"/>
      <c r="C9" s="1349"/>
      <c r="D9" s="1075" t="str">
        <f>'مدرک تحصیلی '!D11</f>
        <v>فاطمه سعیدی</v>
      </c>
      <c r="E9" s="1041">
        <f>27+21</f>
        <v>48</v>
      </c>
      <c r="F9" s="938">
        <v>0</v>
      </c>
      <c r="G9" s="938">
        <v>0</v>
      </c>
      <c r="H9" s="1072">
        <f t="shared" si="1"/>
        <v>48</v>
      </c>
      <c r="I9" s="1073">
        <f t="shared" si="2"/>
        <v>20</v>
      </c>
      <c r="J9" s="1352"/>
      <c r="K9" s="937" t="str">
        <f t="shared" si="3"/>
        <v>متناسب</v>
      </c>
      <c r="L9" s="937">
        <f t="shared" si="0"/>
        <v>70</v>
      </c>
      <c r="M9" s="1086">
        <v>1</v>
      </c>
      <c r="N9" s="1355"/>
    </row>
    <row r="10" spans="2:26" ht="21.95" customHeight="1" thickBot="1" x14ac:dyDescent="0.5">
      <c r="B10" s="1347"/>
      <c r="C10" s="1350"/>
      <c r="D10" s="1076">
        <f>'مدرک تحصیلی '!D12</f>
        <v>0</v>
      </c>
      <c r="E10" s="1087">
        <v>0</v>
      </c>
      <c r="F10" s="1042">
        <v>0</v>
      </c>
      <c r="G10" s="1042">
        <v>0</v>
      </c>
      <c r="H10" s="1077">
        <f t="shared" si="1"/>
        <v>0</v>
      </c>
      <c r="I10" s="1078">
        <f t="shared" si="2"/>
        <v>0</v>
      </c>
      <c r="J10" s="1353"/>
      <c r="K10" s="1079" t="str">
        <f t="shared" si="3"/>
        <v>ندارد</v>
      </c>
      <c r="L10" s="1079">
        <f t="shared" si="0"/>
        <v>0</v>
      </c>
      <c r="M10" s="1088"/>
      <c r="N10" s="1356"/>
    </row>
    <row r="11" spans="2:26" s="812" customFormat="1" ht="21.95" customHeight="1" x14ac:dyDescent="0.45">
      <c r="B11" s="1357" t="s">
        <v>23</v>
      </c>
      <c r="C11" s="1359">
        <v>0.4</v>
      </c>
      <c r="D11" s="1074" t="str">
        <f>'مدرک تحصیلی '!D13</f>
        <v>حمیدرضا تیغ بند</v>
      </c>
      <c r="E11" s="1039">
        <f>E8</f>
        <v>209</v>
      </c>
      <c r="F11" s="1040">
        <v>0</v>
      </c>
      <c r="G11" s="1040">
        <v>0</v>
      </c>
      <c r="H11" s="934">
        <f t="shared" si="1"/>
        <v>209</v>
      </c>
      <c r="I11" s="935">
        <f t="shared" si="2"/>
        <v>87</v>
      </c>
      <c r="J11" s="1351">
        <f>SUMPRODUCT(I11:I16,M11:M16)/COUNT(M11:M16)</f>
        <v>52.5</v>
      </c>
      <c r="K11" s="936" t="str">
        <f t="shared" si="3"/>
        <v>با کیفیت</v>
      </c>
      <c r="L11" s="936">
        <f t="shared" si="0"/>
        <v>100</v>
      </c>
      <c r="M11" s="1085">
        <v>1</v>
      </c>
      <c r="N11" s="1354">
        <f>SUMPRODUCT(L11:L16,M11:M16)/COUNT(M11:M16)</f>
        <v>92.5</v>
      </c>
      <c r="R11" s="812">
        <f>I11*$J$5+L11*$N$5</f>
        <v>90.9</v>
      </c>
      <c r="S11" s="834"/>
    </row>
    <row r="12" spans="2:26" s="812" customFormat="1" ht="21.95" customHeight="1" x14ac:dyDescent="0.45">
      <c r="B12" s="1346"/>
      <c r="C12" s="1360"/>
      <c r="D12" s="1075" t="str">
        <f>'مدرک تحصیلی '!D14</f>
        <v>ارسطو حسینی</v>
      </c>
      <c r="E12" s="1041">
        <f>105+21</f>
        <v>126</v>
      </c>
      <c r="F12" s="938">
        <v>0</v>
      </c>
      <c r="G12" s="938">
        <v>0</v>
      </c>
      <c r="H12" s="1072">
        <f t="shared" si="1"/>
        <v>126</v>
      </c>
      <c r="I12" s="1073">
        <f t="shared" si="2"/>
        <v>53</v>
      </c>
      <c r="J12" s="1352"/>
      <c r="K12" s="937" t="str">
        <f t="shared" si="3"/>
        <v>با کیفیت</v>
      </c>
      <c r="L12" s="937">
        <f t="shared" si="0"/>
        <v>100</v>
      </c>
      <c r="M12" s="1086">
        <v>1</v>
      </c>
      <c r="N12" s="1355"/>
      <c r="R12" s="812">
        <f>I12*$J$5+L12*$N$5</f>
        <v>67.099999999999994</v>
      </c>
      <c r="S12" s="834"/>
    </row>
    <row r="13" spans="2:26" s="812" customFormat="1" ht="21.95" customHeight="1" x14ac:dyDescent="0.45">
      <c r="B13" s="1346"/>
      <c r="C13" s="1360"/>
      <c r="D13" s="1075" t="str">
        <f>'مدرک تحصیلی '!D15</f>
        <v>محرم اسدی</v>
      </c>
      <c r="E13" s="1041">
        <f>99+21</f>
        <v>120</v>
      </c>
      <c r="F13" s="938">
        <v>0</v>
      </c>
      <c r="G13" s="938">
        <v>0</v>
      </c>
      <c r="H13" s="1072">
        <f t="shared" si="1"/>
        <v>120</v>
      </c>
      <c r="I13" s="1073">
        <f t="shared" si="2"/>
        <v>50</v>
      </c>
      <c r="J13" s="1352"/>
      <c r="K13" s="937" t="str">
        <f t="shared" si="3"/>
        <v>با کیفیت</v>
      </c>
      <c r="L13" s="937">
        <f t="shared" si="0"/>
        <v>100</v>
      </c>
      <c r="M13" s="1086">
        <v>1</v>
      </c>
      <c r="N13" s="1355"/>
      <c r="R13" s="812">
        <f>I13*$J$5+L13*$N$5</f>
        <v>65</v>
      </c>
      <c r="S13" s="834"/>
    </row>
    <row r="14" spans="2:26" s="812" customFormat="1" ht="21.95" customHeight="1" x14ac:dyDescent="0.45">
      <c r="B14" s="1346"/>
      <c r="C14" s="1360"/>
      <c r="D14" s="1075" t="str">
        <f>'مدرک تحصیلی '!D16</f>
        <v>دامون دریائی</v>
      </c>
      <c r="E14" s="1041">
        <f>26+21</f>
        <v>47</v>
      </c>
      <c r="F14" s="938">
        <v>0</v>
      </c>
      <c r="G14" s="938">
        <v>0</v>
      </c>
      <c r="H14" s="1072">
        <f t="shared" si="1"/>
        <v>47</v>
      </c>
      <c r="I14" s="1073">
        <f t="shared" si="2"/>
        <v>20</v>
      </c>
      <c r="J14" s="1352"/>
      <c r="K14" s="937" t="str">
        <f t="shared" si="3"/>
        <v>متناسب</v>
      </c>
      <c r="L14" s="937">
        <f t="shared" si="0"/>
        <v>70</v>
      </c>
      <c r="M14" s="1086">
        <v>1</v>
      </c>
      <c r="N14" s="1355"/>
      <c r="R14" s="812">
        <f>I14*$J$5+L14*$N$5</f>
        <v>35</v>
      </c>
      <c r="S14" s="834"/>
    </row>
    <row r="15" spans="2:26" s="812" customFormat="1" ht="21.95" customHeight="1" x14ac:dyDescent="0.45">
      <c r="B15" s="1346"/>
      <c r="C15" s="1360"/>
      <c r="D15" s="1075">
        <f>'مدرک تحصیلی '!D17</f>
        <v>0</v>
      </c>
      <c r="E15" s="1041">
        <v>0</v>
      </c>
      <c r="F15" s="938">
        <v>0</v>
      </c>
      <c r="G15" s="938">
        <v>0</v>
      </c>
      <c r="H15" s="1072">
        <f t="shared" si="1"/>
        <v>0</v>
      </c>
      <c r="I15" s="1073"/>
      <c r="J15" s="1352"/>
      <c r="K15" s="937" t="str">
        <f t="shared" si="3"/>
        <v>ندارد</v>
      </c>
      <c r="L15" s="937"/>
      <c r="M15" s="1086"/>
      <c r="N15" s="1355"/>
      <c r="S15" s="834"/>
    </row>
    <row r="16" spans="2:26" s="812" customFormat="1" ht="21.95" customHeight="1" thickBot="1" x14ac:dyDescent="0.5">
      <c r="B16" s="1358"/>
      <c r="C16" s="1361"/>
      <c r="D16" s="1076">
        <f>'مدرک تحصیلی '!D18</f>
        <v>0</v>
      </c>
      <c r="E16" s="1087">
        <v>0</v>
      </c>
      <c r="F16" s="1042">
        <v>0</v>
      </c>
      <c r="G16" s="1042">
        <v>0</v>
      </c>
      <c r="H16" s="1077">
        <f t="shared" si="1"/>
        <v>0</v>
      </c>
      <c r="I16" s="1078"/>
      <c r="J16" s="1353"/>
      <c r="K16" s="1079" t="str">
        <f t="shared" si="3"/>
        <v>ندارد</v>
      </c>
      <c r="L16" s="1079"/>
      <c r="M16" s="1088"/>
      <c r="N16" s="1362"/>
      <c r="R16" s="812">
        <f>I16*$J$5+L16*$N$5</f>
        <v>0</v>
      </c>
      <c r="S16" s="834"/>
    </row>
    <row r="17" spans="2:32" s="812" customFormat="1" ht="21.95" customHeight="1" thickBot="1" x14ac:dyDescent="0.5">
      <c r="B17" s="1338" t="s">
        <v>33</v>
      </c>
      <c r="C17" s="1339"/>
      <c r="D17" s="1340"/>
      <c r="E17" s="1340"/>
      <c r="F17" s="1340"/>
      <c r="G17" s="1340"/>
      <c r="H17" s="1340"/>
      <c r="I17" s="1341"/>
      <c r="J17" s="1342">
        <f>'مدرک تحصیلی '!I19</f>
        <v>0.6</v>
      </c>
      <c r="K17" s="1343"/>
      <c r="L17" s="1343"/>
      <c r="M17" s="1343"/>
      <c r="N17" s="1344"/>
      <c r="S17" s="834"/>
    </row>
    <row r="18" spans="2:32" ht="21.95" customHeight="1" thickBot="1" x14ac:dyDescent="0.55000000000000004">
      <c r="B18" s="1333" t="s">
        <v>24</v>
      </c>
      <c r="C18" s="1334"/>
      <c r="D18" s="1334"/>
      <c r="E18" s="1334"/>
      <c r="F18" s="1334"/>
      <c r="G18" s="1334"/>
      <c r="H18" s="1334"/>
      <c r="I18" s="1334"/>
      <c r="J18" s="1334"/>
      <c r="K18" s="1334"/>
      <c r="L18" s="1334"/>
      <c r="M18" s="1335"/>
      <c r="N18" s="939">
        <f>((J17*J6*C6*J5+J17*N6*N5*C6+N11*N5*C11+J11*C11*J5)/100)</f>
        <v>0.45563999999999999</v>
      </c>
    </row>
    <row r="19" spans="2:32" ht="19.5" customHeight="1" x14ac:dyDescent="0.45">
      <c r="B19" s="1"/>
      <c r="C19" s="1"/>
      <c r="D19" s="1"/>
      <c r="E19" s="1"/>
      <c r="F19" s="1"/>
      <c r="G19" s="1"/>
      <c r="H19" s="1"/>
      <c r="I19" s="1"/>
      <c r="J19" s="1"/>
      <c r="K19" s="1"/>
      <c r="L19" s="1"/>
      <c r="M19" s="940"/>
      <c r="N19" s="1"/>
    </row>
    <row r="20" spans="2:32" ht="19.5" customHeight="1" x14ac:dyDescent="0.45">
      <c r="B20" s="1"/>
      <c r="C20" s="1"/>
      <c r="D20" s="1"/>
      <c r="E20" s="1"/>
      <c r="F20" s="1"/>
      <c r="G20" s="1"/>
      <c r="H20" s="1"/>
      <c r="I20" s="1"/>
      <c r="J20" s="1"/>
      <c r="K20" s="1"/>
      <c r="L20" s="1"/>
      <c r="M20" s="940"/>
      <c r="N20" s="1"/>
    </row>
    <row r="21" spans="2:32" x14ac:dyDescent="0.45">
      <c r="D21" s="1"/>
      <c r="E21" s="1"/>
      <c r="F21" s="1"/>
      <c r="G21" s="1"/>
      <c r="H21" s="1"/>
      <c r="I21" s="1"/>
      <c r="J21" s="1"/>
      <c r="K21" s="1"/>
      <c r="L21" s="1"/>
      <c r="T21" s="1"/>
      <c r="U21" s="1"/>
      <c r="V21" s="1"/>
      <c r="W21" s="1"/>
      <c r="X21" s="1"/>
      <c r="Y21" s="1"/>
      <c r="Z21" s="1"/>
      <c r="AA21" s="1"/>
      <c r="AB21" s="1"/>
      <c r="AC21" s="1"/>
      <c r="AD21" s="1"/>
      <c r="AE21" s="1"/>
      <c r="AF21" s="1"/>
    </row>
    <row r="22" spans="2:32" x14ac:dyDescent="0.45">
      <c r="T22" s="1"/>
      <c r="U22" s="1"/>
      <c r="V22" s="1"/>
      <c r="W22" s="1"/>
      <c r="X22" s="1"/>
      <c r="Y22" s="1"/>
      <c r="Z22" s="1"/>
      <c r="AA22" s="1"/>
      <c r="AB22" s="1"/>
      <c r="AC22" s="1"/>
      <c r="AD22" s="1"/>
      <c r="AE22" s="1"/>
      <c r="AF22" s="1"/>
    </row>
    <row r="23" spans="2:32" x14ac:dyDescent="0.45">
      <c r="D23" s="1336" t="s">
        <v>697</v>
      </c>
      <c r="E23" s="1337"/>
      <c r="F23" s="1337"/>
      <c r="G23" s="1337"/>
      <c r="H23" s="1337"/>
      <c r="T23" s="1"/>
      <c r="U23" s="1"/>
      <c r="V23" s="1"/>
      <c r="W23" s="1"/>
      <c r="X23" s="1"/>
      <c r="Y23" s="1"/>
      <c r="Z23" s="1"/>
      <c r="AA23" s="1"/>
      <c r="AB23" s="1"/>
      <c r="AC23" s="1"/>
      <c r="AD23" s="1"/>
      <c r="AE23" s="1"/>
      <c r="AF23" s="1"/>
    </row>
    <row r="24" spans="2:32" x14ac:dyDescent="0.45">
      <c r="B24" s="1037"/>
      <c r="C24" s="1037"/>
      <c r="D24" s="1083" t="s">
        <v>703</v>
      </c>
      <c r="E24" s="1052" t="s">
        <v>763</v>
      </c>
      <c r="F24" s="1053" t="s">
        <v>764</v>
      </c>
      <c r="G24" s="1052" t="s">
        <v>704</v>
      </c>
      <c r="H24" s="1083" t="s">
        <v>766</v>
      </c>
      <c r="T24" s="1"/>
      <c r="U24" s="1"/>
      <c r="V24" s="1"/>
      <c r="W24" s="1"/>
      <c r="X24" s="1"/>
      <c r="Y24" s="1"/>
      <c r="Z24" s="1"/>
      <c r="AA24" s="1"/>
      <c r="AB24" s="1"/>
      <c r="AC24" s="1"/>
      <c r="AD24" s="1"/>
      <c r="AE24" s="1"/>
      <c r="AF24" s="1"/>
    </row>
    <row r="25" spans="2:32" x14ac:dyDescent="0.45">
      <c r="D25" s="1083" t="s">
        <v>698</v>
      </c>
      <c r="E25" s="1070" t="s">
        <v>699</v>
      </c>
      <c r="F25" s="1070" t="s">
        <v>700</v>
      </c>
      <c r="G25" s="1070" t="s">
        <v>701</v>
      </c>
      <c r="H25" s="1084" t="s">
        <v>568</v>
      </c>
      <c r="T25" s="1"/>
      <c r="U25" s="1"/>
      <c r="V25" s="1"/>
      <c r="W25" s="1"/>
      <c r="X25" s="1"/>
      <c r="Y25" s="1"/>
      <c r="Z25" s="1"/>
      <c r="AA25" s="1"/>
      <c r="AB25" s="1"/>
      <c r="AC25" s="1"/>
      <c r="AD25" s="1"/>
      <c r="AE25" s="1"/>
      <c r="AF25" s="1"/>
    </row>
    <row r="26" spans="2:32" x14ac:dyDescent="0.45">
      <c r="D26" s="1083" t="s">
        <v>702</v>
      </c>
      <c r="E26" s="1070">
        <v>100</v>
      </c>
      <c r="F26" s="1070">
        <v>70</v>
      </c>
      <c r="G26" s="1070">
        <v>50</v>
      </c>
      <c r="H26" s="1084">
        <v>0</v>
      </c>
      <c r="T26" s="1"/>
      <c r="U26" s="1"/>
      <c r="V26" s="1"/>
      <c r="W26" s="1"/>
      <c r="X26" s="1"/>
      <c r="Y26" s="1"/>
      <c r="Z26" s="1"/>
      <c r="AA26" s="1"/>
      <c r="AB26" s="1"/>
      <c r="AC26" s="1"/>
      <c r="AD26" s="1"/>
      <c r="AE26" s="1"/>
      <c r="AF26" s="1"/>
    </row>
    <row r="27" spans="2:32" x14ac:dyDescent="0.45">
      <c r="D27"/>
      <c r="E27"/>
      <c r="F27"/>
      <c r="G27"/>
      <c r="H27"/>
      <c r="T27" s="1"/>
      <c r="U27" s="1"/>
      <c r="V27" s="1"/>
      <c r="W27" s="1"/>
      <c r="X27" s="1"/>
      <c r="Y27" s="1"/>
      <c r="Z27" s="1"/>
      <c r="AA27" s="1"/>
      <c r="AB27" s="1"/>
      <c r="AC27" s="1"/>
      <c r="AD27" s="1"/>
      <c r="AE27" s="1"/>
      <c r="AF27" s="1"/>
    </row>
    <row r="28" spans="2:32" x14ac:dyDescent="0.45">
      <c r="D28"/>
      <c r="E28"/>
      <c r="F28"/>
      <c r="G28"/>
      <c r="H28"/>
      <c r="T28" s="1"/>
      <c r="U28" s="1"/>
      <c r="V28" s="1"/>
      <c r="W28" s="1"/>
      <c r="X28" s="1"/>
      <c r="Y28" s="1"/>
      <c r="Z28" s="1"/>
      <c r="AA28" s="1"/>
      <c r="AB28" s="1"/>
      <c r="AC28" s="1"/>
      <c r="AD28" s="1"/>
      <c r="AE28" s="1"/>
      <c r="AF28" s="1"/>
    </row>
    <row r="29" spans="2:32" x14ac:dyDescent="0.45">
      <c r="T29" s="1"/>
      <c r="U29" s="1"/>
      <c r="V29" s="1"/>
      <c r="W29" s="1"/>
      <c r="X29" s="1"/>
      <c r="Y29" s="1"/>
      <c r="Z29" s="1"/>
      <c r="AA29" s="1"/>
      <c r="AB29" s="1"/>
      <c r="AC29" s="1"/>
      <c r="AD29" s="1"/>
      <c r="AE29" s="1"/>
      <c r="AF29" s="1"/>
    </row>
    <row r="30" spans="2:32" x14ac:dyDescent="0.45">
      <c r="T30" s="1"/>
      <c r="U30" s="1"/>
      <c r="V30" s="1"/>
      <c r="W30" s="1"/>
      <c r="X30" s="1"/>
      <c r="Y30" s="1"/>
      <c r="Z30" s="1"/>
      <c r="AA30" s="1"/>
      <c r="AB30" s="1"/>
      <c r="AC30" s="1"/>
      <c r="AD30" s="1"/>
      <c r="AE30" s="1"/>
      <c r="AF30" s="1"/>
    </row>
    <row r="31" spans="2:32" x14ac:dyDescent="0.45">
      <c r="T31" s="1"/>
      <c r="U31" s="1"/>
      <c r="V31" s="1"/>
      <c r="W31" s="1"/>
      <c r="X31" s="1"/>
      <c r="Y31" s="1"/>
      <c r="Z31" s="1"/>
      <c r="AA31" s="1"/>
      <c r="AB31" s="1"/>
      <c r="AC31" s="1"/>
      <c r="AD31" s="1"/>
      <c r="AE31" s="1"/>
      <c r="AF31" s="1"/>
    </row>
    <row r="32" spans="2:32" x14ac:dyDescent="0.45">
      <c r="T32" s="1"/>
      <c r="U32" s="1"/>
      <c r="V32" s="1"/>
      <c r="W32" s="1"/>
      <c r="X32" s="1"/>
      <c r="Y32" s="1"/>
      <c r="Z32" s="1"/>
      <c r="AA32" s="1"/>
      <c r="AB32" s="1"/>
      <c r="AC32" s="1"/>
      <c r="AD32" s="1"/>
      <c r="AE32" s="1"/>
      <c r="AF32" s="1"/>
    </row>
    <row r="33" spans="20:32" x14ac:dyDescent="0.45">
      <c r="T33" s="1"/>
      <c r="U33" s="1"/>
      <c r="V33" s="1"/>
      <c r="W33" s="1"/>
      <c r="X33" s="1"/>
      <c r="Y33" s="1"/>
      <c r="Z33" s="1"/>
      <c r="AA33" s="1"/>
      <c r="AB33" s="1"/>
      <c r="AC33" s="1"/>
      <c r="AD33" s="1"/>
      <c r="AE33" s="1"/>
      <c r="AF33" s="1"/>
    </row>
    <row r="34" spans="20:32" x14ac:dyDescent="0.45">
      <c r="T34" s="1"/>
      <c r="U34" s="1"/>
      <c r="V34" s="1"/>
      <c r="W34" s="1"/>
      <c r="X34" s="1"/>
      <c r="Y34" s="1"/>
      <c r="Z34" s="1"/>
      <c r="AA34" s="1"/>
      <c r="AB34" s="1"/>
      <c r="AC34" s="1"/>
      <c r="AD34" s="1"/>
      <c r="AE34" s="1"/>
      <c r="AF34" s="1"/>
    </row>
    <row r="35" spans="20:32" x14ac:dyDescent="0.45">
      <c r="T35" s="1"/>
      <c r="U35" s="1"/>
      <c r="V35" s="1"/>
      <c r="W35" s="1"/>
      <c r="X35" s="1"/>
      <c r="Y35" s="1"/>
      <c r="Z35" s="1"/>
      <c r="AA35" s="1"/>
      <c r="AB35" s="1"/>
      <c r="AC35" s="1"/>
      <c r="AD35" s="1"/>
      <c r="AE35" s="1"/>
      <c r="AF35" s="1"/>
    </row>
    <row r="36" spans="20:32" x14ac:dyDescent="0.45">
      <c r="T36" s="1"/>
      <c r="U36" s="1"/>
      <c r="V36" s="1"/>
      <c r="W36" s="1"/>
      <c r="X36" s="1"/>
      <c r="Y36" s="1"/>
      <c r="Z36" s="1"/>
      <c r="AA36" s="1"/>
      <c r="AB36" s="1"/>
      <c r="AC36" s="1"/>
      <c r="AD36" s="1"/>
      <c r="AE36" s="1"/>
      <c r="AF36" s="1"/>
    </row>
    <row r="37" spans="20:32" x14ac:dyDescent="0.45">
      <c r="T37" s="1"/>
      <c r="U37" s="1"/>
      <c r="V37" s="1"/>
      <c r="W37" s="1"/>
      <c r="X37" s="1"/>
      <c r="Y37" s="1"/>
      <c r="Z37" s="1"/>
      <c r="AA37" s="1"/>
      <c r="AB37" s="1"/>
      <c r="AC37" s="1"/>
      <c r="AD37" s="1"/>
      <c r="AE37" s="1"/>
      <c r="AF37" s="1"/>
    </row>
    <row r="38" spans="20:32" x14ac:dyDescent="0.45">
      <c r="T38" s="1"/>
      <c r="U38" s="1"/>
      <c r="V38" s="1"/>
      <c r="W38" s="1"/>
      <c r="X38" s="1"/>
      <c r="Y38" s="1"/>
      <c r="Z38" s="1"/>
      <c r="AA38" s="1"/>
      <c r="AB38" s="1"/>
      <c r="AC38" s="1"/>
      <c r="AD38" s="1"/>
      <c r="AE38" s="1"/>
      <c r="AF38" s="1"/>
    </row>
    <row r="39" spans="20:32" x14ac:dyDescent="0.45">
      <c r="T39" s="1"/>
      <c r="U39" s="1"/>
      <c r="V39" s="1"/>
      <c r="W39" s="1"/>
      <c r="X39" s="1"/>
      <c r="Y39" s="1"/>
      <c r="Z39" s="1"/>
      <c r="AA39" s="1"/>
      <c r="AB39" s="1"/>
      <c r="AC39" s="1"/>
      <c r="AD39" s="1"/>
      <c r="AE39" s="1"/>
      <c r="AF39" s="1"/>
    </row>
    <row r="40" spans="20:32" x14ac:dyDescent="0.45">
      <c r="T40" s="1"/>
      <c r="U40" s="1"/>
      <c r="V40" s="1"/>
      <c r="W40" s="1"/>
      <c r="X40" s="1"/>
      <c r="Y40" s="1"/>
      <c r="Z40" s="1"/>
      <c r="AA40" s="1"/>
      <c r="AB40" s="1"/>
      <c r="AC40" s="1"/>
      <c r="AD40" s="1"/>
      <c r="AE40" s="1"/>
      <c r="AF40" s="1"/>
    </row>
    <row r="41" spans="20:32" x14ac:dyDescent="0.45">
      <c r="T41" s="1"/>
      <c r="U41" s="1"/>
      <c r="V41" s="1"/>
      <c r="W41" s="1"/>
      <c r="X41" s="1"/>
      <c r="Y41" s="1"/>
      <c r="Z41" s="1"/>
      <c r="AA41" s="1"/>
      <c r="AB41" s="1"/>
      <c r="AC41" s="1"/>
      <c r="AD41" s="1"/>
      <c r="AE41" s="1"/>
      <c r="AF41" s="1"/>
    </row>
    <row r="42" spans="20:32" x14ac:dyDescent="0.45">
      <c r="T42" s="1"/>
      <c r="U42" s="1"/>
      <c r="V42" s="1"/>
      <c r="W42" s="1"/>
      <c r="X42" s="1"/>
      <c r="Y42" s="1"/>
      <c r="Z42" s="1"/>
      <c r="AA42" s="1"/>
      <c r="AB42" s="1"/>
      <c r="AC42" s="1"/>
      <c r="AD42" s="1"/>
      <c r="AE42" s="1"/>
      <c r="AF42" s="1"/>
    </row>
    <row r="43" spans="20:32" x14ac:dyDescent="0.45">
      <c r="T43" s="1"/>
      <c r="U43" s="1"/>
      <c r="V43" s="1"/>
      <c r="W43" s="1"/>
      <c r="X43" s="1"/>
      <c r="Y43" s="1"/>
      <c r="Z43" s="1"/>
      <c r="AA43" s="1"/>
      <c r="AB43" s="1"/>
      <c r="AC43" s="1"/>
      <c r="AD43" s="1"/>
      <c r="AE43" s="1"/>
      <c r="AF43" s="1"/>
    </row>
    <row r="44" spans="20:32" x14ac:dyDescent="0.45">
      <c r="T44" s="1"/>
      <c r="U44" s="1"/>
      <c r="V44" s="1"/>
      <c r="W44" s="1"/>
      <c r="X44" s="1"/>
      <c r="Y44" s="1"/>
      <c r="Z44" s="1"/>
      <c r="AA44" s="1"/>
      <c r="AB44" s="1"/>
      <c r="AC44" s="1"/>
      <c r="AD44" s="1"/>
      <c r="AE44" s="1"/>
      <c r="AF44" s="1"/>
    </row>
    <row r="45" spans="20:32" x14ac:dyDescent="0.45">
      <c r="T45" s="1"/>
      <c r="U45" s="1"/>
      <c r="V45" s="1"/>
      <c r="W45" s="1"/>
      <c r="X45" s="1"/>
      <c r="Y45" s="1"/>
      <c r="Z45" s="1"/>
      <c r="AA45" s="1"/>
      <c r="AB45" s="1"/>
      <c r="AC45" s="1"/>
      <c r="AD45" s="1"/>
      <c r="AE45" s="1"/>
      <c r="AF45" s="1"/>
    </row>
    <row r="46" spans="20:32" x14ac:dyDescent="0.45">
      <c r="T46" s="1"/>
      <c r="U46" s="1"/>
      <c r="V46" s="1"/>
      <c r="W46" s="1"/>
      <c r="X46" s="1"/>
      <c r="Y46" s="1"/>
      <c r="Z46" s="1"/>
      <c r="AA46" s="1"/>
      <c r="AB46" s="1"/>
      <c r="AC46" s="1"/>
      <c r="AD46" s="1"/>
      <c r="AE46" s="1"/>
      <c r="AF46" s="1"/>
    </row>
    <row r="47" spans="20:32" x14ac:dyDescent="0.45">
      <c r="T47" s="1"/>
      <c r="U47" s="1"/>
      <c r="V47" s="1"/>
      <c r="W47" s="1"/>
      <c r="X47" s="1"/>
      <c r="Y47" s="1"/>
      <c r="Z47" s="1"/>
      <c r="AA47" s="1"/>
      <c r="AB47" s="1"/>
      <c r="AC47" s="1"/>
      <c r="AD47" s="1"/>
      <c r="AE47" s="1"/>
      <c r="AF47" s="1"/>
    </row>
    <row r="48" spans="20:32" x14ac:dyDescent="0.45">
      <c r="T48" s="1"/>
      <c r="U48" s="1"/>
      <c r="V48" s="1"/>
      <c r="W48" s="1"/>
      <c r="X48" s="1"/>
      <c r="Y48" s="1"/>
      <c r="Z48" s="1"/>
      <c r="AA48" s="1"/>
      <c r="AB48" s="1"/>
      <c r="AC48" s="1"/>
      <c r="AD48" s="1"/>
      <c r="AE48" s="1"/>
      <c r="AF48" s="1"/>
    </row>
    <row r="49" spans="20:32" x14ac:dyDescent="0.45">
      <c r="T49" s="1"/>
      <c r="U49" s="1"/>
      <c r="V49" s="1"/>
      <c r="W49" s="1"/>
      <c r="X49" s="1"/>
      <c r="Y49" s="1"/>
      <c r="Z49" s="1"/>
      <c r="AA49" s="1"/>
      <c r="AB49" s="1"/>
      <c r="AC49" s="1"/>
      <c r="AD49" s="1"/>
      <c r="AE49" s="1"/>
      <c r="AF49" s="1"/>
    </row>
    <row r="50" spans="20:32" x14ac:dyDescent="0.45">
      <c r="T50" s="1"/>
      <c r="U50" s="1"/>
      <c r="V50" s="1"/>
      <c r="W50" s="1"/>
      <c r="X50" s="1"/>
      <c r="Y50" s="1"/>
      <c r="Z50" s="1"/>
      <c r="AA50" s="1"/>
      <c r="AB50" s="1"/>
      <c r="AC50" s="1"/>
      <c r="AD50" s="1"/>
      <c r="AE50" s="1"/>
      <c r="AF50" s="1"/>
    </row>
    <row r="51" spans="20:32" x14ac:dyDescent="0.45">
      <c r="T51" s="1"/>
      <c r="U51" s="1"/>
      <c r="V51" s="1"/>
      <c r="W51" s="1"/>
      <c r="X51" s="1"/>
      <c r="Y51" s="1"/>
      <c r="Z51" s="1"/>
      <c r="AA51" s="1"/>
      <c r="AB51" s="1"/>
      <c r="AC51" s="1"/>
      <c r="AD51" s="1"/>
      <c r="AE51" s="1"/>
      <c r="AF51" s="1"/>
    </row>
    <row r="52" spans="20:32" x14ac:dyDescent="0.45">
      <c r="T52" s="1"/>
      <c r="U52" s="1"/>
      <c r="V52" s="1"/>
      <c r="W52" s="1"/>
      <c r="X52" s="1"/>
      <c r="Y52" s="1"/>
      <c r="Z52" s="1"/>
      <c r="AA52" s="1"/>
      <c r="AB52" s="1"/>
      <c r="AC52" s="1"/>
      <c r="AD52" s="1"/>
      <c r="AE52" s="1"/>
      <c r="AF52" s="1"/>
    </row>
    <row r="53" spans="20:32" x14ac:dyDescent="0.45">
      <c r="T53" s="1"/>
      <c r="U53" s="1"/>
      <c r="V53" s="1"/>
      <c r="W53" s="1"/>
      <c r="X53" s="1"/>
      <c r="Y53" s="1"/>
      <c r="Z53" s="1"/>
      <c r="AA53" s="1"/>
      <c r="AB53" s="1"/>
      <c r="AC53" s="1"/>
      <c r="AD53" s="1"/>
      <c r="AE53" s="1"/>
      <c r="AF53" s="1"/>
    </row>
    <row r="54" spans="20:32" x14ac:dyDescent="0.45">
      <c r="T54" s="1"/>
      <c r="U54" s="1"/>
      <c r="V54" s="1"/>
      <c r="W54" s="1"/>
      <c r="X54" s="1"/>
      <c r="Y54" s="1"/>
      <c r="Z54" s="1"/>
      <c r="AA54" s="1"/>
      <c r="AB54" s="1"/>
      <c r="AC54" s="1"/>
      <c r="AD54" s="1"/>
      <c r="AE54" s="1"/>
      <c r="AF54" s="1"/>
    </row>
    <row r="55" spans="20:32" x14ac:dyDescent="0.45">
      <c r="T55" s="1"/>
      <c r="U55" s="1"/>
      <c r="V55" s="1"/>
      <c r="W55" s="1"/>
      <c r="X55" s="1"/>
      <c r="Y55" s="1"/>
      <c r="Z55" s="1"/>
      <c r="AA55" s="1"/>
      <c r="AB55" s="1"/>
      <c r="AC55" s="1"/>
      <c r="AD55" s="1"/>
      <c r="AE55" s="1"/>
      <c r="AF55" s="1"/>
    </row>
    <row r="56" spans="20:32" x14ac:dyDescent="0.45">
      <c r="T56" s="1"/>
      <c r="U56" s="1"/>
      <c r="V56" s="1"/>
      <c r="W56" s="1"/>
      <c r="X56" s="1"/>
      <c r="Y56" s="1"/>
      <c r="Z56" s="1"/>
      <c r="AA56" s="1"/>
      <c r="AB56" s="1"/>
      <c r="AC56" s="1"/>
      <c r="AD56" s="1"/>
      <c r="AE56" s="1"/>
      <c r="AF56" s="1"/>
    </row>
    <row r="57" spans="20:32" x14ac:dyDescent="0.45">
      <c r="T57" s="1"/>
      <c r="U57" s="1"/>
      <c r="V57" s="1"/>
      <c r="W57" s="1"/>
      <c r="X57" s="1"/>
      <c r="Y57" s="1"/>
      <c r="Z57" s="1"/>
      <c r="AA57" s="1"/>
      <c r="AB57" s="1"/>
      <c r="AC57" s="1"/>
      <c r="AD57" s="1"/>
      <c r="AE57" s="1"/>
      <c r="AF57" s="1"/>
    </row>
    <row r="58" spans="20:32" x14ac:dyDescent="0.45">
      <c r="T58" s="1"/>
      <c r="U58" s="1"/>
      <c r="V58" s="1"/>
      <c r="W58" s="1"/>
      <c r="X58" s="1"/>
      <c r="Y58" s="1"/>
      <c r="Z58" s="1"/>
      <c r="AA58" s="1"/>
      <c r="AB58" s="1"/>
      <c r="AC58" s="1"/>
      <c r="AD58" s="1"/>
      <c r="AE58" s="1"/>
      <c r="AF58" s="1"/>
    </row>
    <row r="59" spans="20:32" x14ac:dyDescent="0.45">
      <c r="T59" s="1"/>
      <c r="U59" s="1"/>
      <c r="V59" s="1"/>
      <c r="W59" s="1"/>
      <c r="X59" s="1"/>
      <c r="Y59" s="1"/>
      <c r="Z59" s="1"/>
      <c r="AA59" s="1"/>
      <c r="AB59" s="1"/>
      <c r="AC59" s="1"/>
      <c r="AD59" s="1"/>
      <c r="AE59" s="1"/>
      <c r="AF59" s="1"/>
    </row>
    <row r="60" spans="20:32" x14ac:dyDescent="0.45">
      <c r="T60" s="1"/>
      <c r="U60" s="1"/>
      <c r="V60" s="1"/>
      <c r="W60" s="1"/>
      <c r="X60" s="1"/>
      <c r="Y60" s="1"/>
      <c r="Z60" s="1"/>
      <c r="AA60" s="1"/>
      <c r="AB60" s="1"/>
      <c r="AC60" s="1"/>
      <c r="AD60" s="1"/>
      <c r="AE60" s="1"/>
      <c r="AF60" s="1"/>
    </row>
    <row r="61" spans="20:32" x14ac:dyDescent="0.45">
      <c r="T61" s="1"/>
      <c r="U61" s="1"/>
      <c r="V61" s="1"/>
      <c r="W61" s="1"/>
      <c r="X61" s="1"/>
      <c r="Y61" s="1"/>
      <c r="Z61" s="1"/>
      <c r="AA61" s="1"/>
      <c r="AB61" s="1"/>
      <c r="AC61" s="1"/>
      <c r="AD61" s="1"/>
      <c r="AE61" s="1"/>
      <c r="AF61" s="1"/>
    </row>
    <row r="62" spans="20:32" x14ac:dyDescent="0.45">
      <c r="T62" s="1"/>
      <c r="U62" s="1"/>
      <c r="V62" s="1"/>
      <c r="W62" s="1"/>
      <c r="X62" s="1"/>
      <c r="Y62" s="1"/>
      <c r="Z62" s="1"/>
      <c r="AA62" s="1"/>
      <c r="AB62" s="1"/>
      <c r="AC62" s="1"/>
      <c r="AD62" s="1"/>
      <c r="AE62" s="1"/>
      <c r="AF62" s="1"/>
    </row>
    <row r="63" spans="20:32" x14ac:dyDescent="0.45">
      <c r="T63" s="1"/>
      <c r="U63" s="1"/>
      <c r="V63" s="1"/>
      <c r="W63" s="1"/>
      <c r="X63" s="1"/>
      <c r="Y63" s="1"/>
      <c r="Z63" s="1"/>
      <c r="AA63" s="1"/>
      <c r="AB63" s="1"/>
      <c r="AC63" s="1"/>
      <c r="AD63" s="1"/>
      <c r="AE63" s="1"/>
      <c r="AF63" s="1"/>
    </row>
    <row r="64" spans="20:32" x14ac:dyDescent="0.45">
      <c r="T64" s="1"/>
      <c r="U64" s="1"/>
      <c r="V64" s="1"/>
      <c r="W64" s="1"/>
    </row>
    <row r="65" spans="20:23" x14ac:dyDescent="0.45">
      <c r="T65" s="1"/>
      <c r="U65" s="1"/>
      <c r="V65" s="1"/>
      <c r="W65" s="1"/>
    </row>
    <row r="66" spans="20:23" x14ac:dyDescent="0.45">
      <c r="T66" s="1"/>
      <c r="U66" s="1"/>
      <c r="V66" s="1"/>
      <c r="W66" s="1"/>
    </row>
    <row r="67" spans="20:23" x14ac:dyDescent="0.45">
      <c r="T67" s="1"/>
      <c r="U67" s="1"/>
      <c r="V67" s="1"/>
      <c r="W67" s="1"/>
    </row>
  </sheetData>
  <mergeCells count="22">
    <mergeCell ref="B18:M18"/>
    <mergeCell ref="D23:H23"/>
    <mergeCell ref="B17:I17"/>
    <mergeCell ref="J17:N17"/>
    <mergeCell ref="B6:B10"/>
    <mergeCell ref="C6:C10"/>
    <mergeCell ref="J6:J10"/>
    <mergeCell ref="N6:N10"/>
    <mergeCell ref="B11:B16"/>
    <mergeCell ref="C11:C16"/>
    <mergeCell ref="J11:J16"/>
    <mergeCell ref="N11:N16"/>
    <mergeCell ref="B2:N2"/>
    <mergeCell ref="B3:D4"/>
    <mergeCell ref="E3:H3"/>
    <mergeCell ref="I3:J3"/>
    <mergeCell ref="K3:N3"/>
    <mergeCell ref="I4:I5"/>
    <mergeCell ref="K4:K5"/>
    <mergeCell ref="L4:L5"/>
    <mergeCell ref="B5:C5"/>
    <mergeCell ref="M4:M5"/>
  </mergeCells>
  <pageMargins left="0.7" right="0.7" top="0.75" bottom="0.75" header="0.3" footer="0.3"/>
  <pageSetup scale="72"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1:AH40"/>
  <sheetViews>
    <sheetView rightToLeft="1" topLeftCell="E6" zoomScale="85" zoomScaleNormal="85" zoomScaleSheetLayoutView="130" workbookViewId="0">
      <selection activeCell="F12" sqref="F12"/>
    </sheetView>
  </sheetViews>
  <sheetFormatPr defaultColWidth="9.140625" defaultRowHeight="19.5" x14ac:dyDescent="0.25"/>
  <cols>
    <col min="1" max="1" width="5" style="839" customWidth="1"/>
    <col min="2" max="2" width="4.42578125" style="839" customWidth="1"/>
    <col min="3" max="4" width="37.28515625" style="839" customWidth="1"/>
    <col min="5" max="5" width="21.140625" style="839" customWidth="1"/>
    <col min="6" max="6" width="26.42578125" style="839" customWidth="1"/>
    <col min="7" max="7" width="6.42578125" style="839" customWidth="1"/>
    <col min="8" max="8" width="9.85546875" style="839" customWidth="1"/>
    <col min="9" max="9" width="14.42578125" style="839" customWidth="1"/>
    <col min="10" max="11" width="11.42578125" style="839" customWidth="1"/>
    <col min="12" max="12" width="16.42578125" style="839" bestFit="1" customWidth="1"/>
    <col min="13" max="13" width="8.7109375" style="839" customWidth="1"/>
    <col min="14" max="14" width="12.85546875" style="839" customWidth="1"/>
    <col min="15" max="15" width="5.140625" style="839" customWidth="1"/>
    <col min="16" max="17" width="6.85546875" style="839" customWidth="1"/>
    <col min="18" max="18" width="23.28515625" style="839" customWidth="1"/>
    <col min="19" max="19" width="11.5703125" style="839" customWidth="1"/>
    <col min="20" max="20" width="9" style="839" bestFit="1" customWidth="1"/>
    <col min="21" max="21" width="8.7109375" style="839" bestFit="1" customWidth="1"/>
    <col min="22" max="23" width="9.140625" style="839"/>
    <col min="24" max="24" width="20.5703125" style="839" customWidth="1"/>
    <col min="25" max="25" width="17.7109375" style="839" customWidth="1"/>
    <col min="26" max="26" width="18.5703125" style="839" customWidth="1"/>
    <col min="27" max="27" width="10.7109375" style="839" customWidth="1"/>
    <col min="28" max="28" width="9.140625" style="839"/>
    <col min="29" max="29" width="12.140625" style="839" customWidth="1"/>
    <col min="30" max="16384" width="9.140625" style="839"/>
  </cols>
  <sheetData>
    <row r="1" spans="2:34" ht="25.9" customHeight="1" thickBot="1" x14ac:dyDescent="0.3">
      <c r="B1" s="1375" t="s">
        <v>705</v>
      </c>
      <c r="C1" s="1376"/>
      <c r="D1" s="1376"/>
      <c r="E1" s="1376"/>
      <c r="F1" s="1376"/>
      <c r="G1" s="1376"/>
      <c r="H1" s="1376"/>
      <c r="I1" s="1376"/>
      <c r="J1" s="1376"/>
      <c r="K1" s="1376"/>
      <c r="L1" s="1376"/>
      <c r="M1" s="1376"/>
      <c r="N1" s="1376"/>
      <c r="O1" s="1376"/>
      <c r="P1" s="1376"/>
      <c r="Q1" s="1376"/>
      <c r="R1" s="1376"/>
      <c r="S1" s="1376"/>
      <c r="T1" s="1376"/>
      <c r="U1" s="1377"/>
    </row>
    <row r="2" spans="2:34" s="846" customFormat="1" ht="27.75" x14ac:dyDescent="0.25">
      <c r="B2" s="1378" t="s">
        <v>706</v>
      </c>
      <c r="C2" s="1379"/>
      <c r="D2" s="1380">
        <f>'[21]مدرک تحصیلی'!E4</f>
        <v>0</v>
      </c>
      <c r="E2" s="1380"/>
      <c r="F2" s="1380"/>
      <c r="G2" s="1380"/>
      <c r="H2" s="1380"/>
      <c r="I2" s="1380"/>
      <c r="J2" s="1380"/>
      <c r="K2" s="1380"/>
      <c r="L2" s="1380"/>
      <c r="M2" s="1380"/>
      <c r="N2" s="1380"/>
      <c r="O2" s="1380"/>
      <c r="P2" s="1380"/>
      <c r="Q2" s="1380"/>
      <c r="R2" s="1380"/>
      <c r="S2" s="1380"/>
      <c r="T2" s="1380"/>
      <c r="U2" s="1381"/>
    </row>
    <row r="3" spans="2:34" s="846" customFormat="1" ht="4.5" customHeight="1" thickBot="1" x14ac:dyDescent="0.3">
      <c r="B3" s="943"/>
      <c r="C3" s="944"/>
      <c r="D3" s="945"/>
      <c r="E3" s="945"/>
      <c r="F3" s="945"/>
      <c r="G3" s="945"/>
      <c r="H3" s="945"/>
      <c r="I3" s="945"/>
      <c r="J3" s="945"/>
      <c r="K3" s="945"/>
      <c r="L3" s="945"/>
      <c r="M3" s="945"/>
      <c r="N3" s="945"/>
      <c r="O3" s="945"/>
      <c r="P3" s="945"/>
      <c r="Q3" s="945"/>
      <c r="R3" s="945"/>
      <c r="S3" s="945"/>
      <c r="T3" s="945"/>
      <c r="U3" s="944"/>
    </row>
    <row r="4" spans="2:34" ht="35.25" customHeight="1" x14ac:dyDescent="0.25">
      <c r="B4" s="946" t="s">
        <v>38</v>
      </c>
      <c r="C4" s="947" t="s">
        <v>34</v>
      </c>
      <c r="D4" s="947" t="s">
        <v>707</v>
      </c>
      <c r="E4" s="947" t="s">
        <v>791</v>
      </c>
      <c r="F4" s="947" t="s">
        <v>36</v>
      </c>
      <c r="G4" s="948" t="s">
        <v>39</v>
      </c>
      <c r="H4" s="948" t="s">
        <v>40</v>
      </c>
      <c r="I4" s="948" t="s">
        <v>41</v>
      </c>
      <c r="J4" s="948" t="s">
        <v>42</v>
      </c>
      <c r="K4" s="948" t="s">
        <v>43</v>
      </c>
      <c r="L4" s="948" t="s">
        <v>44</v>
      </c>
      <c r="M4" s="948"/>
      <c r="N4" s="948" t="s">
        <v>45</v>
      </c>
      <c r="O4" s="948"/>
      <c r="P4" s="949" t="s">
        <v>37</v>
      </c>
      <c r="Q4" s="948" t="s">
        <v>16</v>
      </c>
      <c r="R4" s="950" t="s">
        <v>46</v>
      </c>
      <c r="S4" s="951" t="s">
        <v>337</v>
      </c>
      <c r="T4" s="951" t="s">
        <v>47</v>
      </c>
      <c r="U4" s="952" t="s">
        <v>48</v>
      </c>
    </row>
    <row r="5" spans="2:34" ht="24.75" customHeight="1" x14ac:dyDescent="0.25">
      <c r="B5" s="953">
        <v>1</v>
      </c>
      <c r="C5" s="954" t="s">
        <v>781</v>
      </c>
      <c r="D5" s="1096" t="s">
        <v>780</v>
      </c>
      <c r="E5" s="1094" t="s">
        <v>786</v>
      </c>
      <c r="F5" s="1111" t="s">
        <v>717</v>
      </c>
      <c r="G5" s="956">
        <v>80</v>
      </c>
      <c r="H5" s="956">
        <v>1</v>
      </c>
      <c r="I5" s="956"/>
      <c r="J5" s="957">
        <f>H5*G5</f>
        <v>80</v>
      </c>
      <c r="K5" s="957">
        <f>I5*G5</f>
        <v>0</v>
      </c>
      <c r="L5" s="958" t="s">
        <v>710</v>
      </c>
      <c r="M5" s="959">
        <f t="shared" ref="M5:M16" si="0">IFERROR(HLOOKUP(L5,$C$24:$F$25,2,FALSE),"")</f>
        <v>1</v>
      </c>
      <c r="N5" s="958"/>
      <c r="O5" s="960" t="str">
        <f t="shared" ref="O5:O16" si="1">IFERROR(HLOOKUP(N5,$C$24:$F$25,2,FALSE),"")</f>
        <v/>
      </c>
      <c r="P5" s="959">
        <f t="shared" ref="P5:P16" si="2">IFERROR(HLOOKUP(F5,$C$34:$K$35,2,FALSE),"")</f>
        <v>0.5</v>
      </c>
      <c r="Q5" s="959">
        <f>IFERROR(AVERAGE(M5,O5,P5),0)</f>
        <v>0.75</v>
      </c>
      <c r="R5" s="1099" t="s">
        <v>49</v>
      </c>
      <c r="S5" s="962">
        <f>SUMPRODUCT(J5:J16*Q5:Q16)</f>
        <v>99</v>
      </c>
      <c r="T5" s="1043">
        <v>4</v>
      </c>
      <c r="U5" s="963">
        <v>40</v>
      </c>
    </row>
    <row r="6" spans="2:34" ht="24.75" thickBot="1" x14ac:dyDescent="0.3">
      <c r="B6" s="953">
        <v>2</v>
      </c>
      <c r="C6" s="954" t="s">
        <v>782</v>
      </c>
      <c r="D6" s="1096" t="s">
        <v>780</v>
      </c>
      <c r="E6" s="1094" t="s">
        <v>786</v>
      </c>
      <c r="F6" s="1111" t="s">
        <v>717</v>
      </c>
      <c r="G6" s="956">
        <v>20</v>
      </c>
      <c r="H6" s="956">
        <v>1</v>
      </c>
      <c r="I6" s="956"/>
      <c r="J6" s="957">
        <f t="shared" ref="J6:J14" si="3">H6*G6</f>
        <v>20</v>
      </c>
      <c r="K6" s="957">
        <f t="shared" ref="K6:K14" si="4">I6*G6</f>
        <v>0</v>
      </c>
      <c r="L6" s="958" t="s">
        <v>710</v>
      </c>
      <c r="M6" s="959">
        <f t="shared" si="0"/>
        <v>1</v>
      </c>
      <c r="N6" s="958"/>
      <c r="O6" s="960" t="str">
        <f t="shared" si="1"/>
        <v/>
      </c>
      <c r="P6" s="959">
        <f t="shared" si="2"/>
        <v>0.5</v>
      </c>
      <c r="Q6" s="959">
        <f t="shared" ref="Q6:Q16" si="5">IFERROR(AVERAGE(L6:P6),0)</f>
        <v>0.75</v>
      </c>
      <c r="R6" s="1100" t="s">
        <v>23</v>
      </c>
      <c r="S6" s="964">
        <f>SUMPRODUCT(K5:K16*Q5:Q16)</f>
        <v>26</v>
      </c>
      <c r="T6" s="965">
        <v>3</v>
      </c>
      <c r="U6" s="966">
        <v>30</v>
      </c>
      <c r="V6" s="967"/>
    </row>
    <row r="7" spans="2:34" ht="34.5" customHeight="1" thickBot="1" x14ac:dyDescent="0.3">
      <c r="B7" s="953">
        <v>3</v>
      </c>
      <c r="C7" s="954" t="s">
        <v>783</v>
      </c>
      <c r="D7" s="1096" t="s">
        <v>769</v>
      </c>
      <c r="E7" s="1094" t="s">
        <v>787</v>
      </c>
      <c r="F7" s="1111" t="s">
        <v>717</v>
      </c>
      <c r="G7" s="956">
        <v>8</v>
      </c>
      <c r="H7" s="956">
        <v>1</v>
      </c>
      <c r="I7" s="956"/>
      <c r="J7" s="957">
        <f t="shared" si="3"/>
        <v>8</v>
      </c>
      <c r="K7" s="957">
        <f t="shared" si="4"/>
        <v>0</v>
      </c>
      <c r="L7" s="958" t="s">
        <v>710</v>
      </c>
      <c r="M7" s="959">
        <f t="shared" si="0"/>
        <v>1</v>
      </c>
      <c r="N7" s="958"/>
      <c r="O7" s="960" t="str">
        <f t="shared" si="1"/>
        <v/>
      </c>
      <c r="P7" s="959">
        <f t="shared" si="2"/>
        <v>0.5</v>
      </c>
      <c r="Q7" s="959">
        <f t="shared" si="5"/>
        <v>0.75</v>
      </c>
      <c r="R7" s="968"/>
      <c r="S7" s="968"/>
      <c r="T7" s="968"/>
      <c r="U7" s="969"/>
    </row>
    <row r="8" spans="2:34" ht="21.75" customHeight="1" thickBot="1" x14ac:dyDescent="0.3">
      <c r="B8" s="953"/>
      <c r="C8" s="954" t="s">
        <v>784</v>
      </c>
      <c r="D8" s="1096" t="s">
        <v>769</v>
      </c>
      <c r="E8" s="1094" t="s">
        <v>788</v>
      </c>
      <c r="F8" s="1111" t="s">
        <v>717</v>
      </c>
      <c r="G8" s="956">
        <v>8</v>
      </c>
      <c r="H8" s="956">
        <v>1</v>
      </c>
      <c r="I8" s="956"/>
      <c r="J8" s="957">
        <f t="shared" si="3"/>
        <v>8</v>
      </c>
      <c r="K8" s="957">
        <f t="shared" si="4"/>
        <v>0</v>
      </c>
      <c r="L8" s="958" t="s">
        <v>710</v>
      </c>
      <c r="M8" s="959">
        <f t="shared" si="0"/>
        <v>1</v>
      </c>
      <c r="N8" s="958"/>
      <c r="O8" s="960" t="str">
        <f t="shared" si="1"/>
        <v/>
      </c>
      <c r="P8" s="959">
        <f t="shared" si="2"/>
        <v>0.5</v>
      </c>
      <c r="Q8" s="959">
        <f t="shared" si="5"/>
        <v>0.75</v>
      </c>
      <c r="R8" s="1089"/>
      <c r="S8" s="1089"/>
      <c r="T8" s="1089"/>
      <c r="U8" s="1090"/>
    </row>
    <row r="9" spans="2:34" ht="21.75" customHeight="1" thickBot="1" x14ac:dyDescent="0.3">
      <c r="B9" s="953"/>
      <c r="C9" s="954" t="s">
        <v>784</v>
      </c>
      <c r="D9" s="1096" t="s">
        <v>769</v>
      </c>
      <c r="E9" s="1094" t="s">
        <v>789</v>
      </c>
      <c r="F9" s="1111" t="s">
        <v>717</v>
      </c>
      <c r="G9" s="956">
        <v>8</v>
      </c>
      <c r="H9" s="956">
        <v>1</v>
      </c>
      <c r="I9" s="956"/>
      <c r="J9" s="957">
        <f t="shared" si="3"/>
        <v>8</v>
      </c>
      <c r="K9" s="957">
        <f t="shared" si="4"/>
        <v>0</v>
      </c>
      <c r="L9" s="958" t="s">
        <v>710</v>
      </c>
      <c r="M9" s="959">
        <f t="shared" si="0"/>
        <v>1</v>
      </c>
      <c r="N9" s="958"/>
      <c r="O9" s="960" t="str">
        <f t="shared" si="1"/>
        <v/>
      </c>
      <c r="P9" s="959">
        <f t="shared" si="2"/>
        <v>0.5</v>
      </c>
      <c r="Q9" s="959">
        <f t="shared" si="5"/>
        <v>0.75</v>
      </c>
      <c r="R9" s="1089"/>
      <c r="S9" s="1089"/>
      <c r="T9" s="1089"/>
      <c r="U9" s="1090"/>
    </row>
    <row r="10" spans="2:34" ht="21.75" customHeight="1" thickBot="1" x14ac:dyDescent="0.3">
      <c r="B10" s="953"/>
      <c r="C10" s="954" t="s">
        <v>785</v>
      </c>
      <c r="D10" s="1096" t="s">
        <v>769</v>
      </c>
      <c r="E10" s="1094" t="s">
        <v>790</v>
      </c>
      <c r="F10" s="1111" t="s">
        <v>717</v>
      </c>
      <c r="G10" s="956">
        <v>8</v>
      </c>
      <c r="H10" s="956">
        <v>1</v>
      </c>
      <c r="I10" s="956"/>
      <c r="J10" s="957">
        <f t="shared" si="3"/>
        <v>8</v>
      </c>
      <c r="K10" s="957">
        <f t="shared" si="4"/>
        <v>0</v>
      </c>
      <c r="L10" s="958" t="s">
        <v>710</v>
      </c>
      <c r="M10" s="959">
        <f t="shared" si="0"/>
        <v>1</v>
      </c>
      <c r="N10" s="958"/>
      <c r="O10" s="960" t="str">
        <f t="shared" si="1"/>
        <v/>
      </c>
      <c r="P10" s="959">
        <f t="shared" si="2"/>
        <v>0.5</v>
      </c>
      <c r="Q10" s="959">
        <f t="shared" si="5"/>
        <v>0.75</v>
      </c>
      <c r="R10" s="1089"/>
      <c r="S10" s="1089"/>
      <c r="T10" s="1089"/>
      <c r="U10" s="1090"/>
    </row>
    <row r="11" spans="2:34" ht="21.75" customHeight="1" thickBot="1" x14ac:dyDescent="0.3">
      <c r="B11" s="953"/>
      <c r="C11" s="954" t="s">
        <v>792</v>
      </c>
      <c r="D11" s="1097" t="s">
        <v>774</v>
      </c>
      <c r="E11" s="1112" t="s">
        <v>795</v>
      </c>
      <c r="F11" s="1111" t="s">
        <v>717</v>
      </c>
      <c r="G11" s="1093">
        <v>8</v>
      </c>
      <c r="H11" s="956"/>
      <c r="I11" s="956">
        <v>1</v>
      </c>
      <c r="J11" s="957">
        <f t="shared" si="3"/>
        <v>0</v>
      </c>
      <c r="K11" s="957">
        <f t="shared" si="4"/>
        <v>8</v>
      </c>
      <c r="L11" s="958"/>
      <c r="M11" s="959" t="str">
        <f t="shared" si="0"/>
        <v/>
      </c>
      <c r="N11" s="958" t="s">
        <v>710</v>
      </c>
      <c r="O11" s="960">
        <f t="shared" si="1"/>
        <v>1</v>
      </c>
      <c r="P11" s="959">
        <f t="shared" si="2"/>
        <v>0.5</v>
      </c>
      <c r="Q11" s="959">
        <f t="shared" si="5"/>
        <v>0.75</v>
      </c>
      <c r="R11" s="1089"/>
      <c r="S11" s="1089"/>
      <c r="T11" s="1089"/>
      <c r="U11" s="1090"/>
    </row>
    <row r="12" spans="2:34" ht="21.75" customHeight="1" thickBot="1" x14ac:dyDescent="0.3">
      <c r="B12" s="953"/>
      <c r="C12" s="954" t="s">
        <v>793</v>
      </c>
      <c r="D12" s="1097" t="s">
        <v>774</v>
      </c>
      <c r="E12" s="1112" t="s">
        <v>796</v>
      </c>
      <c r="F12" s="1111" t="s">
        <v>725</v>
      </c>
      <c r="G12" s="1093">
        <v>16</v>
      </c>
      <c r="H12" s="956"/>
      <c r="I12" s="956">
        <v>1</v>
      </c>
      <c r="J12" s="957">
        <f t="shared" si="3"/>
        <v>0</v>
      </c>
      <c r="K12" s="957">
        <f t="shared" si="4"/>
        <v>16</v>
      </c>
      <c r="L12" s="958"/>
      <c r="M12" s="959" t="str">
        <f t="shared" si="0"/>
        <v/>
      </c>
      <c r="N12" s="958" t="s">
        <v>710</v>
      </c>
      <c r="O12" s="960">
        <f t="shared" si="1"/>
        <v>1</v>
      </c>
      <c r="P12" s="959">
        <f t="shared" si="2"/>
        <v>0.75</v>
      </c>
      <c r="Q12" s="959">
        <f t="shared" si="5"/>
        <v>0.875</v>
      </c>
      <c r="R12" s="1089"/>
      <c r="S12" s="1089"/>
      <c r="T12" s="1089"/>
      <c r="U12" s="1090"/>
    </row>
    <row r="13" spans="2:34" ht="44.25" thickBot="1" x14ac:dyDescent="0.3">
      <c r="B13" s="953">
        <v>4</v>
      </c>
      <c r="C13" s="954" t="s">
        <v>794</v>
      </c>
      <c r="D13" s="1098" t="s">
        <v>777</v>
      </c>
      <c r="E13" s="1113" t="s">
        <v>797</v>
      </c>
      <c r="F13" s="1111" t="s">
        <v>717</v>
      </c>
      <c r="G13" s="1114">
        <v>8</v>
      </c>
      <c r="H13" s="956"/>
      <c r="I13" s="956">
        <v>1</v>
      </c>
      <c r="J13" s="957">
        <f t="shared" si="3"/>
        <v>0</v>
      </c>
      <c r="K13" s="957">
        <f t="shared" si="4"/>
        <v>8</v>
      </c>
      <c r="L13" s="958"/>
      <c r="M13" s="959" t="str">
        <f t="shared" si="0"/>
        <v/>
      </c>
      <c r="N13" s="958" t="s">
        <v>710</v>
      </c>
      <c r="O13" s="960">
        <f t="shared" si="1"/>
        <v>1</v>
      </c>
      <c r="P13" s="959">
        <f t="shared" si="2"/>
        <v>0.5</v>
      </c>
      <c r="Q13" s="959">
        <f t="shared" si="5"/>
        <v>0.75</v>
      </c>
      <c r="R13" s="1101" t="s">
        <v>50</v>
      </c>
      <c r="S13" s="971" t="s">
        <v>708</v>
      </c>
      <c r="T13" s="971" t="s">
        <v>19</v>
      </c>
      <c r="U13" s="972" t="s">
        <v>15</v>
      </c>
    </row>
    <row r="14" spans="2:34" ht="22.5" x14ac:dyDescent="0.25">
      <c r="B14" s="953">
        <v>5</v>
      </c>
      <c r="C14" s="970"/>
      <c r="D14" s="970"/>
      <c r="E14" s="1102"/>
      <c r="F14" s="1103"/>
      <c r="G14" s="1104"/>
      <c r="H14" s="1105"/>
      <c r="I14" s="1105"/>
      <c r="J14" s="1106">
        <f t="shared" si="3"/>
        <v>0</v>
      </c>
      <c r="K14" s="1106">
        <f t="shared" si="4"/>
        <v>0</v>
      </c>
      <c r="L14" s="1107"/>
      <c r="M14" s="1108" t="str">
        <f t="shared" si="0"/>
        <v/>
      </c>
      <c r="N14" s="1107"/>
      <c r="O14" s="1109" t="str">
        <f t="shared" si="1"/>
        <v/>
      </c>
      <c r="P14" s="1108" t="str">
        <f t="shared" si="2"/>
        <v/>
      </c>
      <c r="Q14" s="1110">
        <f t="shared" si="5"/>
        <v>0</v>
      </c>
      <c r="R14" s="973" t="s">
        <v>51</v>
      </c>
      <c r="S14" s="1095">
        <f>2/4</f>
        <v>0.5</v>
      </c>
      <c r="T14" s="974">
        <v>0.5</v>
      </c>
      <c r="U14" s="975">
        <f>S5/(T5*U5)</f>
        <v>0.61875000000000002</v>
      </c>
      <c r="W14" s="1"/>
      <c r="X14" s="1"/>
      <c r="Y14" s="1"/>
      <c r="Z14" s="1"/>
      <c r="AA14" s="1"/>
      <c r="AB14" s="1"/>
      <c r="AC14" s="1"/>
      <c r="AD14" s="1"/>
      <c r="AE14" s="1"/>
      <c r="AF14" s="1"/>
      <c r="AG14" s="1"/>
      <c r="AH14" s="1"/>
    </row>
    <row r="15" spans="2:34" ht="22.5" x14ac:dyDescent="0.25">
      <c r="B15" s="953">
        <v>6</v>
      </c>
      <c r="C15" s="970"/>
      <c r="D15" s="970"/>
      <c r="E15" s="970"/>
      <c r="F15" s="1092"/>
      <c r="G15" s="955"/>
      <c r="H15" s="956"/>
      <c r="I15" s="956"/>
      <c r="J15" s="957">
        <f t="shared" ref="J15:J16" si="6">H15*G15</f>
        <v>0</v>
      </c>
      <c r="K15" s="957">
        <f t="shared" ref="K15:K16" si="7">I15*G15</f>
        <v>0</v>
      </c>
      <c r="L15" s="958"/>
      <c r="M15" s="959" t="str">
        <f t="shared" si="0"/>
        <v/>
      </c>
      <c r="N15" s="958"/>
      <c r="O15" s="960" t="str">
        <f t="shared" si="1"/>
        <v/>
      </c>
      <c r="P15" s="959" t="str">
        <f t="shared" si="2"/>
        <v/>
      </c>
      <c r="Q15" s="961">
        <f t="shared" si="5"/>
        <v>0</v>
      </c>
      <c r="R15" s="976" t="s">
        <v>52</v>
      </c>
      <c r="S15" s="1095">
        <f>2/3</f>
        <v>0.66666666666666663</v>
      </c>
      <c r="T15" s="974">
        <v>0.5</v>
      </c>
      <c r="U15" s="975">
        <f>S6/U6*T6</f>
        <v>2.6</v>
      </c>
      <c r="W15" s="1"/>
      <c r="X15" s="1"/>
      <c r="Y15" s="1"/>
      <c r="Z15" s="1"/>
      <c r="AA15" s="1"/>
      <c r="AB15" s="1"/>
      <c r="AC15" s="1"/>
      <c r="AD15" s="1"/>
      <c r="AE15" s="1"/>
      <c r="AF15" s="1"/>
      <c r="AG15" s="1"/>
      <c r="AH15" s="1"/>
    </row>
    <row r="16" spans="2:34" ht="21.75" customHeight="1" thickBot="1" x14ac:dyDescent="0.3">
      <c r="B16" s="977">
        <v>7</v>
      </c>
      <c r="C16" s="978"/>
      <c r="D16" s="978"/>
      <c r="E16" s="978"/>
      <c r="F16" s="1092"/>
      <c r="G16" s="979"/>
      <c r="H16" s="980"/>
      <c r="I16" s="980"/>
      <c r="J16" s="981">
        <f t="shared" si="6"/>
        <v>0</v>
      </c>
      <c r="K16" s="981">
        <f t="shared" si="7"/>
        <v>0</v>
      </c>
      <c r="L16" s="958"/>
      <c r="M16" s="959" t="str">
        <f t="shared" si="0"/>
        <v/>
      </c>
      <c r="N16" s="958"/>
      <c r="O16" s="960" t="str">
        <f t="shared" si="1"/>
        <v/>
      </c>
      <c r="P16" s="959" t="str">
        <f t="shared" si="2"/>
        <v/>
      </c>
      <c r="Q16" s="982">
        <f t="shared" si="5"/>
        <v>0</v>
      </c>
      <c r="R16" s="1382"/>
      <c r="S16" s="1383"/>
      <c r="T16" s="1383"/>
      <c r="U16" s="1384"/>
      <c r="W16" s="1"/>
      <c r="X16" s="1"/>
      <c r="Y16" s="1"/>
      <c r="Z16" s="1"/>
      <c r="AA16" s="1"/>
      <c r="AB16" s="1"/>
      <c r="AC16" s="1"/>
      <c r="AD16" s="1"/>
      <c r="AE16" s="1"/>
      <c r="AF16" s="1"/>
      <c r="AG16" s="1"/>
      <c r="AH16" s="1"/>
    </row>
    <row r="17" spans="2:25" ht="30" customHeight="1" thickBot="1" x14ac:dyDescent="0.3">
      <c r="B17" s="1385" t="s">
        <v>257</v>
      </c>
      <c r="C17" s="1386"/>
      <c r="D17" s="1386"/>
      <c r="E17" s="1386"/>
      <c r="F17" s="1386"/>
      <c r="G17" s="1386"/>
      <c r="H17" s="1386"/>
      <c r="I17" s="1386"/>
      <c r="J17" s="1386"/>
      <c r="K17" s="1386"/>
      <c r="L17" s="1386"/>
      <c r="M17" s="1386"/>
      <c r="N17" s="1386"/>
      <c r="O17" s="1386"/>
      <c r="P17" s="1386"/>
      <c r="Q17" s="1386"/>
      <c r="R17" s="1387">
        <f>MIN(SUMPRODUCT(U14:U15,T14:T15,S14:S15),1)</f>
        <v>1</v>
      </c>
      <c r="S17" s="1387"/>
      <c r="T17" s="1387"/>
      <c r="U17" s="1388"/>
      <c r="W17" s="1"/>
      <c r="X17" s="1"/>
    </row>
    <row r="18" spans="2:25" ht="32.25" customHeight="1" thickBot="1" x14ac:dyDescent="0.3">
      <c r="G18" s="846"/>
    </row>
    <row r="19" spans="2:25" ht="18.75" customHeight="1" x14ac:dyDescent="0.25">
      <c r="F19" s="1"/>
      <c r="G19" s="1"/>
      <c r="H19" s="1"/>
      <c r="I19" s="1"/>
      <c r="J19" s="1"/>
      <c r="K19" s="1"/>
      <c r="L19" s="1"/>
      <c r="M19" s="1"/>
      <c r="N19" s="1"/>
      <c r="O19" s="1"/>
      <c r="R19" s="1363" t="s">
        <v>735</v>
      </c>
      <c r="S19" s="1364"/>
      <c r="T19" s="1364"/>
      <c r="U19" s="1364"/>
      <c r="V19" s="1364"/>
      <c r="W19" s="1364"/>
      <c r="X19" s="1365"/>
      <c r="Y19"/>
    </row>
    <row r="20" spans="2:25" x14ac:dyDescent="0.25">
      <c r="C20" s="984"/>
      <c r="D20" s="984"/>
      <c r="E20" s="984"/>
      <c r="F20" s="1"/>
      <c r="G20" s="1"/>
      <c r="H20" s="1"/>
      <c r="I20" s="1"/>
      <c r="J20" s="1"/>
      <c r="K20" s="1"/>
      <c r="L20" s="1"/>
      <c r="M20" s="1"/>
      <c r="N20" s="1"/>
      <c r="O20" s="1"/>
      <c r="P20" s="985"/>
      <c r="Q20" s="985"/>
      <c r="R20" s="986" t="s">
        <v>736</v>
      </c>
      <c r="S20" s="1369" t="s">
        <v>738</v>
      </c>
      <c r="T20" s="1370"/>
      <c r="U20" s="1370"/>
      <c r="V20" s="1370"/>
      <c r="W20" s="1370"/>
      <c r="X20" s="1371"/>
      <c r="Y20"/>
    </row>
    <row r="21" spans="2:25" ht="20.25" thickBot="1" x14ac:dyDescent="0.3">
      <c r="C21" s="984"/>
      <c r="D21" s="984"/>
      <c r="E21" s="984"/>
      <c r="F21" s="1"/>
      <c r="G21" s="1"/>
      <c r="H21" s="1"/>
      <c r="I21" s="1"/>
      <c r="J21" s="1"/>
      <c r="K21" s="1"/>
      <c r="L21" s="1"/>
      <c r="M21" s="1"/>
      <c r="N21" s="1"/>
      <c r="O21" s="1"/>
      <c r="P21" s="985"/>
      <c r="Q21" s="985"/>
      <c r="R21" s="1044" t="s">
        <v>737</v>
      </c>
      <c r="S21" s="1366" t="s">
        <v>739</v>
      </c>
      <c r="T21" s="1367"/>
      <c r="U21" s="1367"/>
      <c r="V21" s="1367"/>
      <c r="W21" s="1367"/>
      <c r="X21" s="1368"/>
      <c r="Y21" s="1"/>
    </row>
    <row r="22" spans="2:25" ht="20.25" thickBot="1" x14ac:dyDescent="0.3">
      <c r="C22" s="984"/>
      <c r="D22" s="984"/>
      <c r="E22" s="984"/>
      <c r="F22" s="1"/>
      <c r="G22" s="1"/>
      <c r="H22" s="1"/>
      <c r="I22" s="1"/>
      <c r="J22" s="1"/>
      <c r="K22" s="1"/>
      <c r="L22" s="1"/>
      <c r="M22" s="1"/>
      <c r="N22" s="1"/>
      <c r="O22" s="1"/>
      <c r="P22" s="985"/>
      <c r="Q22" s="985"/>
      <c r="R22" s="1054"/>
      <c r="S22" s="1054"/>
      <c r="T22" s="1054"/>
      <c r="U22" s="1054"/>
      <c r="V22" s="1054"/>
      <c r="W22" s="1054"/>
      <c r="X22" s="1054"/>
      <c r="Y22" s="1"/>
    </row>
    <row r="23" spans="2:25" ht="20.25" x14ac:dyDescent="0.25">
      <c r="C23" s="1363" t="s">
        <v>709</v>
      </c>
      <c r="D23" s="1364"/>
      <c r="E23" s="1364"/>
      <c r="F23" s="1365"/>
      <c r="G23" s="1"/>
      <c r="H23" s="1"/>
      <c r="Q23" s="985"/>
      <c r="Y23"/>
    </row>
    <row r="24" spans="2:25" x14ac:dyDescent="0.25">
      <c r="C24" s="986" t="s">
        <v>710</v>
      </c>
      <c r="D24" s="987" t="s">
        <v>711</v>
      </c>
      <c r="E24" s="1091"/>
      <c r="F24" s="988" t="s">
        <v>712</v>
      </c>
      <c r="G24" s="1"/>
      <c r="H24" s="1"/>
      <c r="Q24" s="985"/>
      <c r="R24" s="985"/>
      <c r="S24" s="985"/>
      <c r="T24" s="983"/>
      <c r="X24" s="470"/>
      <c r="Y24"/>
    </row>
    <row r="25" spans="2:25" x14ac:dyDescent="0.25">
      <c r="C25" s="986">
        <v>1</v>
      </c>
      <c r="D25" s="987">
        <v>0.8</v>
      </c>
      <c r="E25" s="1091"/>
      <c r="F25" s="988">
        <v>0.2</v>
      </c>
      <c r="G25" s="1"/>
      <c r="H25" s="1"/>
      <c r="Q25" s="983"/>
      <c r="R25" s="985"/>
      <c r="S25" s="985"/>
      <c r="T25" s="983"/>
      <c r="Y25"/>
    </row>
    <row r="26" spans="2:25" ht="20.25" thickBot="1" x14ac:dyDescent="0.3">
      <c r="C26" s="989" t="s">
        <v>765</v>
      </c>
      <c r="D26" s="990"/>
      <c r="E26" s="990"/>
      <c r="F26" s="991"/>
      <c r="G26" s="1"/>
      <c r="H26" s="1"/>
      <c r="I26" s="1"/>
      <c r="J26" s="1"/>
      <c r="K26" s="1"/>
      <c r="L26" s="1"/>
      <c r="M26" s="1"/>
      <c r="N26" s="1"/>
      <c r="O26" s="1"/>
      <c r="R26" s="983"/>
      <c r="S26" s="983"/>
      <c r="T26" s="983"/>
    </row>
    <row r="27" spans="2:25" x14ac:dyDescent="0.25">
      <c r="C27"/>
      <c r="D27"/>
      <c r="E27" s="1"/>
      <c r="F27"/>
      <c r="G27" s="1"/>
      <c r="H27" s="1"/>
      <c r="I27" s="1"/>
      <c r="J27" s="1"/>
      <c r="K27" s="1"/>
      <c r="L27" s="1"/>
      <c r="M27" s="1"/>
      <c r="N27" s="1"/>
      <c r="O27" s="1"/>
      <c r="R27" s="983"/>
      <c r="S27" s="983"/>
      <c r="T27" s="983"/>
    </row>
    <row r="28" spans="2:25" x14ac:dyDescent="0.25">
      <c r="C28"/>
      <c r="D28"/>
      <c r="E28" s="1"/>
      <c r="F28"/>
      <c r="G28" s="1"/>
      <c r="H28" s="1"/>
      <c r="I28" s="1"/>
      <c r="J28" s="1"/>
      <c r="K28" s="1"/>
      <c r="L28" s="1"/>
      <c r="M28" s="1"/>
      <c r="N28" s="1"/>
      <c r="O28" s="1"/>
      <c r="R28" s="983"/>
      <c r="S28" s="983"/>
      <c r="T28" s="983"/>
    </row>
    <row r="29" spans="2:25" x14ac:dyDescent="0.25">
      <c r="C29"/>
      <c r="D29"/>
      <c r="E29" s="1"/>
      <c r="F29"/>
      <c r="G29" s="1"/>
      <c r="H29" s="1"/>
      <c r="I29" s="1"/>
      <c r="J29" s="1"/>
      <c r="K29" s="1"/>
      <c r="L29" s="1"/>
      <c r="M29" s="1"/>
      <c r="N29" s="1"/>
      <c r="O29" s="1"/>
      <c r="R29" s="983"/>
      <c r="S29" s="983"/>
      <c r="T29" s="983"/>
    </row>
    <row r="30" spans="2:25" x14ac:dyDescent="0.25">
      <c r="C30"/>
      <c r="D30"/>
      <c r="E30" s="1"/>
      <c r="F30"/>
      <c r="G30" s="1"/>
      <c r="H30" s="1"/>
      <c r="I30" s="1"/>
      <c r="J30" s="1"/>
      <c r="K30" s="1"/>
      <c r="L30" s="1"/>
      <c r="M30" s="1"/>
      <c r="N30" s="1"/>
      <c r="O30" s="1"/>
      <c r="R30" s="983"/>
      <c r="S30" s="983"/>
      <c r="T30" s="983"/>
    </row>
    <row r="31" spans="2:25" x14ac:dyDescent="0.25">
      <c r="C31"/>
      <c r="D31"/>
      <c r="E31" s="1"/>
      <c r="F31"/>
      <c r="G31" s="1"/>
      <c r="H31" s="1"/>
      <c r="I31" s="1"/>
      <c r="J31" s="1"/>
      <c r="K31" s="1"/>
      <c r="L31" s="1"/>
      <c r="M31" s="1"/>
      <c r="N31" s="1"/>
      <c r="O31" s="1"/>
      <c r="R31" s="983"/>
      <c r="S31" s="983"/>
      <c r="T31" s="983"/>
    </row>
    <row r="32" spans="2:25" ht="20.25" thickBot="1" x14ac:dyDescent="0.3">
      <c r="C32"/>
      <c r="D32"/>
      <c r="E32" s="1"/>
      <c r="F32"/>
      <c r="G32" s="1"/>
      <c r="H32" s="1"/>
      <c r="I32" s="1"/>
      <c r="J32" s="1"/>
      <c r="K32" s="1"/>
      <c r="L32" s="1"/>
      <c r="M32" s="1"/>
      <c r="N32" s="1"/>
      <c r="O32" s="1"/>
      <c r="R32" s="983"/>
      <c r="S32" s="983"/>
      <c r="T32" s="983"/>
    </row>
    <row r="33" spans="3:19" ht="21" thickBot="1" x14ac:dyDescent="0.55000000000000004">
      <c r="C33" s="1262" t="s">
        <v>713</v>
      </c>
      <c r="D33" s="1263"/>
      <c r="E33" s="1263"/>
      <c r="F33" s="1263"/>
      <c r="G33" s="1263"/>
      <c r="H33" s="1263"/>
      <c r="I33" s="1263"/>
      <c r="J33" s="1263"/>
      <c r="K33" s="1264"/>
    </row>
    <row r="34" spans="3:19" x14ac:dyDescent="0.45">
      <c r="C34" s="1055" t="s">
        <v>714</v>
      </c>
      <c r="D34" s="1056" t="s">
        <v>715</v>
      </c>
      <c r="E34" s="1056"/>
      <c r="F34" s="1056" t="s">
        <v>676</v>
      </c>
      <c r="G34" s="1057" t="s">
        <v>645</v>
      </c>
      <c r="H34" s="1056" t="s">
        <v>716</v>
      </c>
      <c r="I34" s="1056" t="s">
        <v>725</v>
      </c>
      <c r="J34" s="1056" t="s">
        <v>717</v>
      </c>
      <c r="K34" s="1058" t="s">
        <v>718</v>
      </c>
    </row>
    <row r="35" spans="3:19" x14ac:dyDescent="0.25">
      <c r="C35" s="1009">
        <v>1</v>
      </c>
      <c r="D35" s="1010">
        <v>1</v>
      </c>
      <c r="E35" s="1010"/>
      <c r="F35" s="1010">
        <v>1</v>
      </c>
      <c r="G35" s="1010">
        <v>1</v>
      </c>
      <c r="H35" s="1010">
        <v>1</v>
      </c>
      <c r="I35" s="1010">
        <v>0.75</v>
      </c>
      <c r="J35" s="1010">
        <v>0.5</v>
      </c>
      <c r="K35" s="1011">
        <v>0.25</v>
      </c>
      <c r="R35" s="983"/>
      <c r="S35" s="983"/>
    </row>
    <row r="36" spans="3:19" ht="19.5" customHeight="1" x14ac:dyDescent="0.25">
      <c r="C36" s="1372" t="s">
        <v>724</v>
      </c>
      <c r="D36" s="1373"/>
      <c r="E36" s="1373"/>
      <c r="F36" s="1373"/>
      <c r="G36" s="1373"/>
      <c r="H36" s="1373"/>
      <c r="I36" s="1373"/>
      <c r="J36" s="1373"/>
      <c r="K36" s="1374"/>
      <c r="R36" s="983"/>
      <c r="S36" s="983"/>
    </row>
    <row r="37" spans="3:19" x14ac:dyDescent="0.25">
      <c r="R37" s="983"/>
      <c r="S37" s="983"/>
    </row>
    <row r="38" spans="3:19" x14ac:dyDescent="0.25">
      <c r="R38" s="983"/>
      <c r="S38" s="983"/>
    </row>
    <row r="40" spans="3:19" ht="108" customHeight="1" x14ac:dyDescent="0.25"/>
  </sheetData>
  <mergeCells count="12">
    <mergeCell ref="B1:U1"/>
    <mergeCell ref="B2:C2"/>
    <mergeCell ref="D2:U2"/>
    <mergeCell ref="R16:U16"/>
    <mergeCell ref="B17:Q17"/>
    <mergeCell ref="R17:U17"/>
    <mergeCell ref="R19:X19"/>
    <mergeCell ref="S21:X21"/>
    <mergeCell ref="S20:X20"/>
    <mergeCell ref="C36:K36"/>
    <mergeCell ref="C23:F23"/>
    <mergeCell ref="C33:K33"/>
  </mergeCells>
  <dataValidations count="2">
    <dataValidation type="list" allowBlank="1" showInputMessage="1" showErrorMessage="1" sqref="F5:F16">
      <formula1>$C$34:$K$34</formula1>
    </dataValidation>
    <dataValidation type="list" allowBlank="1" showInputMessage="1" showErrorMessage="1" sqref="L5:L16 N5:N16">
      <formula1>$C$24:$F$24</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46"/>
  <sheetViews>
    <sheetView rightToLeft="1" topLeftCell="A4" workbookViewId="0">
      <selection activeCell="D14" sqref="D14"/>
    </sheetView>
  </sheetViews>
  <sheetFormatPr defaultColWidth="10.42578125" defaultRowHeight="19.5" x14ac:dyDescent="0.45"/>
  <cols>
    <col min="1" max="1" width="2.140625" style="425" customWidth="1"/>
    <col min="2" max="2" width="5" style="425" customWidth="1"/>
    <col min="3" max="3" width="60.7109375" style="425" customWidth="1"/>
    <col min="4" max="4" width="25.42578125" style="425" bestFit="1" customWidth="1"/>
    <col min="5" max="5" width="11.42578125" style="425" customWidth="1"/>
    <col min="6" max="6" width="20.5703125" style="425" bestFit="1" customWidth="1"/>
    <col min="7" max="7" width="14.140625" style="425" bestFit="1" customWidth="1"/>
    <col min="8" max="8" width="11.42578125" style="425" customWidth="1"/>
    <col min="9" max="9" width="14.42578125" style="425" customWidth="1"/>
    <col min="10" max="10" width="12.5703125" style="425" bestFit="1" customWidth="1"/>
    <col min="11" max="11" width="12.28515625" style="425" customWidth="1"/>
    <col min="12" max="12" width="6.140625" style="425" customWidth="1"/>
    <col min="13" max="13" width="4.5703125" style="425" customWidth="1"/>
    <col min="14" max="14" width="10.42578125" style="425"/>
    <col min="15" max="15" width="11" style="425" bestFit="1" customWidth="1"/>
    <col min="16" max="16" width="20.28515625" style="521" customWidth="1"/>
    <col min="17" max="17" width="23.7109375" style="425" customWidth="1"/>
    <col min="18" max="16384" width="10.42578125" style="425"/>
  </cols>
  <sheetData>
    <row r="1" spans="2:29" ht="7.5" customHeight="1" x14ac:dyDescent="0.45"/>
    <row r="2" spans="2:29" s="522" customFormat="1" ht="33.75" customHeight="1" thickBot="1" x14ac:dyDescent="0.8">
      <c r="C2" s="1389" t="s">
        <v>541</v>
      </c>
      <c r="D2" s="1389"/>
      <c r="E2" s="1389"/>
      <c r="F2" s="1389"/>
      <c r="G2" s="1389"/>
      <c r="H2" s="1389"/>
      <c r="I2" s="1389"/>
      <c r="J2" s="1389"/>
      <c r="K2" s="523"/>
      <c r="P2" s="1145"/>
    </row>
    <row r="3" spans="2:29" s="426" customFormat="1" ht="40.5" customHeight="1" x14ac:dyDescent="0.25">
      <c r="B3" s="1146"/>
      <c r="C3" s="1147" t="s">
        <v>542</v>
      </c>
      <c r="D3" s="1148" t="s">
        <v>869</v>
      </c>
      <c r="E3" s="1149" t="s">
        <v>870</v>
      </c>
      <c r="F3" s="1149" t="s">
        <v>871</v>
      </c>
      <c r="G3" s="1149" t="s">
        <v>872</v>
      </c>
      <c r="H3" s="1149" t="s">
        <v>543</v>
      </c>
      <c r="I3" s="1149" t="s">
        <v>873</v>
      </c>
      <c r="J3" s="1150" t="s">
        <v>308</v>
      </c>
      <c r="M3" s="524"/>
      <c r="N3" s="524"/>
      <c r="O3" s="524"/>
      <c r="P3" s="1151"/>
      <c r="Q3" s="524"/>
      <c r="R3" s="524"/>
    </row>
    <row r="4" spans="2:29" s="426" customFormat="1" ht="30" customHeight="1" x14ac:dyDescent="0.45">
      <c r="B4" s="1152">
        <v>1</v>
      </c>
      <c r="C4" s="942" t="str">
        <f>'مدرک تحصیلی '!D8</f>
        <v>زهرا افشار</v>
      </c>
      <c r="D4" s="1115">
        <v>1E-3</v>
      </c>
      <c r="E4" s="1153">
        <v>1</v>
      </c>
      <c r="F4" s="1153">
        <v>0.5</v>
      </c>
      <c r="G4" s="1153">
        <v>1</v>
      </c>
      <c r="H4" s="1153">
        <v>0.8</v>
      </c>
      <c r="I4" s="1154">
        <v>0.85</v>
      </c>
      <c r="J4" s="1155">
        <f>(AVERAGE(E4:I4)*D4)</f>
        <v>8.299999999999999E-4</v>
      </c>
      <c r="M4" s="524"/>
      <c r="N4" s="1156"/>
      <c r="O4" s="1156"/>
      <c r="P4" s="1156"/>
      <c r="Q4" s="1156"/>
      <c r="R4" s="1156"/>
      <c r="S4" s="1156"/>
      <c r="T4" s="1"/>
      <c r="U4" s="1156"/>
      <c r="V4" s="1156"/>
      <c r="W4" s="1156"/>
      <c r="X4" s="1156"/>
      <c r="Y4" s="1156"/>
      <c r="Z4" s="1156"/>
      <c r="AA4" s="1"/>
      <c r="AB4" s="1"/>
      <c r="AC4" s="1"/>
    </row>
    <row r="5" spans="2:29" s="426" customFormat="1" ht="30" customHeight="1" x14ac:dyDescent="0.45">
      <c r="B5" s="1152">
        <v>2</v>
      </c>
      <c r="C5" s="942" t="str">
        <f>'مدرک تحصیلی '!D9</f>
        <v>اصغر بهزادی</v>
      </c>
      <c r="D5" s="1116">
        <v>0.499</v>
      </c>
      <c r="E5" s="1153">
        <v>1</v>
      </c>
      <c r="F5" s="1153">
        <v>1</v>
      </c>
      <c r="G5" s="1153">
        <v>1</v>
      </c>
      <c r="H5" s="1153">
        <v>0.8</v>
      </c>
      <c r="I5" s="1154">
        <v>0.85</v>
      </c>
      <c r="J5" s="1155">
        <f>(AVERAGE(E5:I5)*D5)</f>
        <v>0.46406999999999998</v>
      </c>
      <c r="M5" s="524"/>
      <c r="N5" s="1156"/>
      <c r="O5" s="1156"/>
      <c r="P5" s="1156"/>
      <c r="Q5" s="1156"/>
      <c r="R5" s="1156"/>
      <c r="S5" s="1156"/>
      <c r="T5" s="1"/>
      <c r="U5" s="1156"/>
      <c r="V5" s="1156"/>
      <c r="W5" s="1156"/>
      <c r="X5" s="1156"/>
      <c r="Y5" s="1156"/>
      <c r="Z5" s="1156"/>
      <c r="AA5" s="1"/>
      <c r="AB5" s="1"/>
      <c r="AC5" s="1"/>
    </row>
    <row r="6" spans="2:29" s="426" customFormat="1" ht="30" customHeight="1" x14ac:dyDescent="0.45">
      <c r="B6" s="1157"/>
      <c r="C6" s="942" t="str">
        <f>'مدرک تحصیلی '!D10</f>
        <v>حمیدرضا تیغ بند</v>
      </c>
      <c r="D6" s="1116">
        <v>0.499</v>
      </c>
      <c r="E6" s="1153">
        <v>1</v>
      </c>
      <c r="F6" s="1153">
        <v>1</v>
      </c>
      <c r="G6" s="1153">
        <v>1</v>
      </c>
      <c r="H6" s="1153">
        <v>0.8</v>
      </c>
      <c r="I6" s="1154">
        <v>0.85</v>
      </c>
      <c r="J6" s="1155">
        <f>(AVERAGE(E6:I6)*D6)</f>
        <v>0.46406999999999998</v>
      </c>
      <c r="M6" s="524"/>
      <c r="N6" s="1156"/>
      <c r="O6" s="1156"/>
      <c r="P6" s="1156"/>
      <c r="Q6" s="1156"/>
      <c r="R6" s="1156"/>
      <c r="S6" s="1156"/>
      <c r="T6" s="1"/>
      <c r="U6" s="1156"/>
      <c r="V6" s="1156"/>
      <c r="W6" s="1156"/>
      <c r="X6" s="1156"/>
      <c r="Y6" s="1156"/>
      <c r="Z6" s="1156"/>
      <c r="AA6" s="1"/>
      <c r="AB6" s="1"/>
      <c r="AC6" s="1"/>
    </row>
    <row r="7" spans="2:29" s="426" customFormat="1" ht="30" customHeight="1" x14ac:dyDescent="0.45">
      <c r="B7" s="1157"/>
      <c r="C7" s="942" t="str">
        <f>'مدرک تحصیلی '!D11</f>
        <v>فاطمه سعیدی</v>
      </c>
      <c r="D7" s="1116">
        <v>1E-3</v>
      </c>
      <c r="E7" s="1153">
        <v>1</v>
      </c>
      <c r="F7" s="1153">
        <v>0.5</v>
      </c>
      <c r="G7" s="1153">
        <v>1</v>
      </c>
      <c r="H7" s="1153">
        <v>0.8</v>
      </c>
      <c r="I7" s="1154">
        <v>0.85</v>
      </c>
      <c r="J7" s="1155">
        <f>(AVERAGE(E7:I7)*D7)</f>
        <v>8.299999999999999E-4</v>
      </c>
      <c r="M7" s="524"/>
      <c r="N7" s="1156"/>
      <c r="O7" s="1156"/>
      <c r="P7" s="1156"/>
      <c r="Q7" s="1156"/>
      <c r="R7" s="1156"/>
      <c r="S7" s="1156"/>
      <c r="T7" s="1"/>
      <c r="U7" s="1156"/>
      <c r="V7" s="1156"/>
      <c r="W7" s="1156"/>
      <c r="X7" s="1156"/>
      <c r="Y7" s="1156"/>
      <c r="Z7" s="1156"/>
      <c r="AA7" s="1"/>
      <c r="AB7" s="1"/>
      <c r="AC7" s="1"/>
    </row>
    <row r="8" spans="2:29" s="426" customFormat="1" ht="23.25" customHeight="1" thickBot="1" x14ac:dyDescent="0.3">
      <c r="B8" s="1158"/>
      <c r="C8" s="1159" t="s">
        <v>544</v>
      </c>
      <c r="D8" s="1160">
        <f>SUM(D4:D7)</f>
        <v>1</v>
      </c>
      <c r="E8" s="1159"/>
      <c r="F8" s="1159"/>
      <c r="G8" s="1159"/>
      <c r="H8" s="1159"/>
      <c r="I8" s="1159"/>
      <c r="J8" s="1161">
        <f>SUM(J4:J7)</f>
        <v>0.92979999999999996</v>
      </c>
      <c r="K8" s="1162"/>
      <c r="M8" s="524"/>
      <c r="N8" s="1156"/>
      <c r="O8" s="1156"/>
      <c r="P8" s="888"/>
      <c r="Q8" s="888"/>
      <c r="R8" s="888"/>
      <c r="S8" s="888"/>
      <c r="T8" s="1"/>
      <c r="U8" s="888"/>
      <c r="V8" s="888"/>
      <c r="W8" s="1"/>
      <c r="X8" s="1"/>
      <c r="Y8" s="1"/>
      <c r="Z8" s="1"/>
      <c r="AA8" s="1"/>
      <c r="AB8" s="1"/>
      <c r="AC8" s="1"/>
    </row>
    <row r="9" spans="2:29" s="527" customFormat="1" ht="33.75" customHeight="1" thickBot="1" x14ac:dyDescent="0.3">
      <c r="B9" s="525"/>
      <c r="C9" s="526"/>
      <c r="D9" s="1027"/>
      <c r="E9" s="525"/>
      <c r="F9" s="525"/>
      <c r="G9" s="525"/>
      <c r="H9" s="1163" t="s">
        <v>874</v>
      </c>
      <c r="I9" s="1164"/>
      <c r="J9" s="1165">
        <v>0.5</v>
      </c>
      <c r="K9" s="1166">
        <f>0.7-(_xlfn.STDEV.P(D4:D7))</f>
        <v>0.45099999999999996</v>
      </c>
      <c r="L9" s="1167"/>
      <c r="M9" s="524"/>
      <c r="N9" s="524"/>
      <c r="O9" s="524"/>
      <c r="P9" s="1"/>
      <c r="Q9" s="1168"/>
      <c r="R9" s="1"/>
      <c r="S9" s="1"/>
      <c r="T9" s="1"/>
      <c r="U9" s="1"/>
      <c r="V9" s="1"/>
      <c r="W9" s="1"/>
      <c r="X9" s="1"/>
      <c r="Y9" s="1"/>
      <c r="Z9" s="1"/>
      <c r="AA9" s="1"/>
      <c r="AB9" s="1"/>
      <c r="AC9" s="1"/>
    </row>
    <row r="10" spans="2:29" ht="39.75" customHeight="1" thickBot="1" x14ac:dyDescent="0.5">
      <c r="D10" s="1028"/>
      <c r="E10" s="801"/>
      <c r="F10" s="1169"/>
      <c r="G10" s="1029"/>
      <c r="H10" s="1170" t="s">
        <v>257</v>
      </c>
      <c r="I10" s="1171"/>
      <c r="J10" s="1172">
        <f>J9*J8</f>
        <v>0.46489999999999998</v>
      </c>
      <c r="K10" s="803"/>
      <c r="M10" s="524"/>
      <c r="N10" s="524"/>
      <c r="O10" s="524"/>
      <c r="P10" s="1"/>
      <c r="Q10" s="1173"/>
      <c r="R10" s="1"/>
      <c r="S10" s="1"/>
      <c r="T10" s="1"/>
      <c r="U10" s="1"/>
      <c r="V10" s="1"/>
      <c r="W10" s="1"/>
      <c r="X10" s="1"/>
      <c r="Y10" s="1"/>
      <c r="Z10" s="1"/>
      <c r="AA10" s="1"/>
      <c r="AB10" s="1"/>
      <c r="AC10" s="1"/>
    </row>
    <row r="11" spans="2:29" ht="42" customHeight="1" thickBot="1" x14ac:dyDescent="0.5">
      <c r="D11" s="801"/>
      <c r="E11" s="801"/>
      <c r="F11" s="802"/>
      <c r="G11" s="1029"/>
      <c r="H11" s="802"/>
      <c r="P11" s="1"/>
      <c r="Q11" s="1173"/>
      <c r="R11" s="1"/>
      <c r="S11" s="1"/>
      <c r="T11" s="1"/>
      <c r="U11" s="1"/>
      <c r="V11" s="1"/>
      <c r="W11" s="1"/>
      <c r="X11" s="1"/>
      <c r="Y11" s="1"/>
      <c r="Z11" s="1"/>
      <c r="AA11" s="1"/>
      <c r="AB11" s="1"/>
      <c r="AC11" s="1"/>
    </row>
    <row r="12" spans="2:29" s="528" customFormat="1" ht="24.75" thickBot="1" x14ac:dyDescent="0.3">
      <c r="C12" s="1174" t="s">
        <v>870</v>
      </c>
      <c r="D12" s="1175"/>
      <c r="E12" s="1176" t="s">
        <v>242</v>
      </c>
      <c r="F12" s="1176" t="s">
        <v>243</v>
      </c>
      <c r="G12" s="1176" t="s">
        <v>72</v>
      </c>
      <c r="H12" s="1176" t="s">
        <v>244</v>
      </c>
      <c r="I12" s="1177" t="s">
        <v>245</v>
      </c>
      <c r="P12" s="1"/>
      <c r="Q12" s="1144"/>
      <c r="R12" s="1"/>
      <c r="S12" s="1"/>
      <c r="T12" s="1"/>
      <c r="U12" s="1"/>
      <c r="V12" s="1"/>
      <c r="W12" s="1"/>
      <c r="X12" s="1"/>
      <c r="Y12" s="1"/>
      <c r="Z12" s="1"/>
      <c r="AA12" s="1"/>
      <c r="AB12" s="1"/>
      <c r="AC12" s="1"/>
    </row>
    <row r="13" spans="2:29" s="528" customFormat="1" ht="24" customHeight="1" x14ac:dyDescent="0.5">
      <c r="C13" s="1178" t="s">
        <v>875</v>
      </c>
      <c r="D13" s="425"/>
      <c r="E13" s="425"/>
      <c r="F13" s="425"/>
      <c r="G13" s="425"/>
      <c r="H13" s="425"/>
      <c r="I13" s="1179"/>
      <c r="P13" s="529"/>
    </row>
    <row r="14" spans="2:29" ht="24" customHeight="1" x14ac:dyDescent="0.5">
      <c r="C14" s="1178" t="s">
        <v>876</v>
      </c>
      <c r="I14" s="1179"/>
      <c r="J14" s="528"/>
    </row>
    <row r="15" spans="2:29" ht="24" customHeight="1" x14ac:dyDescent="0.5">
      <c r="C15" s="1178" t="s">
        <v>877</v>
      </c>
      <c r="I15" s="1179"/>
      <c r="J15" s="528"/>
    </row>
    <row r="16" spans="2:29" ht="24" customHeight="1" thickBot="1" x14ac:dyDescent="0.55000000000000004">
      <c r="C16" s="1180" t="s">
        <v>878</v>
      </c>
      <c r="D16" s="1181"/>
      <c r="E16" s="1181"/>
      <c r="F16" s="1181"/>
      <c r="G16" s="1181"/>
      <c r="H16" s="1181"/>
      <c r="I16" s="1182"/>
      <c r="J16" s="528"/>
    </row>
    <row r="17" spans="3:16" s="530" customFormat="1" ht="6.75" customHeight="1" thickBot="1" x14ac:dyDescent="0.6">
      <c r="P17" s="531"/>
    </row>
    <row r="18" spans="3:16" s="530" customFormat="1" ht="24.75" thickBot="1" x14ac:dyDescent="0.6">
      <c r="C18" s="1183" t="s">
        <v>879</v>
      </c>
      <c r="D18" s="1184" t="s">
        <v>880</v>
      </c>
      <c r="E18" s="1185" t="s">
        <v>15</v>
      </c>
      <c r="F18" s="1186"/>
      <c r="G18" s="532"/>
      <c r="H18" s="532"/>
      <c r="I18" s="532"/>
      <c r="P18" s="531"/>
    </row>
    <row r="19" spans="3:16" s="530" customFormat="1" ht="24" x14ac:dyDescent="0.55000000000000004">
      <c r="C19" s="1187"/>
      <c r="D19" s="1188" t="s">
        <v>545</v>
      </c>
      <c r="E19" s="1189">
        <v>100</v>
      </c>
      <c r="F19" s="1186"/>
      <c r="G19" s="532"/>
      <c r="H19" s="532"/>
      <c r="I19" s="532"/>
      <c r="P19" s="531"/>
    </row>
    <row r="20" spans="3:16" s="530" customFormat="1" ht="24" x14ac:dyDescent="0.55000000000000004">
      <c r="C20" s="1190"/>
      <c r="D20" s="1188" t="s">
        <v>881</v>
      </c>
      <c r="E20" s="1189">
        <v>80</v>
      </c>
      <c r="F20" s="1186"/>
      <c r="G20" s="532"/>
      <c r="H20" s="532"/>
      <c r="I20" s="532"/>
      <c r="P20" s="531"/>
    </row>
    <row r="21" spans="3:16" ht="21.6" customHeight="1" thickBot="1" x14ac:dyDescent="0.5">
      <c r="C21" s="1191"/>
      <c r="D21" s="1192" t="s">
        <v>882</v>
      </c>
      <c r="E21" s="1193">
        <v>60</v>
      </c>
      <c r="F21" s="1194"/>
    </row>
    <row r="22" spans="3:16" ht="33" customHeight="1" thickBot="1" x14ac:dyDescent="0.5">
      <c r="C22" s="425" t="s">
        <v>883</v>
      </c>
    </row>
    <row r="23" spans="3:16" s="533" customFormat="1" ht="32.25" customHeight="1" thickBot="1" x14ac:dyDescent="0.6">
      <c r="C23" s="1195" t="s">
        <v>871</v>
      </c>
      <c r="D23" s="1196"/>
      <c r="E23" s="1176" t="s">
        <v>242</v>
      </c>
      <c r="F23" s="1176" t="s">
        <v>243</v>
      </c>
      <c r="G23" s="1176" t="s">
        <v>72</v>
      </c>
      <c r="H23" s="1176" t="s">
        <v>244</v>
      </c>
      <c r="I23" s="1177" t="s">
        <v>245</v>
      </c>
      <c r="P23" s="534"/>
    </row>
    <row r="24" spans="3:16" ht="24" customHeight="1" x14ac:dyDescent="0.45">
      <c r="C24" s="1194" t="s">
        <v>884</v>
      </c>
      <c r="I24" s="1179"/>
    </row>
    <row r="25" spans="3:16" ht="24" customHeight="1" x14ac:dyDescent="0.45">
      <c r="C25" s="1194" t="s">
        <v>885</v>
      </c>
      <c r="I25" s="1179"/>
    </row>
    <row r="26" spans="3:16" ht="24" customHeight="1" x14ac:dyDescent="0.45">
      <c r="C26" s="1194" t="s">
        <v>886</v>
      </c>
      <c r="I26" s="1179"/>
    </row>
    <row r="27" spans="3:16" ht="24" customHeight="1" x14ac:dyDescent="0.45">
      <c r="C27" s="1194" t="s">
        <v>887</v>
      </c>
      <c r="I27" s="1179"/>
    </row>
    <row r="28" spans="3:16" s="528" customFormat="1" ht="24" customHeight="1" thickBot="1" x14ac:dyDescent="0.5">
      <c r="C28" s="1191" t="s">
        <v>888</v>
      </c>
      <c r="D28" s="1181"/>
      <c r="E28" s="1181"/>
      <c r="F28" s="1181"/>
      <c r="G28" s="1181"/>
      <c r="H28" s="1181"/>
      <c r="I28" s="1182"/>
      <c r="P28" s="529"/>
    </row>
    <row r="29" spans="3:16" s="535" customFormat="1" ht="11.25" customHeight="1" thickBot="1" x14ac:dyDescent="0.6">
      <c r="P29" s="1197"/>
    </row>
    <row r="30" spans="3:16" ht="24" x14ac:dyDescent="0.45">
      <c r="C30" s="1198" t="s">
        <v>889</v>
      </c>
      <c r="D30" s="1199" t="s">
        <v>15</v>
      </c>
    </row>
    <row r="31" spans="3:16" ht="24.75" thickBot="1" x14ac:dyDescent="0.5">
      <c r="C31" s="1200" t="s">
        <v>890</v>
      </c>
      <c r="D31" s="1201"/>
    </row>
    <row r="32" spans="3:16" ht="24" x14ac:dyDescent="0.55000000000000004">
      <c r="C32" s="1202" t="s">
        <v>546</v>
      </c>
      <c r="D32" s="1203">
        <v>1</v>
      </c>
    </row>
    <row r="33" spans="3:16" ht="24" x14ac:dyDescent="0.55000000000000004">
      <c r="C33" s="1204" t="s">
        <v>547</v>
      </c>
      <c r="D33" s="1205">
        <v>0.9</v>
      </c>
    </row>
    <row r="34" spans="3:16" ht="24" x14ac:dyDescent="0.55000000000000004">
      <c r="C34" s="1204" t="s">
        <v>548</v>
      </c>
      <c r="D34" s="1205" t="s">
        <v>891</v>
      </c>
      <c r="E34" s="1206" t="s">
        <v>892</v>
      </c>
    </row>
    <row r="35" spans="3:16" ht="24" x14ac:dyDescent="0.55000000000000004">
      <c r="C35" s="1204" t="s">
        <v>549</v>
      </c>
      <c r="D35" s="1205">
        <v>0.8</v>
      </c>
    </row>
    <row r="36" spans="3:16" s="426" customFormat="1" ht="33.6" customHeight="1" x14ac:dyDescent="0.25">
      <c r="C36" s="1207" t="s">
        <v>893</v>
      </c>
      <c r="D36" s="1208">
        <v>0.9</v>
      </c>
      <c r="P36" s="1209"/>
    </row>
    <row r="37" spans="3:16" ht="24" x14ac:dyDescent="0.55000000000000004">
      <c r="C37" s="1204" t="s">
        <v>550</v>
      </c>
      <c r="D37" s="1205">
        <v>0.6</v>
      </c>
    </row>
    <row r="38" spans="3:16" ht="24" x14ac:dyDescent="0.55000000000000004">
      <c r="C38" s="1210" t="s">
        <v>551</v>
      </c>
      <c r="D38" s="1211">
        <v>0.7</v>
      </c>
    </row>
    <row r="39" spans="3:16" ht="36" customHeight="1" thickBot="1" x14ac:dyDescent="0.6">
      <c r="C39" s="1212" t="s">
        <v>552</v>
      </c>
      <c r="D39" s="1213" t="s">
        <v>894</v>
      </c>
    </row>
    <row r="40" spans="3:16" ht="20.25" thickBot="1" x14ac:dyDescent="0.5">
      <c r="C40" s="426"/>
      <c r="D40" s="426"/>
    </row>
    <row r="41" spans="3:16" ht="24.75" thickBot="1" x14ac:dyDescent="0.5">
      <c r="C41" s="1214" t="s">
        <v>872</v>
      </c>
      <c r="D41" s="1143" t="s">
        <v>15</v>
      </c>
    </row>
    <row r="42" spans="3:16" ht="24" x14ac:dyDescent="0.55000000000000004">
      <c r="C42" s="1202" t="s">
        <v>895</v>
      </c>
      <c r="D42" s="1203">
        <v>1</v>
      </c>
    </row>
    <row r="43" spans="3:16" ht="24" x14ac:dyDescent="0.55000000000000004">
      <c r="C43" s="1204" t="s">
        <v>896</v>
      </c>
      <c r="D43" s="1205">
        <v>0.8</v>
      </c>
    </row>
    <row r="44" spans="3:16" ht="24" x14ac:dyDescent="0.55000000000000004">
      <c r="C44" s="1204" t="s">
        <v>897</v>
      </c>
      <c r="D44" s="1205">
        <v>0.7</v>
      </c>
    </row>
    <row r="45" spans="3:16" ht="24" x14ac:dyDescent="0.55000000000000004">
      <c r="C45" s="1204" t="s">
        <v>898</v>
      </c>
      <c r="D45" s="1205" t="s">
        <v>899</v>
      </c>
    </row>
    <row r="46" spans="3:16" ht="24.75" thickBot="1" x14ac:dyDescent="0.6">
      <c r="C46" s="1212" t="s">
        <v>900</v>
      </c>
      <c r="D46" s="1213" t="s">
        <v>901</v>
      </c>
    </row>
  </sheetData>
  <mergeCells count="1">
    <mergeCell ref="C2:J2"/>
  </mergeCells>
  <conditionalFormatting sqref="D4">
    <cfRule type="cellIs" dxfId="13" priority="5" operator="lessThanOrEqual">
      <formula>0.00000000001</formula>
    </cfRule>
  </conditionalFormatting>
  <conditionalFormatting sqref="D5">
    <cfRule type="cellIs" dxfId="12" priority="4" operator="lessThanOrEqual">
      <formula>0.00000000001</formula>
    </cfRule>
  </conditionalFormatting>
  <conditionalFormatting sqref="D6">
    <cfRule type="cellIs" dxfId="11" priority="3" operator="lessThanOrEqual">
      <formula>0.00000000001</formula>
    </cfRule>
  </conditionalFormatting>
  <conditionalFormatting sqref="D7">
    <cfRule type="cellIs" dxfId="10" priority="2" operator="lessThanOrEqual">
      <formula>0.00000000001</formula>
    </cfRule>
  </conditionalFormatting>
  <conditionalFormatting sqref="D4:D7">
    <cfRule type="containsBlanks" dxfId="9" priority="1">
      <formula>LEN(TRIM(D4))=0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Y69"/>
  <sheetViews>
    <sheetView rightToLeft="1" topLeftCell="B10" zoomScaleNormal="100" workbookViewId="0">
      <selection activeCell="N6" sqref="N6:N20"/>
    </sheetView>
  </sheetViews>
  <sheetFormatPr defaultColWidth="8.85546875" defaultRowHeight="15" x14ac:dyDescent="0.25"/>
  <cols>
    <col min="1" max="1" width="97.28515625" style="6" customWidth="1"/>
    <col min="2" max="2" width="5.42578125" style="6" customWidth="1"/>
    <col min="3" max="3" width="16" style="6" customWidth="1"/>
    <col min="4" max="4" width="7.140625" style="6" customWidth="1"/>
    <col min="5" max="11" width="7" style="6" customWidth="1"/>
    <col min="12" max="12" width="7.5703125" style="6" customWidth="1"/>
    <col min="13" max="13" width="9.42578125" style="6" hidden="1" customWidth="1"/>
    <col min="14" max="14" width="6.140625" style="6" customWidth="1"/>
    <col min="15" max="15" width="7.85546875" style="6" customWidth="1"/>
    <col min="16" max="16" width="7" style="6" customWidth="1"/>
    <col min="17" max="17" width="6.5703125" style="6" customWidth="1"/>
    <col min="18" max="19" width="8" style="6" customWidth="1"/>
    <col min="20" max="20" width="5.85546875" style="6" customWidth="1"/>
    <col min="21" max="21" width="8" style="6" customWidth="1"/>
    <col min="22" max="22" width="5.85546875" style="6" customWidth="1"/>
    <col min="23" max="23" width="7" style="6" customWidth="1"/>
    <col min="24" max="24" width="5.140625" style="6" customWidth="1"/>
    <col min="25" max="25" width="7.5703125" style="6" customWidth="1"/>
    <col min="26" max="16384" width="8.85546875" style="6"/>
  </cols>
  <sheetData>
    <row r="1" spans="1:25" ht="45" customHeight="1" x14ac:dyDescent="0.25">
      <c r="B1" s="170"/>
      <c r="C1" s="170"/>
      <c r="D1" s="170"/>
      <c r="E1" s="170"/>
      <c r="F1" s="170"/>
      <c r="G1" s="170"/>
      <c r="H1" s="170"/>
      <c r="I1" s="170"/>
      <c r="J1" s="170"/>
      <c r="K1" s="170"/>
      <c r="L1" s="170"/>
      <c r="M1" s="170"/>
      <c r="N1" s="170"/>
      <c r="O1" s="170"/>
      <c r="P1" s="170"/>
      <c r="Q1" s="170"/>
      <c r="R1" s="170"/>
      <c r="S1" s="170"/>
      <c r="T1" s="170"/>
      <c r="U1" s="170"/>
      <c r="V1" s="170"/>
      <c r="W1" s="170"/>
      <c r="X1" s="170"/>
      <c r="Y1" s="170"/>
    </row>
    <row r="2" spans="1:25" ht="38.450000000000003" customHeight="1" thickBot="1" x14ac:dyDescent="0.55000000000000004">
      <c r="A2" s="9"/>
      <c r="B2" s="34"/>
      <c r="C2" s="34"/>
      <c r="D2" s="34"/>
      <c r="E2" s="34"/>
      <c r="F2" s="34"/>
      <c r="G2" s="170"/>
      <c r="H2" s="170"/>
      <c r="I2" s="170"/>
      <c r="J2" s="170"/>
      <c r="K2" s="170"/>
      <c r="L2" s="170"/>
      <c r="M2" s="34"/>
      <c r="N2" s="170"/>
      <c r="O2" s="170"/>
      <c r="P2" s="170"/>
      <c r="Q2" s="170"/>
      <c r="R2" s="170"/>
      <c r="S2" s="170"/>
      <c r="T2" s="170"/>
      <c r="U2" s="170"/>
      <c r="V2" s="170"/>
      <c r="W2" s="170"/>
      <c r="X2" s="170"/>
      <c r="Y2" s="170"/>
    </row>
    <row r="3" spans="1:25" ht="28.5" customHeight="1" x14ac:dyDescent="0.25">
      <c r="B3" s="1408" t="s">
        <v>38</v>
      </c>
      <c r="C3" s="1411" t="s">
        <v>56</v>
      </c>
      <c r="D3" s="1414" t="s">
        <v>57</v>
      </c>
      <c r="E3" s="1416" t="s">
        <v>58</v>
      </c>
      <c r="F3" s="1416"/>
      <c r="G3" s="1416"/>
      <c r="H3" s="1416"/>
      <c r="I3" s="1416"/>
      <c r="J3" s="1416"/>
      <c r="K3" s="1416"/>
      <c r="L3" s="1417" t="s">
        <v>59</v>
      </c>
      <c r="M3" s="1420" t="s">
        <v>56</v>
      </c>
      <c r="N3" s="1414" t="s">
        <v>60</v>
      </c>
      <c r="O3" s="1416" t="s">
        <v>15</v>
      </c>
      <c r="P3" s="1416"/>
      <c r="Q3" s="1416"/>
      <c r="R3" s="1416" t="s">
        <v>61</v>
      </c>
      <c r="S3" s="1416"/>
      <c r="T3" s="1416"/>
      <c r="U3" s="1416"/>
      <c r="V3" s="1416"/>
      <c r="W3" s="1416"/>
      <c r="X3" s="1416"/>
      <c r="Y3" s="1401" t="s">
        <v>62</v>
      </c>
    </row>
    <row r="4" spans="1:25" ht="44.45" customHeight="1" x14ac:dyDescent="0.25">
      <c r="A4" s="10"/>
      <c r="B4" s="1409"/>
      <c r="C4" s="1412"/>
      <c r="D4" s="1415"/>
      <c r="E4" s="1390" t="s">
        <v>63</v>
      </c>
      <c r="F4" s="1390" t="s">
        <v>64</v>
      </c>
      <c r="G4" s="1390" t="s">
        <v>65</v>
      </c>
      <c r="H4" s="1390" t="s">
        <v>66</v>
      </c>
      <c r="I4" s="1390" t="s">
        <v>67</v>
      </c>
      <c r="J4" s="1390" t="s">
        <v>68</v>
      </c>
      <c r="K4" s="1390" t="s">
        <v>69</v>
      </c>
      <c r="L4" s="1418"/>
      <c r="M4" s="1421"/>
      <c r="N4" s="1415"/>
      <c r="O4" s="1390" t="s">
        <v>70</v>
      </c>
      <c r="P4" s="1390" t="s">
        <v>71</v>
      </c>
      <c r="Q4" s="1390" t="s">
        <v>72</v>
      </c>
      <c r="R4" s="216" t="s">
        <v>63</v>
      </c>
      <c r="S4" s="216" t="s">
        <v>64</v>
      </c>
      <c r="T4" s="216" t="s">
        <v>65</v>
      </c>
      <c r="U4" s="216" t="s">
        <v>66</v>
      </c>
      <c r="V4" s="216" t="s">
        <v>67</v>
      </c>
      <c r="W4" s="216" t="s">
        <v>68</v>
      </c>
      <c r="X4" s="216" t="s">
        <v>69</v>
      </c>
      <c r="Y4" s="1402"/>
    </row>
    <row r="5" spans="1:25" ht="27.6" customHeight="1" thickBot="1" x14ac:dyDescent="0.3">
      <c r="B5" s="1410"/>
      <c r="C5" s="1413"/>
      <c r="D5" s="1391"/>
      <c r="E5" s="1391"/>
      <c r="F5" s="1391"/>
      <c r="G5" s="1391"/>
      <c r="H5" s="1391"/>
      <c r="I5" s="1391"/>
      <c r="J5" s="1391"/>
      <c r="K5" s="1391"/>
      <c r="L5" s="1419"/>
      <c r="M5" s="1422"/>
      <c r="N5" s="1391"/>
      <c r="O5" s="1391"/>
      <c r="P5" s="1391"/>
      <c r="Q5" s="1391"/>
      <c r="R5" s="217">
        <v>0.05</v>
      </c>
      <c r="S5" s="217">
        <v>0.05</v>
      </c>
      <c r="T5" s="217">
        <v>0.5</v>
      </c>
      <c r="U5" s="217">
        <v>0.2</v>
      </c>
      <c r="V5" s="217">
        <v>0.2</v>
      </c>
      <c r="W5" s="217">
        <v>0.2</v>
      </c>
      <c r="X5" s="217">
        <v>0.2</v>
      </c>
      <c r="Y5" s="1403"/>
    </row>
    <row r="6" spans="1:25" s="7" customFormat="1" ht="33.6" customHeight="1" x14ac:dyDescent="0.25">
      <c r="B6" s="205">
        <v>1</v>
      </c>
      <c r="C6" s="1081" t="s">
        <v>798</v>
      </c>
      <c r="D6" s="424" t="s">
        <v>799</v>
      </c>
      <c r="E6" s="1060">
        <v>1</v>
      </c>
      <c r="F6" s="1060">
        <v>0.2</v>
      </c>
      <c r="G6" s="1060">
        <v>0.8</v>
      </c>
      <c r="H6" s="1060">
        <v>0</v>
      </c>
      <c r="I6" s="1060">
        <v>0</v>
      </c>
      <c r="J6" s="1060">
        <v>0</v>
      </c>
      <c r="K6" s="1060">
        <v>0</v>
      </c>
      <c r="L6" s="1061">
        <v>0.5</v>
      </c>
      <c r="M6" s="1081" t="str">
        <f>C6</f>
        <v>دستورالعمل ماهیت محصولات و قطعات یدکی</v>
      </c>
      <c r="N6" s="1060">
        <v>1</v>
      </c>
      <c r="O6" s="1060">
        <v>0.4</v>
      </c>
      <c r="P6" s="1060">
        <v>0.6</v>
      </c>
      <c r="Q6" s="188">
        <f t="shared" ref="Q6:Q13" si="0">(P6+O6)/2</f>
        <v>0.5</v>
      </c>
      <c r="R6" s="188">
        <f t="shared" ref="R6:R20" si="1">E6*Q6*N6*L6</f>
        <v>0.25</v>
      </c>
      <c r="S6" s="188">
        <f t="shared" ref="S6:S20" si="2">F6*Q6*N6*L6</f>
        <v>0.05</v>
      </c>
      <c r="T6" s="188">
        <f t="shared" ref="T6:T20" si="3">G6*Q6*N6*L6</f>
        <v>0.2</v>
      </c>
      <c r="U6" s="188">
        <f t="shared" ref="U6:U20" si="4">H6*$Q6*$N6*$L6</f>
        <v>0</v>
      </c>
      <c r="V6" s="188">
        <f t="shared" ref="V6:V20" si="5">I6*$Q6*$N6*$L6</f>
        <v>0</v>
      </c>
      <c r="W6" s="188">
        <f t="shared" ref="W6:W20" si="6">J6*$Q6*$N6*$L6</f>
        <v>0</v>
      </c>
      <c r="X6" s="188">
        <f t="shared" ref="X6:X20" si="7">K6*$Q6*$N6*$L6</f>
        <v>0</v>
      </c>
      <c r="Y6" s="169"/>
    </row>
    <row r="7" spans="1:25" s="7" customFormat="1" ht="33.6" customHeight="1" x14ac:dyDescent="0.25">
      <c r="B7" s="205">
        <v>2</v>
      </c>
      <c r="C7" s="206" t="s">
        <v>800</v>
      </c>
      <c r="D7" s="424" t="s">
        <v>799</v>
      </c>
      <c r="E7" s="1064">
        <v>0</v>
      </c>
      <c r="F7" s="1064">
        <v>0.2</v>
      </c>
      <c r="G7" s="1064">
        <v>0.2</v>
      </c>
      <c r="H7" s="1064">
        <v>0</v>
      </c>
      <c r="I7" s="1060">
        <v>0.4</v>
      </c>
      <c r="J7" s="1064">
        <v>1</v>
      </c>
      <c r="K7" s="1064">
        <v>0</v>
      </c>
      <c r="L7" s="1061">
        <v>0.5</v>
      </c>
      <c r="M7" s="206" t="str">
        <f>M6</f>
        <v>دستورالعمل ماهیت محصولات و قطعات یدکی</v>
      </c>
      <c r="N7" s="1060">
        <v>1</v>
      </c>
      <c r="O7" s="1060">
        <v>0.8</v>
      </c>
      <c r="P7" s="1060">
        <v>0.6</v>
      </c>
      <c r="Q7" s="188">
        <f t="shared" si="0"/>
        <v>0.7</v>
      </c>
      <c r="R7" s="188">
        <f t="shared" si="1"/>
        <v>0</v>
      </c>
      <c r="S7" s="188">
        <f t="shared" si="2"/>
        <v>6.9999999999999993E-2</v>
      </c>
      <c r="T7" s="188">
        <f t="shared" si="3"/>
        <v>6.9999999999999993E-2</v>
      </c>
      <c r="U7" s="188">
        <f t="shared" si="4"/>
        <v>0</v>
      </c>
      <c r="V7" s="188">
        <f t="shared" si="5"/>
        <v>0.13999999999999999</v>
      </c>
      <c r="W7" s="188">
        <f t="shared" si="6"/>
        <v>0.35</v>
      </c>
      <c r="X7" s="188">
        <f t="shared" si="7"/>
        <v>0</v>
      </c>
      <c r="Y7" s="189"/>
    </row>
    <row r="8" spans="1:25" s="7" customFormat="1" ht="33.6" customHeight="1" x14ac:dyDescent="0.25">
      <c r="B8" s="205">
        <v>3</v>
      </c>
      <c r="C8" s="206" t="s">
        <v>801</v>
      </c>
      <c r="D8" s="424" t="s">
        <v>799</v>
      </c>
      <c r="E8" s="1064">
        <v>0.8</v>
      </c>
      <c r="F8" s="1064">
        <v>0.2</v>
      </c>
      <c r="G8" s="1064">
        <v>0.8</v>
      </c>
      <c r="H8" s="1064">
        <v>0</v>
      </c>
      <c r="I8" s="1060">
        <v>0</v>
      </c>
      <c r="J8" s="1064">
        <v>0</v>
      </c>
      <c r="K8" s="1064">
        <v>0</v>
      </c>
      <c r="L8" s="1061">
        <v>0.5</v>
      </c>
      <c r="M8" s="206" t="str">
        <f t="shared" ref="M8:M20" si="8">C8</f>
        <v>دستورالعمل شناسایی و ردیابی انبار</v>
      </c>
      <c r="N8" s="1060">
        <v>1</v>
      </c>
      <c r="O8" s="1060">
        <v>0.8</v>
      </c>
      <c r="P8" s="1060">
        <v>0.6</v>
      </c>
      <c r="Q8" s="188">
        <f t="shared" si="0"/>
        <v>0.7</v>
      </c>
      <c r="R8" s="188">
        <f t="shared" si="1"/>
        <v>0.27999999999999997</v>
      </c>
      <c r="S8" s="188">
        <f t="shared" si="2"/>
        <v>6.9999999999999993E-2</v>
      </c>
      <c r="T8" s="188">
        <f t="shared" si="3"/>
        <v>0.27999999999999997</v>
      </c>
      <c r="U8" s="188">
        <f t="shared" si="4"/>
        <v>0</v>
      </c>
      <c r="V8" s="188">
        <f t="shared" si="5"/>
        <v>0</v>
      </c>
      <c r="W8" s="188">
        <f t="shared" si="6"/>
        <v>0</v>
      </c>
      <c r="X8" s="188">
        <f t="shared" si="7"/>
        <v>0</v>
      </c>
      <c r="Y8" s="189"/>
    </row>
    <row r="9" spans="1:25" s="7" customFormat="1" ht="33.6" customHeight="1" x14ac:dyDescent="0.25">
      <c r="B9" s="205">
        <v>4</v>
      </c>
      <c r="C9" s="207" t="s">
        <v>802</v>
      </c>
      <c r="D9" s="424" t="s">
        <v>799</v>
      </c>
      <c r="E9" s="1064">
        <v>0</v>
      </c>
      <c r="F9" s="1064">
        <v>0.7</v>
      </c>
      <c r="G9" s="1064">
        <v>0.5</v>
      </c>
      <c r="H9" s="1064">
        <v>0</v>
      </c>
      <c r="I9" s="1060">
        <v>0.7</v>
      </c>
      <c r="J9" s="1064">
        <v>1</v>
      </c>
      <c r="K9" s="1064"/>
      <c r="L9" s="1061">
        <v>0.5</v>
      </c>
      <c r="M9" s="207" t="str">
        <f t="shared" si="8"/>
        <v>دستورالعمل دریافت رضایت مشتریان</v>
      </c>
      <c r="N9" s="1060">
        <v>1</v>
      </c>
      <c r="O9" s="1060">
        <v>1</v>
      </c>
      <c r="P9" s="1060">
        <v>0.6</v>
      </c>
      <c r="Q9" s="188">
        <f t="shared" si="0"/>
        <v>0.8</v>
      </c>
      <c r="R9" s="188">
        <f t="shared" si="1"/>
        <v>0</v>
      </c>
      <c r="S9" s="188">
        <f t="shared" si="2"/>
        <v>0.27999999999999997</v>
      </c>
      <c r="T9" s="188">
        <f t="shared" si="3"/>
        <v>0.2</v>
      </c>
      <c r="U9" s="188">
        <f t="shared" si="4"/>
        <v>0</v>
      </c>
      <c r="V9" s="188">
        <f t="shared" si="5"/>
        <v>0.27999999999999997</v>
      </c>
      <c r="W9" s="188">
        <f t="shared" si="6"/>
        <v>0.4</v>
      </c>
      <c r="X9" s="188">
        <f t="shared" si="7"/>
        <v>0</v>
      </c>
      <c r="Y9" s="189"/>
    </row>
    <row r="10" spans="1:25" s="7" customFormat="1" ht="33.6" customHeight="1" x14ac:dyDescent="0.25">
      <c r="B10" s="205">
        <v>5</v>
      </c>
      <c r="C10" s="207" t="s">
        <v>803</v>
      </c>
      <c r="D10" s="424" t="s">
        <v>799</v>
      </c>
      <c r="E10" s="1060">
        <v>1</v>
      </c>
      <c r="F10" s="1060">
        <v>0.2</v>
      </c>
      <c r="G10" s="1060">
        <v>0.8</v>
      </c>
      <c r="H10" s="1060">
        <v>0</v>
      </c>
      <c r="I10" s="1060">
        <v>0</v>
      </c>
      <c r="J10" s="1060">
        <v>0</v>
      </c>
      <c r="K10" s="1060">
        <v>0</v>
      </c>
      <c r="L10" s="1063">
        <v>0.5</v>
      </c>
      <c r="M10" s="205" t="str">
        <f t="shared" si="8"/>
        <v xml:space="preserve">ستورالععمل بازرسی قطعات یدکی </v>
      </c>
      <c r="N10" s="1060">
        <v>1</v>
      </c>
      <c r="O10" s="1060">
        <v>1</v>
      </c>
      <c r="P10" s="1060">
        <v>0.6</v>
      </c>
      <c r="Q10" s="188">
        <f t="shared" si="0"/>
        <v>0.8</v>
      </c>
      <c r="R10" s="188">
        <f t="shared" si="1"/>
        <v>0.4</v>
      </c>
      <c r="S10" s="188">
        <f t="shared" si="2"/>
        <v>8.0000000000000016E-2</v>
      </c>
      <c r="T10" s="188">
        <f t="shared" si="3"/>
        <v>0.32000000000000006</v>
      </c>
      <c r="U10" s="188">
        <f t="shared" si="4"/>
        <v>0</v>
      </c>
      <c r="V10" s="188">
        <f t="shared" si="5"/>
        <v>0</v>
      </c>
      <c r="W10" s="188">
        <f t="shared" si="6"/>
        <v>0</v>
      </c>
      <c r="X10" s="188">
        <f t="shared" si="7"/>
        <v>0</v>
      </c>
      <c r="Y10" s="189"/>
    </row>
    <row r="11" spans="1:25" s="7" customFormat="1" ht="19.149999999999999" customHeight="1" x14ac:dyDescent="0.25">
      <c r="A11" s="11"/>
      <c r="B11" s="205">
        <v>6</v>
      </c>
      <c r="C11" s="207" t="s">
        <v>804</v>
      </c>
      <c r="D11" s="424" t="s">
        <v>799</v>
      </c>
      <c r="E11" s="1064">
        <v>0.1</v>
      </c>
      <c r="F11" s="1064">
        <v>0.1</v>
      </c>
      <c r="G11" s="1064">
        <v>1</v>
      </c>
      <c r="H11" s="1064">
        <v>0.1</v>
      </c>
      <c r="I11" s="1064">
        <v>0.1</v>
      </c>
      <c r="J11" s="1064">
        <v>0.1</v>
      </c>
      <c r="K11" s="1064">
        <v>0.1</v>
      </c>
      <c r="L11" s="1063">
        <v>0.5</v>
      </c>
      <c r="M11" s="205" t="str">
        <f t="shared" si="8"/>
        <v>روش اجرایی ممیزی داخلی</v>
      </c>
      <c r="N11" s="1060">
        <v>1</v>
      </c>
      <c r="O11" s="1064">
        <v>0.8</v>
      </c>
      <c r="P11" s="1064">
        <v>0.8</v>
      </c>
      <c r="Q11" s="188">
        <f t="shared" si="0"/>
        <v>0.8</v>
      </c>
      <c r="R11" s="188">
        <f t="shared" si="1"/>
        <v>4.0000000000000008E-2</v>
      </c>
      <c r="S11" s="188">
        <f t="shared" si="2"/>
        <v>4.0000000000000008E-2</v>
      </c>
      <c r="T11" s="188">
        <f t="shared" si="3"/>
        <v>0.4</v>
      </c>
      <c r="U11" s="188">
        <f t="shared" si="4"/>
        <v>4.0000000000000008E-2</v>
      </c>
      <c r="V11" s="188">
        <f t="shared" si="5"/>
        <v>4.0000000000000008E-2</v>
      </c>
      <c r="W11" s="188">
        <f t="shared" si="6"/>
        <v>4.0000000000000008E-2</v>
      </c>
      <c r="X11" s="188">
        <f t="shared" si="7"/>
        <v>4.0000000000000008E-2</v>
      </c>
      <c r="Y11" s="208"/>
    </row>
    <row r="12" spans="1:25" s="7" customFormat="1" ht="19.149999999999999" customHeight="1" x14ac:dyDescent="0.25">
      <c r="A12" s="11"/>
      <c r="B12" s="205">
        <v>7</v>
      </c>
      <c r="C12" s="207" t="s">
        <v>805</v>
      </c>
      <c r="D12" s="424" t="s">
        <v>799</v>
      </c>
      <c r="E12" s="1064">
        <v>0.1</v>
      </c>
      <c r="F12" s="1064">
        <v>0.1</v>
      </c>
      <c r="G12" s="1064">
        <v>0.2</v>
      </c>
      <c r="H12" s="1064">
        <v>0.1</v>
      </c>
      <c r="I12" s="1064">
        <v>1</v>
      </c>
      <c r="J12" s="1064">
        <v>0.1</v>
      </c>
      <c r="K12" s="1064">
        <v>0.1</v>
      </c>
      <c r="L12" s="1063">
        <v>0.5</v>
      </c>
      <c r="M12" s="205" t="str">
        <f t="shared" si="8"/>
        <v xml:space="preserve">روش اجرایی طرح ریزی اهداف کیفیت </v>
      </c>
      <c r="N12" s="1064">
        <v>1</v>
      </c>
      <c r="O12" s="1064">
        <v>0.7</v>
      </c>
      <c r="P12" s="1064">
        <v>0.7</v>
      </c>
      <c r="Q12" s="188">
        <f t="shared" si="0"/>
        <v>0.7</v>
      </c>
      <c r="R12" s="188">
        <f t="shared" si="1"/>
        <v>3.4999999999999996E-2</v>
      </c>
      <c r="S12" s="188">
        <f t="shared" si="2"/>
        <v>3.4999999999999996E-2</v>
      </c>
      <c r="T12" s="188">
        <f t="shared" si="3"/>
        <v>6.9999999999999993E-2</v>
      </c>
      <c r="U12" s="188">
        <f t="shared" si="4"/>
        <v>3.4999999999999996E-2</v>
      </c>
      <c r="V12" s="188">
        <f t="shared" si="5"/>
        <v>0.35</v>
      </c>
      <c r="W12" s="188">
        <f t="shared" si="6"/>
        <v>3.4999999999999996E-2</v>
      </c>
      <c r="X12" s="188">
        <f t="shared" si="7"/>
        <v>3.4999999999999996E-2</v>
      </c>
      <c r="Y12" s="208"/>
    </row>
    <row r="13" spans="1:25" s="7" customFormat="1" ht="19.149999999999999" customHeight="1" x14ac:dyDescent="0.25">
      <c r="B13" s="205">
        <v>8</v>
      </c>
      <c r="C13" s="207" t="s">
        <v>806</v>
      </c>
      <c r="D13" s="424" t="s">
        <v>799</v>
      </c>
      <c r="E13" s="1064">
        <v>0</v>
      </c>
      <c r="F13" s="1064">
        <v>1</v>
      </c>
      <c r="G13" s="1064">
        <v>0.2</v>
      </c>
      <c r="H13" s="1064">
        <v>0</v>
      </c>
      <c r="I13" s="1064">
        <v>0</v>
      </c>
      <c r="J13" s="1064">
        <v>0</v>
      </c>
      <c r="K13" s="1064">
        <v>0</v>
      </c>
      <c r="L13" s="1063">
        <v>0.5</v>
      </c>
      <c r="M13" s="205" t="str">
        <f t="shared" si="8"/>
        <v>روش اجرایی استخدام</v>
      </c>
      <c r="N13" s="1064">
        <v>1</v>
      </c>
      <c r="O13" s="1064">
        <v>0.6</v>
      </c>
      <c r="P13" s="1064">
        <v>0.6</v>
      </c>
      <c r="Q13" s="188">
        <f t="shared" si="0"/>
        <v>0.6</v>
      </c>
      <c r="R13" s="188">
        <f t="shared" si="1"/>
        <v>0</v>
      </c>
      <c r="S13" s="188">
        <f t="shared" si="2"/>
        <v>0.3</v>
      </c>
      <c r="T13" s="188">
        <f t="shared" si="3"/>
        <v>0.06</v>
      </c>
      <c r="U13" s="188">
        <f t="shared" si="4"/>
        <v>0</v>
      </c>
      <c r="V13" s="188">
        <f t="shared" si="5"/>
        <v>0</v>
      </c>
      <c r="W13" s="188">
        <f t="shared" si="6"/>
        <v>0</v>
      </c>
      <c r="X13" s="188">
        <f t="shared" si="7"/>
        <v>0</v>
      </c>
      <c r="Y13" s="208"/>
    </row>
    <row r="14" spans="1:25" s="7" customFormat="1" ht="19.149999999999999" customHeight="1" x14ac:dyDescent="0.25">
      <c r="B14" s="205">
        <v>9</v>
      </c>
      <c r="C14" s="207" t="s">
        <v>807</v>
      </c>
      <c r="D14" s="424" t="s">
        <v>799</v>
      </c>
      <c r="E14" s="1064">
        <v>0</v>
      </c>
      <c r="F14" s="1064">
        <v>0.1</v>
      </c>
      <c r="G14" s="1064">
        <v>1</v>
      </c>
      <c r="H14" s="1064">
        <v>0.1</v>
      </c>
      <c r="I14" s="1064">
        <v>0.1</v>
      </c>
      <c r="J14" s="1064">
        <v>0.1</v>
      </c>
      <c r="K14" s="1064">
        <v>0</v>
      </c>
      <c r="L14" s="1063">
        <v>0.5</v>
      </c>
      <c r="M14" s="205" t="str">
        <f t="shared" si="8"/>
        <v>روش اجرایی ارتباطات</v>
      </c>
      <c r="N14" s="1064">
        <v>1</v>
      </c>
      <c r="O14" s="1064">
        <v>0.6</v>
      </c>
      <c r="P14" s="1064">
        <v>0.6</v>
      </c>
      <c r="Q14" s="188">
        <f t="shared" ref="Q14:Q20" si="9">(P14+O14)/2</f>
        <v>0.6</v>
      </c>
      <c r="R14" s="188">
        <f t="shared" si="1"/>
        <v>0</v>
      </c>
      <c r="S14" s="188">
        <f t="shared" si="2"/>
        <v>0.03</v>
      </c>
      <c r="T14" s="188">
        <f t="shared" si="3"/>
        <v>0.3</v>
      </c>
      <c r="U14" s="188">
        <f t="shared" si="4"/>
        <v>0.03</v>
      </c>
      <c r="V14" s="188">
        <f t="shared" si="5"/>
        <v>0.03</v>
      </c>
      <c r="W14" s="188">
        <f t="shared" si="6"/>
        <v>0.03</v>
      </c>
      <c r="X14" s="188">
        <f t="shared" si="7"/>
        <v>0</v>
      </c>
      <c r="Y14" s="208"/>
    </row>
    <row r="15" spans="1:25" s="7" customFormat="1" ht="19.149999999999999" customHeight="1" x14ac:dyDescent="0.25">
      <c r="B15" s="205">
        <v>10</v>
      </c>
      <c r="C15" s="207" t="s">
        <v>808</v>
      </c>
      <c r="D15" s="424" t="s">
        <v>799</v>
      </c>
      <c r="E15" s="1064">
        <v>0</v>
      </c>
      <c r="F15" s="1064">
        <v>0</v>
      </c>
      <c r="G15" s="1064">
        <v>0.6</v>
      </c>
      <c r="H15" s="1064">
        <v>0.1</v>
      </c>
      <c r="I15" s="1064">
        <v>0.7</v>
      </c>
      <c r="J15" s="1064">
        <v>0.1</v>
      </c>
      <c r="K15" s="1064">
        <v>0</v>
      </c>
      <c r="L15" s="1063">
        <v>0.5</v>
      </c>
      <c r="M15" s="205" t="str">
        <f t="shared" si="8"/>
        <v>روش اجرایی اقدام اصلاحی</v>
      </c>
      <c r="N15" s="1064">
        <v>1</v>
      </c>
      <c r="O15" s="1064">
        <v>0.6</v>
      </c>
      <c r="P15" s="1064">
        <v>0.6</v>
      </c>
      <c r="Q15" s="188">
        <f t="shared" si="9"/>
        <v>0.6</v>
      </c>
      <c r="R15" s="188">
        <f t="shared" si="1"/>
        <v>0</v>
      </c>
      <c r="S15" s="188">
        <f t="shared" si="2"/>
        <v>0</v>
      </c>
      <c r="T15" s="188">
        <f t="shared" si="3"/>
        <v>0.18</v>
      </c>
      <c r="U15" s="188">
        <f t="shared" si="4"/>
        <v>0.03</v>
      </c>
      <c r="V15" s="188">
        <f t="shared" si="5"/>
        <v>0.21</v>
      </c>
      <c r="W15" s="188">
        <f t="shared" si="6"/>
        <v>0.03</v>
      </c>
      <c r="X15" s="188">
        <f t="shared" si="7"/>
        <v>0</v>
      </c>
      <c r="Y15" s="208"/>
    </row>
    <row r="16" spans="1:25" s="7" customFormat="1" ht="19.149999999999999" customHeight="1" x14ac:dyDescent="0.25">
      <c r="B16" s="205">
        <v>11</v>
      </c>
      <c r="C16" s="207" t="s">
        <v>809</v>
      </c>
      <c r="D16" s="424" t="s">
        <v>799</v>
      </c>
      <c r="E16" s="1064">
        <v>0</v>
      </c>
      <c r="F16" s="1064">
        <v>1</v>
      </c>
      <c r="G16" s="1064">
        <v>0.1</v>
      </c>
      <c r="H16" s="1064">
        <v>0.1</v>
      </c>
      <c r="I16" s="1064">
        <v>0.1</v>
      </c>
      <c r="J16" s="1064">
        <v>0.1</v>
      </c>
      <c r="K16" s="1064">
        <v>0</v>
      </c>
      <c r="L16" s="1063">
        <v>0.5</v>
      </c>
      <c r="M16" s="205" t="str">
        <f t="shared" si="8"/>
        <v>روش اجرایی آموزش</v>
      </c>
      <c r="N16" s="1064">
        <v>1</v>
      </c>
      <c r="O16" s="1064">
        <v>0.6</v>
      </c>
      <c r="P16" s="1064">
        <v>0.6</v>
      </c>
      <c r="Q16" s="188">
        <f t="shared" si="9"/>
        <v>0.6</v>
      </c>
      <c r="R16" s="188">
        <f t="shared" si="1"/>
        <v>0</v>
      </c>
      <c r="S16" s="188">
        <f t="shared" si="2"/>
        <v>0.3</v>
      </c>
      <c r="T16" s="188">
        <f t="shared" si="3"/>
        <v>0.03</v>
      </c>
      <c r="U16" s="188">
        <f t="shared" si="4"/>
        <v>0.03</v>
      </c>
      <c r="V16" s="188">
        <f t="shared" si="5"/>
        <v>0.03</v>
      </c>
      <c r="W16" s="188">
        <f t="shared" si="6"/>
        <v>0.03</v>
      </c>
      <c r="X16" s="188">
        <f t="shared" si="7"/>
        <v>0</v>
      </c>
      <c r="Y16" s="208"/>
    </row>
    <row r="17" spans="2:25" s="7" customFormat="1" ht="19.149999999999999" customHeight="1" x14ac:dyDescent="0.25">
      <c r="B17" s="205">
        <v>12</v>
      </c>
      <c r="C17" s="207" t="s">
        <v>810</v>
      </c>
      <c r="D17" s="424" t="s">
        <v>799</v>
      </c>
      <c r="E17" s="1064">
        <v>0.1</v>
      </c>
      <c r="F17" s="1064">
        <v>0.1</v>
      </c>
      <c r="G17" s="1064">
        <v>0.8</v>
      </c>
      <c r="H17" s="1064">
        <v>0.1</v>
      </c>
      <c r="I17" s="1064">
        <v>0.1</v>
      </c>
      <c r="J17" s="1064">
        <v>0.1</v>
      </c>
      <c r="K17" s="1064">
        <v>0</v>
      </c>
      <c r="L17" s="1063">
        <v>0.5</v>
      </c>
      <c r="M17" s="205" t="str">
        <f t="shared" ref="M17" si="10">C17</f>
        <v>روش اجرایی بازنگری مدیریت</v>
      </c>
      <c r="N17" s="1064">
        <v>1</v>
      </c>
      <c r="O17" s="1064">
        <v>0.6</v>
      </c>
      <c r="P17" s="1064">
        <v>0.6</v>
      </c>
      <c r="Q17" s="188">
        <f t="shared" ref="Q17" si="11">(P17+O17)/2</f>
        <v>0.6</v>
      </c>
      <c r="R17" s="188">
        <f t="shared" ref="R17" si="12">E17*Q17*N17*L17</f>
        <v>0.03</v>
      </c>
      <c r="S17" s="188">
        <f t="shared" ref="S17" si="13">F17*Q17*N17*L17</f>
        <v>0.03</v>
      </c>
      <c r="T17" s="188">
        <f t="shared" ref="T17" si="14">G17*Q17*N17*L17</f>
        <v>0.24</v>
      </c>
      <c r="U17" s="188">
        <f t="shared" ref="U17" si="15">H17*$Q17*$N17*$L17</f>
        <v>0.03</v>
      </c>
      <c r="V17" s="188">
        <f t="shared" ref="V17" si="16">I17*$Q17*$N17*$L17</f>
        <v>0.03</v>
      </c>
      <c r="W17" s="188">
        <f t="shared" ref="W17" si="17">J17*$Q17*$N17*$L17</f>
        <v>0.03</v>
      </c>
      <c r="X17" s="188">
        <f t="shared" ref="X17" si="18">K17*$Q17*$N17*$L17</f>
        <v>0</v>
      </c>
      <c r="Y17" s="208"/>
    </row>
    <row r="18" spans="2:25" s="7" customFormat="1" ht="19.149999999999999" customHeight="1" x14ac:dyDescent="0.25">
      <c r="B18" s="205"/>
      <c r="C18" s="207" t="s">
        <v>828</v>
      </c>
      <c r="D18" s="424" t="s">
        <v>799</v>
      </c>
      <c r="E18" s="1064">
        <v>0</v>
      </c>
      <c r="F18" s="1064">
        <v>1</v>
      </c>
      <c r="G18" s="1064">
        <v>0.2</v>
      </c>
      <c r="H18" s="1064">
        <v>0</v>
      </c>
      <c r="I18" s="1064">
        <v>0</v>
      </c>
      <c r="J18" s="1064">
        <v>0</v>
      </c>
      <c r="K18" s="1064">
        <v>0</v>
      </c>
      <c r="L18" s="1063">
        <v>0.7</v>
      </c>
      <c r="M18" s="205" t="str">
        <f t="shared" ref="M18:M19" si="19">C18</f>
        <v>آیین نامه جامع منابع انسانی</v>
      </c>
      <c r="N18" s="1064">
        <v>1</v>
      </c>
      <c r="O18" s="1064">
        <v>1</v>
      </c>
      <c r="P18" s="1064">
        <v>1</v>
      </c>
      <c r="Q18" s="188">
        <f t="shared" ref="Q18" si="20">(P18+O18)/2</f>
        <v>1</v>
      </c>
      <c r="R18" s="188">
        <f t="shared" ref="R18" si="21">E18*Q18*N18*L18</f>
        <v>0</v>
      </c>
      <c r="S18" s="188">
        <f t="shared" ref="S18" si="22">F18*Q18*N18*L18</f>
        <v>0.7</v>
      </c>
      <c r="T18" s="188">
        <f t="shared" ref="T18" si="23">G18*Q18*N18*L18</f>
        <v>0.13999999999999999</v>
      </c>
      <c r="U18" s="188">
        <f t="shared" ref="U18" si="24">H18*$Q18*$N18*$L18</f>
        <v>0</v>
      </c>
      <c r="V18" s="188">
        <f t="shared" ref="V18" si="25">I18*$Q18*$N18*$L18</f>
        <v>0</v>
      </c>
      <c r="W18" s="188">
        <f t="shared" ref="W18" si="26">J18*$Q18*$N18*$L18</f>
        <v>0</v>
      </c>
      <c r="X18" s="188">
        <f t="shared" ref="X18" si="27">K18*$Q18*$N18*$L18</f>
        <v>0</v>
      </c>
      <c r="Y18" s="208"/>
    </row>
    <row r="19" spans="2:25" s="7" customFormat="1" ht="19.149999999999999" customHeight="1" x14ac:dyDescent="0.25">
      <c r="B19" s="205"/>
      <c r="C19" s="207" t="s">
        <v>829</v>
      </c>
      <c r="D19" s="424" t="s">
        <v>799</v>
      </c>
      <c r="E19" s="1064">
        <v>0</v>
      </c>
      <c r="F19" s="1064">
        <v>0</v>
      </c>
      <c r="G19" s="1064">
        <v>0.8</v>
      </c>
      <c r="H19" s="1064">
        <v>0.5</v>
      </c>
      <c r="I19" s="1064">
        <v>0</v>
      </c>
      <c r="J19" s="1064">
        <v>0</v>
      </c>
      <c r="K19" s="1064">
        <v>0</v>
      </c>
      <c r="L19" s="1063">
        <v>0.7</v>
      </c>
      <c r="M19" s="205" t="str">
        <f t="shared" si="19"/>
        <v>آیین نامه معاملات</v>
      </c>
      <c r="N19" s="1064">
        <v>1</v>
      </c>
      <c r="O19" s="1064">
        <v>1</v>
      </c>
      <c r="P19" s="1064">
        <v>1</v>
      </c>
      <c r="Q19" s="188">
        <f t="shared" ref="Q19" si="28">(P19+O19)/2</f>
        <v>1</v>
      </c>
      <c r="R19" s="188">
        <f t="shared" ref="R19" si="29">E19*Q19*N19*L19</f>
        <v>0</v>
      </c>
      <c r="S19" s="188">
        <f t="shared" ref="S19" si="30">F19*Q19*N19*L19</f>
        <v>0</v>
      </c>
      <c r="T19" s="188">
        <f t="shared" ref="T19" si="31">G19*Q19*N19*L19</f>
        <v>0.55999999999999994</v>
      </c>
      <c r="U19" s="188">
        <f t="shared" ref="U19" si="32">H19*$Q19*$N19*$L19</f>
        <v>0.35</v>
      </c>
      <c r="V19" s="188">
        <f t="shared" ref="V19" si="33">I19*$Q19*$N19*$L19</f>
        <v>0</v>
      </c>
      <c r="W19" s="188">
        <f t="shared" ref="W19" si="34">J19*$Q19*$N19*$L19</f>
        <v>0</v>
      </c>
      <c r="X19" s="188">
        <f t="shared" ref="X19" si="35">K19*$Q19*$N19*$L19</f>
        <v>0</v>
      </c>
      <c r="Y19" s="208"/>
    </row>
    <row r="20" spans="2:25" s="7" customFormat="1" ht="19.149999999999999" customHeight="1" x14ac:dyDescent="0.25">
      <c r="B20" s="205">
        <v>12</v>
      </c>
      <c r="C20" s="207" t="s">
        <v>810</v>
      </c>
      <c r="D20" s="424" t="s">
        <v>799</v>
      </c>
      <c r="E20" s="1064">
        <v>0.1</v>
      </c>
      <c r="F20" s="1064">
        <v>0.1</v>
      </c>
      <c r="G20" s="1064">
        <v>0.8</v>
      </c>
      <c r="H20" s="1064">
        <v>0.1</v>
      </c>
      <c r="I20" s="1064">
        <v>0.1</v>
      </c>
      <c r="J20" s="1064">
        <v>0.1</v>
      </c>
      <c r="K20" s="1064">
        <v>0</v>
      </c>
      <c r="L20" s="1063">
        <v>0.5</v>
      </c>
      <c r="M20" s="205" t="str">
        <f t="shared" si="8"/>
        <v>روش اجرایی بازنگری مدیریت</v>
      </c>
      <c r="N20" s="1064">
        <v>1</v>
      </c>
      <c r="O20" s="1064">
        <v>0.6</v>
      </c>
      <c r="P20" s="1064">
        <v>0.6</v>
      </c>
      <c r="Q20" s="188">
        <f t="shared" si="9"/>
        <v>0.6</v>
      </c>
      <c r="R20" s="188">
        <f t="shared" si="1"/>
        <v>0.03</v>
      </c>
      <c r="S20" s="188">
        <f t="shared" si="2"/>
        <v>0.03</v>
      </c>
      <c r="T20" s="188">
        <f t="shared" si="3"/>
        <v>0.24</v>
      </c>
      <c r="U20" s="188">
        <f t="shared" si="4"/>
        <v>0.03</v>
      </c>
      <c r="V20" s="188">
        <f t="shared" si="5"/>
        <v>0.03</v>
      </c>
      <c r="W20" s="188">
        <f t="shared" si="6"/>
        <v>0.03</v>
      </c>
      <c r="X20" s="188">
        <f t="shared" si="7"/>
        <v>0</v>
      </c>
      <c r="Y20" s="208"/>
    </row>
    <row r="21" spans="2:25" s="7" customFormat="1" ht="19.149999999999999" customHeight="1" thickBot="1" x14ac:dyDescent="0.3">
      <c r="B21" s="209"/>
      <c r="C21" s="210"/>
      <c r="D21" s="210"/>
      <c r="E21" s="210"/>
      <c r="F21" s="210"/>
      <c r="G21" s="210"/>
      <c r="H21" s="210"/>
      <c r="I21" s="210"/>
      <c r="J21" s="210"/>
      <c r="K21" s="210"/>
      <c r="L21" s="228"/>
      <c r="M21" s="1392" t="s">
        <v>15</v>
      </c>
      <c r="N21" s="1393"/>
      <c r="O21" s="1393"/>
      <c r="P21" s="1393"/>
      <c r="Q21" s="1393"/>
      <c r="R21" s="211">
        <f t="shared" ref="R21:X21" si="36">MAX(R6:R20)</f>
        <v>0.4</v>
      </c>
      <c r="S21" s="211">
        <f t="shared" si="36"/>
        <v>0.7</v>
      </c>
      <c r="T21" s="211">
        <f t="shared" si="36"/>
        <v>0.55999999999999994</v>
      </c>
      <c r="U21" s="211">
        <f t="shared" si="36"/>
        <v>0.35</v>
      </c>
      <c r="V21" s="211">
        <f t="shared" si="36"/>
        <v>0.35</v>
      </c>
      <c r="W21" s="211">
        <f t="shared" si="36"/>
        <v>0.4</v>
      </c>
      <c r="X21" s="211">
        <f t="shared" si="36"/>
        <v>4.0000000000000008E-2</v>
      </c>
      <c r="Y21" s="212">
        <f>MIN(SUMPRODUCT(R5:X5,R21:X21),100)*1.5^'8.گواهینامه ها'!I10</f>
        <v>0.63510660621515225</v>
      </c>
    </row>
    <row r="22" spans="2:25" s="7" customFormat="1" ht="19.149999999999999" customHeight="1" x14ac:dyDescent="0.45">
      <c r="B22" s="29"/>
      <c r="C22" s="30"/>
      <c r="D22" s="30"/>
      <c r="E22" s="30"/>
      <c r="F22" s="168"/>
      <c r="G22" s="168"/>
      <c r="H22" s="168"/>
      <c r="I22" s="168"/>
      <c r="J22" s="31"/>
      <c r="K22" s="31"/>
      <c r="L22" s="167"/>
      <c r="M22" s="168"/>
      <c r="N22" s="167"/>
      <c r="O22" s="33"/>
      <c r="P22" s="173"/>
      <c r="Q22" s="173"/>
      <c r="R22" s="173"/>
      <c r="S22" s="173"/>
      <c r="T22" s="173"/>
      <c r="U22" s="173"/>
      <c r="V22" s="173"/>
      <c r="W22" s="173"/>
      <c r="X22" s="173"/>
      <c r="Y22" s="173"/>
    </row>
    <row r="23" spans="2:25" s="7" customFormat="1" ht="19.149999999999999" customHeight="1" thickBot="1" x14ac:dyDescent="0.5">
      <c r="B23" s="29"/>
      <c r="C23" s="30"/>
      <c r="D23" s="30"/>
      <c r="E23" s="30"/>
      <c r="F23" s="168"/>
      <c r="G23" s="168"/>
      <c r="H23" s="168"/>
      <c r="I23" s="168"/>
      <c r="J23" s="31"/>
      <c r="K23" s="31"/>
      <c r="L23" s="167"/>
      <c r="M23" s="168"/>
      <c r="N23" s="167"/>
      <c r="O23" s="33"/>
      <c r="P23" s="173"/>
      <c r="Q23" s="173"/>
      <c r="R23" s="173"/>
      <c r="S23" s="173"/>
      <c r="T23" s="173"/>
      <c r="U23" s="173"/>
      <c r="V23" s="173"/>
      <c r="W23" s="173"/>
      <c r="X23" s="173"/>
      <c r="Y23" s="173"/>
    </row>
    <row r="24" spans="2:25" s="7" customFormat="1" ht="19.149999999999999" customHeight="1" x14ac:dyDescent="0.45">
      <c r="F24" s="168"/>
      <c r="G24" s="168"/>
      <c r="H24" s="168"/>
      <c r="I24" s="168"/>
      <c r="J24" s="31"/>
      <c r="K24" s="31"/>
      <c r="L24" s="167"/>
      <c r="M24" s="1399" t="s">
        <v>60</v>
      </c>
      <c r="N24" s="1400"/>
      <c r="O24" s="213">
        <f>1-((1/O25)*O26)</f>
        <v>0.83333333333333337</v>
      </c>
      <c r="P24" s="30"/>
      <c r="Q24" s="173"/>
      <c r="R24" s="173"/>
      <c r="S24" s="173"/>
      <c r="T24" s="173"/>
      <c r="U24" s="173"/>
      <c r="V24" s="173"/>
      <c r="W24" s="173"/>
      <c r="X24" s="173"/>
      <c r="Y24" s="173"/>
    </row>
    <row r="25" spans="2:25" s="7" customFormat="1" ht="19.149999999999999" customHeight="1" x14ac:dyDescent="0.45">
      <c r="F25" s="168"/>
      <c r="G25" s="168"/>
      <c r="H25" s="168"/>
      <c r="I25" s="168"/>
      <c r="J25" s="31"/>
      <c r="K25" s="31"/>
      <c r="L25" s="167"/>
      <c r="M25" s="1394" t="s">
        <v>393</v>
      </c>
      <c r="N25" s="1396"/>
      <c r="O25" s="214">
        <v>24</v>
      </c>
      <c r="P25" s="30"/>
      <c r="Q25" s="173"/>
      <c r="R25" s="173"/>
      <c r="S25" s="173"/>
      <c r="T25" s="173"/>
      <c r="U25" s="173"/>
      <c r="V25" s="173"/>
      <c r="W25" s="173"/>
      <c r="X25" s="173"/>
      <c r="Y25" s="173"/>
    </row>
    <row r="26" spans="2:25" s="7" customFormat="1" ht="19.149999999999999" customHeight="1" thickBot="1" x14ac:dyDescent="0.5">
      <c r="F26" s="173"/>
      <c r="G26" s="173"/>
      <c r="H26" s="173"/>
      <c r="I26" s="173"/>
      <c r="J26" s="31"/>
      <c r="K26" s="31"/>
      <c r="L26" s="167"/>
      <c r="M26" s="1397" t="s">
        <v>394</v>
      </c>
      <c r="N26" s="1398"/>
      <c r="O26" s="215">
        <v>4</v>
      </c>
      <c r="Q26" s="173"/>
      <c r="R26" s="173"/>
      <c r="S26" s="173"/>
      <c r="T26" s="173"/>
      <c r="U26" s="173"/>
      <c r="V26" s="173"/>
      <c r="W26" s="173"/>
      <c r="X26" s="173"/>
      <c r="Y26" s="173"/>
    </row>
    <row r="27" spans="2:25" s="7" customFormat="1" ht="15" customHeight="1" x14ac:dyDescent="0.25">
      <c r="F27" s="173"/>
      <c r="G27" s="173"/>
      <c r="H27" s="173"/>
      <c r="I27" s="173"/>
      <c r="J27" s="33"/>
      <c r="K27" s="33"/>
      <c r="L27" s="33"/>
      <c r="M27" s="173"/>
      <c r="N27" s="173"/>
      <c r="O27" s="173"/>
      <c r="P27" s="173"/>
      <c r="Q27" s="173"/>
      <c r="R27" s="173"/>
      <c r="S27" s="173"/>
      <c r="T27" s="173"/>
      <c r="U27" s="173"/>
      <c r="V27" s="173"/>
      <c r="W27" s="173"/>
      <c r="X27" s="173"/>
      <c r="Y27" s="173"/>
    </row>
    <row r="28" spans="2:25" s="7" customFormat="1" ht="15" customHeight="1" thickBot="1" x14ac:dyDescent="0.3">
      <c r="F28" s="173"/>
      <c r="G28" s="173"/>
      <c r="H28" s="173"/>
      <c r="I28" s="173"/>
      <c r="J28" s="33"/>
      <c r="K28" s="33"/>
      <c r="L28" s="33"/>
      <c r="M28" s="173"/>
      <c r="N28" s="173"/>
      <c r="O28" s="173"/>
      <c r="P28" s="173"/>
      <c r="Q28" s="173"/>
      <c r="R28" s="173"/>
      <c r="S28" s="173"/>
      <c r="T28" s="173"/>
      <c r="U28" s="173"/>
      <c r="V28" s="173"/>
      <c r="W28" s="173"/>
      <c r="X28" s="173"/>
      <c r="Y28" s="173"/>
    </row>
    <row r="29" spans="2:25" s="7" customFormat="1" ht="21" customHeight="1" thickBot="1" x14ac:dyDescent="0.3">
      <c r="F29" s="173"/>
      <c r="G29" s="173"/>
      <c r="H29" s="173"/>
      <c r="I29" s="173"/>
      <c r="J29" s="33"/>
      <c r="K29" s="33"/>
      <c r="L29" s="33"/>
      <c r="M29" s="1405" t="s">
        <v>71</v>
      </c>
      <c r="N29" s="1406"/>
      <c r="O29" s="1406"/>
      <c r="P29" s="1407"/>
      <c r="Q29" s="173"/>
      <c r="R29" s="173"/>
      <c r="S29" s="173"/>
      <c r="T29" s="173"/>
      <c r="U29" s="173"/>
      <c r="V29" s="173"/>
      <c r="W29" s="173"/>
      <c r="X29" s="173"/>
      <c r="Y29" s="173"/>
    </row>
    <row r="30" spans="2:25" s="7" customFormat="1" ht="19.149999999999999" customHeight="1" x14ac:dyDescent="0.25">
      <c r="F30" s="173"/>
      <c r="G30" s="173"/>
      <c r="H30" s="173"/>
      <c r="I30" s="173"/>
      <c r="J30" s="33"/>
      <c r="K30" s="33"/>
      <c r="L30" s="33"/>
      <c r="M30" s="1394" t="s">
        <v>397</v>
      </c>
      <c r="N30" s="1395"/>
      <c r="O30" s="1395"/>
      <c r="P30" s="1396"/>
      <c r="Q30" s="173"/>
      <c r="R30" s="173"/>
      <c r="S30" s="173"/>
      <c r="T30" s="173"/>
      <c r="U30" s="173"/>
      <c r="V30" s="173"/>
      <c r="W30" s="173"/>
      <c r="X30" s="173"/>
      <c r="Y30" s="173"/>
    </row>
    <row r="31" spans="2:25" s="7" customFormat="1" ht="21" customHeight="1" x14ac:dyDescent="0.25">
      <c r="F31" s="173"/>
      <c r="G31" s="173"/>
      <c r="H31" s="173"/>
      <c r="I31" s="173"/>
      <c r="J31" s="33"/>
      <c r="K31" s="33"/>
      <c r="L31" s="33"/>
      <c r="M31" s="1394" t="s">
        <v>398</v>
      </c>
      <c r="N31" s="1395"/>
      <c r="O31" s="1395"/>
      <c r="P31" s="1396"/>
      <c r="Q31" s="173"/>
      <c r="R31" s="173"/>
      <c r="S31" s="173"/>
      <c r="T31" s="173"/>
      <c r="U31" s="173"/>
      <c r="V31" s="173"/>
      <c r="W31" s="173"/>
      <c r="X31" s="173"/>
      <c r="Y31" s="173"/>
    </row>
    <row r="32" spans="2:25" ht="15" customHeight="1" thickBot="1" x14ac:dyDescent="0.3">
      <c r="F32" s="170"/>
      <c r="G32" s="170"/>
      <c r="H32" s="170"/>
      <c r="I32" s="170"/>
      <c r="J32" s="170"/>
      <c r="K32" s="34"/>
      <c r="L32" s="34"/>
      <c r="M32" s="1397" t="s">
        <v>399</v>
      </c>
      <c r="N32" s="1404"/>
      <c r="O32" s="1404"/>
      <c r="P32" s="1398"/>
      <c r="Q32" s="170"/>
      <c r="R32" s="170"/>
      <c r="S32" s="170"/>
      <c r="T32" s="170"/>
      <c r="U32" s="170"/>
      <c r="V32" s="170"/>
      <c r="W32" s="170"/>
      <c r="X32" s="170"/>
      <c r="Y32" s="170"/>
    </row>
    <row r="33" spans="1:25" ht="15" customHeight="1" x14ac:dyDescent="0.25">
      <c r="B33" s="170"/>
      <c r="C33" s="170"/>
      <c r="D33" s="170"/>
      <c r="E33" s="170"/>
      <c r="F33" s="170"/>
      <c r="G33" s="170"/>
      <c r="H33" s="170"/>
      <c r="I33" s="170"/>
      <c r="J33" s="170"/>
      <c r="K33" s="34"/>
      <c r="L33" s="34"/>
      <c r="M33" s="34"/>
      <c r="N33" s="34"/>
      <c r="O33" s="34"/>
      <c r="P33" s="170"/>
      <c r="Q33" s="170"/>
      <c r="R33" s="170"/>
      <c r="S33" s="170"/>
      <c r="T33" s="170"/>
      <c r="U33" s="170"/>
      <c r="V33" s="170"/>
      <c r="W33" s="170"/>
      <c r="X33" s="170"/>
      <c r="Y33" s="170"/>
    </row>
    <row r="34" spans="1:25" ht="15" customHeight="1" x14ac:dyDescent="0.25">
      <c r="B34" s="170"/>
      <c r="C34" s="170"/>
      <c r="D34" s="170"/>
      <c r="E34" s="170"/>
      <c r="F34" s="170"/>
      <c r="G34" s="170"/>
      <c r="H34" s="170"/>
      <c r="I34" s="170"/>
      <c r="J34" s="170"/>
      <c r="K34" s="34"/>
      <c r="L34" s="34"/>
      <c r="M34" s="34"/>
      <c r="N34" s="34"/>
      <c r="O34" s="34"/>
      <c r="P34" s="170"/>
      <c r="Q34" s="170"/>
      <c r="R34" s="170"/>
      <c r="S34" s="170"/>
      <c r="T34" s="170"/>
      <c r="U34" s="170"/>
      <c r="V34" s="170"/>
      <c r="W34" s="170"/>
      <c r="X34" s="170"/>
      <c r="Y34" s="170"/>
    </row>
    <row r="35" spans="1:25" ht="15" customHeight="1" x14ac:dyDescent="0.25">
      <c r="B35" s="177"/>
      <c r="C35" s="170"/>
      <c r="D35" s="170"/>
      <c r="E35" s="170"/>
      <c r="F35" s="170"/>
      <c r="G35" s="170"/>
      <c r="H35" s="170"/>
      <c r="I35" s="170"/>
      <c r="J35" s="170"/>
      <c r="K35" s="34"/>
      <c r="L35" s="34"/>
      <c r="M35" s="34"/>
      <c r="N35" s="34"/>
      <c r="O35" s="34"/>
      <c r="P35" s="170"/>
      <c r="Q35" s="170"/>
      <c r="R35" s="170"/>
      <c r="S35" s="170"/>
      <c r="T35" s="170"/>
      <c r="U35" s="170"/>
      <c r="V35" s="170"/>
      <c r="W35" s="170"/>
      <c r="X35" s="170"/>
      <c r="Y35" s="170"/>
    </row>
    <row r="36" spans="1:25" ht="15" customHeight="1" x14ac:dyDescent="0.25">
      <c r="B36" s="177"/>
      <c r="C36" s="170"/>
      <c r="D36" s="170"/>
      <c r="E36" s="170"/>
      <c r="F36" s="170"/>
      <c r="G36" s="170"/>
      <c r="H36" s="170"/>
      <c r="I36" s="170"/>
      <c r="J36" s="170"/>
      <c r="K36" s="34"/>
      <c r="L36" s="34"/>
      <c r="M36" s="34"/>
      <c r="N36" s="34"/>
      <c r="O36" s="34"/>
      <c r="P36" s="170"/>
      <c r="Q36" s="170"/>
      <c r="R36" s="170"/>
      <c r="S36" s="170"/>
      <c r="T36" s="170"/>
      <c r="U36" s="170"/>
      <c r="V36" s="170"/>
      <c r="W36" s="170"/>
      <c r="X36" s="170"/>
      <c r="Y36" s="170"/>
    </row>
    <row r="37" spans="1:25" ht="19.5" customHeight="1" x14ac:dyDescent="0.25">
      <c r="B37" s="170"/>
      <c r="C37" s="170"/>
      <c r="D37" s="170"/>
      <c r="E37" s="170"/>
      <c r="F37" s="170"/>
      <c r="G37" s="170"/>
      <c r="H37" s="170"/>
      <c r="I37" s="170"/>
      <c r="J37" s="170"/>
      <c r="K37" s="34"/>
      <c r="L37" s="34"/>
      <c r="M37" s="34"/>
      <c r="N37" s="170"/>
      <c r="O37" s="178"/>
      <c r="P37" s="257"/>
      <c r="Q37" s="257"/>
      <c r="R37" s="257"/>
      <c r="S37" s="257"/>
      <c r="T37" s="257"/>
      <c r="U37" s="170"/>
      <c r="V37" s="170"/>
      <c r="W37" s="170"/>
      <c r="X37" s="170"/>
      <c r="Y37" s="170"/>
    </row>
    <row r="38" spans="1:25" ht="19.5" customHeight="1" x14ac:dyDescent="0.25">
      <c r="B38" s="170"/>
      <c r="C38" s="170"/>
      <c r="D38" s="170"/>
      <c r="E38" s="170"/>
      <c r="F38" s="170"/>
      <c r="G38" s="170"/>
      <c r="H38" s="170"/>
      <c r="I38" s="170"/>
      <c r="J38" s="170"/>
      <c r="K38" s="34"/>
      <c r="L38" s="34"/>
      <c r="M38" s="34"/>
      <c r="N38" s="170"/>
      <c r="O38" s="178"/>
      <c r="P38" s="257"/>
      <c r="Q38" s="257"/>
      <c r="R38" s="257"/>
      <c r="S38" s="257"/>
      <c r="T38" s="257"/>
      <c r="U38" s="170"/>
      <c r="V38" s="170"/>
      <c r="W38" s="170"/>
      <c r="X38" s="170"/>
      <c r="Y38" s="170"/>
    </row>
    <row r="39" spans="1:25" x14ac:dyDescent="0.25">
      <c r="B39" s="170"/>
      <c r="C39" s="170"/>
      <c r="D39" s="170"/>
      <c r="E39" s="170"/>
      <c r="F39" s="170"/>
      <c r="G39" s="170"/>
      <c r="H39" s="170"/>
      <c r="I39" s="170"/>
      <c r="J39" s="170"/>
      <c r="K39" s="34"/>
      <c r="L39" s="34"/>
      <c r="M39" s="34"/>
      <c r="N39" s="34"/>
      <c r="O39" s="34"/>
      <c r="P39" s="170"/>
      <c r="Q39" s="170"/>
      <c r="R39" s="170"/>
      <c r="S39" s="170"/>
      <c r="T39" s="170"/>
      <c r="U39" s="170"/>
      <c r="V39" s="170"/>
      <c r="W39" s="170"/>
      <c r="X39" s="170"/>
      <c r="Y39" s="170"/>
    </row>
    <row r="40" spans="1:25" x14ac:dyDescent="0.25">
      <c r="K40" s="19"/>
      <c r="L40" s="19"/>
      <c r="M40" s="19"/>
      <c r="N40" s="19"/>
      <c r="O40" s="19"/>
    </row>
    <row r="41" spans="1:25" x14ac:dyDescent="0.25">
      <c r="A41" s="194"/>
      <c r="B41" s="194"/>
      <c r="C41" s="194"/>
      <c r="D41" s="194"/>
      <c r="E41" s="194"/>
      <c r="F41" s="194"/>
      <c r="G41" s="194"/>
      <c r="H41" s="194"/>
      <c r="I41" s="194"/>
      <c r="J41" s="194"/>
      <c r="K41" s="19"/>
      <c r="L41" s="19"/>
      <c r="M41" s="19"/>
      <c r="N41" s="19"/>
      <c r="O41" s="19"/>
      <c r="P41" s="194"/>
      <c r="Q41" s="194"/>
      <c r="R41" s="194"/>
      <c r="S41" s="194"/>
      <c r="T41" s="194"/>
      <c r="U41" s="194"/>
      <c r="V41" s="194"/>
      <c r="W41" s="194"/>
      <c r="X41" s="194"/>
      <c r="Y41" s="194"/>
    </row>
    <row r="42" spans="1:25" x14ac:dyDescent="0.25">
      <c r="A42" s="194"/>
      <c r="B42" s="194"/>
      <c r="C42" s="194"/>
      <c r="D42" s="194"/>
      <c r="E42" s="194"/>
      <c r="F42" s="194"/>
      <c r="G42" s="194"/>
      <c r="H42" s="194"/>
      <c r="I42" s="194"/>
      <c r="J42" s="194"/>
      <c r="K42" s="19"/>
      <c r="L42" s="19"/>
      <c r="M42" s="19"/>
      <c r="N42" s="19"/>
      <c r="O42" s="19"/>
      <c r="P42" s="194"/>
      <c r="Q42" s="194"/>
      <c r="R42" s="194"/>
      <c r="S42" s="194"/>
      <c r="T42" s="194"/>
      <c r="U42" s="194"/>
      <c r="V42" s="194"/>
      <c r="W42" s="194"/>
      <c r="X42" s="194"/>
      <c r="Y42" s="194"/>
    </row>
    <row r="43" spans="1:25" x14ac:dyDescent="0.25">
      <c r="A43" s="194"/>
      <c r="B43" s="194"/>
      <c r="C43" s="194"/>
      <c r="D43" s="194"/>
      <c r="E43" s="194"/>
      <c r="F43" s="194"/>
      <c r="G43" s="194"/>
      <c r="H43" s="194"/>
      <c r="I43" s="194"/>
      <c r="J43" s="194"/>
      <c r="K43" s="19"/>
      <c r="L43" s="19"/>
      <c r="M43" s="19"/>
      <c r="N43" s="19"/>
      <c r="O43" s="19"/>
      <c r="P43" s="194"/>
      <c r="Q43" s="194"/>
      <c r="R43" s="194"/>
      <c r="S43" s="194"/>
      <c r="T43" s="194"/>
      <c r="U43" s="194"/>
      <c r="V43" s="194"/>
      <c r="W43" s="194"/>
      <c r="X43" s="194"/>
      <c r="Y43" s="194"/>
    </row>
    <row r="44" spans="1:25" x14ac:dyDescent="0.25">
      <c r="A44" s="194"/>
      <c r="B44" s="194"/>
      <c r="C44" s="194"/>
      <c r="D44" s="194"/>
      <c r="E44" s="194"/>
      <c r="F44" s="194"/>
      <c r="G44" s="194"/>
      <c r="H44" s="194"/>
      <c r="I44" s="194"/>
      <c r="J44" s="194"/>
      <c r="K44" s="19"/>
      <c r="L44" s="19"/>
      <c r="M44" s="19"/>
      <c r="N44" s="19"/>
      <c r="O44" s="19"/>
      <c r="P44" s="194"/>
      <c r="Q44" s="194"/>
      <c r="R44" s="194"/>
      <c r="S44" s="194"/>
      <c r="T44" s="194"/>
      <c r="U44" s="194"/>
      <c r="V44" s="194"/>
      <c r="W44" s="194"/>
      <c r="X44" s="194"/>
      <c r="Y44" s="194"/>
    </row>
    <row r="45" spans="1:25" x14ac:dyDescent="0.25">
      <c r="A45" s="194"/>
      <c r="B45" s="194"/>
      <c r="C45" s="194"/>
      <c r="D45" s="194"/>
      <c r="E45" s="194"/>
      <c r="F45" s="194"/>
      <c r="G45" s="194"/>
      <c r="H45" s="194"/>
      <c r="I45" s="194"/>
      <c r="J45" s="194"/>
      <c r="K45" s="19"/>
      <c r="L45" s="19"/>
      <c r="M45" s="19"/>
      <c r="N45" s="19"/>
      <c r="O45" s="19"/>
      <c r="P45" s="194"/>
      <c r="Q45" s="194"/>
      <c r="R45" s="194"/>
      <c r="S45" s="194"/>
      <c r="T45" s="194"/>
      <c r="U45" s="194"/>
      <c r="V45" s="194"/>
      <c r="W45" s="194"/>
      <c r="X45" s="194"/>
      <c r="Y45" s="194"/>
    </row>
    <row r="46" spans="1:25" ht="15" customHeight="1" x14ac:dyDescent="0.45">
      <c r="A46" s="194"/>
      <c r="B46" s="194"/>
      <c r="C46" s="194"/>
      <c r="D46" s="194"/>
      <c r="E46" s="218"/>
      <c r="F46" s="218"/>
      <c r="G46" s="218"/>
      <c r="H46" s="218"/>
      <c r="I46" s="218"/>
      <c r="J46" s="194"/>
      <c r="K46" s="19"/>
      <c r="L46" s="19"/>
      <c r="M46" s="221"/>
      <c r="N46" s="19"/>
      <c r="O46" s="19"/>
      <c r="P46" s="194"/>
      <c r="Q46" s="194"/>
      <c r="R46" s="194"/>
      <c r="S46" s="194"/>
      <c r="T46" s="194"/>
      <c r="U46" s="194"/>
      <c r="V46" s="194"/>
      <c r="W46" s="194"/>
      <c r="X46" s="194"/>
      <c r="Y46" s="194"/>
    </row>
    <row r="47" spans="1:25" ht="15" customHeight="1" x14ac:dyDescent="0.25">
      <c r="A47" s="194"/>
      <c r="B47" s="194"/>
      <c r="C47" s="194"/>
      <c r="D47" s="194"/>
      <c r="E47" s="22"/>
      <c r="F47" s="22"/>
      <c r="G47" s="22"/>
      <c r="H47" s="22"/>
      <c r="I47" s="22"/>
      <c r="J47" s="194"/>
      <c r="K47" s="19"/>
      <c r="L47" s="19"/>
      <c r="M47" s="222"/>
      <c r="N47" s="19"/>
      <c r="O47" s="19"/>
      <c r="P47" s="194"/>
      <c r="Q47" s="194"/>
      <c r="R47" s="194"/>
      <c r="S47" s="194"/>
      <c r="T47" s="194"/>
      <c r="U47" s="194"/>
      <c r="V47" s="194"/>
      <c r="W47" s="194"/>
      <c r="X47" s="194"/>
      <c r="Y47" s="194"/>
    </row>
    <row r="48" spans="1:25" ht="19.5" x14ac:dyDescent="0.45">
      <c r="A48" s="194"/>
      <c r="B48" s="194"/>
      <c r="C48" s="194"/>
      <c r="D48" s="194"/>
      <c r="E48" s="166"/>
      <c r="F48" s="166"/>
      <c r="G48" s="166"/>
      <c r="H48" s="166"/>
      <c r="I48" s="166"/>
      <c r="J48" s="194"/>
      <c r="K48" s="19"/>
      <c r="L48" s="19"/>
      <c r="M48" s="222"/>
      <c r="N48" s="19"/>
      <c r="O48" s="19"/>
      <c r="P48" s="194"/>
      <c r="Q48" s="194"/>
      <c r="R48" s="194"/>
      <c r="S48" s="194"/>
      <c r="T48" s="194"/>
      <c r="U48" s="194"/>
      <c r="V48" s="194"/>
      <c r="W48" s="194"/>
      <c r="X48" s="194"/>
      <c r="Y48" s="194"/>
    </row>
    <row r="49" spans="1:25" x14ac:dyDescent="0.25">
      <c r="A49" s="194"/>
      <c r="B49" s="194"/>
      <c r="C49" s="194"/>
      <c r="D49" s="194"/>
      <c r="E49" s="23"/>
      <c r="F49" s="23"/>
      <c r="G49" s="23"/>
      <c r="H49" s="23"/>
      <c r="I49" s="23"/>
      <c r="J49" s="194"/>
      <c r="K49" s="19"/>
      <c r="L49" s="19"/>
      <c r="M49" s="22"/>
      <c r="N49" s="19"/>
      <c r="O49" s="19"/>
      <c r="P49" s="194"/>
      <c r="Q49" s="194"/>
      <c r="R49" s="194"/>
      <c r="S49" s="194"/>
      <c r="T49" s="194"/>
      <c r="U49" s="194"/>
      <c r="V49" s="194"/>
      <c r="W49" s="194"/>
      <c r="X49" s="194"/>
      <c r="Y49" s="194"/>
    </row>
    <row r="50" spans="1:25" ht="15" customHeight="1" x14ac:dyDescent="0.45">
      <c r="A50" s="194"/>
      <c r="B50" s="195"/>
      <c r="C50" s="194"/>
      <c r="D50" s="194"/>
      <c r="E50" s="166"/>
      <c r="F50" s="166"/>
      <c r="G50" s="166"/>
      <c r="H50" s="166"/>
      <c r="I50" s="166"/>
      <c r="J50" s="195"/>
      <c r="K50" s="204"/>
      <c r="L50" s="204"/>
      <c r="M50" s="22"/>
      <c r="N50" s="204"/>
      <c r="O50" s="19"/>
      <c r="P50" s="194"/>
      <c r="Q50" s="194"/>
      <c r="R50" s="194"/>
      <c r="S50" s="194"/>
      <c r="T50" s="194"/>
      <c r="U50" s="194"/>
      <c r="V50" s="194"/>
      <c r="W50" s="194"/>
      <c r="X50" s="194"/>
      <c r="Y50" s="194"/>
    </row>
    <row r="51" spans="1:25" ht="15" customHeight="1" x14ac:dyDescent="0.5">
      <c r="A51" s="194"/>
      <c r="B51" s="196"/>
      <c r="C51" s="194"/>
      <c r="D51" s="194"/>
      <c r="E51" s="22"/>
      <c r="F51" s="22"/>
      <c r="G51" s="22"/>
      <c r="H51" s="22"/>
      <c r="I51" s="22"/>
      <c r="J51" s="197"/>
      <c r="K51" s="223"/>
      <c r="L51" s="204"/>
      <c r="M51" s="204"/>
      <c r="N51" s="204"/>
      <c r="O51" s="19"/>
      <c r="P51" s="194"/>
      <c r="Q51" s="194"/>
      <c r="R51" s="194"/>
      <c r="S51" s="194"/>
      <c r="T51" s="194"/>
      <c r="U51" s="194"/>
      <c r="V51" s="194"/>
      <c r="W51" s="194"/>
      <c r="X51" s="194"/>
      <c r="Y51" s="194"/>
    </row>
    <row r="52" spans="1:25" ht="15" customHeight="1" x14ac:dyDescent="0.45">
      <c r="A52" s="194"/>
      <c r="B52" s="196"/>
      <c r="C52" s="194"/>
      <c r="D52" s="194"/>
      <c r="E52" s="220"/>
      <c r="F52" s="220"/>
      <c r="G52" s="194"/>
      <c r="H52" s="194"/>
      <c r="I52" s="194"/>
      <c r="J52" s="199"/>
      <c r="K52" s="224"/>
      <c r="L52" s="219"/>
      <c r="M52" s="219"/>
      <c r="N52" s="219"/>
      <c r="O52" s="19"/>
      <c r="P52" s="194"/>
      <c r="Q52" s="194"/>
      <c r="R52" s="194"/>
      <c r="S52" s="194"/>
      <c r="T52" s="194"/>
      <c r="U52" s="194"/>
      <c r="V52" s="194"/>
      <c r="W52" s="194"/>
      <c r="X52" s="194"/>
      <c r="Y52" s="194"/>
    </row>
    <row r="53" spans="1:25" ht="15" customHeight="1" x14ac:dyDescent="0.45">
      <c r="A53" s="194"/>
      <c r="B53" s="196"/>
      <c r="C53" s="194"/>
      <c r="D53" s="194"/>
      <c r="E53" s="220"/>
      <c r="F53" s="220"/>
      <c r="G53" s="194"/>
      <c r="H53" s="194"/>
      <c r="I53" s="194"/>
      <c r="J53" s="199"/>
      <c r="K53" s="224"/>
      <c r="L53" s="219"/>
      <c r="M53" s="219"/>
      <c r="N53" s="219"/>
      <c r="O53" s="19"/>
      <c r="P53" s="194"/>
      <c r="Q53" s="194"/>
      <c r="R53" s="194"/>
      <c r="S53" s="194"/>
      <c r="T53" s="194"/>
      <c r="U53" s="194"/>
      <c r="V53" s="194"/>
      <c r="W53" s="194"/>
      <c r="X53" s="194"/>
      <c r="Y53" s="194"/>
    </row>
    <row r="54" spans="1:25" ht="15" customHeight="1" x14ac:dyDescent="0.45">
      <c r="A54" s="194"/>
      <c r="B54" s="196"/>
      <c r="C54" s="194"/>
      <c r="D54" s="194"/>
      <c r="E54" s="220"/>
      <c r="F54" s="220"/>
      <c r="G54" s="194"/>
      <c r="H54" s="194"/>
      <c r="I54" s="194"/>
      <c r="J54" s="199"/>
      <c r="K54" s="224"/>
      <c r="L54" s="219"/>
      <c r="M54" s="219"/>
      <c r="N54" s="219"/>
      <c r="O54" s="19"/>
      <c r="P54" s="194"/>
      <c r="Q54" s="194"/>
      <c r="R54" s="194"/>
      <c r="S54" s="194"/>
      <c r="T54" s="194"/>
      <c r="U54" s="194"/>
      <c r="V54" s="194"/>
      <c r="W54" s="194"/>
      <c r="X54" s="194"/>
      <c r="Y54" s="194"/>
    </row>
    <row r="55" spans="1:25" ht="15" customHeight="1" x14ac:dyDescent="0.45">
      <c r="A55" s="194"/>
      <c r="B55" s="196"/>
      <c r="C55" s="220"/>
      <c r="D55" s="220"/>
      <c r="E55" s="220"/>
      <c r="F55" s="220"/>
      <c r="G55" s="194"/>
      <c r="H55" s="194"/>
      <c r="I55" s="194"/>
      <c r="J55" s="199"/>
      <c r="K55" s="224"/>
      <c r="L55" s="219"/>
      <c r="M55" s="225"/>
      <c r="N55" s="219"/>
      <c r="O55" s="19"/>
      <c r="P55" s="194"/>
      <c r="Q55" s="194"/>
      <c r="R55" s="194"/>
      <c r="S55" s="194"/>
      <c r="T55" s="194"/>
      <c r="U55" s="194"/>
      <c r="V55" s="194"/>
      <c r="W55" s="194"/>
      <c r="X55" s="194"/>
      <c r="Y55" s="194"/>
    </row>
    <row r="56" spans="1:25" ht="15" customHeight="1" x14ac:dyDescent="0.45">
      <c r="A56" s="194"/>
      <c r="B56" s="196"/>
      <c r="C56" s="220"/>
      <c r="D56" s="220"/>
      <c r="E56" s="220"/>
      <c r="F56" s="220"/>
      <c r="G56" s="194"/>
      <c r="H56" s="194"/>
      <c r="I56" s="194"/>
      <c r="J56" s="199"/>
      <c r="K56" s="224"/>
      <c r="L56" s="219"/>
      <c r="M56" s="225"/>
      <c r="N56" s="219"/>
      <c r="O56" s="19"/>
      <c r="P56" s="194"/>
      <c r="Q56" s="194"/>
      <c r="R56" s="194"/>
      <c r="S56" s="194"/>
      <c r="T56" s="194"/>
      <c r="U56" s="194"/>
      <c r="V56" s="194"/>
      <c r="W56" s="194"/>
      <c r="X56" s="194"/>
      <c r="Y56" s="194"/>
    </row>
    <row r="57" spans="1:25" ht="15" customHeight="1" x14ac:dyDescent="0.45">
      <c r="A57" s="194"/>
      <c r="B57" s="196"/>
      <c r="C57" s="194"/>
      <c r="D57" s="194"/>
      <c r="E57" s="194"/>
      <c r="F57" s="194"/>
      <c r="G57" s="194"/>
      <c r="H57" s="194"/>
      <c r="I57" s="194"/>
      <c r="J57" s="199"/>
      <c r="K57" s="224"/>
      <c r="L57" s="219"/>
      <c r="M57" s="19"/>
      <c r="N57" s="219"/>
      <c r="O57" s="19"/>
      <c r="P57" s="194"/>
      <c r="Q57" s="194"/>
      <c r="R57" s="194"/>
      <c r="S57" s="194"/>
      <c r="T57" s="194"/>
      <c r="U57" s="194"/>
      <c r="V57" s="194"/>
      <c r="W57" s="194"/>
      <c r="X57" s="194"/>
      <c r="Y57" s="194"/>
    </row>
    <row r="58" spans="1:25" ht="15" customHeight="1" x14ac:dyDescent="0.45">
      <c r="A58" s="194"/>
      <c r="B58" s="196"/>
      <c r="C58" s="194"/>
      <c r="D58" s="194"/>
      <c r="E58" s="194"/>
      <c r="F58" s="194"/>
      <c r="G58" s="194"/>
      <c r="H58" s="194"/>
      <c r="I58" s="194"/>
      <c r="J58" s="199"/>
      <c r="K58" s="224"/>
      <c r="L58" s="219"/>
      <c r="M58" s="19"/>
      <c r="N58" s="219"/>
      <c r="O58" s="19"/>
      <c r="P58" s="194"/>
      <c r="Q58" s="194"/>
      <c r="R58" s="194"/>
      <c r="S58" s="194"/>
      <c r="T58" s="194"/>
      <c r="U58" s="194"/>
      <c r="V58" s="194"/>
      <c r="W58" s="194"/>
      <c r="X58" s="194"/>
      <c r="Y58" s="194"/>
    </row>
    <row r="59" spans="1:25" ht="15" customHeight="1" x14ac:dyDescent="0.45">
      <c r="A59" s="194"/>
      <c r="B59" s="196"/>
      <c r="C59" s="198"/>
      <c r="D59" s="198"/>
      <c r="E59" s="198"/>
      <c r="F59" s="198"/>
      <c r="G59" s="198"/>
      <c r="H59" s="198"/>
      <c r="I59" s="198"/>
      <c r="J59" s="199"/>
      <c r="K59" s="224"/>
      <c r="L59" s="219"/>
      <c r="M59" s="218"/>
      <c r="N59" s="219"/>
      <c r="O59" s="19"/>
      <c r="P59" s="194"/>
      <c r="Q59" s="194"/>
      <c r="R59" s="194"/>
      <c r="S59" s="194"/>
      <c r="T59" s="194"/>
      <c r="U59" s="194"/>
      <c r="V59" s="194"/>
      <c r="W59" s="194"/>
      <c r="X59" s="194"/>
      <c r="Y59" s="194"/>
    </row>
    <row r="60" spans="1:25" ht="15" customHeight="1" x14ac:dyDescent="0.45">
      <c r="A60" s="194"/>
      <c r="B60" s="196"/>
      <c r="C60" s="198"/>
      <c r="D60" s="198"/>
      <c r="E60" s="198"/>
      <c r="F60" s="198"/>
      <c r="G60" s="198"/>
      <c r="H60" s="198"/>
      <c r="I60" s="198"/>
      <c r="J60" s="199"/>
      <c r="K60" s="224"/>
      <c r="L60" s="219"/>
      <c r="M60" s="218"/>
      <c r="N60" s="219"/>
      <c r="O60" s="19"/>
      <c r="P60" s="194"/>
      <c r="Q60" s="194"/>
      <c r="R60" s="194"/>
      <c r="S60" s="194"/>
      <c r="T60" s="194"/>
      <c r="U60" s="194"/>
      <c r="V60" s="194"/>
      <c r="W60" s="194"/>
      <c r="X60" s="194"/>
      <c r="Y60" s="194"/>
    </row>
    <row r="61" spans="1:25" ht="15" customHeight="1" x14ac:dyDescent="0.45">
      <c r="A61" s="194"/>
      <c r="B61" s="196"/>
      <c r="C61" s="198"/>
      <c r="D61" s="198"/>
      <c r="E61" s="198"/>
      <c r="F61" s="198"/>
      <c r="G61" s="198"/>
      <c r="H61" s="198"/>
      <c r="I61" s="198"/>
      <c r="J61" s="199"/>
      <c r="K61" s="224"/>
      <c r="L61" s="219"/>
      <c r="M61" s="218"/>
      <c r="N61" s="219"/>
      <c r="O61" s="19"/>
      <c r="P61" s="194"/>
      <c r="Q61" s="194"/>
      <c r="R61" s="194"/>
      <c r="S61" s="194"/>
      <c r="T61" s="194"/>
      <c r="U61" s="194"/>
      <c r="V61" s="194"/>
      <c r="W61" s="194"/>
      <c r="X61" s="194"/>
      <c r="Y61" s="194"/>
    </row>
    <row r="62" spans="1:25" ht="15" customHeight="1" x14ac:dyDescent="0.45">
      <c r="A62" s="194"/>
      <c r="B62" s="196"/>
      <c r="C62" s="198"/>
      <c r="D62" s="198"/>
      <c r="E62" s="198"/>
      <c r="F62" s="198"/>
      <c r="G62" s="198"/>
      <c r="H62" s="198"/>
      <c r="I62" s="198"/>
      <c r="J62" s="199"/>
      <c r="K62" s="224"/>
      <c r="L62" s="219"/>
      <c r="M62" s="218"/>
      <c r="N62" s="219"/>
      <c r="O62" s="19"/>
      <c r="P62" s="194"/>
      <c r="Q62" s="194"/>
      <c r="R62" s="194"/>
      <c r="S62" s="194"/>
      <c r="T62" s="194"/>
      <c r="U62" s="194"/>
      <c r="V62" s="194"/>
      <c r="W62" s="194"/>
      <c r="X62" s="194"/>
      <c r="Y62" s="194"/>
    </row>
    <row r="63" spans="1:25" ht="15" customHeight="1" x14ac:dyDescent="0.45">
      <c r="A63" s="194"/>
      <c r="B63" s="196"/>
      <c r="C63" s="198"/>
      <c r="D63" s="198"/>
      <c r="E63" s="198"/>
      <c r="F63" s="198"/>
      <c r="G63" s="198"/>
      <c r="H63" s="198"/>
      <c r="I63" s="198"/>
      <c r="J63" s="199"/>
      <c r="K63" s="224"/>
      <c r="L63" s="219"/>
      <c r="M63" s="218"/>
      <c r="N63" s="219"/>
      <c r="O63" s="19"/>
      <c r="P63" s="194"/>
      <c r="Q63" s="194"/>
      <c r="R63" s="194"/>
      <c r="S63" s="194"/>
      <c r="T63" s="194"/>
      <c r="U63" s="194"/>
      <c r="V63" s="194"/>
      <c r="W63" s="194"/>
      <c r="X63" s="194"/>
      <c r="Y63" s="194"/>
    </row>
    <row r="64" spans="1:25" ht="15" customHeight="1" x14ac:dyDescent="0.45">
      <c r="A64" s="194"/>
      <c r="B64" s="196"/>
      <c r="C64" s="198"/>
      <c r="D64" s="198"/>
      <c r="E64" s="198"/>
      <c r="F64" s="198"/>
      <c r="G64" s="198"/>
      <c r="H64" s="198"/>
      <c r="I64" s="198"/>
      <c r="J64" s="199"/>
      <c r="K64" s="224"/>
      <c r="L64" s="219"/>
      <c r="M64" s="218"/>
      <c r="N64" s="219"/>
      <c r="O64" s="19"/>
      <c r="P64" s="194"/>
      <c r="Q64" s="194"/>
      <c r="R64" s="194"/>
      <c r="S64" s="194"/>
      <c r="T64" s="194"/>
      <c r="U64" s="194"/>
      <c r="V64" s="194"/>
      <c r="W64" s="194"/>
      <c r="X64" s="194"/>
      <c r="Y64" s="194"/>
    </row>
    <row r="65" spans="1:25" ht="15" customHeight="1" x14ac:dyDescent="0.45">
      <c r="A65" s="194"/>
      <c r="B65" s="196"/>
      <c r="C65" s="198"/>
      <c r="D65" s="198"/>
      <c r="E65" s="198"/>
      <c r="F65" s="198"/>
      <c r="G65" s="198"/>
      <c r="H65" s="198"/>
      <c r="I65" s="198"/>
      <c r="J65" s="199"/>
      <c r="K65" s="224"/>
      <c r="L65" s="219"/>
      <c r="M65" s="218"/>
      <c r="N65" s="219"/>
      <c r="O65" s="19"/>
      <c r="P65" s="194"/>
      <c r="Q65" s="194"/>
      <c r="R65" s="194"/>
      <c r="S65" s="194"/>
      <c r="T65" s="194"/>
      <c r="U65" s="194"/>
      <c r="V65" s="194"/>
      <c r="W65" s="194"/>
      <c r="X65" s="194"/>
      <c r="Y65" s="194"/>
    </row>
    <row r="66" spans="1:25" ht="15" customHeight="1" x14ac:dyDescent="0.45">
      <c r="A66" s="194"/>
      <c r="B66" s="196"/>
      <c r="C66" s="198"/>
      <c r="D66" s="198"/>
      <c r="E66" s="198"/>
      <c r="F66" s="198"/>
      <c r="G66" s="198"/>
      <c r="H66" s="198"/>
      <c r="I66" s="198"/>
      <c r="J66" s="199"/>
      <c r="K66" s="224"/>
      <c r="L66" s="219"/>
      <c r="M66" s="218"/>
      <c r="N66" s="219"/>
      <c r="O66" s="19"/>
      <c r="P66" s="194"/>
      <c r="Q66" s="194"/>
      <c r="R66" s="194"/>
      <c r="S66" s="194"/>
      <c r="T66" s="194"/>
      <c r="U66" s="194"/>
      <c r="V66" s="194"/>
      <c r="W66" s="194"/>
      <c r="X66" s="194"/>
      <c r="Y66" s="194"/>
    </row>
    <row r="67" spans="1:25" ht="15" customHeight="1" x14ac:dyDescent="0.45">
      <c r="A67" s="194"/>
      <c r="B67" s="196"/>
      <c r="C67" s="198"/>
      <c r="D67" s="198"/>
      <c r="E67" s="198"/>
      <c r="F67" s="198"/>
      <c r="G67" s="198"/>
      <c r="H67" s="198"/>
      <c r="I67" s="198"/>
      <c r="J67" s="199"/>
      <c r="K67" s="199"/>
      <c r="L67" s="196"/>
      <c r="M67" s="198"/>
      <c r="N67" s="196"/>
      <c r="O67" s="194"/>
      <c r="P67" s="194"/>
      <c r="Q67" s="194"/>
      <c r="R67" s="194"/>
      <c r="S67" s="194"/>
      <c r="T67" s="194"/>
      <c r="U67" s="194"/>
      <c r="V67" s="194"/>
      <c r="W67" s="194"/>
      <c r="X67" s="194"/>
      <c r="Y67" s="194"/>
    </row>
    <row r="68" spans="1:25" ht="15" customHeight="1" x14ac:dyDescent="0.45">
      <c r="B68" s="13"/>
      <c r="C68" s="25"/>
      <c r="D68" s="25"/>
      <c r="E68" s="25"/>
      <c r="F68" s="25"/>
      <c r="G68" s="25"/>
      <c r="H68" s="25"/>
      <c r="I68" s="25"/>
      <c r="J68" s="26"/>
      <c r="K68" s="26"/>
      <c r="L68" s="13"/>
      <c r="M68" s="25"/>
      <c r="N68" s="13"/>
    </row>
    <row r="69" spans="1:25" ht="15" customHeight="1" x14ac:dyDescent="0.45">
      <c r="B69" s="13"/>
      <c r="C69" s="25"/>
      <c r="D69" s="25"/>
      <c r="E69" s="25"/>
      <c r="F69" s="25"/>
      <c r="G69" s="25"/>
      <c r="H69" s="25"/>
      <c r="I69" s="25"/>
      <c r="J69" s="26"/>
      <c r="K69" s="26"/>
      <c r="L69" s="13"/>
      <c r="M69" s="25"/>
      <c r="N69" s="13"/>
    </row>
  </sheetData>
  <mergeCells count="28">
    <mergeCell ref="E4:E5"/>
    <mergeCell ref="J4:J5"/>
    <mergeCell ref="F4:F5"/>
    <mergeCell ref="I4:I5"/>
    <mergeCell ref="Y3:Y5"/>
    <mergeCell ref="M32:P32"/>
    <mergeCell ref="M29:P29"/>
    <mergeCell ref="M31:P31"/>
    <mergeCell ref="B3:B5"/>
    <mergeCell ref="C3:C5"/>
    <mergeCell ref="D3:D5"/>
    <mergeCell ref="O3:Q3"/>
    <mergeCell ref="R3:X3"/>
    <mergeCell ref="L3:L5"/>
    <mergeCell ref="N3:N5"/>
    <mergeCell ref="O4:O5"/>
    <mergeCell ref="P4:P5"/>
    <mergeCell ref="Q4:Q5"/>
    <mergeCell ref="M3:M5"/>
    <mergeCell ref="E3:K3"/>
    <mergeCell ref="H4:H5"/>
    <mergeCell ref="G4:G5"/>
    <mergeCell ref="M21:Q21"/>
    <mergeCell ref="K4:K5"/>
    <mergeCell ref="M30:P30"/>
    <mergeCell ref="M26:N26"/>
    <mergeCell ref="M25:N25"/>
    <mergeCell ref="M24:N24"/>
  </mergeCells>
  <dataValidations count="2">
    <dataValidation type="list" allowBlank="1" showInputMessage="1" showErrorMessage="1" sqref="E21:E23">
      <formula1>$E$49:$I$49</formula1>
    </dataValidation>
    <dataValidation showDropDown="1" showInputMessage="1" showErrorMessage="1" sqref="E6:E11"/>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Y63"/>
  <sheetViews>
    <sheetView rightToLeft="1" zoomScale="96" zoomScaleNormal="96" workbookViewId="0">
      <selection activeCell="N6" sqref="N6:N7"/>
    </sheetView>
  </sheetViews>
  <sheetFormatPr defaultColWidth="8.85546875" defaultRowHeight="15" x14ac:dyDescent="0.25"/>
  <cols>
    <col min="1" max="1" width="97.28515625" style="718" customWidth="1"/>
    <col min="2" max="2" width="35.140625" style="718" bestFit="1" customWidth="1"/>
    <col min="3" max="3" width="14.28515625" style="718" bestFit="1" customWidth="1"/>
    <col min="4" max="4" width="13.42578125" style="718" customWidth="1"/>
    <col min="5" max="6" width="8.85546875" style="718"/>
    <col min="7" max="7" width="6.7109375" style="718" customWidth="1"/>
    <col min="8" max="10" width="10.28515625" style="718" customWidth="1"/>
    <col min="11" max="11" width="8.85546875" style="718"/>
    <col min="12" max="12" width="6.7109375" style="718" customWidth="1"/>
    <col min="13" max="13" width="16.5703125" style="718" hidden="1" customWidth="1"/>
    <col min="14" max="14" width="12.140625" style="718" customWidth="1"/>
    <col min="15" max="17" width="8.85546875" style="718"/>
    <col min="18" max="18" width="11.28515625" style="718" bestFit="1" customWidth="1"/>
    <col min="19" max="19" width="11" style="718" bestFit="1" customWidth="1"/>
    <col min="20" max="20" width="7.7109375" style="718" bestFit="1" customWidth="1"/>
    <col min="21" max="21" width="12.42578125" style="718" bestFit="1" customWidth="1"/>
    <col min="22" max="22" width="6.85546875" style="718" bestFit="1" customWidth="1"/>
    <col min="23" max="23" width="16.42578125" style="718" bestFit="1" customWidth="1"/>
    <col min="24" max="24" width="8.85546875" style="718"/>
    <col min="25" max="25" width="11.28515625" style="718" bestFit="1" customWidth="1"/>
    <col min="26" max="16384" width="8.85546875" style="718"/>
  </cols>
  <sheetData>
    <row r="1" spans="1:25" ht="45" customHeight="1" x14ac:dyDescent="0.25"/>
    <row r="2" spans="1:25" ht="38.450000000000003" customHeight="1" thickBot="1" x14ac:dyDescent="0.55000000000000004">
      <c r="A2" s="357"/>
    </row>
    <row r="3" spans="1:25" ht="28.5" customHeight="1" x14ac:dyDescent="0.25">
      <c r="B3" s="1431" t="s">
        <v>38</v>
      </c>
      <c r="C3" s="1434" t="s">
        <v>73</v>
      </c>
      <c r="D3" s="1434" t="s">
        <v>57</v>
      </c>
      <c r="E3" s="1430" t="s">
        <v>58</v>
      </c>
      <c r="F3" s="1430"/>
      <c r="G3" s="1430"/>
      <c r="H3" s="1430"/>
      <c r="I3" s="1430"/>
      <c r="J3" s="1430"/>
      <c r="K3" s="1430"/>
      <c r="L3" s="1440" t="s">
        <v>434</v>
      </c>
      <c r="M3" s="1443" t="s">
        <v>73</v>
      </c>
      <c r="N3" s="1427" t="s">
        <v>438</v>
      </c>
      <c r="O3" s="1430" t="s">
        <v>435</v>
      </c>
      <c r="P3" s="1430"/>
      <c r="Q3" s="1430"/>
      <c r="R3" s="1430" t="s">
        <v>61</v>
      </c>
      <c r="S3" s="1430"/>
      <c r="T3" s="1430"/>
      <c r="U3" s="1430"/>
      <c r="V3" s="1430"/>
      <c r="W3" s="1430"/>
      <c r="X3" s="1430"/>
      <c r="Y3" s="1437" t="s">
        <v>62</v>
      </c>
    </row>
    <row r="4" spans="1:25" ht="19.149999999999999" customHeight="1" x14ac:dyDescent="0.25">
      <c r="A4" s="359"/>
      <c r="B4" s="1432"/>
      <c r="C4" s="1435"/>
      <c r="D4" s="1435"/>
      <c r="E4" s="1425" t="s">
        <v>63</v>
      </c>
      <c r="F4" s="1425" t="s">
        <v>64</v>
      </c>
      <c r="G4" s="1425" t="s">
        <v>65</v>
      </c>
      <c r="H4" s="1425" t="s">
        <v>66</v>
      </c>
      <c r="I4" s="1425" t="s">
        <v>67</v>
      </c>
      <c r="J4" s="1425" t="s">
        <v>68</v>
      </c>
      <c r="K4" s="1425" t="s">
        <v>69</v>
      </c>
      <c r="L4" s="1441"/>
      <c r="M4" s="1444"/>
      <c r="N4" s="1428"/>
      <c r="O4" s="1425" t="s">
        <v>436</v>
      </c>
      <c r="P4" s="1425" t="s">
        <v>437</v>
      </c>
      <c r="Q4" s="1425" t="s">
        <v>72</v>
      </c>
      <c r="R4" s="364" t="s">
        <v>63</v>
      </c>
      <c r="S4" s="364" t="s">
        <v>64</v>
      </c>
      <c r="T4" s="364" t="s">
        <v>65</v>
      </c>
      <c r="U4" s="364" t="s">
        <v>66</v>
      </c>
      <c r="V4" s="364" t="s">
        <v>67</v>
      </c>
      <c r="W4" s="364" t="str">
        <f>J4</f>
        <v>خدمات پس از فروش</v>
      </c>
      <c r="X4" s="364" t="str">
        <f>K4</f>
        <v>بازیافت</v>
      </c>
      <c r="Y4" s="1438"/>
    </row>
    <row r="5" spans="1:25" ht="19.149999999999999" customHeight="1" thickBot="1" x14ac:dyDescent="0.3">
      <c r="B5" s="1433"/>
      <c r="C5" s="1436"/>
      <c r="D5" s="1436"/>
      <c r="E5" s="1426"/>
      <c r="F5" s="1426"/>
      <c r="G5" s="1426"/>
      <c r="H5" s="1426"/>
      <c r="I5" s="1426"/>
      <c r="J5" s="1426"/>
      <c r="K5" s="1426"/>
      <c r="L5" s="1442"/>
      <c r="M5" s="1445"/>
      <c r="N5" s="1429"/>
      <c r="O5" s="1426"/>
      <c r="P5" s="1426"/>
      <c r="Q5" s="1426"/>
      <c r="R5" s="1059">
        <v>0.1</v>
      </c>
      <c r="S5" s="1059">
        <v>0.2</v>
      </c>
      <c r="T5" s="1059">
        <v>0.2</v>
      </c>
      <c r="U5" s="1059">
        <v>0.1</v>
      </c>
      <c r="V5" s="1059">
        <v>0.2</v>
      </c>
      <c r="W5" s="1059">
        <v>0.1</v>
      </c>
      <c r="X5" s="1059">
        <v>0.1</v>
      </c>
      <c r="Y5" s="1439"/>
    </row>
    <row r="6" spans="1:25" s="758" customFormat="1" ht="19.149999999999999" customHeight="1" x14ac:dyDescent="0.25">
      <c r="B6" s="205">
        <v>1</v>
      </c>
      <c r="C6" s="1081" t="s">
        <v>811</v>
      </c>
      <c r="D6" s="424" t="s">
        <v>812</v>
      </c>
      <c r="E6" s="1060">
        <v>1</v>
      </c>
      <c r="F6" s="1060">
        <v>1</v>
      </c>
      <c r="G6" s="1060">
        <v>1</v>
      </c>
      <c r="H6" s="1060">
        <v>0.8</v>
      </c>
      <c r="I6" s="1060">
        <v>1</v>
      </c>
      <c r="J6" s="1060">
        <v>1</v>
      </c>
      <c r="K6" s="1060"/>
      <c r="L6" s="1061">
        <v>0.8</v>
      </c>
      <c r="M6" s="226" t="s">
        <v>811</v>
      </c>
      <c r="N6" s="1060">
        <v>0.6</v>
      </c>
      <c r="O6" s="1060">
        <v>1</v>
      </c>
      <c r="P6" s="1060">
        <v>0.7</v>
      </c>
      <c r="Q6" s="1060">
        <f>(P6+O6)/2</f>
        <v>0.85</v>
      </c>
      <c r="R6" s="1062">
        <f>E6*Q6*N6*L6</f>
        <v>0.40800000000000003</v>
      </c>
      <c r="S6" s="1062">
        <f>F6*Q6*N6*L6</f>
        <v>0.40800000000000003</v>
      </c>
      <c r="T6" s="1062">
        <f>G6*Q6*N6*L6</f>
        <v>0.40800000000000003</v>
      </c>
      <c r="U6" s="1062">
        <f t="shared" ref="U6:X8" si="0">H6*$Q6*$N6*$L6</f>
        <v>0.32640000000000002</v>
      </c>
      <c r="V6" s="1062">
        <f t="shared" si="0"/>
        <v>0.40800000000000003</v>
      </c>
      <c r="W6" s="1062">
        <f t="shared" si="0"/>
        <v>0.40800000000000003</v>
      </c>
      <c r="X6" s="1062">
        <f t="shared" si="0"/>
        <v>0</v>
      </c>
      <c r="Y6" s="365"/>
    </row>
    <row r="7" spans="1:25" s="758" customFormat="1" ht="19.149999999999999" customHeight="1" x14ac:dyDescent="0.25">
      <c r="B7" s="205">
        <v>2</v>
      </c>
      <c r="C7" s="1080" t="s">
        <v>813</v>
      </c>
      <c r="D7" s="207"/>
      <c r="E7" s="1060">
        <v>0</v>
      </c>
      <c r="F7" s="1060">
        <v>0</v>
      </c>
      <c r="G7" s="1060">
        <v>0.2</v>
      </c>
      <c r="H7" s="1060">
        <v>0</v>
      </c>
      <c r="I7" s="1060">
        <v>1</v>
      </c>
      <c r="J7" s="1060">
        <v>0</v>
      </c>
      <c r="K7" s="1060"/>
      <c r="L7" s="1061">
        <v>0.5</v>
      </c>
      <c r="M7" s="227" t="str">
        <f>C7</f>
        <v>ISO 11148-12:2012</v>
      </c>
      <c r="N7" s="1064">
        <v>0.6</v>
      </c>
      <c r="O7" s="1064">
        <v>0.5</v>
      </c>
      <c r="P7" s="1064">
        <v>0.7</v>
      </c>
      <c r="Q7" s="1060">
        <f t="shared" ref="Q7" si="1">(P7+O7)/2</f>
        <v>0.6</v>
      </c>
      <c r="R7" s="1062">
        <f>E7*Q7*N7*L7</f>
        <v>0</v>
      </c>
      <c r="S7" s="1062">
        <f>F7*Q7*N7*L7</f>
        <v>0</v>
      </c>
      <c r="T7" s="1062">
        <f>G7*Q7*N7*L7</f>
        <v>3.5999999999999997E-2</v>
      </c>
      <c r="U7" s="1062">
        <f t="shared" si="0"/>
        <v>0</v>
      </c>
      <c r="V7" s="1062">
        <f t="shared" si="0"/>
        <v>0.18</v>
      </c>
      <c r="W7" s="1062">
        <f t="shared" si="0"/>
        <v>0</v>
      </c>
      <c r="X7" s="1062">
        <f t="shared" si="0"/>
        <v>0</v>
      </c>
      <c r="Y7" s="365"/>
    </row>
    <row r="8" spans="1:25" s="758" customFormat="1" ht="19.149999999999999" customHeight="1" x14ac:dyDescent="0.25">
      <c r="A8" s="11"/>
      <c r="B8" s="205"/>
      <c r="C8" s="206"/>
      <c r="D8" s="207"/>
      <c r="E8" s="1060"/>
      <c r="F8" s="1060"/>
      <c r="G8" s="1060"/>
      <c r="H8" s="1060"/>
      <c r="I8" s="1060"/>
      <c r="J8" s="1060"/>
      <c r="K8" s="1060"/>
      <c r="L8" s="1060"/>
      <c r="M8" s="227"/>
      <c r="N8" s="1064"/>
      <c r="O8" s="1064"/>
      <c r="P8" s="1064"/>
      <c r="Q8" s="1060">
        <f t="shared" ref="Q8" si="2">(P8+O8)/2</f>
        <v>0</v>
      </c>
      <c r="R8" s="1062">
        <f>E8*Q8*N8*L8</f>
        <v>0</v>
      </c>
      <c r="S8" s="1062">
        <f>F8*Q8*N8*L8</f>
        <v>0</v>
      </c>
      <c r="T8" s="1062">
        <f>G8*Q8*N8*L8</f>
        <v>0</v>
      </c>
      <c r="U8" s="1062">
        <f t="shared" si="0"/>
        <v>0</v>
      </c>
      <c r="V8" s="1062">
        <f t="shared" si="0"/>
        <v>0</v>
      </c>
      <c r="W8" s="1062">
        <f t="shared" si="0"/>
        <v>0</v>
      </c>
      <c r="X8" s="1062">
        <f t="shared" si="0"/>
        <v>0</v>
      </c>
      <c r="Y8" s="365"/>
    </row>
    <row r="9" spans="1:25" s="758" customFormat="1" ht="19.149999999999999" customHeight="1" thickBot="1" x14ac:dyDescent="0.3">
      <c r="B9" s="366"/>
      <c r="C9" s="367" t="s">
        <v>55</v>
      </c>
      <c r="D9" s="367"/>
      <c r="E9" s="367"/>
      <c r="F9" s="367"/>
      <c r="G9" s="367"/>
      <c r="H9" s="367"/>
      <c r="I9" s="367"/>
      <c r="J9" s="367"/>
      <c r="K9" s="367"/>
      <c r="L9" s="369"/>
      <c r="M9" s="366"/>
      <c r="N9" s="367"/>
      <c r="O9" s="367"/>
      <c r="P9" s="367"/>
      <c r="Q9" s="367"/>
      <c r="R9" s="1065">
        <f t="shared" ref="R9:X9" si="3">MAX(R6:R8)</f>
        <v>0.40800000000000003</v>
      </c>
      <c r="S9" s="1065">
        <f t="shared" si="3"/>
        <v>0.40800000000000003</v>
      </c>
      <c r="T9" s="1065">
        <f t="shared" si="3"/>
        <v>0.40800000000000003</v>
      </c>
      <c r="U9" s="1065">
        <f t="shared" si="3"/>
        <v>0.32640000000000002</v>
      </c>
      <c r="V9" s="1065">
        <f t="shared" si="3"/>
        <v>0.40800000000000003</v>
      </c>
      <c r="W9" s="1065">
        <f t="shared" si="3"/>
        <v>0.40800000000000003</v>
      </c>
      <c r="X9" s="1065">
        <f t="shared" si="3"/>
        <v>0</v>
      </c>
      <c r="Y9" s="1066">
        <f>MIN(SUMPRODUCT(R5:X5,R9:X9),100)*1.5^'8.گواهینامه ها'!I10</f>
        <v>0.40502429111099164</v>
      </c>
    </row>
    <row r="10" spans="1:25" s="758" customFormat="1" ht="19.149999999999999" customHeight="1" x14ac:dyDescent="0.45">
      <c r="B10" s="118"/>
      <c r="C10" s="241"/>
      <c r="D10" s="241"/>
      <c r="E10" s="241"/>
      <c r="F10" s="241"/>
      <c r="G10" s="241"/>
      <c r="H10" s="241"/>
      <c r="I10" s="241"/>
      <c r="J10" s="1067"/>
      <c r="K10" s="1067"/>
      <c r="L10" s="1038"/>
      <c r="M10" s="1038"/>
      <c r="N10" s="1038"/>
    </row>
    <row r="11" spans="1:25" s="758" customFormat="1" ht="19.149999999999999" customHeight="1" x14ac:dyDescent="0.45">
      <c r="B11" s="118"/>
      <c r="C11" s="241"/>
      <c r="D11" s="241"/>
      <c r="E11" s="241"/>
      <c r="F11" s="241"/>
      <c r="G11" s="241"/>
      <c r="H11" s="241"/>
      <c r="I11" s="241"/>
      <c r="J11" s="1067"/>
      <c r="K11" s="1067"/>
      <c r="L11" s="1038"/>
      <c r="M11" s="1038"/>
      <c r="N11" s="1038"/>
    </row>
    <row r="12" spans="1:25" s="758" customFormat="1" ht="19.149999999999999" customHeight="1" thickBot="1" x14ac:dyDescent="0.5">
      <c r="B12" s="118"/>
      <c r="C12" s="241"/>
      <c r="D12" s="241"/>
      <c r="E12" s="241"/>
      <c r="F12" s="241"/>
      <c r="G12" s="241"/>
      <c r="H12" s="241"/>
      <c r="I12" s="241"/>
      <c r="J12" s="1067"/>
      <c r="K12" s="1067"/>
      <c r="L12" s="1038"/>
      <c r="M12" s="1038"/>
      <c r="N12" s="1038"/>
    </row>
    <row r="13" spans="1:25" s="758" customFormat="1" ht="19.149999999999999" customHeight="1" x14ac:dyDescent="0.45">
      <c r="B13" s="1399" t="s">
        <v>60</v>
      </c>
      <c r="C13" s="1400"/>
      <c r="D13" s="213">
        <f>1-((1/D14)*D15)</f>
        <v>0.16666666666666674</v>
      </c>
      <c r="E13" s="241"/>
      <c r="F13" s="241"/>
      <c r="G13" s="241"/>
      <c r="H13" s="1067"/>
      <c r="I13" s="1067"/>
      <c r="J13" s="1038"/>
      <c r="K13" s="1038"/>
      <c r="L13" s="1038"/>
    </row>
    <row r="14" spans="1:25" s="758" customFormat="1" ht="19.149999999999999" customHeight="1" x14ac:dyDescent="0.45">
      <c r="B14" s="1394" t="s">
        <v>393</v>
      </c>
      <c r="C14" s="1396"/>
      <c r="D14" s="214">
        <v>36</v>
      </c>
      <c r="E14" s="241"/>
      <c r="F14" s="241"/>
      <c r="G14" s="241"/>
      <c r="H14" s="1067"/>
      <c r="I14" s="1067"/>
      <c r="J14" s="1038"/>
      <c r="K14" s="1038"/>
      <c r="L14" s="1038"/>
    </row>
    <row r="15" spans="1:25" s="758" customFormat="1" ht="19.149999999999999" customHeight="1" thickBot="1" x14ac:dyDescent="0.5">
      <c r="B15" s="1397" t="s">
        <v>394</v>
      </c>
      <c r="C15" s="1398"/>
      <c r="D15" s="215">
        <v>30</v>
      </c>
      <c r="E15" s="241"/>
      <c r="F15" s="241"/>
      <c r="G15" s="241"/>
      <c r="H15" s="1067"/>
      <c r="I15" s="1067"/>
      <c r="J15" s="1038"/>
      <c r="K15" s="1038"/>
      <c r="L15" s="1038"/>
    </row>
    <row r="16" spans="1:25" s="758" customFormat="1" ht="19.149999999999999" customHeight="1" x14ac:dyDescent="0.45">
      <c r="B16" s="118"/>
      <c r="C16" s="241"/>
      <c r="D16" s="241"/>
      <c r="E16" s="241"/>
      <c r="F16" s="241"/>
      <c r="G16" s="241"/>
      <c r="H16" s="241"/>
      <c r="I16" s="241"/>
      <c r="J16" s="1067"/>
      <c r="K16" s="1067"/>
      <c r="L16" s="1038"/>
      <c r="M16" s="1038"/>
      <c r="N16" s="1038"/>
    </row>
    <row r="17" spans="2:14" s="758" customFormat="1" ht="19.149999999999999" customHeight="1" thickBot="1" x14ac:dyDescent="0.5">
      <c r="B17" s="118"/>
      <c r="C17" s="241"/>
      <c r="D17" s="241"/>
      <c r="E17" s="241"/>
      <c r="F17" s="241"/>
      <c r="G17" s="241"/>
      <c r="H17" s="241"/>
      <c r="I17" s="241"/>
      <c r="J17" s="1067"/>
      <c r="K17" s="1067"/>
      <c r="L17" s="1038"/>
      <c r="M17" s="1038"/>
      <c r="N17" s="1038"/>
    </row>
    <row r="18" spans="2:14" s="758" customFormat="1" ht="19.149999999999999" customHeight="1" thickBot="1" x14ac:dyDescent="0.5">
      <c r="B18" s="368" t="s">
        <v>71</v>
      </c>
      <c r="C18" s="241"/>
      <c r="D18" s="241"/>
      <c r="E18" s="241"/>
      <c r="F18" s="241"/>
      <c r="G18" s="241"/>
      <c r="H18" s="241"/>
      <c r="I18" s="241"/>
      <c r="J18" s="1067"/>
      <c r="K18" s="1067"/>
      <c r="L18" s="1038"/>
      <c r="M18" s="1038"/>
      <c r="N18" s="1038"/>
    </row>
    <row r="19" spans="2:14" s="758" customFormat="1" ht="19.149999999999999" customHeight="1" x14ac:dyDescent="0.45">
      <c r="B19" s="360" t="s">
        <v>397</v>
      </c>
      <c r="C19" s="241"/>
      <c r="D19" s="241"/>
      <c r="E19" s="241"/>
      <c r="F19" s="241"/>
      <c r="G19" s="241"/>
      <c r="H19" s="241"/>
      <c r="I19" s="241"/>
      <c r="J19" s="1067"/>
      <c r="K19" s="1067"/>
      <c r="L19" s="1038"/>
      <c r="M19" s="1038"/>
      <c r="N19" s="1038"/>
    </row>
    <row r="20" spans="2:14" s="758" customFormat="1" ht="15" customHeight="1" x14ac:dyDescent="0.25">
      <c r="B20" s="360" t="s">
        <v>398</v>
      </c>
    </row>
    <row r="21" spans="2:14" s="758" customFormat="1" ht="15" customHeight="1" thickBot="1" x14ac:dyDescent="0.5">
      <c r="B21" s="361" t="s">
        <v>399</v>
      </c>
      <c r="D21" s="407"/>
      <c r="E21" s="407"/>
      <c r="F21" s="407"/>
      <c r="G21" s="407"/>
      <c r="H21" s="407"/>
      <c r="I21" s="407"/>
    </row>
    <row r="22" spans="2:14" s="758" customFormat="1" ht="21" customHeight="1" x14ac:dyDescent="0.25">
      <c r="D22" s="362"/>
      <c r="E22" s="362"/>
      <c r="F22" s="362"/>
      <c r="G22" s="362"/>
      <c r="H22" s="362"/>
      <c r="I22" s="362"/>
    </row>
    <row r="23" spans="2:14" s="758" customFormat="1" ht="19.149999999999999" customHeight="1" x14ac:dyDescent="0.45">
      <c r="D23" s="1037"/>
      <c r="E23" s="1037"/>
      <c r="F23" s="1037"/>
      <c r="G23" s="1037"/>
      <c r="H23" s="1037"/>
      <c r="I23" s="1037"/>
    </row>
    <row r="24" spans="2:14" s="758" customFormat="1" ht="21" customHeight="1" x14ac:dyDescent="0.25"/>
    <row r="25" spans="2:14" ht="15" customHeight="1" x14ac:dyDescent="0.25"/>
    <row r="26" spans="2:14" ht="15" customHeight="1" x14ac:dyDescent="0.25"/>
    <row r="27" spans="2:14" ht="15" customHeight="1" x14ac:dyDescent="0.25"/>
    <row r="28" spans="2:14" ht="15" customHeight="1" x14ac:dyDescent="0.25"/>
    <row r="29" spans="2:14" ht="15" customHeight="1" x14ac:dyDescent="0.25"/>
    <row r="30" spans="2:14" ht="15" customHeight="1" x14ac:dyDescent="0.25"/>
    <row r="40" spans="2:14" ht="15" customHeight="1" x14ac:dyDescent="0.25">
      <c r="D40" s="17"/>
      <c r="E40" s="237"/>
      <c r="F40" s="237"/>
      <c r="G40" s="237"/>
      <c r="H40" s="237"/>
      <c r="I40" s="237"/>
    </row>
    <row r="41" spans="2:14" ht="15" customHeight="1" x14ac:dyDescent="0.25">
      <c r="D41" s="17"/>
      <c r="E41" s="237"/>
      <c r="F41" s="237"/>
      <c r="G41" s="237"/>
      <c r="H41" s="237"/>
      <c r="I41" s="237"/>
    </row>
    <row r="44" spans="2:14" ht="15" customHeight="1" x14ac:dyDescent="0.55000000000000004">
      <c r="B44" s="1036"/>
      <c r="C44" s="1423"/>
      <c r="D44" s="1424"/>
      <c r="E44" s="1424"/>
      <c r="F44" s="1424"/>
      <c r="G44" s="1424"/>
      <c r="H44" s="1424"/>
      <c r="I44" s="1424"/>
      <c r="J44" s="1424"/>
      <c r="K44" s="1424"/>
      <c r="L44" s="1036"/>
      <c r="M44" s="1036"/>
      <c r="N44" s="1036"/>
    </row>
    <row r="45" spans="2:14" ht="15" customHeight="1" x14ac:dyDescent="0.5">
      <c r="B45" s="1036"/>
      <c r="C45" s="24"/>
      <c r="D45" s="24"/>
      <c r="E45" s="24"/>
      <c r="F45" s="24"/>
      <c r="G45" s="24"/>
      <c r="H45" s="24"/>
      <c r="I45" s="24"/>
      <c r="J45" s="24"/>
      <c r="K45" s="24"/>
      <c r="L45" s="1036"/>
      <c r="M45" s="1036"/>
      <c r="N45" s="1036"/>
    </row>
    <row r="46" spans="2:14" ht="15" customHeight="1" x14ac:dyDescent="0.45">
      <c r="B46" s="1036"/>
      <c r="C46" s="408"/>
      <c r="D46" s="408"/>
      <c r="E46" s="408"/>
      <c r="F46" s="408"/>
      <c r="G46" s="408"/>
      <c r="H46" s="408"/>
      <c r="I46" s="408"/>
      <c r="J46" s="26"/>
      <c r="K46" s="26"/>
      <c r="L46" s="1036"/>
      <c r="M46" s="1036"/>
      <c r="N46" s="1036"/>
    </row>
    <row r="47" spans="2:14" ht="15" customHeight="1" x14ac:dyDescent="0.45">
      <c r="B47" s="1036"/>
      <c r="C47" s="408"/>
      <c r="D47" s="408"/>
      <c r="E47" s="408"/>
      <c r="F47" s="408"/>
      <c r="G47" s="408"/>
      <c r="H47" s="408"/>
      <c r="I47" s="408"/>
      <c r="J47" s="26"/>
      <c r="K47" s="26"/>
      <c r="L47" s="1036"/>
      <c r="M47" s="1036"/>
      <c r="N47" s="1036"/>
    </row>
    <row r="48" spans="2:14" ht="15" customHeight="1" x14ac:dyDescent="0.45">
      <c r="B48" s="1036"/>
      <c r="C48" s="408"/>
      <c r="D48" s="408"/>
      <c r="E48" s="408"/>
      <c r="F48" s="408"/>
      <c r="G48" s="408"/>
      <c r="H48" s="408"/>
      <c r="I48" s="408"/>
      <c r="J48" s="26"/>
      <c r="K48" s="26"/>
      <c r="L48" s="1036"/>
      <c r="M48" s="1036"/>
      <c r="N48" s="1036"/>
    </row>
    <row r="49" spans="2:14" ht="15" customHeight="1" x14ac:dyDescent="0.45">
      <c r="B49" s="1036"/>
      <c r="C49" s="408"/>
      <c r="D49" s="408"/>
      <c r="E49" s="408"/>
      <c r="F49" s="408"/>
      <c r="G49" s="408"/>
      <c r="H49" s="408"/>
      <c r="I49" s="408"/>
      <c r="J49" s="26"/>
      <c r="K49" s="26"/>
      <c r="L49" s="1036"/>
      <c r="M49" s="1036"/>
      <c r="N49" s="1036"/>
    </row>
    <row r="50" spans="2:14" ht="15" customHeight="1" x14ac:dyDescent="0.45">
      <c r="B50" s="1036"/>
      <c r="C50" s="408"/>
      <c r="D50" s="408"/>
      <c r="E50" s="408"/>
      <c r="F50" s="408"/>
      <c r="G50" s="408"/>
      <c r="H50" s="408"/>
      <c r="I50" s="408"/>
      <c r="J50" s="26"/>
      <c r="K50" s="26"/>
      <c r="L50" s="1036"/>
      <c r="M50" s="1036"/>
      <c r="N50" s="1036"/>
    </row>
    <row r="51" spans="2:14" ht="15" customHeight="1" x14ac:dyDescent="0.45">
      <c r="B51" s="1036"/>
      <c r="C51" s="408"/>
      <c r="D51" s="408"/>
      <c r="E51" s="408"/>
      <c r="F51" s="408"/>
      <c r="G51" s="408"/>
      <c r="H51" s="408"/>
      <c r="I51" s="408"/>
      <c r="J51" s="26"/>
      <c r="K51" s="26"/>
      <c r="L51" s="1036"/>
      <c r="M51" s="1036"/>
      <c r="N51" s="1036"/>
    </row>
    <row r="52" spans="2:14" ht="15" customHeight="1" x14ac:dyDescent="0.45">
      <c r="B52" s="1036"/>
      <c r="C52" s="408"/>
      <c r="D52" s="408"/>
      <c r="E52" s="408"/>
      <c r="F52" s="408"/>
      <c r="G52" s="408"/>
      <c r="H52" s="408"/>
      <c r="I52" s="408"/>
      <c r="J52" s="26"/>
      <c r="K52" s="26"/>
      <c r="L52" s="1036"/>
      <c r="M52" s="1036"/>
      <c r="N52" s="1036"/>
    </row>
    <row r="53" spans="2:14" ht="15" customHeight="1" x14ac:dyDescent="0.45">
      <c r="B53" s="1036"/>
      <c r="C53" s="408"/>
      <c r="D53" s="408"/>
      <c r="E53" s="408"/>
      <c r="F53" s="408"/>
      <c r="G53" s="408"/>
      <c r="H53" s="408"/>
      <c r="I53" s="408"/>
      <c r="J53" s="26"/>
      <c r="K53" s="26"/>
      <c r="L53" s="1036"/>
      <c r="M53" s="1036"/>
      <c r="N53" s="1036"/>
    </row>
    <row r="54" spans="2:14" ht="15" customHeight="1" x14ac:dyDescent="0.45">
      <c r="B54" s="1036"/>
      <c r="C54" s="408"/>
      <c r="D54" s="408"/>
      <c r="E54" s="408"/>
      <c r="F54" s="408"/>
      <c r="G54" s="408"/>
      <c r="H54" s="408"/>
      <c r="I54" s="408"/>
      <c r="J54" s="26"/>
      <c r="K54" s="26"/>
      <c r="L54" s="1036"/>
      <c r="M54" s="1036"/>
      <c r="N54" s="1036"/>
    </row>
    <row r="55" spans="2:14" ht="15" customHeight="1" x14ac:dyDescent="0.45">
      <c r="B55" s="1036"/>
      <c r="C55" s="408"/>
      <c r="D55" s="408"/>
      <c r="E55" s="408"/>
      <c r="F55" s="408"/>
      <c r="G55" s="408"/>
      <c r="H55" s="408"/>
      <c r="I55" s="408"/>
      <c r="J55" s="26"/>
      <c r="K55" s="26"/>
      <c r="L55" s="1036"/>
      <c r="M55" s="1036"/>
      <c r="N55" s="1036"/>
    </row>
    <row r="56" spans="2:14" ht="15" customHeight="1" x14ac:dyDescent="0.45">
      <c r="B56" s="1036"/>
      <c r="C56" s="408"/>
      <c r="D56" s="408"/>
      <c r="E56" s="408"/>
      <c r="F56" s="408"/>
      <c r="G56" s="408"/>
      <c r="H56" s="408"/>
      <c r="I56" s="408"/>
      <c r="J56" s="26"/>
      <c r="K56" s="26"/>
      <c r="L56" s="1036"/>
      <c r="M56" s="1036"/>
      <c r="N56" s="1036"/>
    </row>
    <row r="57" spans="2:14" ht="15" customHeight="1" x14ac:dyDescent="0.45">
      <c r="B57" s="1036"/>
      <c r="C57" s="408"/>
      <c r="D57" s="408"/>
      <c r="E57" s="408"/>
      <c r="F57" s="408"/>
      <c r="G57" s="408"/>
      <c r="H57" s="408"/>
      <c r="I57" s="408"/>
      <c r="J57" s="26"/>
      <c r="K57" s="26"/>
      <c r="L57" s="1036"/>
      <c r="M57" s="1036"/>
      <c r="N57" s="1036"/>
    </row>
    <row r="58" spans="2:14" ht="15" customHeight="1" x14ac:dyDescent="0.45">
      <c r="B58" s="1036"/>
      <c r="C58" s="408"/>
      <c r="D58" s="408"/>
      <c r="E58" s="408"/>
      <c r="F58" s="408"/>
      <c r="G58" s="408"/>
      <c r="H58" s="408"/>
      <c r="I58" s="408"/>
      <c r="J58" s="26"/>
      <c r="K58" s="26"/>
      <c r="L58" s="1036"/>
      <c r="M58" s="1036"/>
      <c r="N58" s="1036"/>
    </row>
    <row r="59" spans="2:14" ht="15" customHeight="1" x14ac:dyDescent="0.45">
      <c r="B59" s="1036"/>
      <c r="C59" s="408"/>
      <c r="D59" s="408"/>
      <c r="E59" s="408"/>
      <c r="F59" s="408"/>
      <c r="G59" s="408"/>
      <c r="H59" s="408"/>
      <c r="I59" s="408"/>
      <c r="J59" s="26"/>
      <c r="K59" s="26"/>
      <c r="L59" s="1036"/>
      <c r="M59" s="1036"/>
      <c r="N59" s="1036"/>
    </row>
    <row r="60" spans="2:14" ht="15" customHeight="1" x14ac:dyDescent="0.45">
      <c r="B60" s="1036"/>
      <c r="C60" s="408"/>
      <c r="D60" s="408"/>
      <c r="E60" s="408"/>
      <c r="F60" s="408"/>
      <c r="G60" s="408"/>
      <c r="H60" s="408"/>
      <c r="I60" s="408"/>
      <c r="J60" s="26"/>
      <c r="K60" s="26"/>
      <c r="L60" s="1036"/>
      <c r="M60" s="1036"/>
      <c r="N60" s="1036"/>
    </row>
    <row r="61" spans="2:14" ht="15" customHeight="1" x14ac:dyDescent="0.45">
      <c r="B61" s="1036"/>
      <c r="C61" s="408"/>
      <c r="D61" s="408"/>
      <c r="E61" s="408"/>
      <c r="F61" s="408"/>
      <c r="G61" s="408"/>
      <c r="H61" s="408"/>
      <c r="I61" s="408"/>
      <c r="J61" s="26"/>
      <c r="K61" s="26"/>
      <c r="L61" s="1036"/>
      <c r="M61" s="1036"/>
      <c r="N61" s="1036"/>
    </row>
    <row r="62" spans="2:14" ht="15" customHeight="1" x14ac:dyDescent="0.45">
      <c r="B62" s="1036"/>
      <c r="C62" s="408"/>
      <c r="D62" s="408"/>
      <c r="E62" s="408"/>
      <c r="F62" s="408"/>
      <c r="G62" s="408"/>
      <c r="H62" s="408"/>
      <c r="I62" s="408"/>
      <c r="J62" s="26"/>
      <c r="K62" s="26"/>
      <c r="L62" s="1036"/>
      <c r="M62" s="1036"/>
      <c r="N62" s="1036"/>
    </row>
    <row r="63" spans="2:14" ht="15" customHeight="1" x14ac:dyDescent="0.45">
      <c r="B63" s="1036"/>
      <c r="C63" s="408"/>
      <c r="D63" s="408"/>
      <c r="E63" s="408"/>
      <c r="F63" s="408"/>
      <c r="G63" s="408"/>
      <c r="H63" s="408"/>
      <c r="I63" s="408"/>
      <c r="J63" s="26"/>
      <c r="K63" s="26"/>
      <c r="L63" s="1036"/>
      <c r="M63" s="1036"/>
      <c r="N63" s="1036"/>
    </row>
  </sheetData>
  <mergeCells count="24">
    <mergeCell ref="R3:X3"/>
    <mergeCell ref="Y3:Y5"/>
    <mergeCell ref="E4:E5"/>
    <mergeCell ref="F4:F5"/>
    <mergeCell ref="G4:G5"/>
    <mergeCell ref="H4:H5"/>
    <mergeCell ref="I4:I5"/>
    <mergeCell ref="J4:J5"/>
    <mergeCell ref="E3:K3"/>
    <mergeCell ref="L3:L5"/>
    <mergeCell ref="M3:M5"/>
    <mergeCell ref="K4:K5"/>
    <mergeCell ref="C44:K44"/>
    <mergeCell ref="O4:O5"/>
    <mergeCell ref="P4:P5"/>
    <mergeCell ref="Q4:Q5"/>
    <mergeCell ref="B13:C13"/>
    <mergeCell ref="B14:C14"/>
    <mergeCell ref="B15:C15"/>
    <mergeCell ref="N3:N5"/>
    <mergeCell ref="O3:Q3"/>
    <mergeCell ref="B3:B5"/>
    <mergeCell ref="C3:C5"/>
    <mergeCell ref="D3:D5"/>
  </mergeCells>
  <dataValidations count="1">
    <dataValidation type="list" allowBlank="1" showInputMessage="1" showErrorMessage="1" sqref="E16">
      <formula1>$D$22:$I$22</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62"/>
  <sheetViews>
    <sheetView rightToLeft="1" zoomScale="70" zoomScaleNormal="70" workbookViewId="0">
      <selection activeCell="C5" sqref="C5:C7"/>
    </sheetView>
  </sheetViews>
  <sheetFormatPr defaultColWidth="8.85546875" defaultRowHeight="15" x14ac:dyDescent="0.25"/>
  <cols>
    <col min="1" max="1" width="97.28515625" style="718" customWidth="1"/>
    <col min="2" max="2" width="18.85546875" style="718" bestFit="1" customWidth="1"/>
    <col min="3" max="3" width="47.42578125" style="718" bestFit="1" customWidth="1"/>
    <col min="4" max="4" width="10.7109375" style="718" customWidth="1"/>
    <col min="5" max="5" width="11" style="718" customWidth="1"/>
    <col min="6" max="6" width="8.85546875" style="718"/>
    <col min="7" max="7" width="10.7109375" style="718" bestFit="1" customWidth="1"/>
    <col min="8" max="8" width="4.28515625" style="718" customWidth="1"/>
    <col min="9" max="10" width="10.28515625" style="718" customWidth="1"/>
    <col min="11" max="11" width="8.85546875" style="718"/>
    <col min="12" max="12" width="6.7109375" style="718" customWidth="1"/>
    <col min="13" max="16384" width="8.85546875" style="718"/>
  </cols>
  <sheetData>
    <row r="1" spans="1:13" ht="45" customHeight="1" x14ac:dyDescent="0.25"/>
    <row r="2" spans="1:13" ht="38.450000000000003" customHeight="1" thickBot="1" x14ac:dyDescent="0.55000000000000004">
      <c r="A2" s="357"/>
    </row>
    <row r="3" spans="1:13" ht="28.5" customHeight="1" x14ac:dyDescent="0.6">
      <c r="B3" s="1451" t="s">
        <v>38</v>
      </c>
      <c r="C3" s="1446" t="s">
        <v>74</v>
      </c>
      <c r="D3" s="1448" t="s">
        <v>57</v>
      </c>
      <c r="E3" s="1443" t="s">
        <v>75</v>
      </c>
      <c r="F3" s="1454" t="s">
        <v>37</v>
      </c>
      <c r="G3" s="1430" t="s">
        <v>60</v>
      </c>
      <c r="H3" s="1446" t="s">
        <v>76</v>
      </c>
      <c r="I3" s="1448" t="s">
        <v>62</v>
      </c>
      <c r="J3" s="348"/>
      <c r="K3" s="348"/>
      <c r="L3" s="358"/>
      <c r="M3" s="358"/>
    </row>
    <row r="4" spans="1:13" ht="19.149999999999999" customHeight="1" thickBot="1" x14ac:dyDescent="0.55000000000000004">
      <c r="A4" s="359"/>
      <c r="B4" s="1452"/>
      <c r="C4" s="1447"/>
      <c r="D4" s="1453"/>
      <c r="E4" s="1445"/>
      <c r="F4" s="1455"/>
      <c r="G4" s="1456"/>
      <c r="H4" s="1447" t="s">
        <v>71</v>
      </c>
      <c r="I4" s="1449"/>
      <c r="J4" s="241"/>
      <c r="K4" s="241"/>
      <c r="L4" s="358"/>
      <c r="M4" s="358"/>
    </row>
    <row r="5" spans="1:13" ht="19.149999999999999" customHeight="1" x14ac:dyDescent="0.45">
      <c r="B5" s="200">
        <v>1</v>
      </c>
      <c r="C5" s="1082" t="s">
        <v>814</v>
      </c>
      <c r="D5" s="1082" t="s">
        <v>815</v>
      </c>
      <c r="E5" s="152">
        <v>0.3</v>
      </c>
      <c r="F5" s="152">
        <v>0.7</v>
      </c>
      <c r="G5" s="152">
        <v>0</v>
      </c>
      <c r="H5" s="1060">
        <v>0.5</v>
      </c>
      <c r="I5" s="1136">
        <f>AVERAGE(F5:H5)*E5</f>
        <v>0.11999999999999998</v>
      </c>
      <c r="J5" s="1067"/>
      <c r="K5" s="1067"/>
      <c r="L5" s="1038"/>
      <c r="M5" s="1038"/>
    </row>
    <row r="6" spans="1:13" s="758" customFormat="1" ht="19.149999999999999" customHeight="1" x14ac:dyDescent="0.45">
      <c r="B6" s="200">
        <v>2</v>
      </c>
      <c r="C6" s="1082" t="s">
        <v>816</v>
      </c>
      <c r="D6" s="1082" t="s">
        <v>815</v>
      </c>
      <c r="E6" s="152">
        <v>0.3</v>
      </c>
      <c r="F6" s="152">
        <v>0.7</v>
      </c>
      <c r="G6" s="152">
        <v>0</v>
      </c>
      <c r="H6" s="1060">
        <v>0.5</v>
      </c>
      <c r="I6" s="1136">
        <f>AVERAGE(F6:H6)*E6</f>
        <v>0.11999999999999998</v>
      </c>
      <c r="J6" s="1067"/>
      <c r="K6" s="1067"/>
      <c r="L6" s="1038"/>
      <c r="M6" s="1038"/>
    </row>
    <row r="7" spans="1:13" s="758" customFormat="1" ht="19.149999999999999" customHeight="1" x14ac:dyDescent="0.45">
      <c r="A7" s="11"/>
      <c r="B7" s="200">
        <v>3</v>
      </c>
      <c r="C7" s="1082" t="s">
        <v>817</v>
      </c>
      <c r="D7" s="1082" t="s">
        <v>818</v>
      </c>
      <c r="E7" s="152">
        <v>0.1</v>
      </c>
      <c r="F7" s="152">
        <v>0.9</v>
      </c>
      <c r="G7" s="1120">
        <v>0.31666666666666665</v>
      </c>
      <c r="H7" s="1060">
        <v>0.5</v>
      </c>
      <c r="I7" s="1136">
        <f>AVERAGE(F7:H7)*E7</f>
        <v>5.722222222222223E-2</v>
      </c>
      <c r="J7" s="1067"/>
      <c r="K7" s="1067"/>
      <c r="L7" s="1038"/>
      <c r="M7" s="1038"/>
    </row>
    <row r="8" spans="1:13" s="758" customFormat="1" ht="19.149999999999999" customHeight="1" x14ac:dyDescent="0.45">
      <c r="B8" s="200">
        <v>4</v>
      </c>
      <c r="C8" s="1038"/>
      <c r="D8" s="1038"/>
      <c r="E8" s="152"/>
      <c r="F8" s="152">
        <v>1.0000000000000001E-5</v>
      </c>
      <c r="G8" s="152"/>
      <c r="H8" s="1060"/>
      <c r="I8" s="1068">
        <f t="shared" ref="I8:I9" si="0">AVERAGE(F8:H8)*E8</f>
        <v>0</v>
      </c>
      <c r="J8" s="1067"/>
      <c r="K8" s="1067"/>
      <c r="L8" s="1038"/>
      <c r="M8" s="1038"/>
    </row>
    <row r="9" spans="1:13" s="758" customFormat="1" ht="19.149999999999999" customHeight="1" thickBot="1" x14ac:dyDescent="0.5">
      <c r="B9" s="200">
        <v>5</v>
      </c>
      <c r="C9" s="461"/>
      <c r="D9" s="1038"/>
      <c r="E9" s="152"/>
      <c r="F9" s="152">
        <v>1.0000000000000001E-5</v>
      </c>
      <c r="G9" s="152"/>
      <c r="H9" s="1060"/>
      <c r="I9" s="1068">
        <f t="shared" si="0"/>
        <v>0</v>
      </c>
      <c r="J9" s="1067"/>
      <c r="K9" s="1067"/>
      <c r="L9" s="1038"/>
      <c r="M9" s="1038"/>
    </row>
    <row r="10" spans="1:13" s="758" customFormat="1" ht="19.149999999999999" customHeight="1" thickBot="1" x14ac:dyDescent="0.5">
      <c r="B10" s="459"/>
      <c r="C10" s="460" t="s">
        <v>55</v>
      </c>
      <c r="D10" s="460"/>
      <c r="E10" s="460"/>
      <c r="F10" s="460"/>
      <c r="G10" s="460"/>
      <c r="H10" s="460"/>
      <c r="I10" s="1069">
        <f>MIN(SUM(I5:I9),1)</f>
        <v>0.29722222222222217</v>
      </c>
      <c r="J10" s="1067"/>
      <c r="K10" s="1067"/>
      <c r="L10" s="1038"/>
      <c r="M10" s="1038"/>
    </row>
    <row r="11" spans="1:13" s="758" customFormat="1" ht="19.149999999999999" customHeight="1" x14ac:dyDescent="0.45">
      <c r="B11" s="118"/>
      <c r="C11" s="241"/>
      <c r="D11" s="241"/>
      <c r="E11" s="241"/>
      <c r="F11" s="241"/>
      <c r="G11" s="241"/>
      <c r="H11" s="241"/>
      <c r="I11" s="241"/>
      <c r="J11" s="1067"/>
      <c r="K11" s="1067"/>
      <c r="L11" s="1038"/>
      <c r="M11" s="1038"/>
    </row>
    <row r="12" spans="1:13" s="758" customFormat="1" ht="19.149999999999999" customHeight="1" x14ac:dyDescent="0.45">
      <c r="B12" s="118"/>
      <c r="C12" s="241"/>
      <c r="D12" s="241"/>
      <c r="E12" s="241"/>
      <c r="F12" s="241"/>
      <c r="G12" s="241"/>
      <c r="H12" s="241"/>
      <c r="I12" s="241"/>
      <c r="J12" s="1067"/>
      <c r="K12" s="1067"/>
      <c r="L12" s="1038"/>
      <c r="M12" s="1038"/>
    </row>
    <row r="13" spans="1:13" s="758" customFormat="1" ht="19.149999999999999" customHeight="1" thickBot="1" x14ac:dyDescent="0.5">
      <c r="B13" s="118"/>
      <c r="C13" s="241"/>
      <c r="D13" s="241"/>
      <c r="E13" s="241"/>
      <c r="F13" s="241"/>
      <c r="G13" s="241"/>
      <c r="H13" s="241"/>
      <c r="I13" s="241"/>
      <c r="J13" s="1067"/>
      <c r="K13" s="1067"/>
      <c r="L13" s="1038"/>
      <c r="M13" s="1038"/>
    </row>
    <row r="14" spans="1:13" s="758" customFormat="1" ht="19.149999999999999" customHeight="1" x14ac:dyDescent="0.5">
      <c r="B14" s="462" t="s">
        <v>60</v>
      </c>
      <c r="C14" s="463" t="e">
        <f>1-((1/C15)*C16)</f>
        <v>#DIV/0!</v>
      </c>
      <c r="D14" s="241"/>
      <c r="E14" s="241"/>
      <c r="F14" s="241"/>
      <c r="G14" s="241"/>
      <c r="H14" s="241"/>
      <c r="I14" s="241"/>
      <c r="J14" s="1067"/>
      <c r="K14" s="1067"/>
      <c r="L14" s="1038"/>
      <c r="M14" s="1038"/>
    </row>
    <row r="15" spans="1:13" s="758" customFormat="1" ht="19.149999999999999" customHeight="1" x14ac:dyDescent="0.5">
      <c r="B15" s="360" t="s">
        <v>393</v>
      </c>
      <c r="C15" s="464"/>
      <c r="D15" s="241"/>
      <c r="E15" s="241"/>
      <c r="F15" s="241"/>
      <c r="G15" s="241"/>
      <c r="H15" s="241"/>
      <c r="I15" s="241"/>
      <c r="J15" s="1067"/>
      <c r="K15" s="1067"/>
      <c r="L15" s="1038"/>
      <c r="M15" s="1038"/>
    </row>
    <row r="16" spans="1:13" s="758" customFormat="1" ht="19.149999999999999" customHeight="1" thickBot="1" x14ac:dyDescent="0.55000000000000004">
      <c r="B16" s="361" t="s">
        <v>394</v>
      </c>
      <c r="C16" s="465"/>
      <c r="D16" s="241"/>
      <c r="E16" s="241"/>
      <c r="F16" s="241"/>
      <c r="G16" s="241"/>
      <c r="H16" s="241"/>
      <c r="I16" s="241"/>
      <c r="J16" s="1067"/>
      <c r="K16" s="1067"/>
      <c r="L16" s="1038"/>
      <c r="M16" s="1038"/>
    </row>
    <row r="17" spans="2:13" s="758" customFormat="1" ht="19.149999999999999" customHeight="1" x14ac:dyDescent="0.45">
      <c r="B17" s="118"/>
      <c r="C17" s="241"/>
      <c r="D17" s="241"/>
      <c r="E17" s="241"/>
      <c r="F17" s="241"/>
      <c r="G17" s="241"/>
      <c r="H17" s="241"/>
      <c r="I17" s="241"/>
      <c r="J17" s="1067"/>
      <c r="K17" s="1067"/>
      <c r="L17" s="1038"/>
      <c r="M17" s="1038"/>
    </row>
    <row r="18" spans="2:13" s="758" customFormat="1" ht="19.149999999999999" customHeight="1" x14ac:dyDescent="0.45">
      <c r="B18" s="118"/>
      <c r="C18" s="241"/>
      <c r="D18" s="241"/>
      <c r="E18" s="241"/>
      <c r="F18" s="241"/>
      <c r="G18" s="241"/>
      <c r="H18" s="241"/>
      <c r="I18" s="241"/>
      <c r="J18" s="1067"/>
      <c r="K18" s="1067"/>
      <c r="L18" s="1038"/>
      <c r="M18" s="1038"/>
    </row>
    <row r="19" spans="2:13" s="758" customFormat="1" ht="15" customHeight="1" x14ac:dyDescent="0.25"/>
    <row r="20" spans="2:13" s="758" customFormat="1" ht="15" customHeight="1" x14ac:dyDescent="0.45">
      <c r="D20" s="1450"/>
      <c r="E20" s="1450"/>
      <c r="F20" s="1450"/>
      <c r="G20" s="1450"/>
      <c r="H20" s="1450"/>
      <c r="I20" s="1450"/>
    </row>
    <row r="21" spans="2:13" s="758" customFormat="1" ht="21" customHeight="1" x14ac:dyDescent="0.25">
      <c r="D21" s="362"/>
      <c r="E21" s="362"/>
      <c r="F21" s="362"/>
      <c r="G21" s="362"/>
      <c r="H21" s="362"/>
      <c r="I21" s="362"/>
    </row>
    <row r="22" spans="2:13" s="758" customFormat="1" ht="19.149999999999999" customHeight="1" x14ac:dyDescent="0.45">
      <c r="D22" s="1037"/>
      <c r="E22" s="1037"/>
      <c r="F22" s="1037"/>
      <c r="G22" s="1037"/>
      <c r="H22" s="1037"/>
      <c r="I22" s="1037"/>
    </row>
    <row r="23" spans="2:13" s="758" customFormat="1" ht="21" customHeight="1" x14ac:dyDescent="0.25"/>
    <row r="24" spans="2:13" ht="15" customHeight="1" x14ac:dyDescent="0.25"/>
    <row r="25" spans="2:13" ht="15" hidden="1" customHeight="1" x14ac:dyDescent="0.25"/>
    <row r="26" spans="2:13" ht="15" hidden="1" customHeight="1" x14ac:dyDescent="0.25"/>
    <row r="27" spans="2:13" ht="15" hidden="1" customHeight="1" x14ac:dyDescent="0.25"/>
    <row r="28" spans="2:13" ht="15" hidden="1" customHeight="1" x14ac:dyDescent="0.25"/>
    <row r="29" spans="2:13" ht="15" hidden="1" customHeight="1" x14ac:dyDescent="0.25"/>
    <row r="30" spans="2:13" hidden="1" x14ac:dyDescent="0.25"/>
    <row r="31" spans="2:13" hidden="1" x14ac:dyDescent="0.25"/>
    <row r="32" spans="2:13" hidden="1" x14ac:dyDescent="0.25"/>
    <row r="39" spans="2:13" ht="15" customHeight="1" x14ac:dyDescent="0.25">
      <c r="D39" s="17"/>
      <c r="E39" s="17"/>
      <c r="F39" s="237"/>
      <c r="G39" s="237"/>
      <c r="H39" s="237"/>
      <c r="I39" s="237"/>
    </row>
    <row r="40" spans="2:13" ht="15" customHeight="1" x14ac:dyDescent="0.25">
      <c r="D40" s="17"/>
      <c r="E40" s="17"/>
      <c r="F40" s="237"/>
      <c r="G40" s="237"/>
      <c r="H40" s="237"/>
      <c r="I40" s="237"/>
    </row>
    <row r="43" spans="2:13" ht="15" customHeight="1" x14ac:dyDescent="0.55000000000000004">
      <c r="B43" s="1036"/>
      <c r="C43" s="466"/>
      <c r="D43" s="1036"/>
      <c r="E43" s="1036"/>
      <c r="F43" s="1036"/>
      <c r="G43" s="1036"/>
      <c r="H43" s="1036"/>
      <c r="I43" s="1036"/>
      <c r="J43" s="1036"/>
      <c r="K43" s="1036"/>
      <c r="L43" s="1036"/>
      <c r="M43" s="1036"/>
    </row>
    <row r="44" spans="2:13" ht="15" customHeight="1" x14ac:dyDescent="0.5">
      <c r="B44" s="1036"/>
      <c r="C44" s="24"/>
      <c r="D44" s="24"/>
      <c r="E44" s="24"/>
      <c r="F44" s="24"/>
      <c r="G44" s="24"/>
      <c r="H44" s="24"/>
      <c r="I44" s="24"/>
      <c r="J44" s="24"/>
      <c r="K44" s="24"/>
      <c r="L44" s="1036"/>
      <c r="M44" s="1036"/>
    </row>
    <row r="45" spans="2:13" ht="15" customHeight="1" x14ac:dyDescent="0.45">
      <c r="B45" s="1036"/>
      <c r="C45" s="408"/>
      <c r="D45" s="408"/>
      <c r="E45" s="408"/>
      <c r="F45" s="408"/>
      <c r="G45" s="408"/>
      <c r="H45" s="408"/>
      <c r="I45" s="408"/>
      <c r="J45" s="26"/>
      <c r="K45" s="26"/>
      <c r="L45" s="1036"/>
      <c r="M45" s="1036"/>
    </row>
    <row r="46" spans="2:13" ht="15" customHeight="1" x14ac:dyDescent="0.45">
      <c r="B46" s="1036"/>
      <c r="C46" s="408"/>
      <c r="D46" s="408"/>
      <c r="E46" s="408"/>
      <c r="F46" s="408"/>
      <c r="G46" s="408"/>
      <c r="H46" s="408"/>
      <c r="I46" s="408"/>
      <c r="J46" s="26"/>
      <c r="K46" s="26"/>
      <c r="L46" s="1036"/>
      <c r="M46" s="1036"/>
    </row>
    <row r="47" spans="2:13" ht="15" customHeight="1" x14ac:dyDescent="0.45">
      <c r="B47" s="1036"/>
      <c r="C47" s="408"/>
      <c r="D47" s="408"/>
      <c r="E47" s="408"/>
      <c r="F47" s="408"/>
      <c r="G47" s="408"/>
      <c r="H47" s="408"/>
      <c r="I47" s="408"/>
      <c r="J47" s="26"/>
      <c r="K47" s="26"/>
      <c r="L47" s="1036"/>
      <c r="M47" s="1036"/>
    </row>
    <row r="48" spans="2:13" ht="15" customHeight="1" x14ac:dyDescent="0.45">
      <c r="B48" s="1036"/>
      <c r="C48" s="408"/>
      <c r="D48" s="408"/>
      <c r="E48" s="408"/>
      <c r="F48" s="408"/>
      <c r="G48" s="408"/>
      <c r="H48" s="408"/>
      <c r="I48" s="408"/>
      <c r="J48" s="26"/>
      <c r="K48" s="26"/>
      <c r="L48" s="1036"/>
      <c r="M48" s="1036"/>
    </row>
    <row r="49" spans="2:13" ht="15" customHeight="1" x14ac:dyDescent="0.45">
      <c r="B49" s="1036"/>
      <c r="C49" s="408"/>
      <c r="D49" s="408"/>
      <c r="E49" s="408"/>
      <c r="F49" s="408"/>
      <c r="G49" s="408"/>
      <c r="H49" s="408"/>
      <c r="I49" s="408"/>
      <c r="J49" s="26"/>
      <c r="K49" s="26"/>
      <c r="L49" s="1036"/>
      <c r="M49" s="1036"/>
    </row>
    <row r="50" spans="2:13" ht="15" customHeight="1" x14ac:dyDescent="0.45">
      <c r="B50" s="1036"/>
      <c r="C50" s="408"/>
      <c r="D50" s="408"/>
      <c r="E50" s="408"/>
      <c r="F50" s="408"/>
      <c r="G50" s="408"/>
      <c r="H50" s="408"/>
      <c r="I50" s="408"/>
      <c r="J50" s="26"/>
      <c r="K50" s="26"/>
      <c r="L50" s="1036"/>
      <c r="M50" s="1036"/>
    </row>
    <row r="51" spans="2:13" ht="15" customHeight="1" x14ac:dyDescent="0.45">
      <c r="B51" s="1036"/>
      <c r="C51" s="408"/>
      <c r="D51" s="408"/>
      <c r="E51" s="408"/>
      <c r="F51" s="408"/>
      <c r="G51" s="408"/>
      <c r="H51" s="408"/>
      <c r="I51" s="408"/>
      <c r="J51" s="26"/>
      <c r="K51" s="26"/>
      <c r="L51" s="1036"/>
      <c r="M51" s="1036"/>
    </row>
    <row r="52" spans="2:13" ht="15" customHeight="1" x14ac:dyDescent="0.45">
      <c r="B52" s="1036"/>
      <c r="C52" s="408"/>
      <c r="D52" s="408"/>
      <c r="E52" s="408"/>
      <c r="F52" s="408"/>
      <c r="G52" s="408"/>
      <c r="H52" s="408"/>
      <c r="I52" s="408"/>
      <c r="J52" s="26"/>
      <c r="K52" s="26"/>
      <c r="L52" s="1036"/>
      <c r="M52" s="1036"/>
    </row>
    <row r="53" spans="2:13" ht="15" customHeight="1" x14ac:dyDescent="0.45">
      <c r="B53" s="1036"/>
      <c r="C53" s="408"/>
      <c r="D53" s="408"/>
      <c r="E53" s="408"/>
      <c r="F53" s="408"/>
      <c r="G53" s="408"/>
      <c r="H53" s="408"/>
      <c r="I53" s="408"/>
      <c r="J53" s="26"/>
      <c r="K53" s="26"/>
      <c r="L53" s="1036"/>
      <c r="M53" s="1036"/>
    </row>
    <row r="54" spans="2:13" ht="15" customHeight="1" x14ac:dyDescent="0.45">
      <c r="B54" s="1036"/>
      <c r="C54" s="408"/>
      <c r="D54" s="408"/>
      <c r="E54" s="408"/>
      <c r="F54" s="408"/>
      <c r="G54" s="408"/>
      <c r="H54" s="408"/>
      <c r="I54" s="408"/>
      <c r="J54" s="26"/>
      <c r="K54" s="26"/>
      <c r="L54" s="1036"/>
      <c r="M54" s="1036"/>
    </row>
    <row r="55" spans="2:13" ht="15" customHeight="1" x14ac:dyDescent="0.45">
      <c r="B55" s="1036"/>
      <c r="C55" s="408"/>
      <c r="D55" s="408"/>
      <c r="E55" s="408"/>
      <c r="F55" s="408"/>
      <c r="G55" s="408"/>
      <c r="H55" s="408"/>
      <c r="I55" s="408"/>
      <c r="J55" s="26"/>
      <c r="K55" s="26"/>
      <c r="L55" s="1036"/>
      <c r="M55" s="1036"/>
    </row>
    <row r="56" spans="2:13" ht="15" customHeight="1" x14ac:dyDescent="0.45">
      <c r="B56" s="1036"/>
      <c r="C56" s="408"/>
      <c r="D56" s="408"/>
      <c r="E56" s="408"/>
      <c r="F56" s="408"/>
      <c r="G56" s="408"/>
      <c r="H56" s="408"/>
      <c r="I56" s="408"/>
      <c r="J56" s="26"/>
      <c r="K56" s="26"/>
      <c r="L56" s="1036"/>
      <c r="M56" s="1036"/>
    </row>
    <row r="57" spans="2:13" ht="15" customHeight="1" x14ac:dyDescent="0.45">
      <c r="B57" s="1036"/>
      <c r="C57" s="408"/>
      <c r="D57" s="408"/>
      <c r="E57" s="408"/>
      <c r="F57" s="408"/>
      <c r="G57" s="408"/>
      <c r="H57" s="408"/>
      <c r="I57" s="408"/>
      <c r="J57" s="26"/>
      <c r="K57" s="26"/>
      <c r="L57" s="1036"/>
      <c r="M57" s="1036"/>
    </row>
    <row r="58" spans="2:13" ht="15" customHeight="1" x14ac:dyDescent="0.45">
      <c r="B58" s="1036"/>
      <c r="C58" s="408"/>
      <c r="D58" s="408"/>
      <c r="E58" s="408"/>
      <c r="F58" s="408"/>
      <c r="G58" s="408"/>
      <c r="H58" s="408"/>
      <c r="I58" s="408"/>
      <c r="J58" s="26"/>
      <c r="K58" s="26"/>
      <c r="L58" s="1036"/>
      <c r="M58" s="1036"/>
    </row>
    <row r="59" spans="2:13" ht="15" customHeight="1" x14ac:dyDescent="0.45">
      <c r="B59" s="1036"/>
      <c r="C59" s="408"/>
      <c r="D59" s="408"/>
      <c r="E59" s="408"/>
      <c r="F59" s="408"/>
      <c r="G59" s="408"/>
      <c r="H59" s="408"/>
      <c r="I59" s="408"/>
      <c r="J59" s="26"/>
      <c r="K59" s="26"/>
      <c r="L59" s="1036"/>
      <c r="M59" s="1036"/>
    </row>
    <row r="60" spans="2:13" ht="15" customHeight="1" x14ac:dyDescent="0.45">
      <c r="B60" s="1036"/>
      <c r="C60" s="408"/>
      <c r="D60" s="408"/>
      <c r="E60" s="408"/>
      <c r="F60" s="408"/>
      <c r="G60" s="408"/>
      <c r="H60" s="408"/>
      <c r="I60" s="408"/>
      <c r="J60" s="26"/>
      <c r="K60" s="26"/>
      <c r="L60" s="1036"/>
      <c r="M60" s="1036"/>
    </row>
    <row r="61" spans="2:13" ht="15" customHeight="1" x14ac:dyDescent="0.45">
      <c r="B61" s="1036"/>
      <c r="C61" s="408"/>
      <c r="D61" s="408"/>
      <c r="E61" s="408"/>
      <c r="F61" s="408"/>
      <c r="G61" s="408"/>
      <c r="H61" s="408"/>
      <c r="I61" s="408"/>
      <c r="J61" s="26"/>
      <c r="K61" s="26"/>
      <c r="L61" s="1036"/>
      <c r="M61" s="1036"/>
    </row>
    <row r="62" spans="2:13" ht="15" customHeight="1" x14ac:dyDescent="0.45">
      <c r="B62" s="1036"/>
      <c r="C62" s="408"/>
      <c r="D62" s="408"/>
      <c r="E62" s="408"/>
      <c r="F62" s="408"/>
      <c r="G62" s="408"/>
      <c r="H62" s="408"/>
      <c r="I62" s="408"/>
      <c r="J62" s="26"/>
      <c r="K62" s="26"/>
      <c r="L62" s="1036"/>
      <c r="M62" s="1036"/>
    </row>
  </sheetData>
  <mergeCells count="9">
    <mergeCell ref="H3:H4"/>
    <mergeCell ref="I3:I4"/>
    <mergeCell ref="D20:I20"/>
    <mergeCell ref="B3:B4"/>
    <mergeCell ref="C3:C4"/>
    <mergeCell ref="D3:D4"/>
    <mergeCell ref="E3:E4"/>
    <mergeCell ref="F3:F4"/>
    <mergeCell ref="G3:G4"/>
  </mergeCells>
  <pageMargins left="0.7" right="0.7" top="0.75" bottom="0.75" header="0.3" footer="0.3"/>
  <pageSetup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M66"/>
  <sheetViews>
    <sheetView rightToLeft="1" zoomScale="70" zoomScaleNormal="70" workbookViewId="0">
      <selection activeCell="C5" sqref="C5"/>
    </sheetView>
  </sheetViews>
  <sheetFormatPr defaultColWidth="8.85546875" defaultRowHeight="15" x14ac:dyDescent="0.25"/>
  <cols>
    <col min="1" max="1" width="97.28515625" style="8" customWidth="1"/>
    <col min="2" max="2" width="7.140625" style="8" customWidth="1"/>
    <col min="3" max="3" width="11" style="8" bestFit="1" customWidth="1"/>
    <col min="4" max="4" width="33" style="8" customWidth="1"/>
    <col min="5" max="5" width="19.140625" style="8" bestFit="1" customWidth="1"/>
    <col min="6" max="6" width="8.85546875" style="8"/>
    <col min="7" max="7" width="10.7109375" style="8" bestFit="1" customWidth="1"/>
    <col min="8" max="10" width="10.28515625" style="8" customWidth="1"/>
    <col min="11" max="11" width="8.85546875" style="8"/>
    <col min="12" max="12" width="6.7109375" style="8" customWidth="1"/>
    <col min="13" max="16384" width="8.85546875" style="8"/>
  </cols>
  <sheetData>
    <row r="1" spans="1:13" ht="45" customHeight="1" x14ac:dyDescent="0.25"/>
    <row r="2" spans="1:13" ht="38.450000000000003" customHeight="1" thickBot="1" x14ac:dyDescent="0.55000000000000004">
      <c r="A2" s="357"/>
    </row>
    <row r="3" spans="1:13" ht="28.5" customHeight="1" x14ac:dyDescent="0.6">
      <c r="B3" s="1451" t="s">
        <v>38</v>
      </c>
      <c r="C3" s="1430" t="s">
        <v>77</v>
      </c>
      <c r="D3" s="1430" t="s">
        <v>57</v>
      </c>
      <c r="E3" s="1446" t="s">
        <v>75</v>
      </c>
      <c r="F3" s="1446" t="s">
        <v>37</v>
      </c>
      <c r="G3" s="1430" t="s">
        <v>60</v>
      </c>
      <c r="H3" s="1446" t="s">
        <v>76</v>
      </c>
      <c r="I3" s="1448" t="s">
        <v>62</v>
      </c>
      <c r="J3" s="348"/>
      <c r="K3" s="348"/>
      <c r="L3" s="358"/>
      <c r="M3" s="358"/>
    </row>
    <row r="4" spans="1:13" ht="19.149999999999999" customHeight="1" thickBot="1" x14ac:dyDescent="0.55000000000000004">
      <c r="A4" s="359"/>
      <c r="B4" s="1452"/>
      <c r="C4" s="1456"/>
      <c r="D4" s="1456"/>
      <c r="E4" s="1447"/>
      <c r="F4" s="1447"/>
      <c r="G4" s="1456"/>
      <c r="H4" s="1447" t="s">
        <v>71</v>
      </c>
      <c r="I4" s="1449"/>
      <c r="J4" s="241"/>
      <c r="K4" s="241"/>
      <c r="L4" s="358"/>
      <c r="M4" s="358"/>
    </row>
    <row r="5" spans="1:13" ht="19.149999999999999" customHeight="1" x14ac:dyDescent="0.45">
      <c r="B5" s="349">
        <v>1</v>
      </c>
      <c r="C5" s="350" t="s">
        <v>819</v>
      </c>
      <c r="D5" s="350" t="s">
        <v>820</v>
      </c>
      <c r="E5" s="1117">
        <v>0.01</v>
      </c>
      <c r="F5" s="377">
        <v>0.1</v>
      </c>
      <c r="G5" s="377">
        <v>0.7</v>
      </c>
      <c r="H5" s="1117">
        <v>0</v>
      </c>
      <c r="I5" s="1118">
        <f>AVERAGE(F5:H5)*E5</f>
        <v>2.6666666666666666E-3</v>
      </c>
      <c r="J5" s="31"/>
      <c r="K5" s="31"/>
      <c r="L5" s="354"/>
      <c r="M5" s="354"/>
    </row>
    <row r="6" spans="1:13" ht="19.149999999999999" customHeight="1" x14ac:dyDescent="0.45">
      <c r="B6" s="349">
        <v>2</v>
      </c>
      <c r="C6" s="350"/>
      <c r="D6" s="350"/>
      <c r="E6" s="376"/>
      <c r="F6" s="377"/>
      <c r="G6" s="377">
        <v>1.0000000000000001E-5</v>
      </c>
      <c r="H6" s="376"/>
      <c r="I6" s="378">
        <f>AVERAGE(F6:H6)*E6</f>
        <v>0</v>
      </c>
      <c r="J6" s="31"/>
      <c r="K6" s="31"/>
      <c r="L6" s="354"/>
      <c r="M6" s="354"/>
    </row>
    <row r="7" spans="1:13" ht="19.149999999999999" customHeight="1" x14ac:dyDescent="0.45">
      <c r="B7" s="349">
        <v>3</v>
      </c>
      <c r="C7" s="350"/>
      <c r="D7" s="350"/>
      <c r="E7" s="376"/>
      <c r="F7" s="377"/>
      <c r="G7" s="377">
        <v>1.0000000000000001E-5</v>
      </c>
      <c r="H7" s="376"/>
      <c r="I7" s="378">
        <f>AVERAGE(F7:H7)*E7</f>
        <v>0</v>
      </c>
      <c r="J7" s="31"/>
      <c r="K7" s="31"/>
      <c r="L7" s="354"/>
      <c r="M7" s="354"/>
    </row>
    <row r="8" spans="1:13" ht="19.149999999999999" customHeight="1" x14ac:dyDescent="0.45">
      <c r="B8" s="349">
        <v>4</v>
      </c>
      <c r="C8" s="350"/>
      <c r="D8" s="350"/>
      <c r="E8" s="376"/>
      <c r="F8" s="377"/>
      <c r="G8" s="377"/>
      <c r="H8" s="376"/>
      <c r="I8" s="378"/>
      <c r="J8" s="31"/>
      <c r="K8" s="31"/>
      <c r="L8" s="354"/>
      <c r="M8" s="354"/>
    </row>
    <row r="9" spans="1:13" ht="19.149999999999999" customHeight="1" thickBot="1" x14ac:dyDescent="0.5">
      <c r="B9" s="349">
        <v>5</v>
      </c>
      <c r="C9" s="350"/>
      <c r="D9" s="350"/>
      <c r="E9" s="376"/>
      <c r="F9" s="377"/>
      <c r="G9" s="377"/>
      <c r="H9" s="376"/>
      <c r="I9" s="378"/>
      <c r="J9" s="31"/>
      <c r="K9" s="31"/>
      <c r="L9" s="354"/>
      <c r="M9" s="354"/>
    </row>
    <row r="10" spans="1:13" s="7" customFormat="1" ht="19.149999999999999" customHeight="1" thickBot="1" x14ac:dyDescent="0.5">
      <c r="B10" s="351"/>
      <c r="C10" s="352" t="s">
        <v>55</v>
      </c>
      <c r="D10" s="352"/>
      <c r="E10" s="379">
        <f>SUM(E5:E5)</f>
        <v>0.01</v>
      </c>
      <c r="F10" s="352"/>
      <c r="G10" s="352"/>
      <c r="H10" s="352"/>
      <c r="I10" s="56">
        <f>SUM(I5:I5)</f>
        <v>2.6666666666666666E-3</v>
      </c>
      <c r="J10" s="31"/>
      <c r="K10" s="31"/>
      <c r="L10" s="354"/>
      <c r="M10" s="354"/>
    </row>
    <row r="11" spans="1:13" s="7" customFormat="1" ht="19.149999999999999" customHeight="1" x14ac:dyDescent="0.45">
      <c r="A11" s="11"/>
      <c r="B11" s="118"/>
      <c r="C11" s="241"/>
      <c r="D11" s="241"/>
      <c r="E11" s="241"/>
      <c r="F11" s="241"/>
      <c r="G11" s="241"/>
      <c r="H11" s="241"/>
      <c r="I11" s="241"/>
      <c r="J11" s="31"/>
      <c r="K11" s="31"/>
      <c r="L11" s="354"/>
      <c r="M11" s="354"/>
    </row>
    <row r="12" spans="1:13" s="7" customFormat="1" ht="19.149999999999999" customHeight="1" x14ac:dyDescent="0.45">
      <c r="B12" s="118"/>
      <c r="C12" s="241"/>
      <c r="D12" s="241"/>
      <c r="E12" s="241"/>
      <c r="F12" s="241"/>
      <c r="G12" s="241"/>
      <c r="H12" s="241"/>
      <c r="I12" s="241"/>
      <c r="J12" s="31"/>
      <c r="K12" s="31"/>
      <c r="L12" s="354"/>
      <c r="M12" s="354"/>
    </row>
    <row r="13" spans="1:13" s="7" customFormat="1" ht="19.149999999999999" customHeight="1" x14ac:dyDescent="0.45">
      <c r="B13" s="118"/>
      <c r="C13" s="241"/>
      <c r="D13" s="241"/>
      <c r="E13" s="241"/>
      <c r="F13" s="241"/>
      <c r="G13" s="241"/>
      <c r="H13" s="241"/>
      <c r="I13" s="241"/>
      <c r="J13" s="31"/>
      <c r="K13" s="31"/>
      <c r="L13" s="354"/>
      <c r="M13" s="354"/>
    </row>
    <row r="14" spans="1:13" s="7" customFormat="1" ht="19.149999999999999" customHeight="1" thickBot="1" x14ac:dyDescent="0.5">
      <c r="D14" s="241"/>
      <c r="E14" s="241"/>
      <c r="F14" s="241"/>
      <c r="G14" s="241"/>
      <c r="H14" s="241"/>
      <c r="I14" s="241"/>
      <c r="J14" s="31"/>
      <c r="K14" s="31"/>
      <c r="L14" s="354"/>
      <c r="M14" s="354"/>
    </row>
    <row r="15" spans="1:13" s="7" customFormat="1" ht="19.149999999999999" customHeight="1" x14ac:dyDescent="0.45">
      <c r="C15" s="370" t="s">
        <v>60</v>
      </c>
      <c r="D15" s="371" t="e">
        <f>1-((1/D16)*D17)</f>
        <v>#DIV/0!</v>
      </c>
      <c r="E15" s="241"/>
      <c r="F15" s="241"/>
      <c r="G15" s="241"/>
      <c r="H15" s="241"/>
      <c r="I15" s="241"/>
      <c r="J15" s="31"/>
      <c r="K15" s="31"/>
      <c r="L15" s="354"/>
      <c r="M15" s="354"/>
    </row>
    <row r="16" spans="1:13" s="7" customFormat="1" ht="19.149999999999999" customHeight="1" x14ac:dyDescent="0.45">
      <c r="C16" s="372" t="s">
        <v>393</v>
      </c>
      <c r="D16" s="373"/>
      <c r="E16" s="241"/>
      <c r="F16" s="241"/>
      <c r="G16" s="241"/>
      <c r="H16" s="241"/>
      <c r="I16" s="241"/>
      <c r="J16" s="31"/>
      <c r="K16" s="31"/>
      <c r="L16" s="354"/>
      <c r="M16" s="354"/>
    </row>
    <row r="17" spans="2:13" s="7" customFormat="1" ht="19.149999999999999" customHeight="1" thickBot="1" x14ac:dyDescent="0.5">
      <c r="C17" s="374" t="s">
        <v>394</v>
      </c>
      <c r="D17" s="375"/>
      <c r="E17" s="241"/>
      <c r="F17" s="241"/>
      <c r="G17" s="241"/>
      <c r="H17" s="241"/>
      <c r="I17" s="241"/>
      <c r="J17" s="31"/>
      <c r="K17" s="31"/>
      <c r="L17" s="354"/>
      <c r="M17" s="354"/>
    </row>
    <row r="18" spans="2:13" s="7" customFormat="1" ht="19.149999999999999" customHeight="1" x14ac:dyDescent="0.45">
      <c r="B18" s="118"/>
      <c r="C18" s="241"/>
      <c r="D18" s="241"/>
      <c r="E18" s="241"/>
      <c r="F18" s="241"/>
      <c r="G18" s="241"/>
      <c r="H18" s="241"/>
      <c r="I18" s="241"/>
      <c r="J18" s="31"/>
      <c r="K18" s="31"/>
      <c r="L18" s="354"/>
      <c r="M18" s="354"/>
    </row>
    <row r="19" spans="2:13" s="7" customFormat="1" ht="19.149999999999999" customHeight="1" x14ac:dyDescent="0.45">
      <c r="B19" s="118"/>
      <c r="C19" s="241"/>
      <c r="D19" s="241"/>
      <c r="E19" s="241"/>
      <c r="F19" s="241"/>
      <c r="G19" s="241"/>
      <c r="H19" s="241"/>
      <c r="I19" s="241"/>
      <c r="J19" s="31"/>
      <c r="K19" s="31"/>
      <c r="L19" s="354"/>
      <c r="M19" s="354"/>
    </row>
    <row r="20" spans="2:13" s="7" customFormat="1" ht="19.149999999999999" customHeight="1" x14ac:dyDescent="0.45">
      <c r="B20" s="118"/>
      <c r="C20" s="241"/>
      <c r="D20" s="241"/>
      <c r="E20" s="241"/>
      <c r="F20" s="241"/>
      <c r="G20" s="241"/>
      <c r="H20" s="241"/>
      <c r="I20" s="241"/>
      <c r="J20" s="31"/>
      <c r="K20" s="31"/>
      <c r="L20" s="354"/>
      <c r="M20" s="354"/>
    </row>
    <row r="21" spans="2:13" s="7" customFormat="1" ht="19.149999999999999" customHeight="1" x14ac:dyDescent="0.45">
      <c r="D21" s="241"/>
      <c r="E21" s="241"/>
      <c r="F21" s="241"/>
      <c r="G21" s="241"/>
      <c r="H21" s="241"/>
      <c r="I21" s="241"/>
      <c r="J21" s="31"/>
      <c r="K21" s="31"/>
      <c r="L21" s="354"/>
      <c r="M21" s="354"/>
    </row>
    <row r="22" spans="2:13" s="7" customFormat="1" ht="19.149999999999999" customHeight="1" x14ac:dyDescent="0.45">
      <c r="D22" s="241"/>
      <c r="E22" s="241"/>
      <c r="F22" s="241"/>
      <c r="G22" s="241"/>
      <c r="H22" s="241"/>
      <c r="I22" s="241"/>
      <c r="J22" s="31"/>
      <c r="K22" s="31"/>
      <c r="L22" s="354"/>
      <c r="M22" s="354"/>
    </row>
    <row r="23" spans="2:13" s="7" customFormat="1" ht="15" customHeight="1" x14ac:dyDescent="0.25"/>
    <row r="24" spans="2:13" s="7" customFormat="1" ht="15" customHeight="1" x14ac:dyDescent="0.45">
      <c r="D24" s="407"/>
      <c r="E24" s="407"/>
      <c r="F24" s="407"/>
      <c r="G24" s="407"/>
      <c r="H24" s="407"/>
      <c r="I24" s="407"/>
    </row>
    <row r="25" spans="2:13" s="7" customFormat="1" ht="21" customHeight="1" x14ac:dyDescent="0.25">
      <c r="D25" s="362"/>
      <c r="E25" s="362"/>
      <c r="F25" s="362"/>
      <c r="G25" s="362"/>
      <c r="H25" s="362"/>
      <c r="I25" s="362"/>
    </row>
    <row r="26" spans="2:13" s="7" customFormat="1" ht="19.149999999999999" customHeight="1" x14ac:dyDescent="0.45">
      <c r="D26" s="363"/>
      <c r="E26" s="363"/>
      <c r="F26" s="363"/>
      <c r="G26" s="363"/>
      <c r="H26" s="363"/>
      <c r="I26" s="363"/>
    </row>
    <row r="27" spans="2:13" s="7" customFormat="1" ht="21" customHeight="1" x14ac:dyDescent="0.25"/>
    <row r="28" spans="2:13" ht="15" customHeight="1" x14ac:dyDescent="0.25"/>
    <row r="29" spans="2:13" ht="15" customHeight="1" x14ac:dyDescent="0.25"/>
    <row r="30" spans="2:13" ht="15" customHeight="1" x14ac:dyDescent="0.25"/>
    <row r="31" spans="2:13" ht="15" customHeight="1" x14ac:dyDescent="0.25"/>
    <row r="32" spans="2:13" ht="15" customHeight="1" x14ac:dyDescent="0.25"/>
    <row r="33" spans="2:13" ht="15" customHeight="1" x14ac:dyDescent="0.25"/>
    <row r="43" spans="2:13" ht="15" customHeight="1" x14ac:dyDescent="0.25">
      <c r="D43" s="17"/>
      <c r="E43" s="237"/>
      <c r="F43" s="237"/>
      <c r="G43" s="237"/>
      <c r="H43" s="237"/>
      <c r="I43" s="237"/>
    </row>
    <row r="44" spans="2:13" ht="15" customHeight="1" x14ac:dyDescent="0.25">
      <c r="D44" s="17"/>
      <c r="E44" s="237"/>
      <c r="F44" s="237"/>
      <c r="G44" s="237"/>
      <c r="H44" s="237"/>
      <c r="I44" s="237"/>
    </row>
    <row r="47" spans="2:13" ht="15" customHeight="1" x14ac:dyDescent="0.55000000000000004">
      <c r="B47" s="13"/>
      <c r="C47" s="105"/>
      <c r="D47" s="395"/>
      <c r="E47" s="395"/>
      <c r="F47" s="395"/>
      <c r="G47" s="395"/>
      <c r="H47" s="395"/>
      <c r="I47" s="395"/>
      <c r="J47" s="395"/>
      <c r="K47" s="395"/>
      <c r="L47" s="13"/>
      <c r="M47" s="13"/>
    </row>
    <row r="48" spans="2:13" ht="15" customHeight="1" x14ac:dyDescent="0.5">
      <c r="B48" s="13"/>
      <c r="C48" s="24"/>
      <c r="D48" s="24"/>
      <c r="E48" s="24"/>
      <c r="F48" s="24"/>
      <c r="G48" s="24"/>
      <c r="H48" s="24"/>
      <c r="I48" s="24"/>
      <c r="J48" s="24"/>
      <c r="K48" s="24"/>
      <c r="L48" s="13"/>
      <c r="M48" s="13"/>
    </row>
    <row r="49" spans="2:13" ht="15" customHeight="1" x14ac:dyDescent="0.45">
      <c r="B49" s="13"/>
      <c r="C49" s="25"/>
      <c r="D49" s="25"/>
      <c r="E49" s="25"/>
      <c r="F49" s="25"/>
      <c r="G49" s="25"/>
      <c r="H49" s="25"/>
      <c r="I49" s="25"/>
      <c r="J49" s="26"/>
      <c r="K49" s="26"/>
      <c r="L49" s="13"/>
      <c r="M49" s="13"/>
    </row>
    <row r="50" spans="2:13" ht="15" customHeight="1" x14ac:dyDescent="0.45">
      <c r="B50" s="13"/>
      <c r="C50" s="25"/>
      <c r="D50" s="25"/>
      <c r="E50" s="25"/>
      <c r="F50" s="25"/>
      <c r="G50" s="25"/>
      <c r="H50" s="25"/>
      <c r="I50" s="25"/>
      <c r="J50" s="26"/>
      <c r="K50" s="26"/>
      <c r="L50" s="13"/>
      <c r="M50" s="13"/>
    </row>
    <row r="51" spans="2:13" ht="15" customHeight="1" x14ac:dyDescent="0.45">
      <c r="B51" s="13"/>
      <c r="C51" s="25"/>
      <c r="D51" s="25"/>
      <c r="E51" s="25"/>
      <c r="F51" s="25"/>
      <c r="G51" s="25"/>
      <c r="H51" s="25"/>
      <c r="I51" s="25"/>
      <c r="J51" s="26"/>
      <c r="K51" s="26"/>
      <c r="L51" s="13"/>
      <c r="M51" s="13"/>
    </row>
    <row r="52" spans="2:13" ht="15" customHeight="1" x14ac:dyDescent="0.45">
      <c r="B52" s="13"/>
      <c r="C52" s="25"/>
      <c r="D52" s="25"/>
      <c r="E52" s="25"/>
      <c r="F52" s="25"/>
      <c r="G52" s="25"/>
      <c r="H52" s="25"/>
      <c r="I52" s="25"/>
      <c r="J52" s="26"/>
      <c r="K52" s="26"/>
      <c r="L52" s="13"/>
      <c r="M52" s="13"/>
    </row>
    <row r="53" spans="2:13" ht="15" customHeight="1" x14ac:dyDescent="0.45">
      <c r="B53" s="13"/>
      <c r="C53" s="25"/>
      <c r="D53" s="25"/>
      <c r="E53" s="25"/>
      <c r="F53" s="25"/>
      <c r="G53" s="25"/>
      <c r="H53" s="25"/>
      <c r="I53" s="25"/>
      <c r="J53" s="26"/>
      <c r="K53" s="26"/>
      <c r="L53" s="13"/>
      <c r="M53" s="13"/>
    </row>
    <row r="54" spans="2:13" ht="15" customHeight="1" x14ac:dyDescent="0.45">
      <c r="B54" s="13"/>
      <c r="C54" s="25"/>
      <c r="D54" s="25"/>
      <c r="E54" s="25"/>
      <c r="F54" s="25"/>
      <c r="G54" s="25"/>
      <c r="H54" s="25"/>
      <c r="I54" s="25"/>
      <c r="J54" s="26"/>
      <c r="K54" s="26"/>
      <c r="L54" s="13"/>
      <c r="M54" s="13"/>
    </row>
    <row r="55" spans="2:13" ht="15" customHeight="1" x14ac:dyDescent="0.45">
      <c r="B55" s="13"/>
      <c r="C55" s="25"/>
      <c r="D55" s="25"/>
      <c r="E55" s="25"/>
      <c r="F55" s="25"/>
      <c r="G55" s="25"/>
      <c r="H55" s="25"/>
      <c r="I55" s="25"/>
      <c r="J55" s="26"/>
      <c r="K55" s="26"/>
      <c r="L55" s="13"/>
      <c r="M55" s="13"/>
    </row>
    <row r="56" spans="2:13" ht="15" customHeight="1" x14ac:dyDescent="0.45">
      <c r="B56" s="13"/>
      <c r="C56" s="25"/>
      <c r="D56" s="25"/>
      <c r="E56" s="25"/>
      <c r="F56" s="25"/>
      <c r="G56" s="25"/>
      <c r="H56" s="25"/>
      <c r="I56" s="25"/>
      <c r="J56" s="26"/>
      <c r="K56" s="26"/>
      <c r="L56" s="13"/>
      <c r="M56" s="13"/>
    </row>
    <row r="57" spans="2:13" ht="15" customHeight="1" x14ac:dyDescent="0.45">
      <c r="B57" s="13"/>
      <c r="C57" s="25"/>
      <c r="D57" s="25"/>
      <c r="E57" s="25"/>
      <c r="F57" s="25"/>
      <c r="G57" s="25"/>
      <c r="H57" s="25"/>
      <c r="I57" s="25"/>
      <c r="J57" s="26"/>
      <c r="K57" s="26"/>
      <c r="L57" s="13"/>
      <c r="M57" s="13"/>
    </row>
    <row r="58" spans="2:13" ht="15" customHeight="1" x14ac:dyDescent="0.45">
      <c r="B58" s="13"/>
      <c r="C58" s="25"/>
      <c r="D58" s="25"/>
      <c r="E58" s="25"/>
      <c r="F58" s="25"/>
      <c r="G58" s="25"/>
      <c r="H58" s="25"/>
      <c r="I58" s="25"/>
      <c r="J58" s="26"/>
      <c r="K58" s="26"/>
      <c r="L58" s="13"/>
      <c r="M58" s="13"/>
    </row>
    <row r="59" spans="2:13" ht="15" customHeight="1" x14ac:dyDescent="0.45">
      <c r="B59" s="13"/>
      <c r="C59" s="25"/>
      <c r="D59" s="25"/>
      <c r="E59" s="25"/>
      <c r="F59" s="25"/>
      <c r="G59" s="25"/>
      <c r="H59" s="25"/>
      <c r="I59" s="25"/>
      <c r="J59" s="26"/>
      <c r="K59" s="26"/>
      <c r="L59" s="13"/>
      <c r="M59" s="13"/>
    </row>
    <row r="60" spans="2:13" ht="15" customHeight="1" x14ac:dyDescent="0.45">
      <c r="B60" s="13"/>
      <c r="C60" s="25"/>
      <c r="D60" s="25"/>
      <c r="E60" s="25"/>
      <c r="F60" s="25"/>
      <c r="G60" s="25"/>
      <c r="H60" s="25"/>
      <c r="I60" s="25"/>
      <c r="J60" s="26"/>
      <c r="K60" s="26"/>
      <c r="L60" s="13"/>
      <c r="M60" s="13"/>
    </row>
    <row r="61" spans="2:13" ht="15" customHeight="1" x14ac:dyDescent="0.45">
      <c r="B61" s="13"/>
      <c r="C61" s="25"/>
      <c r="D61" s="25"/>
      <c r="E61" s="25"/>
      <c r="F61" s="25"/>
      <c r="G61" s="25"/>
      <c r="H61" s="25"/>
      <c r="I61" s="25"/>
      <c r="J61" s="26"/>
      <c r="K61" s="26"/>
      <c r="L61" s="13"/>
      <c r="M61" s="13"/>
    </row>
    <row r="62" spans="2:13" ht="15" customHeight="1" x14ac:dyDescent="0.45">
      <c r="B62" s="13"/>
      <c r="C62" s="25"/>
      <c r="D62" s="25"/>
      <c r="E62" s="25"/>
      <c r="F62" s="25"/>
      <c r="G62" s="25"/>
      <c r="H62" s="25"/>
      <c r="I62" s="25"/>
      <c r="J62" s="26"/>
      <c r="K62" s="26"/>
      <c r="L62" s="13"/>
      <c r="M62" s="13"/>
    </row>
    <row r="63" spans="2:13" ht="15" customHeight="1" x14ac:dyDescent="0.45">
      <c r="B63" s="13"/>
      <c r="C63" s="25"/>
      <c r="D63" s="25"/>
      <c r="E63" s="25"/>
      <c r="F63" s="25"/>
      <c r="G63" s="25"/>
      <c r="H63" s="25"/>
      <c r="I63" s="25"/>
      <c r="J63" s="26"/>
      <c r="K63" s="26"/>
      <c r="L63" s="13"/>
      <c r="M63" s="13"/>
    </row>
    <row r="64" spans="2:13" ht="15" customHeight="1" x14ac:dyDescent="0.45">
      <c r="B64" s="13"/>
      <c r="C64" s="25"/>
      <c r="D64" s="25"/>
      <c r="E64" s="25"/>
      <c r="F64" s="25"/>
      <c r="G64" s="25"/>
      <c r="H64" s="25"/>
      <c r="I64" s="25"/>
      <c r="J64" s="26"/>
      <c r="K64" s="26"/>
      <c r="L64" s="13"/>
      <c r="M64" s="13"/>
    </row>
    <row r="65" spans="2:13" ht="15" customHeight="1" x14ac:dyDescent="0.45">
      <c r="B65" s="13"/>
      <c r="C65" s="25"/>
      <c r="D65" s="25"/>
      <c r="E65" s="25"/>
      <c r="F65" s="25"/>
      <c r="G65" s="25"/>
      <c r="H65" s="25"/>
      <c r="I65" s="25"/>
      <c r="J65" s="26"/>
      <c r="K65" s="26"/>
      <c r="L65" s="13"/>
      <c r="M65" s="13"/>
    </row>
    <row r="66" spans="2:13" ht="15" customHeight="1" x14ac:dyDescent="0.45">
      <c r="B66" s="13"/>
      <c r="C66" s="25"/>
      <c r="D66" s="25"/>
      <c r="E66" s="25"/>
      <c r="F66" s="25"/>
      <c r="G66" s="25"/>
      <c r="H66" s="25"/>
      <c r="I66" s="25"/>
      <c r="J66" s="26"/>
      <c r="K66" s="26"/>
      <c r="L66" s="13"/>
      <c r="M66" s="13"/>
    </row>
  </sheetData>
  <mergeCells count="8">
    <mergeCell ref="G3:G4"/>
    <mergeCell ref="H3:H4"/>
    <mergeCell ref="I3:I4"/>
    <mergeCell ref="B3:B4"/>
    <mergeCell ref="C3:C4"/>
    <mergeCell ref="D3:D4"/>
    <mergeCell ref="E3:E4"/>
    <mergeCell ref="F3:F4"/>
  </mergeCells>
  <dataValidations count="2">
    <dataValidation type="list" allowBlank="1" showInputMessage="1" showErrorMessage="1" sqref="E13:E14 E16:E19">
      <formula1>$D$25:$I$25</formula1>
    </dataValidation>
    <dataValidation type="list" allowBlank="1" showInputMessage="1" showErrorMessage="1" sqref="E10:E12 E15">
      <formula1>$E$25:$I$25</formula1>
    </dataValidation>
  </dataValidations>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F0"/>
  </sheetPr>
  <dimension ref="A1:L141"/>
  <sheetViews>
    <sheetView rightToLeft="1" topLeftCell="C10" zoomScale="85" zoomScaleNormal="85" zoomScaleSheetLayoutView="130" workbookViewId="0">
      <selection activeCell="D16" sqref="D16"/>
    </sheetView>
  </sheetViews>
  <sheetFormatPr defaultColWidth="10.42578125" defaultRowHeight="22.5" x14ac:dyDescent="0.25"/>
  <cols>
    <col min="1" max="1" width="6.140625" style="622" customWidth="1"/>
    <col min="2" max="2" width="7" style="622" bestFit="1" customWidth="1"/>
    <col min="3" max="3" width="118.140625" style="622" customWidth="1"/>
    <col min="4" max="4" width="10.42578125" style="622" customWidth="1"/>
    <col min="5" max="5" width="11.85546875" style="622" customWidth="1"/>
    <col min="6" max="6" width="13.85546875" style="622" bestFit="1" customWidth="1"/>
    <col min="7" max="7" width="11.7109375" style="622" bestFit="1" customWidth="1"/>
    <col min="8" max="8" width="25.28515625" style="622" customWidth="1"/>
    <col min="9" max="9" width="11.85546875" style="622" hidden="1" customWidth="1"/>
    <col min="10" max="10" width="15.5703125" style="622" customWidth="1"/>
    <col min="11" max="11" width="13.140625" style="622" hidden="1" customWidth="1"/>
    <col min="12" max="12" width="23.5703125" style="623" customWidth="1"/>
    <col min="13" max="14" width="6.140625" style="622" customWidth="1"/>
    <col min="15" max="15" width="4.5703125" style="622" customWidth="1"/>
    <col min="16" max="16384" width="10.42578125" style="622"/>
  </cols>
  <sheetData>
    <row r="1" spans="2:12" ht="24" x14ac:dyDescent="0.25">
      <c r="B1" s="621"/>
      <c r="C1" s="621" t="s">
        <v>483</v>
      </c>
      <c r="I1" s="566"/>
      <c r="J1" s="566"/>
    </row>
    <row r="2" spans="2:12" s="624" customFormat="1" ht="24.75" thickBot="1" x14ac:dyDescent="0.3">
      <c r="D2" s="616" t="s">
        <v>551</v>
      </c>
      <c r="E2" s="616" t="s">
        <v>550</v>
      </c>
      <c r="F2" s="616" t="s">
        <v>567</v>
      </c>
      <c r="G2" s="616" t="s">
        <v>568</v>
      </c>
      <c r="H2" s="616" t="s">
        <v>91</v>
      </c>
      <c r="I2" s="666"/>
      <c r="J2" s="615"/>
      <c r="L2" s="625"/>
    </row>
    <row r="3" spans="2:12" s="624" customFormat="1" ht="24" x14ac:dyDescent="0.25">
      <c r="B3" s="626"/>
      <c r="C3" s="627" t="s">
        <v>484</v>
      </c>
      <c r="D3" s="627" t="s">
        <v>256</v>
      </c>
      <c r="E3" s="628" t="s">
        <v>19</v>
      </c>
      <c r="F3" s="629" t="s">
        <v>485</v>
      </c>
      <c r="G3" s="630" t="s">
        <v>54</v>
      </c>
      <c r="I3" s="615"/>
      <c r="J3" s="615"/>
      <c r="L3" s="625"/>
    </row>
    <row r="4" spans="2:12" ht="24" x14ac:dyDescent="0.5">
      <c r="B4" s="631">
        <v>1</v>
      </c>
      <c r="C4" s="632" t="s">
        <v>79</v>
      </c>
      <c r="D4" s="563">
        <f>IF(ISNUMBER(SEARCH(J6,I6)),0.5,IF(ISNUMBER(SEARCH(J6,K6)),0,0))</f>
        <v>0.5</v>
      </c>
      <c r="E4" s="633">
        <v>0.1</v>
      </c>
      <c r="F4" s="634">
        <f>E4*D4</f>
        <v>0.05</v>
      </c>
      <c r="G4" s="1472">
        <f>SUM(F4:F10)</f>
        <v>0.34</v>
      </c>
      <c r="H4" s="635" t="s">
        <v>564</v>
      </c>
      <c r="I4" s="636" t="s">
        <v>550</v>
      </c>
      <c r="J4" s="617" t="s">
        <v>550</v>
      </c>
      <c r="K4" s="637" t="s">
        <v>551</v>
      </c>
    </row>
    <row r="5" spans="2:12" ht="24" x14ac:dyDescent="0.5">
      <c r="B5" s="638">
        <v>2</v>
      </c>
      <c r="C5" s="639" t="s">
        <v>80</v>
      </c>
      <c r="D5" s="565">
        <v>0.3</v>
      </c>
      <c r="E5" s="640">
        <v>0.3</v>
      </c>
      <c r="F5" s="641">
        <f t="shared" ref="F5:F10" si="0">E5*D5</f>
        <v>0.09</v>
      </c>
      <c r="G5" s="1473"/>
      <c r="H5" s="635" t="s">
        <v>569</v>
      </c>
      <c r="I5" s="636" t="s">
        <v>567</v>
      </c>
      <c r="J5" s="617" t="s">
        <v>567</v>
      </c>
      <c r="K5" s="642"/>
    </row>
    <row r="6" spans="2:12" ht="24" x14ac:dyDescent="0.5">
      <c r="B6" s="638">
        <v>3</v>
      </c>
      <c r="C6" s="639" t="s">
        <v>81</v>
      </c>
      <c r="D6" s="565"/>
      <c r="E6" s="640">
        <v>0.1</v>
      </c>
      <c r="F6" s="641">
        <f>E6*D6</f>
        <v>0</v>
      </c>
      <c r="G6" s="1473"/>
      <c r="H6" s="635" t="s">
        <v>565</v>
      </c>
      <c r="I6" s="643" t="s">
        <v>567</v>
      </c>
      <c r="J6" s="617" t="s">
        <v>567</v>
      </c>
      <c r="K6" s="644"/>
    </row>
    <row r="7" spans="2:12" ht="24" customHeight="1" x14ac:dyDescent="0.5">
      <c r="B7" s="638">
        <v>4</v>
      </c>
      <c r="C7" s="639" t="s">
        <v>82</v>
      </c>
      <c r="D7" s="565"/>
      <c r="E7" s="640">
        <v>0.1</v>
      </c>
      <c r="F7" s="641">
        <f>E7*D7</f>
        <v>0</v>
      </c>
      <c r="G7" s="1473"/>
      <c r="H7" s="645" t="s">
        <v>488</v>
      </c>
      <c r="I7" s="643" t="s">
        <v>567</v>
      </c>
      <c r="J7" s="617" t="s">
        <v>567</v>
      </c>
      <c r="K7" s="644" t="s">
        <v>91</v>
      </c>
    </row>
    <row r="8" spans="2:12" ht="24" customHeight="1" x14ac:dyDescent="0.5">
      <c r="B8" s="638">
        <v>5</v>
      </c>
      <c r="C8" s="639" t="s">
        <v>83</v>
      </c>
      <c r="D8" s="565"/>
      <c r="E8" s="640">
        <v>0.1</v>
      </c>
      <c r="F8" s="641">
        <f t="shared" si="0"/>
        <v>0</v>
      </c>
      <c r="G8" s="1473"/>
      <c r="H8" s="645" t="s">
        <v>566</v>
      </c>
      <c r="I8" s="646" t="s">
        <v>567</v>
      </c>
      <c r="J8" s="618" t="s">
        <v>567</v>
      </c>
      <c r="K8" s="644" t="s">
        <v>91</v>
      </c>
    </row>
    <row r="9" spans="2:12" ht="24" x14ac:dyDescent="0.25">
      <c r="B9" s="638">
        <v>6</v>
      </c>
      <c r="C9" s="639" t="s">
        <v>84</v>
      </c>
      <c r="D9" s="619">
        <f>IF(ISNUMBER(SEARCH(J4,I4)),0.5,IF(ISNUMBER(SEARCH(J4,K4)),0.3,0))*AND(IF(ISNUMBER(SEARCH(J5,I5)),0.5,0))</f>
        <v>0.5</v>
      </c>
      <c r="E9" s="640">
        <v>0.2</v>
      </c>
      <c r="F9" s="641">
        <f t="shared" si="0"/>
        <v>0.1</v>
      </c>
      <c r="G9" s="1474"/>
      <c r="H9" s="647"/>
      <c r="I9" s="648"/>
      <c r="J9" s="649"/>
      <c r="K9" s="650"/>
    </row>
    <row r="10" spans="2:12" ht="24.75" customHeight="1" thickBot="1" x14ac:dyDescent="0.3">
      <c r="B10" s="651">
        <v>7</v>
      </c>
      <c r="C10" s="652" t="s">
        <v>85</v>
      </c>
      <c r="D10" s="620">
        <f>IF(ISNUMBER(SEARCH(J4,I4)),1,IF(ISNUMBER(SEARCH(J4,K4)),0,0))</f>
        <v>1</v>
      </c>
      <c r="E10" s="653">
        <v>0.1</v>
      </c>
      <c r="F10" s="654">
        <f t="shared" si="0"/>
        <v>0.1</v>
      </c>
      <c r="G10" s="1475"/>
      <c r="H10" s="647"/>
      <c r="I10" s="648"/>
      <c r="J10" s="649"/>
      <c r="K10" s="650"/>
    </row>
    <row r="11" spans="2:12" ht="39" customHeight="1" x14ac:dyDescent="0.25">
      <c r="B11" s="626"/>
      <c r="C11" s="627" t="s">
        <v>486</v>
      </c>
      <c r="D11" s="627" t="s">
        <v>256</v>
      </c>
      <c r="E11" s="628" t="s">
        <v>19</v>
      </c>
      <c r="F11" s="629" t="s">
        <v>485</v>
      </c>
      <c r="G11" s="655" t="s">
        <v>54</v>
      </c>
    </row>
    <row r="12" spans="2:12" ht="24" x14ac:dyDescent="0.25">
      <c r="B12" s="656">
        <v>1</v>
      </c>
      <c r="C12" s="632" t="s">
        <v>487</v>
      </c>
      <c r="D12" s="563"/>
      <c r="E12" s="657">
        <v>0.1</v>
      </c>
      <c r="F12" s="634">
        <f>E12*D12</f>
        <v>0</v>
      </c>
      <c r="G12" s="1476">
        <f>SUM(F12:F16)</f>
        <v>0.43999999999999995</v>
      </c>
    </row>
    <row r="13" spans="2:12" ht="24" x14ac:dyDescent="0.25">
      <c r="B13" s="656">
        <v>2</v>
      </c>
      <c r="C13" s="639" t="s">
        <v>488</v>
      </c>
      <c r="D13" s="619">
        <f>IF(ISNUMBER(SEARCH(J7,I7)),1,IF(ISNUMBER(SEARCH(J7,K7)),0.5,0))</f>
        <v>1</v>
      </c>
      <c r="E13" s="658">
        <v>0.1</v>
      </c>
      <c r="F13" s="641">
        <f>E13*D13</f>
        <v>0.1</v>
      </c>
      <c r="G13" s="1476"/>
    </row>
    <row r="14" spans="2:12" ht="24" x14ac:dyDescent="0.25">
      <c r="B14" s="656">
        <v>3</v>
      </c>
      <c r="C14" s="639" t="s">
        <v>489</v>
      </c>
      <c r="D14" s="619">
        <f>IF(ISNUMBER(SEARCH(J8,I8)),1,IF(ISNUMBER(SEARCH(J8,K8)),0.5,0))</f>
        <v>1</v>
      </c>
      <c r="E14" s="658">
        <v>0.25</v>
      </c>
      <c r="F14" s="641">
        <f t="shared" ref="F14:F15" si="1">E14*D14</f>
        <v>0.25</v>
      </c>
      <c r="G14" s="1476"/>
    </row>
    <row r="15" spans="2:12" ht="24" x14ac:dyDescent="0.25">
      <c r="B15" s="656">
        <v>4</v>
      </c>
      <c r="C15" s="639" t="s">
        <v>490</v>
      </c>
      <c r="D15" s="565"/>
      <c r="E15" s="658">
        <v>0.25</v>
      </c>
      <c r="F15" s="641">
        <f t="shared" si="1"/>
        <v>0</v>
      </c>
      <c r="G15" s="1476"/>
    </row>
    <row r="16" spans="2:12" ht="24.75" thickBot="1" x14ac:dyDescent="0.3">
      <c r="B16" s="659">
        <v>5</v>
      </c>
      <c r="C16" s="652" t="s">
        <v>491</v>
      </c>
      <c r="D16" s="1122">
        <v>0.3</v>
      </c>
      <c r="E16" s="660">
        <v>0.3</v>
      </c>
      <c r="F16" s="654">
        <f>E16*D16</f>
        <v>0.09</v>
      </c>
      <c r="G16" s="1477"/>
    </row>
    <row r="17" spans="1:12" ht="30.75" thickBot="1" x14ac:dyDescent="0.3">
      <c r="B17" s="661"/>
      <c r="C17" s="662" t="s">
        <v>24</v>
      </c>
      <c r="D17" s="663"/>
      <c r="E17" s="662"/>
      <c r="F17" s="664"/>
      <c r="G17" s="665">
        <f>G4*0.7+G12*0.3</f>
        <v>0.37</v>
      </c>
    </row>
    <row r="18" spans="1:12" s="566" customFormat="1" ht="26.45" customHeight="1" x14ac:dyDescent="0.25">
      <c r="B18" s="613"/>
      <c r="C18" s="613" t="s">
        <v>829</v>
      </c>
      <c r="D18" s="613"/>
      <c r="E18" s="614"/>
      <c r="F18" s="614"/>
      <c r="L18" s="567"/>
    </row>
    <row r="19" spans="1:12" s="566" customFormat="1" ht="26.45" customHeight="1" thickBot="1" x14ac:dyDescent="0.3">
      <c r="L19" s="567"/>
    </row>
    <row r="20" spans="1:12" s="566" customFormat="1" ht="25.5" customHeight="1" x14ac:dyDescent="0.25">
      <c r="B20" s="568"/>
      <c r="C20" s="569"/>
      <c r="D20" s="1478" t="s">
        <v>86</v>
      </c>
      <c r="E20" s="1479"/>
      <c r="F20" s="1480"/>
      <c r="G20" s="1459" t="s">
        <v>19</v>
      </c>
      <c r="H20" s="1457" t="s">
        <v>87</v>
      </c>
      <c r="I20" s="1457" t="s">
        <v>88</v>
      </c>
      <c r="J20" s="1457" t="s">
        <v>89</v>
      </c>
      <c r="K20" s="1459" t="s">
        <v>15</v>
      </c>
      <c r="L20" s="1461" t="s">
        <v>492</v>
      </c>
    </row>
    <row r="21" spans="1:12" s="566" customFormat="1" ht="24" customHeight="1" x14ac:dyDescent="0.25">
      <c r="B21" s="570"/>
      <c r="C21" s="571" t="s">
        <v>78</v>
      </c>
      <c r="D21" s="572" t="s">
        <v>90</v>
      </c>
      <c r="E21" s="572" t="s">
        <v>91</v>
      </c>
      <c r="F21" s="572" t="s">
        <v>92</v>
      </c>
      <c r="G21" s="1460"/>
      <c r="H21" s="1458"/>
      <c r="I21" s="1458"/>
      <c r="J21" s="1458"/>
      <c r="K21" s="1460"/>
      <c r="L21" s="1462"/>
    </row>
    <row r="22" spans="1:12" s="566" customFormat="1" ht="26.25" x14ac:dyDescent="0.25">
      <c r="B22" s="570"/>
      <c r="C22" s="571"/>
      <c r="D22" s="573">
        <v>1</v>
      </c>
      <c r="E22" s="573" t="s">
        <v>93</v>
      </c>
      <c r="F22" s="573">
        <v>0</v>
      </c>
      <c r="G22" s="574"/>
      <c r="H22" s="573"/>
      <c r="I22" s="571"/>
      <c r="J22" s="571"/>
      <c r="K22" s="574"/>
      <c r="L22" s="575"/>
    </row>
    <row r="23" spans="1:12" s="566" customFormat="1" ht="24" x14ac:dyDescent="0.25">
      <c r="B23" s="564">
        <v>1</v>
      </c>
      <c r="C23" s="576" t="s">
        <v>79</v>
      </c>
      <c r="D23" s="576"/>
      <c r="E23" s="576"/>
      <c r="F23" s="576"/>
      <c r="G23" s="576"/>
      <c r="H23" s="576"/>
      <c r="I23" s="576"/>
      <c r="J23" s="576"/>
      <c r="K23" s="576"/>
      <c r="L23" s="577"/>
    </row>
    <row r="24" spans="1:12" s="566" customFormat="1" ht="26.25" x14ac:dyDescent="0.25">
      <c r="A24" s="566">
        <v>1</v>
      </c>
      <c r="B24" s="578" t="s">
        <v>94</v>
      </c>
      <c r="C24" s="579" t="s">
        <v>95</v>
      </c>
      <c r="D24" s="580"/>
      <c r="E24" s="580">
        <v>0.75</v>
      </c>
      <c r="F24" s="580"/>
      <c r="G24" s="581">
        <v>0.45</v>
      </c>
      <c r="H24" s="582">
        <v>0.3</v>
      </c>
      <c r="I24" s="582">
        <v>0.3</v>
      </c>
      <c r="J24" s="582">
        <v>0.3</v>
      </c>
      <c r="K24" s="583">
        <f>IF(F24&lt;&gt;0,J24*I24*H24*F24*G24,IF(E24&lt;&gt;0,J24*I24*H24*E24*G24,J24*I24*H24*D24*G24))</f>
        <v>9.1125000000000008E-3</v>
      </c>
      <c r="L24" s="584"/>
    </row>
    <row r="25" spans="1:12" s="566" customFormat="1" ht="26.25" x14ac:dyDescent="0.25">
      <c r="A25" s="566">
        <v>2</v>
      </c>
      <c r="B25" s="578" t="s">
        <v>96</v>
      </c>
      <c r="C25" s="579" t="s">
        <v>97</v>
      </c>
      <c r="D25" s="580"/>
      <c r="E25" s="580">
        <v>0.75</v>
      </c>
      <c r="F25" s="580"/>
      <c r="G25" s="581">
        <v>0.25</v>
      </c>
      <c r="H25" s="582">
        <v>0.3</v>
      </c>
      <c r="I25" s="582">
        <v>0.3</v>
      </c>
      <c r="J25" s="582">
        <v>0.3</v>
      </c>
      <c r="K25" s="583">
        <f>IF(F25&lt;&gt;0,J25*I25*H25*F25*G25,IF(E25&lt;&gt;0,J25*I25*H25*E25*G25,J25*I25*H25*D25*G25))</f>
        <v>5.0625000000000002E-3</v>
      </c>
      <c r="L25" s="585"/>
    </row>
    <row r="26" spans="1:12" s="566" customFormat="1" ht="26.25" x14ac:dyDescent="0.25">
      <c r="A26" s="566">
        <v>3</v>
      </c>
      <c r="B26" s="578" t="s">
        <v>98</v>
      </c>
      <c r="C26" s="579" t="s">
        <v>99</v>
      </c>
      <c r="D26" s="580"/>
      <c r="E26" s="580">
        <v>0.75</v>
      </c>
      <c r="F26" s="580"/>
      <c r="G26" s="581">
        <v>0.3</v>
      </c>
      <c r="H26" s="582">
        <v>0.3</v>
      </c>
      <c r="I26" s="582">
        <v>0.3</v>
      </c>
      <c r="J26" s="582">
        <v>0.3</v>
      </c>
      <c r="K26" s="583">
        <f>IF(F26&lt;&gt;0,J26*I26*H26*F26*G26,IF(E26&lt;&gt;0,J26*I26*H26*E26*G26,J26*I26*H26*D26*G26))</f>
        <v>6.0749999999999997E-3</v>
      </c>
      <c r="L26" s="585"/>
    </row>
    <row r="27" spans="1:12" s="566" customFormat="1" ht="26.25" x14ac:dyDescent="0.25">
      <c r="B27" s="586"/>
      <c r="C27" s="587" t="s">
        <v>62</v>
      </c>
      <c r="D27" s="588"/>
      <c r="E27" s="588"/>
      <c r="F27" s="588"/>
      <c r="G27" s="589">
        <f>SUM(G24:G26)</f>
        <v>1</v>
      </c>
      <c r="H27" s="587"/>
      <c r="I27" s="587"/>
      <c r="J27" s="590"/>
      <c r="K27" s="583">
        <f>SUM(K24:K26)</f>
        <v>2.0250000000000001E-2</v>
      </c>
      <c r="L27" s="591"/>
    </row>
    <row r="28" spans="1:12" s="566" customFormat="1" ht="24" x14ac:dyDescent="0.25">
      <c r="B28" s="564">
        <v>2</v>
      </c>
      <c r="C28" s="576" t="s">
        <v>493</v>
      </c>
      <c r="D28" s="576"/>
      <c r="E28" s="576"/>
      <c r="F28" s="576"/>
      <c r="G28" s="576"/>
      <c r="H28" s="576"/>
      <c r="I28" s="576"/>
      <c r="J28" s="576"/>
      <c r="K28" s="576">
        <f>IF(D28&lt;&gt;0,J28*I28*H28*D28*G28,IF(E28&lt;&gt;0,J28*I28*H28*E28*G28,J28*I28*H28*F28*G28))</f>
        <v>0</v>
      </c>
      <c r="L28" s="592"/>
    </row>
    <row r="29" spans="1:12" s="566" customFormat="1" ht="26.25" x14ac:dyDescent="0.25">
      <c r="A29" s="566">
        <v>4</v>
      </c>
      <c r="B29" s="578" t="s">
        <v>100</v>
      </c>
      <c r="C29" s="579" t="s">
        <v>101</v>
      </c>
      <c r="D29" s="580"/>
      <c r="E29" s="580">
        <v>0.75</v>
      </c>
      <c r="F29" s="580"/>
      <c r="G29" s="581">
        <v>0.2</v>
      </c>
      <c r="H29" s="582">
        <v>0.8</v>
      </c>
      <c r="I29" s="582">
        <v>0.8</v>
      </c>
      <c r="J29" s="582">
        <v>0.8</v>
      </c>
      <c r="K29" s="583">
        <f t="shared" ref="K29:K34" si="2">IF(F29&lt;&gt;0,J29*I29*H29*F29*G29,IF(E29&lt;&gt;0,J29*I29*H29*E29*G29,J29*I29*H29*D29*G29))</f>
        <v>7.6800000000000035E-2</v>
      </c>
      <c r="L29" s="584"/>
    </row>
    <row r="30" spans="1:12" s="566" customFormat="1" ht="26.25" x14ac:dyDescent="0.25">
      <c r="A30" s="566">
        <v>5</v>
      </c>
      <c r="B30" s="578" t="s">
        <v>102</v>
      </c>
      <c r="C30" s="579" t="s">
        <v>103</v>
      </c>
      <c r="D30" s="580"/>
      <c r="E30" s="580">
        <v>0.75</v>
      </c>
      <c r="F30" s="580"/>
      <c r="G30" s="581">
        <v>0.2</v>
      </c>
      <c r="H30" s="582">
        <v>0.8</v>
      </c>
      <c r="I30" s="582">
        <v>0.8</v>
      </c>
      <c r="J30" s="582">
        <v>0.8</v>
      </c>
      <c r="K30" s="583">
        <f t="shared" si="2"/>
        <v>7.6800000000000035E-2</v>
      </c>
      <c r="L30" s="584"/>
    </row>
    <row r="31" spans="1:12" s="566" customFormat="1" ht="26.25" x14ac:dyDescent="0.25">
      <c r="A31" s="566">
        <v>6</v>
      </c>
      <c r="B31" s="578" t="s">
        <v>104</v>
      </c>
      <c r="C31" s="579" t="s">
        <v>105</v>
      </c>
      <c r="D31" s="580">
        <v>1</v>
      </c>
      <c r="E31" s="580"/>
      <c r="F31" s="580"/>
      <c r="G31" s="581">
        <v>0.2</v>
      </c>
      <c r="H31" s="582">
        <v>0.8</v>
      </c>
      <c r="I31" s="582">
        <v>0.8</v>
      </c>
      <c r="J31" s="582">
        <v>0.8</v>
      </c>
      <c r="K31" s="583">
        <f t="shared" si="2"/>
        <v>0.10240000000000003</v>
      </c>
      <c r="L31" s="584"/>
    </row>
    <row r="32" spans="1:12" s="566" customFormat="1" ht="26.25" x14ac:dyDescent="0.25">
      <c r="A32" s="566">
        <v>7</v>
      </c>
      <c r="B32" s="578" t="s">
        <v>106</v>
      </c>
      <c r="C32" s="579" t="s">
        <v>107</v>
      </c>
      <c r="D32" s="580"/>
      <c r="E32" s="580">
        <v>0.75</v>
      </c>
      <c r="F32" s="580"/>
      <c r="G32" s="581">
        <v>0.2</v>
      </c>
      <c r="H32" s="582">
        <v>0.8</v>
      </c>
      <c r="I32" s="582">
        <v>0.8</v>
      </c>
      <c r="J32" s="582">
        <v>0.8</v>
      </c>
      <c r="K32" s="583">
        <f t="shared" si="2"/>
        <v>7.6800000000000035E-2</v>
      </c>
      <c r="L32" s="584"/>
    </row>
    <row r="33" spans="1:12" s="566" customFormat="1" ht="26.25" x14ac:dyDescent="0.25">
      <c r="A33" s="566">
        <v>8</v>
      </c>
      <c r="B33" s="578" t="s">
        <v>108</v>
      </c>
      <c r="C33" s="579" t="s">
        <v>109</v>
      </c>
      <c r="D33" s="580"/>
      <c r="E33" s="580">
        <v>0.75</v>
      </c>
      <c r="F33" s="580"/>
      <c r="G33" s="581">
        <v>0.1</v>
      </c>
      <c r="H33" s="582">
        <v>0.8</v>
      </c>
      <c r="I33" s="582">
        <v>0.8</v>
      </c>
      <c r="J33" s="582">
        <v>0.8</v>
      </c>
      <c r="K33" s="583">
        <f t="shared" si="2"/>
        <v>3.8400000000000017E-2</v>
      </c>
      <c r="L33" s="584"/>
    </row>
    <row r="34" spans="1:12" s="566" customFormat="1" ht="26.25" x14ac:dyDescent="0.25">
      <c r="A34" s="566">
        <v>9</v>
      </c>
      <c r="B34" s="578" t="s">
        <v>110</v>
      </c>
      <c r="C34" s="579" t="s">
        <v>111</v>
      </c>
      <c r="D34" s="580"/>
      <c r="E34" s="580">
        <v>0.75</v>
      </c>
      <c r="F34" s="580"/>
      <c r="G34" s="581">
        <v>0.1</v>
      </c>
      <c r="H34" s="582">
        <v>0.8</v>
      </c>
      <c r="I34" s="582">
        <v>0.8</v>
      </c>
      <c r="J34" s="582">
        <v>0.8</v>
      </c>
      <c r="K34" s="583">
        <f t="shared" si="2"/>
        <v>3.8400000000000017E-2</v>
      </c>
      <c r="L34" s="584"/>
    </row>
    <row r="35" spans="1:12" s="566" customFormat="1" ht="26.25" x14ac:dyDescent="0.25">
      <c r="B35" s="586"/>
      <c r="C35" s="587" t="s">
        <v>62</v>
      </c>
      <c r="D35" s="588"/>
      <c r="E35" s="588"/>
      <c r="F35" s="588"/>
      <c r="G35" s="581">
        <f>SUM(G29:G34)</f>
        <v>1</v>
      </c>
      <c r="H35" s="593"/>
      <c r="I35" s="593"/>
      <c r="J35" s="594"/>
      <c r="K35" s="583">
        <f>SUM(K28:K34)</f>
        <v>0.40960000000000019</v>
      </c>
      <c r="L35" s="595"/>
    </row>
    <row r="36" spans="1:12" s="566" customFormat="1" ht="24" x14ac:dyDescent="0.25">
      <c r="B36" s="578" t="s">
        <v>112</v>
      </c>
      <c r="C36" s="576" t="s">
        <v>113</v>
      </c>
      <c r="D36" s="576"/>
      <c r="E36" s="576"/>
      <c r="F36" s="576"/>
      <c r="G36" s="576"/>
      <c r="H36" s="576"/>
      <c r="I36" s="576"/>
      <c r="J36" s="576"/>
      <c r="K36" s="576"/>
      <c r="L36" s="577"/>
    </row>
    <row r="37" spans="1:12" s="566" customFormat="1" ht="45" x14ac:dyDescent="0.25">
      <c r="A37" s="566">
        <v>10</v>
      </c>
      <c r="B37" s="578" t="s">
        <v>114</v>
      </c>
      <c r="C37" s="579" t="s">
        <v>115</v>
      </c>
      <c r="D37" s="580"/>
      <c r="E37" s="580">
        <v>0.75</v>
      </c>
      <c r="F37" s="580"/>
      <c r="G37" s="581">
        <v>0.15</v>
      </c>
      <c r="H37" s="582">
        <v>0.3</v>
      </c>
      <c r="I37" s="582">
        <v>0.3</v>
      </c>
      <c r="J37" s="582">
        <v>0.3</v>
      </c>
      <c r="K37" s="596">
        <f t="shared" ref="K37:K46" si="3">IF(D37&lt;&gt;0,J37*I37*H37*D37*G37,IF(E37&lt;&gt;0,J37*I37*H37*E37*G37,J37*I37*H37*F37*G37))</f>
        <v>3.0374999999999998E-3</v>
      </c>
      <c r="L37" s="454"/>
    </row>
    <row r="38" spans="1:12" s="566" customFormat="1" ht="26.25" x14ac:dyDescent="0.25">
      <c r="A38" s="566">
        <v>11</v>
      </c>
      <c r="B38" s="578" t="s">
        <v>116</v>
      </c>
      <c r="C38" s="579" t="s">
        <v>117</v>
      </c>
      <c r="D38" s="580"/>
      <c r="E38" s="580">
        <v>0.5</v>
      </c>
      <c r="F38" s="580"/>
      <c r="G38" s="581">
        <v>0.15</v>
      </c>
      <c r="H38" s="582">
        <v>0.3</v>
      </c>
      <c r="I38" s="582">
        <v>0.3</v>
      </c>
      <c r="J38" s="582">
        <v>0.3</v>
      </c>
      <c r="K38" s="596">
        <f t="shared" si="3"/>
        <v>2.0249999999999999E-3</v>
      </c>
      <c r="L38" s="455"/>
    </row>
    <row r="39" spans="1:12" s="566" customFormat="1" ht="26.25" x14ac:dyDescent="0.25">
      <c r="A39" s="566">
        <v>12</v>
      </c>
      <c r="B39" s="578" t="s">
        <v>118</v>
      </c>
      <c r="C39" s="579" t="s">
        <v>119</v>
      </c>
      <c r="D39" s="580"/>
      <c r="E39" s="580">
        <v>0.75</v>
      </c>
      <c r="F39" s="580"/>
      <c r="G39" s="581">
        <v>0.15</v>
      </c>
      <c r="H39" s="582">
        <v>0.3</v>
      </c>
      <c r="I39" s="582">
        <v>0.3</v>
      </c>
      <c r="J39" s="582">
        <v>0.3</v>
      </c>
      <c r="K39" s="596">
        <f t="shared" si="3"/>
        <v>3.0374999999999998E-3</v>
      </c>
      <c r="L39" s="454"/>
    </row>
    <row r="40" spans="1:12" s="566" customFormat="1" ht="26.25" x14ac:dyDescent="0.25">
      <c r="A40" s="566">
        <v>13</v>
      </c>
      <c r="B40" s="578" t="s">
        <v>120</v>
      </c>
      <c r="C40" s="579" t="s">
        <v>121</v>
      </c>
      <c r="D40" s="580"/>
      <c r="E40" s="580">
        <v>0.75</v>
      </c>
      <c r="F40" s="580"/>
      <c r="G40" s="581">
        <v>0.15</v>
      </c>
      <c r="H40" s="582">
        <v>0.3</v>
      </c>
      <c r="I40" s="582">
        <v>0.3</v>
      </c>
      <c r="J40" s="582">
        <v>0.3</v>
      </c>
      <c r="K40" s="596">
        <f t="shared" si="3"/>
        <v>3.0374999999999998E-3</v>
      </c>
      <c r="L40" s="454"/>
    </row>
    <row r="41" spans="1:12" s="566" customFormat="1" ht="26.25" x14ac:dyDescent="0.25">
      <c r="A41" s="566">
        <v>14</v>
      </c>
      <c r="B41" s="578" t="s">
        <v>122</v>
      </c>
      <c r="C41" s="579" t="s">
        <v>123</v>
      </c>
      <c r="D41" s="580"/>
      <c r="E41" s="580">
        <v>0.75</v>
      </c>
      <c r="F41" s="580"/>
      <c r="G41" s="581">
        <v>0.1</v>
      </c>
      <c r="H41" s="582">
        <v>0.3</v>
      </c>
      <c r="I41" s="582">
        <v>0.3</v>
      </c>
      <c r="J41" s="582">
        <v>0.3</v>
      </c>
      <c r="K41" s="596">
        <f t="shared" si="3"/>
        <v>2.0250000000000003E-3</v>
      </c>
      <c r="L41" s="454"/>
    </row>
    <row r="42" spans="1:12" s="566" customFormat="1" ht="26.25" x14ac:dyDescent="0.25">
      <c r="A42" s="566">
        <v>15</v>
      </c>
      <c r="B42" s="578" t="s">
        <v>124</v>
      </c>
      <c r="C42" s="579" t="s">
        <v>125</v>
      </c>
      <c r="D42" s="580"/>
      <c r="E42" s="580">
        <v>0.75</v>
      </c>
      <c r="F42" s="580"/>
      <c r="G42" s="581">
        <v>0.05</v>
      </c>
      <c r="H42" s="582">
        <v>0.3</v>
      </c>
      <c r="I42" s="582">
        <v>0.3</v>
      </c>
      <c r="J42" s="582">
        <v>0.3</v>
      </c>
      <c r="K42" s="596">
        <f t="shared" si="3"/>
        <v>1.0125000000000002E-3</v>
      </c>
      <c r="L42" s="454"/>
    </row>
    <row r="43" spans="1:12" s="566" customFormat="1" ht="45" x14ac:dyDescent="0.25">
      <c r="A43" s="566">
        <v>16</v>
      </c>
      <c r="B43" s="578" t="s">
        <v>126</v>
      </c>
      <c r="C43" s="579" t="s">
        <v>127</v>
      </c>
      <c r="D43" s="580"/>
      <c r="E43" s="580">
        <v>0.25</v>
      </c>
      <c r="F43" s="580"/>
      <c r="G43" s="581">
        <v>0.05</v>
      </c>
      <c r="H43" s="582">
        <v>0.3</v>
      </c>
      <c r="I43" s="582">
        <v>0.3</v>
      </c>
      <c r="J43" s="582">
        <v>0.3</v>
      </c>
      <c r="K43" s="596">
        <f t="shared" si="3"/>
        <v>3.3750000000000002E-4</v>
      </c>
      <c r="L43" s="454"/>
    </row>
    <row r="44" spans="1:12" s="566" customFormat="1" ht="45" x14ac:dyDescent="0.25">
      <c r="A44" s="566">
        <v>17</v>
      </c>
      <c r="B44" s="578" t="s">
        <v>128</v>
      </c>
      <c r="C44" s="579" t="s">
        <v>129</v>
      </c>
      <c r="D44" s="580"/>
      <c r="E44" s="580">
        <v>0.5</v>
      </c>
      <c r="F44" s="580"/>
      <c r="G44" s="581">
        <v>0.05</v>
      </c>
      <c r="H44" s="582">
        <v>0.3</v>
      </c>
      <c r="I44" s="582">
        <v>0.3</v>
      </c>
      <c r="J44" s="582">
        <v>0.3</v>
      </c>
      <c r="K44" s="596">
        <f>IF(D44&lt;&gt;0,J44*I44*H44*D44*G44,IF(E44&lt;&gt;0,J44*I44*H44*E44*G44,J44*I44*H44*F44*G44))</f>
        <v>6.7500000000000004E-4</v>
      </c>
      <c r="L44" s="454"/>
    </row>
    <row r="45" spans="1:12" s="566" customFormat="1" ht="45" x14ac:dyDescent="0.25">
      <c r="A45" s="566">
        <v>18</v>
      </c>
      <c r="B45" s="578" t="s">
        <v>130</v>
      </c>
      <c r="C45" s="579" t="s">
        <v>131</v>
      </c>
      <c r="D45" s="580"/>
      <c r="E45" s="580">
        <v>0.75</v>
      </c>
      <c r="F45" s="580"/>
      <c r="G45" s="581">
        <v>0.1</v>
      </c>
      <c r="H45" s="582">
        <v>0.3</v>
      </c>
      <c r="I45" s="582">
        <v>0.3</v>
      </c>
      <c r="J45" s="582">
        <v>0.3</v>
      </c>
      <c r="K45" s="596">
        <f t="shared" si="3"/>
        <v>2.0250000000000003E-3</v>
      </c>
      <c r="L45" s="454"/>
    </row>
    <row r="46" spans="1:12" s="566" customFormat="1" ht="26.25" x14ac:dyDescent="0.25">
      <c r="A46" s="566">
        <v>19</v>
      </c>
      <c r="B46" s="578" t="s">
        <v>132</v>
      </c>
      <c r="C46" s="579" t="s">
        <v>133</v>
      </c>
      <c r="D46" s="580"/>
      <c r="E46" s="580">
        <v>0.75</v>
      </c>
      <c r="F46" s="580"/>
      <c r="G46" s="581">
        <v>0.05</v>
      </c>
      <c r="H46" s="582">
        <v>0.3</v>
      </c>
      <c r="I46" s="582">
        <v>0.3</v>
      </c>
      <c r="J46" s="582">
        <v>0.3</v>
      </c>
      <c r="K46" s="596">
        <f t="shared" si="3"/>
        <v>1.0125000000000002E-3</v>
      </c>
      <c r="L46" s="454"/>
    </row>
    <row r="47" spans="1:12" s="566" customFormat="1" ht="26.25" x14ac:dyDescent="0.25">
      <c r="B47" s="586"/>
      <c r="C47" s="587" t="s">
        <v>62</v>
      </c>
      <c r="D47" s="588"/>
      <c r="E47" s="588"/>
      <c r="F47" s="588"/>
      <c r="G47" s="581">
        <f>SUM(G37:G46)</f>
        <v>1</v>
      </c>
      <c r="H47" s="593"/>
      <c r="I47" s="593"/>
      <c r="J47" s="593"/>
      <c r="K47" s="596">
        <f>SUM(K37:K46)</f>
        <v>1.8224999999999998E-2</v>
      </c>
      <c r="L47" s="597"/>
    </row>
    <row r="48" spans="1:12" s="566" customFormat="1" ht="24" x14ac:dyDescent="0.25">
      <c r="B48" s="578" t="s">
        <v>134</v>
      </c>
      <c r="C48" s="576" t="s">
        <v>82</v>
      </c>
      <c r="D48" s="576"/>
      <c r="E48" s="576"/>
      <c r="F48" s="576"/>
      <c r="G48" s="576"/>
      <c r="H48" s="576"/>
      <c r="I48" s="576"/>
      <c r="J48" s="576"/>
      <c r="K48" s="576"/>
      <c r="L48" s="585"/>
    </row>
    <row r="49" spans="1:12" s="566" customFormat="1" ht="26.25" x14ac:dyDescent="0.25">
      <c r="A49" s="566">
        <v>20</v>
      </c>
      <c r="B49" s="578" t="s">
        <v>135</v>
      </c>
      <c r="C49" s="579" t="s">
        <v>136</v>
      </c>
      <c r="D49" s="580"/>
      <c r="E49" s="580">
        <v>0.5</v>
      </c>
      <c r="F49" s="580"/>
      <c r="G49" s="581">
        <v>0.1</v>
      </c>
      <c r="H49" s="582">
        <v>0.6</v>
      </c>
      <c r="I49" s="582">
        <v>0.6</v>
      </c>
      <c r="J49" s="582">
        <v>0.6</v>
      </c>
      <c r="K49" s="583">
        <f>IF(D49&lt;&gt;0,J49*I49*H49*D49*G49,IF(E49&lt;&gt;0,J49*I49*H49*E49*G49,J49*I49*H49*F49*G49))</f>
        <v>1.0800000000000001E-2</v>
      </c>
      <c r="L49" s="598"/>
    </row>
    <row r="50" spans="1:12" s="566" customFormat="1" ht="26.25" x14ac:dyDescent="0.25">
      <c r="A50" s="566">
        <v>21</v>
      </c>
      <c r="B50" s="578" t="s">
        <v>137</v>
      </c>
      <c r="C50" s="579" t="s">
        <v>138</v>
      </c>
      <c r="D50" s="580"/>
      <c r="E50" s="580">
        <v>0.5</v>
      </c>
      <c r="F50" s="580"/>
      <c r="G50" s="581">
        <v>0.1</v>
      </c>
      <c r="H50" s="582">
        <v>0.6</v>
      </c>
      <c r="I50" s="582">
        <v>0.6</v>
      </c>
      <c r="J50" s="582">
        <v>0.6</v>
      </c>
      <c r="K50" s="583">
        <f>IF(D50&lt;&gt;0,J50*I50*H50*D50*G50,IF(E50&lt;&gt;0,J50*I50*H50*E50*G50,J50*I50*H50*F50*G50))</f>
        <v>1.0800000000000001E-2</v>
      </c>
      <c r="L50" s="598"/>
    </row>
    <row r="51" spans="1:12" s="566" customFormat="1" ht="26.25" x14ac:dyDescent="0.25">
      <c r="A51" s="566">
        <v>22</v>
      </c>
      <c r="B51" s="578" t="s">
        <v>139</v>
      </c>
      <c r="C51" s="579" t="s">
        <v>140</v>
      </c>
      <c r="D51" s="580"/>
      <c r="E51" s="580">
        <v>0.5</v>
      </c>
      <c r="F51" s="580"/>
      <c r="G51" s="581">
        <v>0.1</v>
      </c>
      <c r="H51" s="582">
        <v>0.6</v>
      </c>
      <c r="I51" s="582">
        <v>0.6</v>
      </c>
      <c r="J51" s="582">
        <v>0.6</v>
      </c>
      <c r="K51" s="583">
        <f>IF(D51&lt;&gt;0,J51*I51*H51*D51*G51,IF(E51&lt;&gt;0,J51*I51*H51*E51*G51,J51*I51*H51*F51*G51))</f>
        <v>1.0800000000000001E-2</v>
      </c>
      <c r="L51" s="598"/>
    </row>
    <row r="52" spans="1:12" s="566" customFormat="1" ht="26.25" x14ac:dyDescent="0.25">
      <c r="A52" s="566">
        <v>23</v>
      </c>
      <c r="B52" s="578" t="s">
        <v>141</v>
      </c>
      <c r="C52" s="579" t="s">
        <v>142</v>
      </c>
      <c r="D52" s="580"/>
      <c r="E52" s="580">
        <v>0.5</v>
      </c>
      <c r="F52" s="580"/>
      <c r="G52" s="581">
        <v>0.1</v>
      </c>
      <c r="H52" s="582">
        <v>0.6</v>
      </c>
      <c r="I52" s="582">
        <v>0.6</v>
      </c>
      <c r="J52" s="582">
        <v>0.6</v>
      </c>
      <c r="K52" s="583">
        <f t="shared" ref="K52:K104" si="4">IF(D52&lt;&gt;0,J52*I52*H52*D52*G52,IF(E52&lt;&gt;0,J52*I52*H52*E52*G52,J52*I52*H52*F52*G52))</f>
        <v>1.0800000000000001E-2</v>
      </c>
      <c r="L52" s="598"/>
    </row>
    <row r="53" spans="1:12" s="566" customFormat="1" ht="45" x14ac:dyDescent="0.25">
      <c r="A53" s="566">
        <v>24</v>
      </c>
      <c r="B53" s="578" t="s">
        <v>143</v>
      </c>
      <c r="C53" s="579" t="s">
        <v>144</v>
      </c>
      <c r="D53" s="580"/>
      <c r="E53" s="580">
        <v>0.5</v>
      </c>
      <c r="F53" s="580"/>
      <c r="G53" s="581">
        <v>0.1</v>
      </c>
      <c r="H53" s="582">
        <v>0.6</v>
      </c>
      <c r="I53" s="582">
        <v>0.6</v>
      </c>
      <c r="J53" s="582">
        <v>0.6</v>
      </c>
      <c r="K53" s="583">
        <f>IF(D53&lt;&gt;0,J53*I53*H53*D53*G53,IF(E53&lt;&gt;0,J53*I53*H53*E53*G53,J53*I53*H53*F53*G53))</f>
        <v>1.0800000000000001E-2</v>
      </c>
      <c r="L53" s="598"/>
    </row>
    <row r="54" spans="1:12" s="566" customFormat="1" ht="26.25" x14ac:dyDescent="0.25">
      <c r="A54" s="566">
        <v>25</v>
      </c>
      <c r="B54" s="578" t="s">
        <v>145</v>
      </c>
      <c r="C54" s="579" t="s">
        <v>146</v>
      </c>
      <c r="D54" s="580"/>
      <c r="E54" s="580">
        <v>0.5</v>
      </c>
      <c r="F54" s="580"/>
      <c r="G54" s="581">
        <v>0.1</v>
      </c>
      <c r="H54" s="582">
        <v>0.6</v>
      </c>
      <c r="I54" s="582">
        <v>0.6</v>
      </c>
      <c r="J54" s="582">
        <v>0.6</v>
      </c>
      <c r="K54" s="583">
        <f>IF(D54&lt;&gt;0,J54*I54*H54*D54*G54,IF(E54&lt;&gt;0,J54*I54*H54*E54*G54,J54*I54*H54*F54*G54))</f>
        <v>1.0800000000000001E-2</v>
      </c>
      <c r="L54" s="598"/>
    </row>
    <row r="55" spans="1:12" s="566" customFormat="1" ht="26.25" x14ac:dyDescent="0.25">
      <c r="A55" s="566">
        <v>26</v>
      </c>
      <c r="B55" s="578" t="s">
        <v>147</v>
      </c>
      <c r="C55" s="579" t="s">
        <v>148</v>
      </c>
      <c r="D55" s="580"/>
      <c r="E55" s="580">
        <v>0.25</v>
      </c>
      <c r="F55" s="580"/>
      <c r="G55" s="581">
        <v>0.1</v>
      </c>
      <c r="H55" s="582">
        <v>0.6</v>
      </c>
      <c r="I55" s="582">
        <v>0.6</v>
      </c>
      <c r="J55" s="582">
        <v>0.6</v>
      </c>
      <c r="K55" s="583">
        <f>IF(D55&lt;&gt;0,J55*I55*H55*D55*G55,IF(E55&lt;&gt;0,J55*I55*H55*E55*G55,J55*I55*H55*F55*G55))</f>
        <v>5.4000000000000003E-3</v>
      </c>
      <c r="L55" s="598"/>
    </row>
    <row r="56" spans="1:12" s="566" customFormat="1" ht="26.25" x14ac:dyDescent="0.25">
      <c r="A56" s="566">
        <v>27</v>
      </c>
      <c r="B56" s="578" t="s">
        <v>149</v>
      </c>
      <c r="C56" s="579" t="s">
        <v>150</v>
      </c>
      <c r="D56" s="580"/>
      <c r="E56" s="580">
        <v>0.5</v>
      </c>
      <c r="F56" s="580"/>
      <c r="G56" s="581">
        <v>0.1</v>
      </c>
      <c r="H56" s="582">
        <v>0.6</v>
      </c>
      <c r="I56" s="582">
        <v>0.6</v>
      </c>
      <c r="J56" s="582">
        <v>0.6</v>
      </c>
      <c r="K56" s="583">
        <f>IF(D56&lt;&gt;0,J56*I56*H56*D56*G56,IF(E56&lt;&gt;0,J56*I56*H56*E56*G56,J56*I56*H56*F56*G56))</f>
        <v>1.0800000000000001E-2</v>
      </c>
      <c r="L56" s="598"/>
    </row>
    <row r="57" spans="1:12" s="566" customFormat="1" ht="45" x14ac:dyDescent="0.25">
      <c r="A57" s="566">
        <v>28</v>
      </c>
      <c r="B57" s="578" t="s">
        <v>151</v>
      </c>
      <c r="C57" s="579" t="s">
        <v>152</v>
      </c>
      <c r="D57" s="580"/>
      <c r="E57" s="580">
        <v>0.5</v>
      </c>
      <c r="F57" s="580"/>
      <c r="G57" s="581">
        <v>0.1</v>
      </c>
      <c r="H57" s="582">
        <v>0.6</v>
      </c>
      <c r="I57" s="582">
        <v>0.6</v>
      </c>
      <c r="J57" s="582">
        <v>0.6</v>
      </c>
      <c r="K57" s="583">
        <f t="shared" si="4"/>
        <v>1.0800000000000001E-2</v>
      </c>
      <c r="L57" s="598"/>
    </row>
    <row r="58" spans="1:12" s="566" customFormat="1" ht="26.25" x14ac:dyDescent="0.25">
      <c r="A58" s="566">
        <v>29</v>
      </c>
      <c r="B58" s="578" t="s">
        <v>153</v>
      </c>
      <c r="C58" s="579" t="s">
        <v>154</v>
      </c>
      <c r="D58" s="580"/>
      <c r="E58" s="580">
        <v>0.5</v>
      </c>
      <c r="F58" s="580"/>
      <c r="G58" s="581">
        <v>0.1</v>
      </c>
      <c r="H58" s="582">
        <v>0.6</v>
      </c>
      <c r="I58" s="582">
        <v>0.6</v>
      </c>
      <c r="J58" s="582">
        <v>0.6</v>
      </c>
      <c r="K58" s="583">
        <f t="shared" si="4"/>
        <v>1.0800000000000001E-2</v>
      </c>
      <c r="L58" s="456"/>
    </row>
    <row r="59" spans="1:12" s="566" customFormat="1" ht="26.25" x14ac:dyDescent="0.25">
      <c r="B59" s="586"/>
      <c r="C59" s="587" t="s">
        <v>62</v>
      </c>
      <c r="D59" s="588"/>
      <c r="E59" s="588"/>
      <c r="F59" s="588"/>
      <c r="G59" s="599">
        <f>SUM(G49:G58)</f>
        <v>0.99999999999999989</v>
      </c>
      <c r="H59" s="593"/>
      <c r="I59" s="593"/>
      <c r="J59" s="593"/>
      <c r="K59" s="583">
        <f>SUM(K49:K58)</f>
        <v>0.10260000000000002</v>
      </c>
      <c r="L59" s="597"/>
    </row>
    <row r="60" spans="1:12" s="566" customFormat="1" ht="24" x14ac:dyDescent="0.25">
      <c r="B60" s="578" t="s">
        <v>155</v>
      </c>
      <c r="C60" s="576" t="s">
        <v>83</v>
      </c>
      <c r="D60" s="576"/>
      <c r="E60" s="576"/>
      <c r="F60" s="576"/>
      <c r="G60" s="576"/>
      <c r="H60" s="576"/>
      <c r="I60" s="576"/>
      <c r="J60" s="576"/>
      <c r="K60" s="576"/>
      <c r="L60" s="585"/>
    </row>
    <row r="61" spans="1:12" s="566" customFormat="1" ht="26.25" x14ac:dyDescent="0.25">
      <c r="A61" s="566">
        <v>30</v>
      </c>
      <c r="B61" s="578" t="s">
        <v>156</v>
      </c>
      <c r="C61" s="579" t="s">
        <v>157</v>
      </c>
      <c r="D61" s="580"/>
      <c r="E61" s="580">
        <v>0.25</v>
      </c>
      <c r="F61" s="580"/>
      <c r="G61" s="581">
        <v>0.05</v>
      </c>
      <c r="H61" s="582">
        <v>0.6</v>
      </c>
      <c r="I61" s="582">
        <v>0.6</v>
      </c>
      <c r="J61" s="582">
        <v>0.6</v>
      </c>
      <c r="K61" s="583">
        <f t="shared" si="4"/>
        <v>2.7000000000000001E-3</v>
      </c>
      <c r="L61" s="457"/>
    </row>
    <row r="62" spans="1:12" s="566" customFormat="1" ht="26.25" x14ac:dyDescent="0.25">
      <c r="A62" s="566">
        <v>31</v>
      </c>
      <c r="B62" s="578" t="s">
        <v>158</v>
      </c>
      <c r="C62" s="579" t="s">
        <v>159</v>
      </c>
      <c r="D62" s="580"/>
      <c r="E62" s="580">
        <v>0.75</v>
      </c>
      <c r="F62" s="580"/>
      <c r="G62" s="581">
        <v>0.05</v>
      </c>
      <c r="H62" s="582">
        <v>0.6</v>
      </c>
      <c r="I62" s="582">
        <v>0.6</v>
      </c>
      <c r="J62" s="582">
        <v>0.6</v>
      </c>
      <c r="K62" s="583">
        <f t="shared" si="4"/>
        <v>8.1000000000000013E-3</v>
      </c>
      <c r="L62" s="457"/>
    </row>
    <row r="63" spans="1:12" s="566" customFormat="1" ht="26.25" x14ac:dyDescent="0.25">
      <c r="A63" s="566">
        <v>32</v>
      </c>
      <c r="B63" s="578" t="s">
        <v>160</v>
      </c>
      <c r="C63" s="579" t="s">
        <v>161</v>
      </c>
      <c r="D63" s="580"/>
      <c r="E63" s="580">
        <v>0.75</v>
      </c>
      <c r="F63" s="580"/>
      <c r="G63" s="581">
        <v>0.05</v>
      </c>
      <c r="H63" s="582">
        <v>0.6</v>
      </c>
      <c r="I63" s="582">
        <v>0.6</v>
      </c>
      <c r="J63" s="582">
        <v>0.6</v>
      </c>
      <c r="K63" s="583">
        <f t="shared" si="4"/>
        <v>8.1000000000000013E-3</v>
      </c>
      <c r="L63" s="457"/>
    </row>
    <row r="64" spans="1:12" s="566" customFormat="1" ht="26.25" x14ac:dyDescent="0.25">
      <c r="A64" s="566">
        <v>33</v>
      </c>
      <c r="B64" s="578" t="s">
        <v>162</v>
      </c>
      <c r="C64" s="579" t="s">
        <v>163</v>
      </c>
      <c r="D64" s="580"/>
      <c r="E64" s="580">
        <v>0.5</v>
      </c>
      <c r="F64" s="580"/>
      <c r="G64" s="581">
        <v>0.05</v>
      </c>
      <c r="H64" s="582">
        <v>0.6</v>
      </c>
      <c r="I64" s="582">
        <v>0.6</v>
      </c>
      <c r="J64" s="582">
        <v>0.6</v>
      </c>
      <c r="K64" s="583">
        <f t="shared" si="4"/>
        <v>5.4000000000000003E-3</v>
      </c>
      <c r="L64" s="457"/>
    </row>
    <row r="65" spans="1:12" s="566" customFormat="1" ht="26.25" x14ac:dyDescent="0.25">
      <c r="A65" s="566">
        <v>34</v>
      </c>
      <c r="B65" s="578" t="s">
        <v>164</v>
      </c>
      <c r="C65" s="579" t="s">
        <v>165</v>
      </c>
      <c r="D65" s="580">
        <v>1</v>
      </c>
      <c r="E65" s="580"/>
      <c r="F65" s="580"/>
      <c r="G65" s="581">
        <v>0.05</v>
      </c>
      <c r="H65" s="582">
        <v>0.6</v>
      </c>
      <c r="I65" s="582">
        <v>0.6</v>
      </c>
      <c r="J65" s="582">
        <v>0.6</v>
      </c>
      <c r="K65" s="583">
        <f t="shared" si="4"/>
        <v>1.0800000000000001E-2</v>
      </c>
      <c r="L65" s="457"/>
    </row>
    <row r="66" spans="1:12" s="566" customFormat="1" ht="26.25" x14ac:dyDescent="0.25">
      <c r="A66" s="566">
        <v>35</v>
      </c>
      <c r="B66" s="578" t="s">
        <v>166</v>
      </c>
      <c r="C66" s="579" t="s">
        <v>167</v>
      </c>
      <c r="D66" s="580">
        <v>1</v>
      </c>
      <c r="E66" s="580"/>
      <c r="F66" s="580"/>
      <c r="G66" s="581">
        <v>0.05</v>
      </c>
      <c r="H66" s="582">
        <v>0.6</v>
      </c>
      <c r="I66" s="582">
        <v>0.6</v>
      </c>
      <c r="J66" s="582">
        <v>0.6</v>
      </c>
      <c r="K66" s="583">
        <f t="shared" si="4"/>
        <v>1.0800000000000001E-2</v>
      </c>
      <c r="L66" s="457"/>
    </row>
    <row r="67" spans="1:12" s="566" customFormat="1" ht="26.25" x14ac:dyDescent="0.25">
      <c r="A67" s="566">
        <v>36</v>
      </c>
      <c r="B67" s="578" t="s">
        <v>168</v>
      </c>
      <c r="C67" s="579" t="s">
        <v>169</v>
      </c>
      <c r="D67" s="580"/>
      <c r="E67" s="580"/>
      <c r="F67" s="580">
        <v>0</v>
      </c>
      <c r="G67" s="581">
        <v>0.05</v>
      </c>
      <c r="H67" s="582">
        <v>0.6</v>
      </c>
      <c r="I67" s="582">
        <v>0.6</v>
      </c>
      <c r="J67" s="582">
        <v>0.6</v>
      </c>
      <c r="K67" s="583">
        <f t="shared" si="4"/>
        <v>0</v>
      </c>
      <c r="L67" s="457"/>
    </row>
    <row r="68" spans="1:12" s="566" customFormat="1" ht="26.25" x14ac:dyDescent="0.25">
      <c r="A68" s="566">
        <v>37</v>
      </c>
      <c r="B68" s="578" t="s">
        <v>170</v>
      </c>
      <c r="C68" s="579" t="s">
        <v>494</v>
      </c>
      <c r="D68" s="580">
        <v>1</v>
      </c>
      <c r="E68" s="580"/>
      <c r="F68" s="580"/>
      <c r="G68" s="581">
        <v>0.03</v>
      </c>
      <c r="H68" s="582">
        <v>0.6</v>
      </c>
      <c r="I68" s="582">
        <v>0.6</v>
      </c>
      <c r="J68" s="582">
        <v>0.6</v>
      </c>
      <c r="K68" s="596">
        <f t="shared" si="4"/>
        <v>6.4799999999999996E-3</v>
      </c>
      <c r="L68" s="457"/>
    </row>
    <row r="69" spans="1:12" s="566" customFormat="1" ht="26.25" x14ac:dyDescent="0.25">
      <c r="B69" s="578"/>
      <c r="C69" s="579" t="s">
        <v>495</v>
      </c>
      <c r="D69" s="580"/>
      <c r="E69" s="580">
        <v>0.5</v>
      </c>
      <c r="F69" s="580"/>
      <c r="G69" s="581">
        <v>0.02</v>
      </c>
      <c r="H69" s="582">
        <v>0.6</v>
      </c>
      <c r="I69" s="582">
        <v>0.6</v>
      </c>
      <c r="J69" s="582">
        <v>0.6</v>
      </c>
      <c r="K69" s="596"/>
      <c r="L69" s="457"/>
    </row>
    <row r="70" spans="1:12" s="566" customFormat="1" ht="26.25" x14ac:dyDescent="0.25">
      <c r="A70" s="566">
        <v>38</v>
      </c>
      <c r="B70" s="578" t="s">
        <v>171</v>
      </c>
      <c r="C70" s="579" t="s">
        <v>172</v>
      </c>
      <c r="D70" s="580"/>
      <c r="E70" s="580">
        <v>0.5</v>
      </c>
      <c r="F70" s="580"/>
      <c r="G70" s="581">
        <v>0.05</v>
      </c>
      <c r="H70" s="582">
        <v>0.6</v>
      </c>
      <c r="I70" s="582">
        <v>0.6</v>
      </c>
      <c r="J70" s="582">
        <v>0.6</v>
      </c>
      <c r="K70" s="583">
        <f t="shared" si="4"/>
        <v>5.4000000000000003E-3</v>
      </c>
      <c r="L70" s="457"/>
    </row>
    <row r="71" spans="1:12" s="566" customFormat="1" ht="26.25" x14ac:dyDescent="0.25">
      <c r="A71" s="566">
        <v>39</v>
      </c>
      <c r="B71" s="578" t="s">
        <v>173</v>
      </c>
      <c r="C71" s="579" t="s">
        <v>174</v>
      </c>
      <c r="D71" s="580"/>
      <c r="E71" s="580">
        <v>0.25</v>
      </c>
      <c r="F71" s="580"/>
      <c r="G71" s="581">
        <v>0.05</v>
      </c>
      <c r="H71" s="582">
        <v>0.6</v>
      </c>
      <c r="I71" s="582">
        <v>0.6</v>
      </c>
      <c r="J71" s="582">
        <v>0.6</v>
      </c>
      <c r="K71" s="583">
        <f t="shared" si="4"/>
        <v>2.7000000000000001E-3</v>
      </c>
      <c r="L71" s="457"/>
    </row>
    <row r="72" spans="1:12" s="566" customFormat="1" ht="26.25" x14ac:dyDescent="0.25">
      <c r="A72" s="566">
        <v>40</v>
      </c>
      <c r="B72" s="578" t="s">
        <v>175</v>
      </c>
      <c r="C72" s="579" t="s">
        <v>176</v>
      </c>
      <c r="D72" s="580"/>
      <c r="E72" s="580">
        <v>0.5</v>
      </c>
      <c r="F72" s="580"/>
      <c r="G72" s="581">
        <v>0.05</v>
      </c>
      <c r="H72" s="582">
        <v>0.6</v>
      </c>
      <c r="I72" s="582">
        <v>0.6</v>
      </c>
      <c r="J72" s="582">
        <v>0.6</v>
      </c>
      <c r="K72" s="583">
        <f>IF(D72&lt;&gt;0,J72*I72*H72*D72*G72,IF(E72&lt;&gt;0,J72*I72*H72*E72*G72,J72*I72*H72*F72*G72))</f>
        <v>5.4000000000000003E-3</v>
      </c>
      <c r="L72" s="457"/>
    </row>
    <row r="73" spans="1:12" s="566" customFormat="1" ht="45" x14ac:dyDescent="0.25">
      <c r="A73" s="566">
        <v>41</v>
      </c>
      <c r="B73" s="578" t="s">
        <v>177</v>
      </c>
      <c r="C73" s="579" t="s">
        <v>178</v>
      </c>
      <c r="D73" s="580"/>
      <c r="E73" s="580">
        <v>0.5</v>
      </c>
      <c r="F73" s="580"/>
      <c r="G73" s="581">
        <v>0.05</v>
      </c>
      <c r="H73" s="582">
        <v>0.6</v>
      </c>
      <c r="I73" s="582">
        <v>0.6</v>
      </c>
      <c r="J73" s="582">
        <v>0.6</v>
      </c>
      <c r="K73" s="583">
        <f t="shared" si="4"/>
        <v>5.4000000000000003E-3</v>
      </c>
      <c r="L73" s="457"/>
    </row>
    <row r="74" spans="1:12" s="566" customFormat="1" ht="26.25" x14ac:dyDescent="0.25">
      <c r="A74" s="566">
        <v>42</v>
      </c>
      <c r="B74" s="578" t="s">
        <v>179</v>
      </c>
      <c r="C74" s="579" t="s">
        <v>180</v>
      </c>
      <c r="D74" s="580"/>
      <c r="E74" s="580">
        <v>0.75</v>
      </c>
      <c r="F74" s="580"/>
      <c r="G74" s="581">
        <v>0.05</v>
      </c>
      <c r="H74" s="582">
        <v>0.6</v>
      </c>
      <c r="I74" s="582">
        <v>0.6</v>
      </c>
      <c r="J74" s="582">
        <v>0.6</v>
      </c>
      <c r="K74" s="583">
        <f t="shared" si="4"/>
        <v>8.1000000000000013E-3</v>
      </c>
      <c r="L74" s="457"/>
    </row>
    <row r="75" spans="1:12" s="566" customFormat="1" ht="45" x14ac:dyDescent="0.25">
      <c r="A75" s="566">
        <v>43</v>
      </c>
      <c r="B75" s="578" t="s">
        <v>181</v>
      </c>
      <c r="C75" s="579" t="s">
        <v>182</v>
      </c>
      <c r="D75" s="580"/>
      <c r="E75" s="580">
        <v>0.75</v>
      </c>
      <c r="F75" s="580"/>
      <c r="G75" s="581">
        <v>0.05</v>
      </c>
      <c r="H75" s="582">
        <v>0.6</v>
      </c>
      <c r="I75" s="582">
        <v>0.6</v>
      </c>
      <c r="J75" s="582">
        <v>0.6</v>
      </c>
      <c r="K75" s="583">
        <f t="shared" si="4"/>
        <v>8.1000000000000013E-3</v>
      </c>
      <c r="L75" s="457"/>
    </row>
    <row r="76" spans="1:12" s="566" customFormat="1" ht="26.25" x14ac:dyDescent="0.25">
      <c r="A76" s="566">
        <v>44</v>
      </c>
      <c r="B76" s="578" t="s">
        <v>183</v>
      </c>
      <c r="C76" s="579" t="s">
        <v>184</v>
      </c>
      <c r="D76" s="580"/>
      <c r="E76" s="580">
        <v>0.75</v>
      </c>
      <c r="F76" s="580"/>
      <c r="G76" s="581">
        <v>0.05</v>
      </c>
      <c r="H76" s="582">
        <v>0.6</v>
      </c>
      <c r="I76" s="582">
        <v>0.6</v>
      </c>
      <c r="J76" s="582">
        <v>0.6</v>
      </c>
      <c r="K76" s="596">
        <f t="shared" si="4"/>
        <v>8.1000000000000013E-3</v>
      </c>
      <c r="L76" s="457"/>
    </row>
    <row r="77" spans="1:12" s="566" customFormat="1" ht="45" x14ac:dyDescent="0.25">
      <c r="A77" s="566">
        <v>45</v>
      </c>
      <c r="B77" s="578" t="s">
        <v>185</v>
      </c>
      <c r="C77" s="579" t="s">
        <v>186</v>
      </c>
      <c r="D77" s="580"/>
      <c r="E77" s="580">
        <v>0.75</v>
      </c>
      <c r="F77" s="580"/>
      <c r="G77" s="581">
        <v>0.05</v>
      </c>
      <c r="H77" s="582">
        <v>0.6</v>
      </c>
      <c r="I77" s="582">
        <v>0.6</v>
      </c>
      <c r="J77" s="582">
        <v>0.6</v>
      </c>
      <c r="K77" s="583">
        <f>IF(D77&lt;&gt;0,J77*I77*H77*D77*G77,IF(E77&lt;&gt;0,J77*I77*H77*E77*G77,J77*I77*H77*F77*G77))</f>
        <v>8.1000000000000013E-3</v>
      </c>
      <c r="L77" s="457"/>
    </row>
    <row r="78" spans="1:12" s="566" customFormat="1" ht="45" x14ac:dyDescent="0.25">
      <c r="A78" s="566">
        <v>46</v>
      </c>
      <c r="B78" s="578" t="s">
        <v>187</v>
      </c>
      <c r="C78" s="579" t="s">
        <v>188</v>
      </c>
      <c r="D78" s="580"/>
      <c r="E78" s="580">
        <v>0.75</v>
      </c>
      <c r="F78" s="580"/>
      <c r="G78" s="581">
        <v>0.05</v>
      </c>
      <c r="H78" s="582">
        <v>0.6</v>
      </c>
      <c r="I78" s="582">
        <v>0.6</v>
      </c>
      <c r="J78" s="582">
        <v>0.6</v>
      </c>
      <c r="K78" s="583">
        <f t="shared" si="4"/>
        <v>8.1000000000000013E-3</v>
      </c>
      <c r="L78" s="457"/>
    </row>
    <row r="79" spans="1:12" s="566" customFormat="1" ht="45" x14ac:dyDescent="0.25">
      <c r="A79" s="566">
        <v>47</v>
      </c>
      <c r="B79" s="578" t="s">
        <v>189</v>
      </c>
      <c r="C79" s="579" t="s">
        <v>190</v>
      </c>
      <c r="D79" s="580"/>
      <c r="E79" s="580">
        <v>0.75</v>
      </c>
      <c r="F79" s="580"/>
      <c r="G79" s="581">
        <v>0.05</v>
      </c>
      <c r="H79" s="582">
        <v>0.6</v>
      </c>
      <c r="I79" s="582">
        <v>0.6</v>
      </c>
      <c r="J79" s="582">
        <v>0.6</v>
      </c>
      <c r="K79" s="583">
        <f t="shared" si="4"/>
        <v>8.1000000000000013E-3</v>
      </c>
      <c r="L79" s="457"/>
    </row>
    <row r="80" spans="1:12" s="566" customFormat="1" ht="26.25" x14ac:dyDescent="0.25">
      <c r="A80" s="566">
        <v>48</v>
      </c>
      <c r="B80" s="578" t="s">
        <v>191</v>
      </c>
      <c r="C80" s="579" t="s">
        <v>192</v>
      </c>
      <c r="D80" s="580"/>
      <c r="E80" s="580">
        <v>0.75</v>
      </c>
      <c r="F80" s="580"/>
      <c r="G80" s="581">
        <v>0.02</v>
      </c>
      <c r="H80" s="582">
        <v>0.6</v>
      </c>
      <c r="I80" s="582">
        <v>0.6</v>
      </c>
      <c r="J80" s="582">
        <v>0.6</v>
      </c>
      <c r="K80" s="583">
        <f t="shared" si="4"/>
        <v>3.2400000000000003E-3</v>
      </c>
      <c r="L80" s="457"/>
    </row>
    <row r="81" spans="1:12" s="566" customFormat="1" ht="26.25" x14ac:dyDescent="0.25">
      <c r="A81" s="566">
        <v>49</v>
      </c>
      <c r="B81" s="578" t="s">
        <v>193</v>
      </c>
      <c r="C81" s="579" t="s">
        <v>194</v>
      </c>
      <c r="D81" s="580"/>
      <c r="E81" s="580">
        <v>0.75</v>
      </c>
      <c r="F81" s="580"/>
      <c r="G81" s="581">
        <v>0.02</v>
      </c>
      <c r="H81" s="582">
        <v>0.6</v>
      </c>
      <c r="I81" s="582">
        <v>0.6</v>
      </c>
      <c r="J81" s="582">
        <v>0.6</v>
      </c>
      <c r="K81" s="583">
        <f t="shared" si="4"/>
        <v>3.2400000000000003E-3</v>
      </c>
      <c r="L81" s="457"/>
    </row>
    <row r="82" spans="1:12" s="566" customFormat="1" ht="26.25" x14ac:dyDescent="0.25">
      <c r="A82" s="566">
        <v>50</v>
      </c>
      <c r="B82" s="578" t="s">
        <v>195</v>
      </c>
      <c r="C82" s="579" t="s">
        <v>196</v>
      </c>
      <c r="D82" s="580"/>
      <c r="E82" s="580">
        <v>0.75</v>
      </c>
      <c r="F82" s="580"/>
      <c r="G82" s="581">
        <v>0.02</v>
      </c>
      <c r="H82" s="582">
        <v>0.6</v>
      </c>
      <c r="I82" s="582">
        <v>0.6</v>
      </c>
      <c r="J82" s="582">
        <v>0.6</v>
      </c>
      <c r="K82" s="583">
        <f t="shared" si="4"/>
        <v>3.2400000000000003E-3</v>
      </c>
      <c r="L82" s="457"/>
    </row>
    <row r="83" spans="1:12" s="566" customFormat="1" ht="45" x14ac:dyDescent="0.25">
      <c r="A83" s="566">
        <v>51</v>
      </c>
      <c r="B83" s="578" t="s">
        <v>197</v>
      </c>
      <c r="C83" s="579" t="s">
        <v>198</v>
      </c>
      <c r="D83" s="580"/>
      <c r="E83" s="580">
        <v>0.75</v>
      </c>
      <c r="F83" s="580"/>
      <c r="G83" s="581">
        <v>0.02</v>
      </c>
      <c r="H83" s="582">
        <v>0.6</v>
      </c>
      <c r="I83" s="582">
        <v>0.6</v>
      </c>
      <c r="J83" s="582">
        <v>0.6</v>
      </c>
      <c r="K83" s="596">
        <f t="shared" si="4"/>
        <v>3.2400000000000003E-3</v>
      </c>
      <c r="L83" s="457"/>
    </row>
    <row r="84" spans="1:12" s="566" customFormat="1" ht="26.25" x14ac:dyDescent="0.25">
      <c r="A84" s="566">
        <v>52</v>
      </c>
      <c r="B84" s="578" t="s">
        <v>199</v>
      </c>
      <c r="C84" s="579" t="s">
        <v>200</v>
      </c>
      <c r="D84" s="580"/>
      <c r="E84" s="580">
        <v>0.75</v>
      </c>
      <c r="F84" s="580"/>
      <c r="G84" s="581">
        <v>0.02</v>
      </c>
      <c r="H84" s="582">
        <v>0.6</v>
      </c>
      <c r="I84" s="582">
        <v>0.6</v>
      </c>
      <c r="J84" s="582">
        <v>0.6</v>
      </c>
      <c r="K84" s="583">
        <f t="shared" si="4"/>
        <v>3.2400000000000003E-3</v>
      </c>
      <c r="L84" s="457"/>
    </row>
    <row r="85" spans="1:12" s="566" customFormat="1" ht="26.25" x14ac:dyDescent="0.25">
      <c r="B85" s="586"/>
      <c r="C85" s="588" t="s">
        <v>62</v>
      </c>
      <c r="D85" s="588"/>
      <c r="E85" s="588"/>
      <c r="F85" s="588"/>
      <c r="G85" s="599">
        <f>SUM(G61:G84)</f>
        <v>1.0000000000000004</v>
      </c>
      <c r="H85" s="593">
        <v>0.4</v>
      </c>
      <c r="I85" s="593"/>
      <c r="J85" s="593"/>
      <c r="K85" s="583">
        <f>SUM(K61:K84)</f>
        <v>0.13607999999999998</v>
      </c>
      <c r="L85" s="597"/>
    </row>
    <row r="86" spans="1:12" s="566" customFormat="1" ht="24" x14ac:dyDescent="0.25">
      <c r="B86" s="578" t="s">
        <v>201</v>
      </c>
      <c r="C86" s="576" t="s">
        <v>202</v>
      </c>
      <c r="D86" s="576"/>
      <c r="E86" s="576"/>
      <c r="F86" s="576"/>
      <c r="G86" s="576"/>
      <c r="H86" s="576">
        <v>0.4</v>
      </c>
      <c r="I86" s="576"/>
      <c r="J86" s="576"/>
      <c r="K86" s="576"/>
      <c r="L86" s="577"/>
    </row>
    <row r="87" spans="1:12" s="566" customFormat="1" ht="26.25" x14ac:dyDescent="0.25">
      <c r="A87" s="566">
        <v>53</v>
      </c>
      <c r="B87" s="578" t="s">
        <v>203</v>
      </c>
      <c r="C87" s="579" t="s">
        <v>204</v>
      </c>
      <c r="D87" s="580"/>
      <c r="E87" s="580">
        <v>0.25</v>
      </c>
      <c r="F87" s="580"/>
      <c r="G87" s="581">
        <v>0.05</v>
      </c>
      <c r="H87" s="582">
        <v>0.8</v>
      </c>
      <c r="I87" s="582">
        <v>0.8</v>
      </c>
      <c r="J87" s="582">
        <v>0.8</v>
      </c>
      <c r="K87" s="583">
        <f>IF(D87&lt;&gt;0,J87*I87*H87*D87*G87,IF(E87&lt;&gt;0,J87*I87*H87*E87*G87,J87*I87*H87*F87*G87))</f>
        <v>6.400000000000002E-3</v>
      </c>
      <c r="L87" s="600"/>
    </row>
    <row r="88" spans="1:12" s="566" customFormat="1" ht="45" x14ac:dyDescent="0.25">
      <c r="A88" s="566">
        <v>54</v>
      </c>
      <c r="B88" s="578" t="s">
        <v>205</v>
      </c>
      <c r="C88" s="579" t="s">
        <v>206</v>
      </c>
      <c r="D88" s="580"/>
      <c r="E88" s="580">
        <v>0.25</v>
      </c>
      <c r="F88" s="580"/>
      <c r="G88" s="581">
        <v>0.05</v>
      </c>
      <c r="H88" s="582">
        <v>0.8</v>
      </c>
      <c r="I88" s="582">
        <v>0.8</v>
      </c>
      <c r="J88" s="582">
        <v>0.8</v>
      </c>
      <c r="K88" s="583">
        <f t="shared" si="4"/>
        <v>6.400000000000002E-3</v>
      </c>
      <c r="L88" s="600"/>
    </row>
    <row r="89" spans="1:12" s="566" customFormat="1" ht="26.25" x14ac:dyDescent="0.25">
      <c r="A89" s="566">
        <v>55</v>
      </c>
      <c r="B89" s="578" t="s">
        <v>207</v>
      </c>
      <c r="C89" s="579" t="s">
        <v>208</v>
      </c>
      <c r="D89" s="580"/>
      <c r="E89" s="580">
        <v>0.25</v>
      </c>
      <c r="F89" s="580"/>
      <c r="G89" s="581">
        <v>0.05</v>
      </c>
      <c r="H89" s="582">
        <v>0.8</v>
      </c>
      <c r="I89" s="582">
        <v>0.8</v>
      </c>
      <c r="J89" s="582">
        <v>0.8</v>
      </c>
      <c r="K89" s="583">
        <f t="shared" si="4"/>
        <v>6.400000000000002E-3</v>
      </c>
      <c r="L89" s="600"/>
    </row>
    <row r="90" spans="1:12" s="566" customFormat="1" ht="45" x14ac:dyDescent="0.25">
      <c r="A90" s="566">
        <v>56</v>
      </c>
      <c r="B90" s="578" t="s">
        <v>209</v>
      </c>
      <c r="C90" s="579" t="s">
        <v>210</v>
      </c>
      <c r="D90" s="580"/>
      <c r="E90" s="580">
        <v>0.5</v>
      </c>
      <c r="F90" s="580"/>
      <c r="G90" s="581">
        <v>0.05</v>
      </c>
      <c r="H90" s="582">
        <v>0.8</v>
      </c>
      <c r="I90" s="582">
        <v>0.8</v>
      </c>
      <c r="J90" s="582">
        <v>0.8</v>
      </c>
      <c r="K90" s="583">
        <f t="shared" si="4"/>
        <v>1.2800000000000004E-2</v>
      </c>
      <c r="L90" s="456"/>
    </row>
    <row r="91" spans="1:12" s="566" customFormat="1" ht="26.25" x14ac:dyDescent="0.25">
      <c r="A91" s="566">
        <v>57</v>
      </c>
      <c r="B91" s="578" t="s">
        <v>211</v>
      </c>
      <c r="C91" s="579" t="s">
        <v>212</v>
      </c>
      <c r="D91" s="580"/>
      <c r="E91" s="580">
        <v>0.5</v>
      </c>
      <c r="F91" s="580"/>
      <c r="G91" s="581">
        <v>0.05</v>
      </c>
      <c r="H91" s="582">
        <v>0.8</v>
      </c>
      <c r="I91" s="582">
        <v>0.8</v>
      </c>
      <c r="J91" s="582">
        <v>0.8</v>
      </c>
      <c r="K91" s="583">
        <f t="shared" si="4"/>
        <v>1.2800000000000004E-2</v>
      </c>
      <c r="L91" s="600"/>
    </row>
    <row r="92" spans="1:12" s="566" customFormat="1" ht="45" x14ac:dyDescent="0.25">
      <c r="A92" s="566">
        <v>58</v>
      </c>
      <c r="B92" s="578" t="s">
        <v>213</v>
      </c>
      <c r="C92" s="579" t="s">
        <v>214</v>
      </c>
      <c r="D92" s="580"/>
      <c r="E92" s="580">
        <v>0.25</v>
      </c>
      <c r="F92" s="580"/>
      <c r="G92" s="581">
        <v>0.05</v>
      </c>
      <c r="H92" s="582">
        <v>0.8</v>
      </c>
      <c r="I92" s="582">
        <v>0.8</v>
      </c>
      <c r="J92" s="582">
        <v>0.8</v>
      </c>
      <c r="K92" s="583">
        <f t="shared" si="4"/>
        <v>6.400000000000002E-3</v>
      </c>
      <c r="L92" s="600"/>
    </row>
    <row r="93" spans="1:12" s="566" customFormat="1" ht="45" x14ac:dyDescent="0.25">
      <c r="A93" s="566">
        <v>59</v>
      </c>
      <c r="B93" s="578" t="s">
        <v>215</v>
      </c>
      <c r="C93" s="579" t="s">
        <v>216</v>
      </c>
      <c r="D93" s="580"/>
      <c r="E93" s="580">
        <v>0.5</v>
      </c>
      <c r="F93" s="580"/>
      <c r="G93" s="581">
        <v>0.1</v>
      </c>
      <c r="H93" s="582">
        <v>0.8</v>
      </c>
      <c r="I93" s="582">
        <v>0.8</v>
      </c>
      <c r="J93" s="582">
        <v>0.8</v>
      </c>
      <c r="K93" s="583">
        <f t="shared" si="4"/>
        <v>2.5600000000000008E-2</v>
      </c>
      <c r="L93" s="600"/>
    </row>
    <row r="94" spans="1:12" s="566" customFormat="1" ht="45" x14ac:dyDescent="0.25">
      <c r="A94" s="566">
        <v>60</v>
      </c>
      <c r="B94" s="578" t="s">
        <v>217</v>
      </c>
      <c r="C94" s="579" t="s">
        <v>218</v>
      </c>
      <c r="D94" s="580"/>
      <c r="E94" s="580">
        <v>0.5</v>
      </c>
      <c r="F94" s="580"/>
      <c r="G94" s="581">
        <v>0.1</v>
      </c>
      <c r="H94" s="582">
        <v>0.8</v>
      </c>
      <c r="I94" s="582">
        <v>0.8</v>
      </c>
      <c r="J94" s="582">
        <v>0.8</v>
      </c>
      <c r="K94" s="583">
        <f t="shared" si="4"/>
        <v>2.5600000000000008E-2</v>
      </c>
      <c r="L94" s="456"/>
    </row>
    <row r="95" spans="1:12" s="566" customFormat="1" ht="26.25" x14ac:dyDescent="0.25">
      <c r="A95" s="566">
        <v>61</v>
      </c>
      <c r="B95" s="578" t="s">
        <v>219</v>
      </c>
      <c r="C95" s="579" t="s">
        <v>220</v>
      </c>
      <c r="D95" s="580"/>
      <c r="E95" s="580">
        <v>0.75</v>
      </c>
      <c r="F95" s="580"/>
      <c r="G95" s="581">
        <v>0.1</v>
      </c>
      <c r="H95" s="582">
        <v>0.8</v>
      </c>
      <c r="I95" s="582">
        <v>0.8</v>
      </c>
      <c r="J95" s="582">
        <v>0.8</v>
      </c>
      <c r="K95" s="583">
        <f t="shared" si="4"/>
        <v>3.8400000000000017E-2</v>
      </c>
      <c r="L95" s="598"/>
    </row>
    <row r="96" spans="1:12" s="566" customFormat="1" ht="45" x14ac:dyDescent="0.25">
      <c r="A96" s="566">
        <v>62</v>
      </c>
      <c r="B96" s="578" t="s">
        <v>221</v>
      </c>
      <c r="C96" s="579" t="s">
        <v>222</v>
      </c>
      <c r="D96" s="580"/>
      <c r="E96" s="580">
        <v>0.75</v>
      </c>
      <c r="F96" s="580"/>
      <c r="G96" s="581">
        <v>0.1</v>
      </c>
      <c r="H96" s="582">
        <v>0.8</v>
      </c>
      <c r="I96" s="582">
        <v>0.8</v>
      </c>
      <c r="J96" s="582">
        <v>0.8</v>
      </c>
      <c r="K96" s="583">
        <f t="shared" si="4"/>
        <v>3.8400000000000017E-2</v>
      </c>
      <c r="L96" s="458"/>
    </row>
    <row r="97" spans="1:12" s="566" customFormat="1" ht="45" x14ac:dyDescent="0.25">
      <c r="A97" s="566">
        <v>63</v>
      </c>
      <c r="B97" s="578" t="s">
        <v>223</v>
      </c>
      <c r="C97" s="579" t="s">
        <v>224</v>
      </c>
      <c r="D97" s="580"/>
      <c r="E97" s="580">
        <v>0.75</v>
      </c>
      <c r="F97" s="580"/>
      <c r="G97" s="581">
        <v>0.1</v>
      </c>
      <c r="H97" s="582">
        <v>0.8</v>
      </c>
      <c r="I97" s="582">
        <v>0.8</v>
      </c>
      <c r="J97" s="582">
        <v>0.8</v>
      </c>
      <c r="K97" s="583">
        <f>IF(D97&lt;&gt;0,J97*I97*H97*D97*G97,IF(E97&lt;&gt;0,J97*I97*H97*E97*G97,J97*I97*H97*F97*G97))</f>
        <v>3.8400000000000017E-2</v>
      </c>
      <c r="L97" s="598"/>
    </row>
    <row r="98" spans="1:12" s="566" customFormat="1" ht="26.25" x14ac:dyDescent="0.25">
      <c r="A98" s="566">
        <v>64</v>
      </c>
      <c r="B98" s="578" t="s">
        <v>225</v>
      </c>
      <c r="C98" s="579" t="s">
        <v>226</v>
      </c>
      <c r="D98" s="580"/>
      <c r="E98" s="580">
        <v>0.75</v>
      </c>
      <c r="F98" s="580"/>
      <c r="G98" s="581">
        <v>0.1</v>
      </c>
      <c r="H98" s="582">
        <v>0.8</v>
      </c>
      <c r="I98" s="582">
        <v>0.8</v>
      </c>
      <c r="J98" s="582">
        <v>0.8</v>
      </c>
      <c r="K98" s="583">
        <f t="shared" si="4"/>
        <v>3.8400000000000017E-2</v>
      </c>
      <c r="L98" s="598"/>
    </row>
    <row r="99" spans="1:12" s="566" customFormat="1" ht="26.25" x14ac:dyDescent="0.25">
      <c r="A99" s="566">
        <v>65</v>
      </c>
      <c r="B99" s="578" t="s">
        <v>227</v>
      </c>
      <c r="C99" s="579" t="s">
        <v>228</v>
      </c>
      <c r="D99" s="580"/>
      <c r="E99" s="580">
        <v>0.75</v>
      </c>
      <c r="F99" s="580"/>
      <c r="G99" s="581">
        <v>0.1</v>
      </c>
      <c r="H99" s="582">
        <v>0.8</v>
      </c>
      <c r="I99" s="582">
        <v>0.8</v>
      </c>
      <c r="J99" s="582">
        <v>0.8</v>
      </c>
      <c r="K99" s="583">
        <f t="shared" si="4"/>
        <v>3.8400000000000017E-2</v>
      </c>
      <c r="L99" s="456"/>
    </row>
    <row r="100" spans="1:12" s="566" customFormat="1" ht="26.25" x14ac:dyDescent="0.25">
      <c r="B100" s="586"/>
      <c r="C100" s="587" t="s">
        <v>62</v>
      </c>
      <c r="D100" s="588"/>
      <c r="E100" s="588"/>
      <c r="F100" s="588"/>
      <c r="G100" s="599">
        <f>SUM(G87:G99)</f>
        <v>0.99999999999999989</v>
      </c>
      <c r="H100" s="593">
        <v>0.4</v>
      </c>
      <c r="I100" s="593"/>
      <c r="J100" s="593"/>
      <c r="K100" s="583">
        <f>SUM(K87:K99)</f>
        <v>0.29440000000000011</v>
      </c>
      <c r="L100" s="597"/>
    </row>
    <row r="101" spans="1:12" s="566" customFormat="1" ht="24" x14ac:dyDescent="0.25">
      <c r="B101" s="578" t="s">
        <v>229</v>
      </c>
      <c r="C101" s="576" t="s">
        <v>230</v>
      </c>
      <c r="D101" s="576"/>
      <c r="E101" s="576"/>
      <c r="F101" s="576"/>
      <c r="G101" s="576"/>
      <c r="H101" s="576">
        <v>0.4</v>
      </c>
      <c r="I101" s="576"/>
      <c r="J101" s="576"/>
      <c r="K101" s="576"/>
      <c r="L101" s="577"/>
    </row>
    <row r="102" spans="1:12" s="566" customFormat="1" ht="45" x14ac:dyDescent="0.25">
      <c r="A102" s="566">
        <v>66</v>
      </c>
      <c r="B102" s="578" t="s">
        <v>231</v>
      </c>
      <c r="C102" s="579" t="s">
        <v>232</v>
      </c>
      <c r="D102" s="580"/>
      <c r="E102" s="580">
        <v>0.5</v>
      </c>
      <c r="F102" s="580"/>
      <c r="G102" s="581">
        <v>0.4</v>
      </c>
      <c r="H102" s="601">
        <v>0.6</v>
      </c>
      <c r="I102" s="601">
        <v>0.6</v>
      </c>
      <c r="J102" s="601">
        <v>0.6</v>
      </c>
      <c r="K102" s="583">
        <f t="shared" si="4"/>
        <v>4.3200000000000002E-2</v>
      </c>
      <c r="L102" s="602"/>
    </row>
    <row r="103" spans="1:12" s="566" customFormat="1" ht="45" x14ac:dyDescent="0.25">
      <c r="A103" s="566">
        <v>67</v>
      </c>
      <c r="B103" s="578" t="s">
        <v>233</v>
      </c>
      <c r="C103" s="579" t="s">
        <v>234</v>
      </c>
      <c r="D103" s="580"/>
      <c r="E103" s="580">
        <v>0.75</v>
      </c>
      <c r="F103" s="580"/>
      <c r="G103" s="581">
        <v>0.3</v>
      </c>
      <c r="H103" s="601">
        <v>0.6</v>
      </c>
      <c r="I103" s="601">
        <v>0.6</v>
      </c>
      <c r="J103" s="601">
        <v>0.6</v>
      </c>
      <c r="K103" s="583">
        <f>IF(D103&lt;&gt;0,J103*I103*H103*D103*G103,IF(E103&lt;&gt;0,J103*I103*H103*E103*G103,J103*I103*H103*F103*G103))</f>
        <v>4.8599999999999997E-2</v>
      </c>
      <c r="L103" s="603"/>
    </row>
    <row r="104" spans="1:12" s="566" customFormat="1" ht="45" x14ac:dyDescent="0.25">
      <c r="A104" s="566">
        <v>68</v>
      </c>
      <c r="B104" s="578" t="s">
        <v>235</v>
      </c>
      <c r="C104" s="579" t="s">
        <v>236</v>
      </c>
      <c r="D104" s="580"/>
      <c r="E104" s="580">
        <v>0.75</v>
      </c>
      <c r="F104" s="580"/>
      <c r="G104" s="581">
        <v>0.3</v>
      </c>
      <c r="H104" s="601">
        <v>0.6</v>
      </c>
      <c r="I104" s="601">
        <v>0.6</v>
      </c>
      <c r="J104" s="601">
        <v>0.6</v>
      </c>
      <c r="K104" s="583">
        <f t="shared" si="4"/>
        <v>4.8599999999999997E-2</v>
      </c>
      <c r="L104" s="604"/>
    </row>
    <row r="105" spans="1:12" s="566" customFormat="1" ht="27" thickBot="1" x14ac:dyDescent="0.3">
      <c r="B105" s="605"/>
      <c r="C105" s="606" t="s">
        <v>62</v>
      </c>
      <c r="D105" s="607"/>
      <c r="E105" s="607"/>
      <c r="F105" s="607"/>
      <c r="G105" s="608">
        <f>SUM(G102:G104)</f>
        <v>1</v>
      </c>
      <c r="H105" s="609"/>
      <c r="I105" s="609"/>
      <c r="J105" s="609"/>
      <c r="K105" s="610">
        <f>SUM(K102:K104)</f>
        <v>0.1404</v>
      </c>
      <c r="L105" s="611"/>
    </row>
    <row r="106" spans="1:12" s="566" customFormat="1" x14ac:dyDescent="0.25">
      <c r="L106" s="567"/>
    </row>
    <row r="107" spans="1:12" s="566" customFormat="1" ht="23.25" thickBot="1" x14ac:dyDescent="0.3">
      <c r="L107" s="567"/>
    </row>
    <row r="108" spans="1:12" s="566" customFormat="1" x14ac:dyDescent="0.25">
      <c r="C108" s="612"/>
      <c r="D108" s="1463"/>
      <c r="E108" s="1464"/>
      <c r="F108" s="1464"/>
      <c r="G108" s="1464"/>
      <c r="H108" s="1464"/>
      <c r="I108" s="1464"/>
      <c r="J108" s="1464"/>
      <c r="K108" s="1465"/>
      <c r="L108" s="567"/>
    </row>
    <row r="109" spans="1:12" s="566" customFormat="1" x14ac:dyDescent="0.25">
      <c r="D109" s="1466"/>
      <c r="E109" s="1467"/>
      <c r="F109" s="1467"/>
      <c r="G109" s="1467"/>
      <c r="H109" s="1467"/>
      <c r="I109" s="1467"/>
      <c r="J109" s="1467"/>
      <c r="K109" s="1468"/>
      <c r="L109" s="567"/>
    </row>
    <row r="110" spans="1:12" s="566" customFormat="1" x14ac:dyDescent="0.25">
      <c r="D110" s="1466"/>
      <c r="E110" s="1467"/>
      <c r="F110" s="1467"/>
      <c r="G110" s="1467"/>
      <c r="H110" s="1467"/>
      <c r="I110" s="1467"/>
      <c r="J110" s="1467"/>
      <c r="K110" s="1468"/>
      <c r="L110" s="567"/>
    </row>
    <row r="111" spans="1:12" s="566" customFormat="1" x14ac:dyDescent="0.25">
      <c r="D111" s="1466"/>
      <c r="E111" s="1467"/>
      <c r="F111" s="1467"/>
      <c r="G111" s="1467"/>
      <c r="H111" s="1467"/>
      <c r="I111" s="1467"/>
      <c r="J111" s="1467"/>
      <c r="K111" s="1468"/>
      <c r="L111" s="567"/>
    </row>
    <row r="112" spans="1:12" s="566" customFormat="1" x14ac:dyDescent="0.25">
      <c r="D112" s="1466"/>
      <c r="E112" s="1467"/>
      <c r="F112" s="1467"/>
      <c r="G112" s="1467"/>
      <c r="H112" s="1467"/>
      <c r="I112" s="1467"/>
      <c r="J112" s="1467"/>
      <c r="K112" s="1468"/>
      <c r="L112" s="567"/>
    </row>
    <row r="113" spans="1:12" s="566" customFormat="1" x14ac:dyDescent="0.25">
      <c r="A113" s="566">
        <v>77</v>
      </c>
      <c r="D113" s="1466"/>
      <c r="E113" s="1467"/>
      <c r="F113" s="1467"/>
      <c r="G113" s="1467"/>
      <c r="H113" s="1467"/>
      <c r="I113" s="1467"/>
      <c r="J113" s="1467"/>
      <c r="K113" s="1468"/>
      <c r="L113" s="567"/>
    </row>
    <row r="114" spans="1:12" s="566" customFormat="1" ht="23.25" thickBot="1" x14ac:dyDescent="0.3">
      <c r="A114" s="566">
        <v>78</v>
      </c>
      <c r="D114" s="1469"/>
      <c r="E114" s="1470"/>
      <c r="F114" s="1470"/>
      <c r="G114" s="1470"/>
      <c r="H114" s="1470"/>
      <c r="I114" s="1470"/>
      <c r="J114" s="1470"/>
      <c r="K114" s="1471"/>
      <c r="L114" s="567"/>
    </row>
    <row r="115" spans="1:12" s="566" customFormat="1" x14ac:dyDescent="0.25">
      <c r="A115" s="566">
        <v>79</v>
      </c>
      <c r="L115" s="567"/>
    </row>
    <row r="116" spans="1:12" s="566" customFormat="1" x14ac:dyDescent="0.25">
      <c r="A116" s="566">
        <v>80</v>
      </c>
      <c r="L116" s="567"/>
    </row>
    <row r="117" spans="1:12" s="566" customFormat="1" x14ac:dyDescent="0.25">
      <c r="A117" s="566">
        <v>81</v>
      </c>
      <c r="L117" s="567"/>
    </row>
    <row r="118" spans="1:12" s="566" customFormat="1" x14ac:dyDescent="0.25">
      <c r="L118" s="567"/>
    </row>
    <row r="119" spans="1:12" s="566" customFormat="1" x14ac:dyDescent="0.25">
      <c r="L119" s="567"/>
    </row>
    <row r="120" spans="1:12" s="566" customFormat="1" x14ac:dyDescent="0.25">
      <c r="L120" s="567"/>
    </row>
    <row r="121" spans="1:12" s="566" customFormat="1" x14ac:dyDescent="0.25">
      <c r="L121" s="567"/>
    </row>
    <row r="122" spans="1:12" s="566" customFormat="1" x14ac:dyDescent="0.25">
      <c r="L122" s="567"/>
    </row>
    <row r="123" spans="1:12" s="566" customFormat="1" x14ac:dyDescent="0.25">
      <c r="L123" s="567"/>
    </row>
    <row r="124" spans="1:12" s="566" customFormat="1" x14ac:dyDescent="0.25">
      <c r="L124" s="567"/>
    </row>
    <row r="125" spans="1:12" s="566" customFormat="1" x14ac:dyDescent="0.25">
      <c r="L125" s="567"/>
    </row>
    <row r="126" spans="1:12" s="566" customFormat="1" x14ac:dyDescent="0.25">
      <c r="L126" s="567"/>
    </row>
    <row r="127" spans="1:12" s="566" customFormat="1" x14ac:dyDescent="0.25">
      <c r="L127" s="567"/>
    </row>
    <row r="128" spans="1:12" s="566" customFormat="1" x14ac:dyDescent="0.25">
      <c r="L128" s="567"/>
    </row>
    <row r="129" spans="12:12" s="566" customFormat="1" x14ac:dyDescent="0.25">
      <c r="L129" s="567"/>
    </row>
    <row r="130" spans="12:12" s="566" customFormat="1" x14ac:dyDescent="0.25">
      <c r="L130" s="567"/>
    </row>
    <row r="131" spans="12:12" s="566" customFormat="1" x14ac:dyDescent="0.25">
      <c r="L131" s="567"/>
    </row>
    <row r="132" spans="12:12" s="566" customFormat="1" x14ac:dyDescent="0.25">
      <c r="L132" s="567"/>
    </row>
    <row r="133" spans="12:12" s="566" customFormat="1" x14ac:dyDescent="0.25">
      <c r="L133" s="567"/>
    </row>
    <row r="134" spans="12:12" s="566" customFormat="1" x14ac:dyDescent="0.25">
      <c r="L134" s="567"/>
    </row>
    <row r="135" spans="12:12" s="566" customFormat="1" x14ac:dyDescent="0.25">
      <c r="L135" s="567"/>
    </row>
    <row r="136" spans="12:12" s="566" customFormat="1" x14ac:dyDescent="0.25">
      <c r="L136" s="567"/>
    </row>
    <row r="137" spans="12:12" s="566" customFormat="1" x14ac:dyDescent="0.25">
      <c r="L137" s="567"/>
    </row>
    <row r="138" spans="12:12" s="566" customFormat="1" x14ac:dyDescent="0.25">
      <c r="L138" s="567"/>
    </row>
    <row r="139" spans="12:12" s="566" customFormat="1" x14ac:dyDescent="0.25">
      <c r="L139" s="567"/>
    </row>
    <row r="140" spans="12:12" s="566" customFormat="1" x14ac:dyDescent="0.25">
      <c r="L140" s="567"/>
    </row>
    <row r="141" spans="12:12" s="566" customFormat="1" x14ac:dyDescent="0.25">
      <c r="L141" s="567"/>
    </row>
  </sheetData>
  <sheetProtection algorithmName="SHA-512" hashValue="aY1QW2i2dCKRm9Pwv8drkUpQyFUVXNt8U4ZCVdyoy+ABfgcK7b4/lnLbz2wa2JouKbDLjc/n8FZ0diPFznlhPQ==" saltValue="5FByzfZCAPGMEyLBq98K1A==" spinCount="100000" sheet="1" objects="1" scenarios="1" formatCells="0" formatColumns="0" formatRows="0" insertColumns="0" insertRows="0" autoFilter="0" pivotTables="0"/>
  <mergeCells count="10">
    <mergeCell ref="J20:J21"/>
    <mergeCell ref="K20:K21"/>
    <mergeCell ref="L20:L21"/>
    <mergeCell ref="D108:K114"/>
    <mergeCell ref="G4:G10"/>
    <mergeCell ref="G12:G16"/>
    <mergeCell ref="D20:F20"/>
    <mergeCell ref="G20:G21"/>
    <mergeCell ref="H20:H21"/>
    <mergeCell ref="I20:I21"/>
  </mergeCells>
  <conditionalFormatting sqref="H24:J26">
    <cfRule type="expression" dxfId="8" priority="8">
      <formula>IF+$F$24=0</formula>
    </cfRule>
  </conditionalFormatting>
  <conditionalFormatting sqref="L58">
    <cfRule type="expression" dxfId="7" priority="7">
      <formula>$D58="خیر"</formula>
    </cfRule>
  </conditionalFormatting>
  <conditionalFormatting sqref="L90">
    <cfRule type="expression" dxfId="6" priority="6">
      <formula>$D90="خیر"</formula>
    </cfRule>
  </conditionalFormatting>
  <conditionalFormatting sqref="L94">
    <cfRule type="expression" dxfId="5" priority="5">
      <formula>$D94="خیر"</formula>
    </cfRule>
  </conditionalFormatting>
  <conditionalFormatting sqref="L96">
    <cfRule type="expression" dxfId="4" priority="4">
      <formula>$D96="خیر"</formula>
    </cfRule>
  </conditionalFormatting>
  <conditionalFormatting sqref="L99">
    <cfRule type="expression" dxfId="3" priority="3">
      <formula>$D99="خیر"</formula>
    </cfRule>
  </conditionalFormatting>
  <conditionalFormatting sqref="L37:L46">
    <cfRule type="expression" dxfId="2" priority="2">
      <formula>$D37="خیر"</formula>
    </cfRule>
  </conditionalFormatting>
  <conditionalFormatting sqref="L61:L84">
    <cfRule type="expression" dxfId="1" priority="1">
      <formula>$D61="خیر"</formula>
    </cfRule>
  </conditionalFormatting>
  <dataValidations count="4">
    <dataValidation type="list" allowBlank="1" showInputMessage="1" showErrorMessage="1" sqref="M23:M93">
      <formula1>logic</formula1>
    </dataValidation>
    <dataValidation type="list" allowBlank="1" showInputMessage="1" showErrorMessage="1" sqref="J4">
      <formula1>$D$2:$E$2</formula1>
    </dataValidation>
    <dataValidation type="list" allowBlank="1" showInputMessage="1" showErrorMessage="1" sqref="J7:J8">
      <formula1>$F$2:$H$2</formula1>
    </dataValidation>
    <dataValidation type="list" allowBlank="1" showInputMessage="1" showErrorMessage="1" sqref="J5:J6">
      <formula1>$F$2:$G$2</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N69"/>
  <sheetViews>
    <sheetView rightToLeft="1" zoomScaleNormal="100" workbookViewId="0">
      <selection activeCell="D38" sqref="D38"/>
    </sheetView>
  </sheetViews>
  <sheetFormatPr defaultColWidth="8.85546875" defaultRowHeight="15" x14ac:dyDescent="0.25"/>
  <cols>
    <col min="1" max="1" width="97.28515625" style="718" customWidth="1"/>
    <col min="2" max="2" width="6.140625" style="718" customWidth="1"/>
    <col min="3" max="3" width="53.42578125" style="718" customWidth="1"/>
    <col min="4" max="4" width="8.28515625" style="718" customWidth="1"/>
    <col min="5" max="6" width="7.5703125" style="718" customWidth="1"/>
    <col min="7" max="7" width="6.7109375" style="718" customWidth="1"/>
    <col min="8" max="10" width="10.28515625" style="718" customWidth="1"/>
    <col min="11" max="11" width="43.5703125" style="718" bestFit="1" customWidth="1"/>
    <col min="12" max="12" width="6.7109375" style="718" customWidth="1"/>
    <col min="13" max="16384" width="8.85546875" style="718"/>
  </cols>
  <sheetData>
    <row r="1" spans="1:14" ht="45" customHeight="1" x14ac:dyDescent="0.25">
      <c r="A1" s="717"/>
    </row>
    <row r="2" spans="1:14" ht="25.9" customHeight="1" thickBot="1" x14ac:dyDescent="0.55000000000000004">
      <c r="A2" s="719"/>
      <c r="B2" s="717"/>
      <c r="C2" s="717"/>
      <c r="D2" s="717"/>
      <c r="E2" s="717"/>
      <c r="F2" s="717"/>
      <c r="G2" s="717"/>
    </row>
    <row r="3" spans="1:14" ht="25.9" customHeight="1" x14ac:dyDescent="0.5">
      <c r="A3" s="719"/>
      <c r="B3" s="720" t="s">
        <v>38</v>
      </c>
      <c r="C3" s="721" t="s">
        <v>573</v>
      </c>
      <c r="D3" s="721" t="s">
        <v>256</v>
      </c>
      <c r="E3" s="721" t="s">
        <v>19</v>
      </c>
      <c r="F3" s="722" t="s">
        <v>15</v>
      </c>
      <c r="G3" s="717"/>
    </row>
    <row r="4" spans="1:14" ht="25.9" customHeight="1" x14ac:dyDescent="0.5">
      <c r="A4" s="719"/>
      <c r="B4" s="723">
        <v>1</v>
      </c>
      <c r="C4" s="724" t="s">
        <v>574</v>
      </c>
      <c r="D4" s="725">
        <f>SUM(E15:E28)/14</f>
        <v>0.75</v>
      </c>
      <c r="E4" s="726">
        <v>0.3</v>
      </c>
      <c r="F4" s="727">
        <f>E4*D4</f>
        <v>0.22499999999999998</v>
      </c>
      <c r="G4" s="717"/>
    </row>
    <row r="5" spans="1:14" ht="25.9" customHeight="1" x14ac:dyDescent="0.5">
      <c r="A5" s="719"/>
      <c r="B5" s="728"/>
      <c r="C5" s="729" t="s">
        <v>575</v>
      </c>
      <c r="D5" s="730" t="s">
        <v>256</v>
      </c>
      <c r="E5" s="729" t="s">
        <v>19</v>
      </c>
      <c r="F5" s="731" t="s">
        <v>15</v>
      </c>
      <c r="G5" s="717"/>
    </row>
    <row r="6" spans="1:14" ht="25.9" customHeight="1" x14ac:dyDescent="0.5">
      <c r="A6" s="719"/>
      <c r="B6" s="732">
        <v>2</v>
      </c>
      <c r="C6" s="724" t="s">
        <v>576</v>
      </c>
      <c r="D6" s="733">
        <f>E43</f>
        <v>0.55625000000000002</v>
      </c>
      <c r="E6" s="726">
        <v>0.1</v>
      </c>
      <c r="F6" s="727">
        <f>E6*D6</f>
        <v>5.5625000000000008E-2</v>
      </c>
      <c r="G6" s="717"/>
    </row>
    <row r="7" spans="1:14" ht="25.9" customHeight="1" x14ac:dyDescent="0.5">
      <c r="A7" s="719"/>
      <c r="B7" s="732">
        <v>3</v>
      </c>
      <c r="C7" s="724" t="s">
        <v>577</v>
      </c>
      <c r="D7" s="734">
        <f>SUM(E29:E30)/2</f>
        <v>0.75</v>
      </c>
      <c r="E7" s="726">
        <v>0.2</v>
      </c>
      <c r="F7" s="727">
        <f>E7*D7</f>
        <v>0.15000000000000002</v>
      </c>
      <c r="G7" s="717"/>
    </row>
    <row r="8" spans="1:14" ht="25.9" customHeight="1" x14ac:dyDescent="0.5">
      <c r="A8" s="719"/>
      <c r="B8" s="732">
        <v>4</v>
      </c>
      <c r="C8" s="724" t="s">
        <v>578</v>
      </c>
      <c r="D8" s="735">
        <f>E39</f>
        <v>0.25</v>
      </c>
      <c r="E8" s="726">
        <v>0.15</v>
      </c>
      <c r="F8" s="727">
        <f>E8*D8</f>
        <v>3.7499999999999999E-2</v>
      </c>
      <c r="G8" s="717"/>
    </row>
    <row r="9" spans="1:14" ht="25.9" customHeight="1" x14ac:dyDescent="0.5">
      <c r="A9" s="719"/>
      <c r="B9" s="732">
        <v>5</v>
      </c>
      <c r="C9" s="724" t="s">
        <v>579</v>
      </c>
      <c r="D9" s="736">
        <f>(E37+E40+E41)/3</f>
        <v>0.25</v>
      </c>
      <c r="E9" s="726">
        <v>0.1</v>
      </c>
      <c r="F9" s="727">
        <f>E9*D9</f>
        <v>2.5000000000000001E-2</v>
      </c>
      <c r="G9" s="717"/>
    </row>
    <row r="10" spans="1:14" ht="25.9" customHeight="1" thickBot="1" x14ac:dyDescent="0.55000000000000004">
      <c r="A10" s="719"/>
      <c r="B10" s="732">
        <v>6</v>
      </c>
      <c r="C10" s="724" t="s">
        <v>580</v>
      </c>
      <c r="D10" s="737">
        <f>(E33+E34+E35+E36+E38)/5</f>
        <v>0.45</v>
      </c>
      <c r="E10" s="738">
        <v>0.15</v>
      </c>
      <c r="F10" s="727">
        <f>E10*D10</f>
        <v>6.7500000000000004E-2</v>
      </c>
      <c r="G10" s="717"/>
    </row>
    <row r="11" spans="1:14" ht="25.9" customHeight="1" thickBot="1" x14ac:dyDescent="0.55000000000000004">
      <c r="A11" s="719"/>
      <c r="B11" s="739"/>
      <c r="C11" s="740" t="s">
        <v>257</v>
      </c>
      <c r="D11" s="741"/>
      <c r="E11" s="742"/>
      <c r="F11" s="743">
        <f>SUM(F4:F10)</f>
        <v>0.56062500000000004</v>
      </c>
      <c r="G11" s="717"/>
    </row>
    <row r="12" spans="1:14" ht="25.9" customHeight="1" x14ac:dyDescent="0.5">
      <c r="A12" s="719"/>
      <c r="B12" s="717"/>
      <c r="C12" s="717"/>
      <c r="D12" s="717"/>
      <c r="E12" s="717"/>
      <c r="F12" s="717"/>
      <c r="G12" s="717"/>
    </row>
    <row r="13" spans="1:14" s="746" customFormat="1" ht="23.45" customHeight="1" thickBot="1" x14ac:dyDescent="0.45">
      <c r="A13" s="744"/>
      <c r="B13" s="718"/>
      <c r="C13" s="718"/>
      <c r="D13" s="718"/>
      <c r="E13" s="718"/>
      <c r="F13" s="718"/>
      <c r="G13" s="718"/>
      <c r="H13" s="745"/>
      <c r="I13" s="745"/>
      <c r="J13" s="745"/>
      <c r="K13" s="745"/>
      <c r="L13" s="745"/>
      <c r="M13" s="745"/>
    </row>
    <row r="14" spans="1:14" ht="16.899999999999999" customHeight="1" thickBot="1" x14ac:dyDescent="0.55000000000000004">
      <c r="A14" s="747"/>
      <c r="B14" s="748" t="s">
        <v>38</v>
      </c>
      <c r="C14" s="749" t="s">
        <v>581</v>
      </c>
      <c r="D14" s="750" t="s">
        <v>241</v>
      </c>
      <c r="E14" s="750" t="s">
        <v>256</v>
      </c>
      <c r="F14" s="750" t="s">
        <v>19</v>
      </c>
      <c r="G14" s="751" t="s">
        <v>15</v>
      </c>
      <c r="H14" s="408"/>
      <c r="I14" s="408"/>
      <c r="L14" s="752"/>
      <c r="M14" s="752"/>
    </row>
    <row r="15" spans="1:14" ht="16.899999999999999" customHeight="1" x14ac:dyDescent="0.45">
      <c r="A15" s="717"/>
      <c r="B15" s="53">
        <v>1</v>
      </c>
      <c r="C15" s="753" t="s">
        <v>582</v>
      </c>
      <c r="D15" s="754" t="s">
        <v>611</v>
      </c>
      <c r="E15" s="755">
        <f t="shared" ref="E15:E30" si="0">VLOOKUP(D15,$B$46:$C$50,2,FALSE)</f>
        <v>0.75</v>
      </c>
      <c r="F15" s="755">
        <f t="shared" ref="F15:F30" si="1">1/16</f>
        <v>6.25E-2</v>
      </c>
      <c r="G15" s="756">
        <f t="shared" ref="G15:G30" si="2">F15*E15</f>
        <v>4.6875E-2</v>
      </c>
      <c r="H15" s="408"/>
      <c r="I15" s="425"/>
      <c r="J15" s="1481" t="s">
        <v>584</v>
      </c>
      <c r="K15" s="1481"/>
      <c r="L15" s="1481"/>
      <c r="M15" s="1481"/>
      <c r="N15" s="1481"/>
    </row>
    <row r="16" spans="1:14" s="758" customFormat="1" ht="16.899999999999999" customHeight="1" x14ac:dyDescent="0.45">
      <c r="A16" s="757"/>
      <c r="B16" s="53">
        <v>2</v>
      </c>
      <c r="C16" s="753" t="s">
        <v>585</v>
      </c>
      <c r="D16" s="754" t="s">
        <v>611</v>
      </c>
      <c r="E16" s="755">
        <f t="shared" si="0"/>
        <v>0.75</v>
      </c>
      <c r="F16" s="755">
        <f t="shared" si="1"/>
        <v>6.25E-2</v>
      </c>
      <c r="G16" s="756">
        <f t="shared" si="2"/>
        <v>4.6875E-2</v>
      </c>
      <c r="H16" s="408"/>
      <c r="I16" s="425"/>
      <c r="J16" s="427"/>
      <c r="K16" s="427"/>
      <c r="L16" s="427"/>
      <c r="M16" s="427"/>
      <c r="N16" s="427"/>
    </row>
    <row r="17" spans="1:14" s="758" customFormat="1" ht="16.899999999999999" customHeight="1" x14ac:dyDescent="0.45">
      <c r="A17" s="174"/>
      <c r="B17" s="53">
        <v>3</v>
      </c>
      <c r="C17" s="753" t="s">
        <v>586</v>
      </c>
      <c r="D17" s="754" t="s">
        <v>611</v>
      </c>
      <c r="E17" s="755">
        <f t="shared" si="0"/>
        <v>0.75</v>
      </c>
      <c r="F17" s="755">
        <f t="shared" si="1"/>
        <v>6.25E-2</v>
      </c>
      <c r="G17" s="756">
        <f t="shared" si="2"/>
        <v>4.6875E-2</v>
      </c>
      <c r="H17" s="408"/>
      <c r="I17" s="425"/>
      <c r="J17" s="427"/>
      <c r="K17" s="427"/>
      <c r="L17" s="427"/>
      <c r="M17" s="427"/>
      <c r="N17" s="427"/>
    </row>
    <row r="18" spans="1:14" s="758" customFormat="1" ht="16.899999999999999" customHeight="1" x14ac:dyDescent="0.45">
      <c r="A18" s="757"/>
      <c r="B18" s="53">
        <v>4</v>
      </c>
      <c r="C18" s="753" t="s">
        <v>587</v>
      </c>
      <c r="D18" s="754" t="s">
        <v>611</v>
      </c>
      <c r="E18" s="755">
        <f t="shared" si="0"/>
        <v>0.75</v>
      </c>
      <c r="F18" s="755">
        <f t="shared" si="1"/>
        <v>6.25E-2</v>
      </c>
      <c r="G18" s="756">
        <f t="shared" si="2"/>
        <v>4.6875E-2</v>
      </c>
      <c r="H18" s="408"/>
      <c r="I18" s="425"/>
    </row>
    <row r="19" spans="1:14" s="758" customFormat="1" ht="16.899999999999999" customHeight="1" x14ac:dyDescent="0.45">
      <c r="A19" s="757"/>
      <c r="B19" s="53">
        <v>5</v>
      </c>
      <c r="C19" s="753" t="s">
        <v>588</v>
      </c>
      <c r="D19" s="754" t="s">
        <v>611</v>
      </c>
      <c r="E19" s="755">
        <f t="shared" si="0"/>
        <v>0.75</v>
      </c>
      <c r="F19" s="755">
        <f t="shared" si="1"/>
        <v>6.25E-2</v>
      </c>
      <c r="G19" s="756">
        <f t="shared" si="2"/>
        <v>4.6875E-2</v>
      </c>
      <c r="H19" s="408"/>
      <c r="I19" s="425"/>
    </row>
    <row r="20" spans="1:14" s="758" customFormat="1" ht="16.899999999999999" customHeight="1" x14ac:dyDescent="0.45">
      <c r="A20" s="757"/>
      <c r="B20" s="53">
        <v>6</v>
      </c>
      <c r="C20" s="753" t="s">
        <v>589</v>
      </c>
      <c r="D20" s="754" t="s">
        <v>611</v>
      </c>
      <c r="E20" s="755">
        <f t="shared" si="0"/>
        <v>0.75</v>
      </c>
      <c r="F20" s="755">
        <f t="shared" si="1"/>
        <v>6.25E-2</v>
      </c>
      <c r="G20" s="756">
        <f t="shared" si="2"/>
        <v>4.6875E-2</v>
      </c>
      <c r="H20" s="408"/>
      <c r="I20" s="425"/>
    </row>
    <row r="21" spans="1:14" s="758" customFormat="1" ht="16.899999999999999" customHeight="1" x14ac:dyDescent="0.45">
      <c r="A21" s="757"/>
      <c r="B21" s="53">
        <v>7</v>
      </c>
      <c r="C21" s="753" t="s">
        <v>590</v>
      </c>
      <c r="D21" s="754" t="s">
        <v>611</v>
      </c>
      <c r="E21" s="755">
        <f t="shared" si="0"/>
        <v>0.75</v>
      </c>
      <c r="F21" s="755">
        <f t="shared" si="1"/>
        <v>6.25E-2</v>
      </c>
      <c r="G21" s="756">
        <f t="shared" si="2"/>
        <v>4.6875E-2</v>
      </c>
      <c r="H21" s="408"/>
      <c r="I21" s="425"/>
    </row>
    <row r="22" spans="1:14" s="758" customFormat="1" ht="16.899999999999999" customHeight="1" x14ac:dyDescent="0.45">
      <c r="A22" s="757"/>
      <c r="B22" s="53">
        <v>8</v>
      </c>
      <c r="C22" s="753" t="s">
        <v>591</v>
      </c>
      <c r="D22" s="754" t="s">
        <v>611</v>
      </c>
      <c r="E22" s="755">
        <f t="shared" si="0"/>
        <v>0.75</v>
      </c>
      <c r="F22" s="755">
        <f t="shared" si="1"/>
        <v>6.25E-2</v>
      </c>
      <c r="G22" s="756">
        <f t="shared" si="2"/>
        <v>4.6875E-2</v>
      </c>
      <c r="H22" s="408"/>
      <c r="I22" s="425"/>
    </row>
    <row r="23" spans="1:14" s="758" customFormat="1" ht="16.899999999999999" customHeight="1" x14ac:dyDescent="0.45">
      <c r="A23" s="757"/>
      <c r="B23" s="53">
        <v>9</v>
      </c>
      <c r="C23" s="753" t="s">
        <v>592</v>
      </c>
      <c r="D23" s="754" t="s">
        <v>611</v>
      </c>
      <c r="E23" s="755">
        <f t="shared" si="0"/>
        <v>0.75</v>
      </c>
      <c r="F23" s="755">
        <f t="shared" si="1"/>
        <v>6.25E-2</v>
      </c>
      <c r="G23" s="756">
        <f t="shared" si="2"/>
        <v>4.6875E-2</v>
      </c>
      <c r="H23" s="408"/>
      <c r="I23" s="425"/>
    </row>
    <row r="24" spans="1:14" s="758" customFormat="1" ht="16.899999999999999" customHeight="1" x14ac:dyDescent="0.45">
      <c r="A24" s="757"/>
      <c r="B24" s="53">
        <v>10</v>
      </c>
      <c r="C24" s="753" t="s">
        <v>593</v>
      </c>
      <c r="D24" s="754" t="s">
        <v>611</v>
      </c>
      <c r="E24" s="755">
        <f t="shared" si="0"/>
        <v>0.75</v>
      </c>
      <c r="F24" s="755">
        <f t="shared" si="1"/>
        <v>6.25E-2</v>
      </c>
      <c r="G24" s="756">
        <f t="shared" si="2"/>
        <v>4.6875E-2</v>
      </c>
      <c r="H24" s="408"/>
      <c r="I24" s="425"/>
    </row>
    <row r="25" spans="1:14" s="758" customFormat="1" ht="16.899999999999999" customHeight="1" x14ac:dyDescent="0.45">
      <c r="A25" s="757"/>
      <c r="B25" s="53">
        <v>11</v>
      </c>
      <c r="C25" s="753" t="s">
        <v>594</v>
      </c>
      <c r="D25" s="754" t="s">
        <v>611</v>
      </c>
      <c r="E25" s="755">
        <f t="shared" si="0"/>
        <v>0.75</v>
      </c>
      <c r="F25" s="755">
        <f t="shared" si="1"/>
        <v>6.25E-2</v>
      </c>
      <c r="G25" s="756">
        <f t="shared" si="2"/>
        <v>4.6875E-2</v>
      </c>
      <c r="H25" s="408"/>
      <c r="I25" s="425"/>
    </row>
    <row r="26" spans="1:14" s="758" customFormat="1" ht="16.899999999999999" customHeight="1" x14ac:dyDescent="0.45">
      <c r="A26" s="757"/>
      <c r="B26" s="53">
        <v>12</v>
      </c>
      <c r="C26" s="753" t="s">
        <v>595</v>
      </c>
      <c r="D26" s="754" t="s">
        <v>611</v>
      </c>
      <c r="E26" s="755">
        <f t="shared" si="0"/>
        <v>0.75</v>
      </c>
      <c r="F26" s="755">
        <f t="shared" si="1"/>
        <v>6.25E-2</v>
      </c>
      <c r="G26" s="756">
        <f t="shared" si="2"/>
        <v>4.6875E-2</v>
      </c>
      <c r="H26" s="408"/>
      <c r="I26" s="425"/>
    </row>
    <row r="27" spans="1:14" s="758" customFormat="1" ht="16.899999999999999" customHeight="1" x14ac:dyDescent="0.45">
      <c r="A27" s="757"/>
      <c r="B27" s="53">
        <v>13</v>
      </c>
      <c r="C27" s="753" t="s">
        <v>596</v>
      </c>
      <c r="D27" s="754" t="s">
        <v>611</v>
      </c>
      <c r="E27" s="755">
        <f t="shared" si="0"/>
        <v>0.75</v>
      </c>
      <c r="F27" s="755">
        <f t="shared" si="1"/>
        <v>6.25E-2</v>
      </c>
      <c r="G27" s="756">
        <f t="shared" si="2"/>
        <v>4.6875E-2</v>
      </c>
      <c r="H27" s="408"/>
      <c r="I27" s="408"/>
      <c r="J27" s="759"/>
      <c r="K27" s="759"/>
      <c r="L27" s="140"/>
      <c r="M27" s="140"/>
    </row>
    <row r="28" spans="1:14" s="758" customFormat="1" ht="16.899999999999999" customHeight="1" x14ac:dyDescent="0.45">
      <c r="A28" s="757"/>
      <c r="B28" s="53">
        <v>14</v>
      </c>
      <c r="C28" s="753" t="s">
        <v>597</v>
      </c>
      <c r="D28" s="754" t="s">
        <v>611</v>
      </c>
      <c r="E28" s="755">
        <f t="shared" si="0"/>
        <v>0.75</v>
      </c>
      <c r="F28" s="755">
        <f t="shared" si="1"/>
        <v>6.25E-2</v>
      </c>
      <c r="G28" s="756">
        <f t="shared" si="2"/>
        <v>4.6875E-2</v>
      </c>
      <c r="H28" s="408"/>
      <c r="I28" s="408"/>
      <c r="J28" s="759"/>
      <c r="K28" s="759"/>
      <c r="L28" s="140"/>
      <c r="M28" s="140"/>
    </row>
    <row r="29" spans="1:14" s="758" customFormat="1" ht="18" x14ac:dyDescent="0.45">
      <c r="A29" s="757"/>
      <c r="B29" s="53">
        <v>15</v>
      </c>
      <c r="C29" s="753" t="s">
        <v>598</v>
      </c>
      <c r="D29" s="754" t="s">
        <v>611</v>
      </c>
      <c r="E29" s="760">
        <f t="shared" si="0"/>
        <v>0.75</v>
      </c>
      <c r="F29" s="760">
        <f t="shared" si="1"/>
        <v>6.25E-2</v>
      </c>
      <c r="G29" s="761">
        <f t="shared" si="2"/>
        <v>4.6875E-2</v>
      </c>
    </row>
    <row r="30" spans="1:14" s="240" customFormat="1" ht="28.5" x14ac:dyDescent="0.45">
      <c r="A30" s="762"/>
      <c r="B30" s="53">
        <v>16</v>
      </c>
      <c r="C30" s="753" t="s">
        <v>599</v>
      </c>
      <c r="D30" s="754" t="s">
        <v>611</v>
      </c>
      <c r="E30" s="760">
        <f t="shared" si="0"/>
        <v>0.75</v>
      </c>
      <c r="F30" s="760">
        <f t="shared" si="1"/>
        <v>6.25E-2</v>
      </c>
      <c r="G30" s="761">
        <f t="shared" si="2"/>
        <v>4.6875E-2</v>
      </c>
      <c r="H30" s="763"/>
      <c r="I30" s="763"/>
    </row>
    <row r="31" spans="1:14" s="240" customFormat="1" ht="16.5" thickBot="1" x14ac:dyDescent="0.4">
      <c r="A31" s="762"/>
      <c r="B31" s="1482" t="s">
        <v>62</v>
      </c>
      <c r="C31" s="1482"/>
      <c r="D31" s="1482"/>
      <c r="E31" s="1482"/>
      <c r="F31" s="1482"/>
      <c r="G31" s="764">
        <f>SUM(G15:G30)</f>
        <v>0.75</v>
      </c>
      <c r="H31" s="245"/>
      <c r="I31" s="245"/>
    </row>
    <row r="32" spans="1:14" s="758" customFormat="1" ht="25.15" customHeight="1" thickBot="1" x14ac:dyDescent="0.3">
      <c r="A32" s="757"/>
      <c r="B32" s="748"/>
      <c r="C32" s="749" t="s">
        <v>600</v>
      </c>
      <c r="D32" s="750" t="s">
        <v>241</v>
      </c>
      <c r="E32" s="750" t="s">
        <v>256</v>
      </c>
      <c r="F32" s="750" t="s">
        <v>19</v>
      </c>
      <c r="G32" s="751" t="s">
        <v>15</v>
      </c>
    </row>
    <row r="33" spans="1:7" ht="25.15" customHeight="1" x14ac:dyDescent="0.35">
      <c r="A33" s="717"/>
      <c r="B33" s="765">
        <v>1</v>
      </c>
      <c r="C33" s="753" t="s">
        <v>601</v>
      </c>
      <c r="D33" s="754" t="s">
        <v>72</v>
      </c>
      <c r="E33" s="760">
        <f t="shared" ref="E33:E41" si="3">VLOOKUP(D33,$B$46:$C$50,2,FALSE)</f>
        <v>0.5</v>
      </c>
      <c r="F33" s="760">
        <v>0.12</v>
      </c>
      <c r="G33" s="761">
        <f t="shared" ref="G33:G41" si="4">F33*E33</f>
        <v>0.06</v>
      </c>
    </row>
    <row r="34" spans="1:7" ht="25.15" customHeight="1" x14ac:dyDescent="0.35">
      <c r="A34" s="717"/>
      <c r="B34" s="765">
        <v>2</v>
      </c>
      <c r="C34" s="753" t="s">
        <v>602</v>
      </c>
      <c r="D34" s="754" t="s">
        <v>612</v>
      </c>
      <c r="E34" s="760">
        <f t="shared" si="3"/>
        <v>0.25</v>
      </c>
      <c r="F34" s="760">
        <v>0.11</v>
      </c>
      <c r="G34" s="761">
        <f t="shared" si="4"/>
        <v>2.75E-2</v>
      </c>
    </row>
    <row r="35" spans="1:7" ht="25.15" customHeight="1" x14ac:dyDescent="0.35">
      <c r="A35" s="717"/>
      <c r="B35" s="765">
        <v>3</v>
      </c>
      <c r="C35" s="753" t="s">
        <v>603</v>
      </c>
      <c r="D35" s="754" t="s">
        <v>612</v>
      </c>
      <c r="E35" s="760">
        <f t="shared" si="3"/>
        <v>0.25</v>
      </c>
      <c r="F35" s="760">
        <v>0.11</v>
      </c>
      <c r="G35" s="761">
        <f t="shared" si="4"/>
        <v>2.75E-2</v>
      </c>
    </row>
    <row r="36" spans="1:7" ht="25.15" customHeight="1" x14ac:dyDescent="0.35">
      <c r="A36" s="717"/>
      <c r="B36" s="765">
        <v>4</v>
      </c>
      <c r="C36" s="753" t="s">
        <v>604</v>
      </c>
      <c r="D36" s="754" t="s">
        <v>611</v>
      </c>
      <c r="E36" s="760">
        <f t="shared" si="3"/>
        <v>0.75</v>
      </c>
      <c r="F36" s="760">
        <v>0.11</v>
      </c>
      <c r="G36" s="761">
        <f t="shared" si="4"/>
        <v>8.2500000000000004E-2</v>
      </c>
    </row>
    <row r="37" spans="1:7" ht="25.15" customHeight="1" x14ac:dyDescent="0.35">
      <c r="A37" s="717"/>
      <c r="B37" s="765">
        <v>5</v>
      </c>
      <c r="C37" s="753" t="s">
        <v>605</v>
      </c>
      <c r="D37" s="754" t="s">
        <v>612</v>
      </c>
      <c r="E37" s="766">
        <f t="shared" si="3"/>
        <v>0.25</v>
      </c>
      <c r="F37" s="766">
        <v>0.11</v>
      </c>
      <c r="G37" s="767">
        <f t="shared" si="4"/>
        <v>2.75E-2</v>
      </c>
    </row>
    <row r="38" spans="1:7" ht="25.15" customHeight="1" x14ac:dyDescent="0.35">
      <c r="A38" s="717"/>
      <c r="B38" s="765">
        <v>6</v>
      </c>
      <c r="C38" s="753" t="s">
        <v>606</v>
      </c>
      <c r="D38" s="754" t="s">
        <v>72</v>
      </c>
      <c r="E38" s="760">
        <f t="shared" si="3"/>
        <v>0.5</v>
      </c>
      <c r="F38" s="760">
        <v>0.11</v>
      </c>
      <c r="G38" s="761">
        <f t="shared" si="4"/>
        <v>5.5E-2</v>
      </c>
    </row>
    <row r="39" spans="1:7" ht="25.15" customHeight="1" x14ac:dyDescent="0.35">
      <c r="A39" s="717"/>
      <c r="B39" s="765">
        <v>7</v>
      </c>
      <c r="C39" s="753" t="s">
        <v>607</v>
      </c>
      <c r="D39" s="754" t="s">
        <v>612</v>
      </c>
      <c r="E39" s="768">
        <f t="shared" si="3"/>
        <v>0.25</v>
      </c>
      <c r="F39" s="768">
        <v>0.11</v>
      </c>
      <c r="G39" s="769">
        <f t="shared" si="4"/>
        <v>2.75E-2</v>
      </c>
    </row>
    <row r="40" spans="1:7" ht="25.15" customHeight="1" x14ac:dyDescent="0.35">
      <c r="A40" s="717"/>
      <c r="B40" s="765">
        <v>8</v>
      </c>
      <c r="C40" s="753" t="s">
        <v>608</v>
      </c>
      <c r="D40" s="754" t="s">
        <v>612</v>
      </c>
      <c r="E40" s="766">
        <f t="shared" si="3"/>
        <v>0.25</v>
      </c>
      <c r="F40" s="766">
        <v>0.11</v>
      </c>
      <c r="G40" s="767">
        <f t="shared" si="4"/>
        <v>2.75E-2</v>
      </c>
    </row>
    <row r="41" spans="1:7" ht="16.899999999999999" customHeight="1" x14ac:dyDescent="0.35">
      <c r="A41" s="717"/>
      <c r="B41" s="765">
        <v>9</v>
      </c>
      <c r="C41" s="753" t="s">
        <v>609</v>
      </c>
      <c r="D41" s="754" t="s">
        <v>612</v>
      </c>
      <c r="E41" s="766">
        <f t="shared" si="3"/>
        <v>0.25</v>
      </c>
      <c r="F41" s="766">
        <v>0.11</v>
      </c>
      <c r="G41" s="767">
        <f t="shared" si="4"/>
        <v>2.75E-2</v>
      </c>
    </row>
    <row r="42" spans="1:7" ht="16.899999999999999" customHeight="1" thickBot="1" x14ac:dyDescent="0.3">
      <c r="A42" s="717"/>
      <c r="B42" s="1483" t="s">
        <v>62</v>
      </c>
      <c r="C42" s="1484"/>
      <c r="D42" s="1484"/>
      <c r="E42" s="770"/>
      <c r="F42" s="770"/>
      <c r="G42" s="771">
        <f>SUM(G33:G41)</f>
        <v>0.3625000000000001</v>
      </c>
    </row>
    <row r="43" spans="1:7" ht="20.25" thickBot="1" x14ac:dyDescent="0.3">
      <c r="B43" s="1485" t="s">
        <v>257</v>
      </c>
      <c r="C43" s="1486"/>
      <c r="D43" s="1486"/>
      <c r="E43" s="1487">
        <f>(G42+G31)/2</f>
        <v>0.55625000000000002</v>
      </c>
      <c r="F43" s="1487"/>
      <c r="G43" s="1488"/>
    </row>
    <row r="45" spans="1:7" x14ac:dyDescent="0.25">
      <c r="A45" s="772"/>
    </row>
    <row r="46" spans="1:7" ht="15" hidden="1" customHeight="1" x14ac:dyDescent="0.45">
      <c r="A46" s="772"/>
      <c r="B46" s="773" t="s">
        <v>610</v>
      </c>
      <c r="C46" s="774">
        <v>1</v>
      </c>
    </row>
    <row r="47" spans="1:7" ht="15" hidden="1" customHeight="1" x14ac:dyDescent="0.45">
      <c r="A47" s="772"/>
      <c r="B47" s="775" t="s">
        <v>611</v>
      </c>
      <c r="C47" s="776">
        <f>C46-0.25</f>
        <v>0.75</v>
      </c>
    </row>
    <row r="48" spans="1:7" ht="19.5" hidden="1" x14ac:dyDescent="0.45">
      <c r="A48" s="772"/>
      <c r="B48" s="775" t="s">
        <v>72</v>
      </c>
      <c r="C48" s="776">
        <f>C47-0.25</f>
        <v>0.5</v>
      </c>
    </row>
    <row r="49" spans="1:13" ht="19.5" hidden="1" x14ac:dyDescent="0.45">
      <c r="A49" s="772"/>
      <c r="B49" s="775" t="s">
        <v>612</v>
      </c>
      <c r="C49" s="776">
        <f>C48-0.25</f>
        <v>0.25</v>
      </c>
    </row>
    <row r="50" spans="1:13" ht="15" hidden="1" customHeight="1" thickBot="1" x14ac:dyDescent="0.5">
      <c r="A50" s="772"/>
      <c r="B50" s="777" t="s">
        <v>583</v>
      </c>
      <c r="C50" s="778">
        <f>C49-0.25</f>
        <v>0</v>
      </c>
      <c r="H50" s="716"/>
      <c r="I50" s="716"/>
      <c r="J50" s="716"/>
      <c r="K50" s="716"/>
      <c r="L50" s="716"/>
      <c r="M50" s="716"/>
    </row>
    <row r="51" spans="1:13" ht="15" customHeight="1" x14ac:dyDescent="0.5">
      <c r="A51" s="772"/>
      <c r="H51" s="24"/>
      <c r="I51" s="24"/>
      <c r="J51" s="24"/>
      <c r="K51" s="24"/>
      <c r="L51" s="716"/>
      <c r="M51" s="716"/>
    </row>
    <row r="52" spans="1:13" ht="15" customHeight="1" x14ac:dyDescent="0.45">
      <c r="H52" s="408"/>
      <c r="I52" s="408"/>
      <c r="J52" s="26"/>
      <c r="K52" s="26"/>
      <c r="L52" s="716"/>
      <c r="M52" s="716"/>
    </row>
    <row r="53" spans="1:13" ht="15" customHeight="1" x14ac:dyDescent="0.45">
      <c r="H53" s="408"/>
      <c r="I53" s="408"/>
      <c r="J53" s="26"/>
      <c r="K53" s="26"/>
      <c r="L53" s="716"/>
      <c r="M53" s="716"/>
    </row>
    <row r="54" spans="1:13" ht="15" customHeight="1" x14ac:dyDescent="0.45">
      <c r="J54" s="26"/>
      <c r="K54" s="26"/>
      <c r="L54" s="716"/>
      <c r="M54" s="716"/>
    </row>
    <row r="55" spans="1:13" ht="15" customHeight="1" x14ac:dyDescent="0.45">
      <c r="J55" s="26"/>
      <c r="K55" s="26"/>
      <c r="L55" s="716"/>
      <c r="M55" s="716"/>
    </row>
    <row r="56" spans="1:13" ht="15" customHeight="1" x14ac:dyDescent="0.45">
      <c r="H56" s="408"/>
      <c r="I56" s="408"/>
      <c r="J56" s="26"/>
      <c r="K56" s="26"/>
      <c r="L56" s="716"/>
      <c r="M56" s="716"/>
    </row>
    <row r="57" spans="1:13" ht="15" customHeight="1" x14ac:dyDescent="0.45">
      <c r="H57" s="408"/>
      <c r="I57" s="408"/>
      <c r="J57" s="26"/>
      <c r="K57" s="26"/>
      <c r="L57" s="716"/>
      <c r="M57" s="716"/>
    </row>
    <row r="58" spans="1:13" ht="15" customHeight="1" x14ac:dyDescent="0.45">
      <c r="H58" s="408"/>
      <c r="I58" s="408"/>
      <c r="J58" s="26"/>
      <c r="K58" s="26"/>
      <c r="L58" s="716"/>
      <c r="M58" s="716"/>
    </row>
    <row r="59" spans="1:13" ht="15" customHeight="1" x14ac:dyDescent="0.45">
      <c r="H59" s="408"/>
      <c r="I59" s="408"/>
      <c r="J59" s="26"/>
      <c r="K59" s="26"/>
      <c r="L59" s="716"/>
      <c r="M59" s="716"/>
    </row>
    <row r="60" spans="1:13" ht="15" customHeight="1" x14ac:dyDescent="0.45">
      <c r="H60" s="408"/>
      <c r="I60" s="408"/>
      <c r="J60" s="26"/>
      <c r="K60" s="26"/>
      <c r="L60" s="716"/>
      <c r="M60" s="716"/>
    </row>
    <row r="61" spans="1:13" ht="15" customHeight="1" x14ac:dyDescent="0.45">
      <c r="H61" s="408"/>
      <c r="I61" s="408"/>
      <c r="J61" s="26"/>
      <c r="K61" s="26"/>
      <c r="L61" s="716"/>
      <c r="M61" s="716"/>
    </row>
    <row r="62" spans="1:13" ht="15" customHeight="1" x14ac:dyDescent="0.45">
      <c r="H62" s="408"/>
      <c r="I62" s="408"/>
      <c r="J62" s="26"/>
      <c r="K62" s="26"/>
      <c r="L62" s="716"/>
      <c r="M62" s="716"/>
    </row>
    <row r="63" spans="1:13" ht="15" customHeight="1" x14ac:dyDescent="0.45">
      <c r="H63" s="408"/>
      <c r="I63" s="408"/>
      <c r="J63" s="26"/>
      <c r="K63" s="26"/>
      <c r="L63" s="716"/>
      <c r="M63" s="716"/>
    </row>
    <row r="64" spans="1:13" ht="15" customHeight="1" x14ac:dyDescent="0.45">
      <c r="H64" s="237"/>
      <c r="I64" s="237"/>
      <c r="J64" s="26"/>
      <c r="K64" s="26"/>
      <c r="L64" s="716"/>
      <c r="M64" s="716"/>
    </row>
    <row r="65" spans="8:13" ht="15" customHeight="1" x14ac:dyDescent="0.45">
      <c r="H65" s="237"/>
      <c r="I65" s="237"/>
      <c r="J65" s="26"/>
      <c r="K65" s="26"/>
      <c r="L65" s="716"/>
      <c r="M65" s="716"/>
    </row>
    <row r="66" spans="8:13" ht="15" customHeight="1" x14ac:dyDescent="0.45">
      <c r="H66" s="408"/>
      <c r="I66" s="408"/>
      <c r="J66" s="26"/>
      <c r="K66" s="26"/>
      <c r="L66" s="716"/>
      <c r="M66" s="716"/>
    </row>
    <row r="67" spans="8:13" ht="15" customHeight="1" x14ac:dyDescent="0.45">
      <c r="H67" s="408"/>
      <c r="I67" s="408"/>
      <c r="J67" s="26"/>
      <c r="K67" s="26"/>
      <c r="L67" s="716"/>
      <c r="M67" s="716"/>
    </row>
    <row r="68" spans="8:13" ht="30" customHeight="1" x14ac:dyDescent="0.45">
      <c r="H68" s="408"/>
      <c r="I68" s="408"/>
      <c r="J68" s="26"/>
      <c r="K68" s="26"/>
      <c r="L68" s="716"/>
      <c r="M68" s="716"/>
    </row>
    <row r="69" spans="8:13" ht="18" x14ac:dyDescent="0.45">
      <c r="H69" s="408"/>
      <c r="I69" s="408"/>
      <c r="J69" s="26"/>
      <c r="K69" s="26"/>
      <c r="L69" s="716"/>
      <c r="M69" s="716"/>
    </row>
  </sheetData>
  <mergeCells count="5">
    <mergeCell ref="J15:N15"/>
    <mergeCell ref="B31:F31"/>
    <mergeCell ref="B42:D42"/>
    <mergeCell ref="B43:D43"/>
    <mergeCell ref="E43:G43"/>
  </mergeCells>
  <dataValidations count="1">
    <dataValidation type="list" allowBlank="1" showErrorMessage="1" sqref="D33:D41 D15:D30">
      <formula1>$B$46:$B$50</formula1>
    </dataValidation>
  </dataValidation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00B0F0"/>
  </sheetPr>
  <dimension ref="A1:N62"/>
  <sheetViews>
    <sheetView rightToLeft="1" topLeftCell="C10" zoomScale="85" zoomScaleNormal="85" workbookViewId="0">
      <selection activeCell="L15" sqref="L15"/>
    </sheetView>
  </sheetViews>
  <sheetFormatPr defaultColWidth="8.85546875" defaultRowHeight="15" x14ac:dyDescent="0.25"/>
  <cols>
    <col min="1" max="1" width="97.28515625" style="6" customWidth="1"/>
    <col min="2" max="2" width="5.7109375" style="6" customWidth="1"/>
    <col min="3" max="3" width="17.28515625" style="6" bestFit="1" customWidth="1"/>
    <col min="4" max="8" width="7.42578125" style="6" customWidth="1"/>
    <col min="9" max="10" width="8.7109375" style="6" customWidth="1"/>
    <col min="11" max="11" width="8.85546875" style="6"/>
    <col min="12" max="12" width="8" style="194" customWidth="1"/>
    <col min="13" max="13" width="7.28515625" style="194" customWidth="1"/>
    <col min="14" max="14" width="11.7109375" style="6" customWidth="1"/>
    <col min="15" max="16384" width="8.85546875" style="6"/>
  </cols>
  <sheetData>
    <row r="1" spans="1:13" ht="45" customHeight="1" x14ac:dyDescent="0.25">
      <c r="A1" s="170"/>
      <c r="B1" s="170"/>
      <c r="C1" s="170"/>
      <c r="D1" s="170"/>
      <c r="E1" s="170"/>
      <c r="F1" s="170"/>
      <c r="G1" s="170"/>
      <c r="H1" s="170"/>
      <c r="I1" s="170"/>
      <c r="J1" s="170"/>
      <c r="K1" s="170"/>
    </row>
    <row r="2" spans="1:13" ht="38.450000000000003" customHeight="1" thickBot="1" x14ac:dyDescent="0.55000000000000004">
      <c r="A2" s="171"/>
      <c r="B2" s="34"/>
      <c r="C2" s="34"/>
      <c r="D2" s="34"/>
      <c r="E2" s="34"/>
      <c r="F2" s="34"/>
      <c r="G2" s="170"/>
      <c r="H2" s="170"/>
      <c r="I2" s="170"/>
      <c r="J2" s="170"/>
      <c r="K2" s="170"/>
    </row>
    <row r="3" spans="1:13" ht="28.5" customHeight="1" x14ac:dyDescent="0.5">
      <c r="A3" s="170"/>
      <c r="B3" s="1492" t="s">
        <v>78</v>
      </c>
      <c r="C3" s="1493"/>
      <c r="D3" s="1493"/>
      <c r="E3" s="1493"/>
      <c r="F3" s="1494"/>
      <c r="G3" s="30"/>
      <c r="H3" s="30"/>
      <c r="I3" s="30"/>
      <c r="J3" s="30"/>
      <c r="K3" s="30"/>
      <c r="L3" s="234"/>
      <c r="M3" s="234"/>
    </row>
    <row r="4" spans="1:13" ht="19.149999999999999" customHeight="1" thickBot="1" x14ac:dyDescent="0.55000000000000004">
      <c r="A4" s="172"/>
      <c r="B4" s="1495"/>
      <c r="C4" s="1496"/>
      <c r="D4" s="1496"/>
      <c r="E4" s="1496"/>
      <c r="F4" s="1497"/>
      <c r="G4" s="30"/>
      <c r="H4" s="30"/>
      <c r="I4" s="30"/>
      <c r="J4" s="31"/>
      <c r="K4" s="31"/>
      <c r="L4" s="234"/>
      <c r="M4" s="234"/>
    </row>
    <row r="5" spans="1:13" ht="19.149999999999999" customHeight="1" thickBot="1" x14ac:dyDescent="0.5">
      <c r="A5" s="170"/>
      <c r="B5" s="1498" t="s">
        <v>237</v>
      </c>
      <c r="C5" s="1499"/>
      <c r="D5" s="1499"/>
      <c r="E5" s="1499"/>
      <c r="F5" s="1500"/>
      <c r="G5" s="30"/>
      <c r="H5" s="30"/>
      <c r="I5" s="30"/>
      <c r="J5" s="31"/>
      <c r="K5" s="31"/>
      <c r="L5" s="235"/>
      <c r="M5" s="235"/>
    </row>
    <row r="6" spans="1:13" s="7" customFormat="1" ht="30.75" customHeight="1" x14ac:dyDescent="0.45">
      <c r="A6" s="173"/>
      <c r="B6" s="44">
        <v>1</v>
      </c>
      <c r="C6" s="1501" t="s">
        <v>238</v>
      </c>
      <c r="D6" s="1501"/>
      <c r="E6" s="1501"/>
      <c r="F6" s="1502"/>
      <c r="G6" s="30"/>
      <c r="H6" s="30"/>
      <c r="I6" s="30"/>
      <c r="J6" s="31"/>
      <c r="K6" s="31"/>
      <c r="L6" s="235"/>
      <c r="M6" s="235"/>
    </row>
    <row r="7" spans="1:13" s="7" customFormat="1" ht="32.25" customHeight="1" thickBot="1" x14ac:dyDescent="0.5">
      <c r="A7" s="174"/>
      <c r="B7" s="45">
        <v>2</v>
      </c>
      <c r="C7" s="1503" t="s">
        <v>239</v>
      </c>
      <c r="D7" s="1503"/>
      <c r="E7" s="1503"/>
      <c r="F7" s="1504"/>
      <c r="G7" s="30"/>
      <c r="H7" s="30"/>
      <c r="I7" s="30"/>
      <c r="J7" s="31"/>
      <c r="K7" s="31"/>
      <c r="L7" s="235"/>
      <c r="M7" s="235"/>
    </row>
    <row r="8" spans="1:13" s="7" customFormat="1" ht="50.25" customHeight="1" x14ac:dyDescent="0.45">
      <c r="A8" s="173"/>
      <c r="B8" s="29"/>
      <c r="C8" s="30"/>
      <c r="D8" s="30"/>
      <c r="E8" s="30"/>
      <c r="F8" s="30"/>
      <c r="G8" s="30"/>
      <c r="H8" s="30"/>
      <c r="I8" s="30"/>
      <c r="J8" s="31"/>
      <c r="K8" s="31"/>
      <c r="L8" s="235"/>
      <c r="M8" s="235"/>
    </row>
    <row r="9" spans="1:13" s="7" customFormat="1" ht="19.149999999999999" customHeight="1" thickBot="1" x14ac:dyDescent="0.5">
      <c r="A9" s="173"/>
      <c r="B9" s="29"/>
      <c r="C9" s="30"/>
      <c r="D9" s="30"/>
      <c r="E9" s="30"/>
      <c r="F9" s="30"/>
      <c r="G9" s="30"/>
      <c r="H9" s="30"/>
      <c r="I9" s="30"/>
      <c r="J9" s="31"/>
      <c r="K9" s="31"/>
      <c r="L9" s="235"/>
      <c r="M9" s="235"/>
    </row>
    <row r="10" spans="1:13" s="7" customFormat="1" ht="18" x14ac:dyDescent="0.25">
      <c r="A10" s="173"/>
      <c r="B10" s="1505" t="s">
        <v>38</v>
      </c>
      <c r="C10" s="1430" t="s">
        <v>240</v>
      </c>
      <c r="D10" s="1489" t="s">
        <v>241</v>
      </c>
      <c r="E10" s="1489"/>
      <c r="F10" s="1489"/>
      <c r="G10" s="1489"/>
      <c r="H10" s="1489"/>
      <c r="I10" s="1489" t="s">
        <v>19</v>
      </c>
      <c r="J10" s="1489" t="s">
        <v>15</v>
      </c>
      <c r="K10" s="1448" t="s">
        <v>62</v>
      </c>
      <c r="L10" s="235"/>
      <c r="M10" s="235"/>
    </row>
    <row r="11" spans="1:13" s="7" customFormat="1" ht="19.149999999999999" customHeight="1" thickBot="1" x14ac:dyDescent="0.3">
      <c r="A11" s="173"/>
      <c r="B11" s="1506"/>
      <c r="C11" s="1507"/>
      <c r="D11" s="672" t="s">
        <v>242</v>
      </c>
      <c r="E11" s="672" t="s">
        <v>243</v>
      </c>
      <c r="F11" s="672" t="s">
        <v>72</v>
      </c>
      <c r="G11" s="672" t="s">
        <v>244</v>
      </c>
      <c r="H11" s="672" t="s">
        <v>245</v>
      </c>
      <c r="I11" s="1490"/>
      <c r="J11" s="1490"/>
      <c r="K11" s="1491"/>
      <c r="L11" s="235"/>
      <c r="M11" s="235"/>
    </row>
    <row r="12" spans="1:13" s="7" customFormat="1" ht="19.149999999999999" customHeight="1" thickTop="1" thickBot="1" x14ac:dyDescent="0.3">
      <c r="A12" s="173"/>
      <c r="B12" s="691"/>
      <c r="C12" s="692"/>
      <c r="D12" s="693">
        <v>1</v>
      </c>
      <c r="E12" s="693">
        <v>0.75</v>
      </c>
      <c r="F12" s="693">
        <v>0.5</v>
      </c>
      <c r="G12" s="693">
        <v>0.25</v>
      </c>
      <c r="H12" s="693">
        <v>0</v>
      </c>
      <c r="I12" s="694"/>
      <c r="J12" s="694"/>
      <c r="K12" s="695"/>
      <c r="L12" s="235"/>
      <c r="M12" s="235"/>
    </row>
    <row r="13" spans="1:13" s="7" customFormat="1" ht="19.149999999999999" customHeight="1" thickTop="1" thickBot="1" x14ac:dyDescent="0.3">
      <c r="A13" s="173"/>
      <c r="B13" s="676">
        <v>1</v>
      </c>
      <c r="C13" s="677" t="s">
        <v>246</v>
      </c>
      <c r="D13" s="678"/>
      <c r="E13" s="678"/>
      <c r="F13" s="678"/>
      <c r="G13" s="678"/>
      <c r="H13" s="678"/>
      <c r="I13" s="679"/>
      <c r="J13" s="679"/>
      <c r="K13" s="680"/>
      <c r="L13" s="235"/>
      <c r="M13" s="235"/>
    </row>
    <row r="14" spans="1:13" s="7" customFormat="1" ht="19.149999999999999" customHeight="1" thickTop="1" x14ac:dyDescent="0.25">
      <c r="A14" s="173"/>
      <c r="B14" s="50">
        <v>1.1000000000000001</v>
      </c>
      <c r="C14" s="47" t="s">
        <v>247</v>
      </c>
      <c r="D14" s="674"/>
      <c r="E14" s="674"/>
      <c r="F14" s="674"/>
      <c r="G14" s="674"/>
      <c r="H14" s="674"/>
      <c r="I14" s="32">
        <v>12</v>
      </c>
      <c r="J14" s="32">
        <f>I14*SUM(D14:H14)</f>
        <v>0</v>
      </c>
      <c r="K14" s="49">
        <f>J14</f>
        <v>0</v>
      </c>
      <c r="L14" s="235"/>
      <c r="M14" s="235"/>
    </row>
    <row r="15" spans="1:13" s="7" customFormat="1" ht="19.149999999999999" customHeight="1" x14ac:dyDescent="0.25">
      <c r="A15" s="173"/>
      <c r="B15" s="48">
        <v>1.2</v>
      </c>
      <c r="C15" s="47" t="s">
        <v>248</v>
      </c>
      <c r="D15" s="675"/>
      <c r="E15" s="675"/>
      <c r="F15" s="675">
        <v>0.5</v>
      </c>
      <c r="G15" s="675"/>
      <c r="H15" s="675"/>
      <c r="I15" s="424">
        <v>12</v>
      </c>
      <c r="J15" s="32">
        <f t="shared" ref="J15" si="0">I15*SUM(D15:H15)</f>
        <v>6</v>
      </c>
      <c r="K15" s="49">
        <f t="shared" ref="K15:K21" si="1">J15</f>
        <v>6</v>
      </c>
      <c r="L15" s="235" t="s">
        <v>827</v>
      </c>
      <c r="M15" s="235"/>
    </row>
    <row r="16" spans="1:13" s="7" customFormat="1" ht="19.149999999999999" customHeight="1" x14ac:dyDescent="0.25">
      <c r="A16" s="173"/>
      <c r="B16" s="48">
        <v>1.3</v>
      </c>
      <c r="C16" s="47" t="s">
        <v>249</v>
      </c>
      <c r="D16" s="675"/>
      <c r="E16" s="675">
        <v>0.75</v>
      </c>
      <c r="F16" s="675"/>
      <c r="G16" s="675"/>
      <c r="H16" s="675"/>
      <c r="I16" s="424">
        <v>12</v>
      </c>
      <c r="J16" s="32">
        <f>I16*SUM(D16:H16)</f>
        <v>9</v>
      </c>
      <c r="K16" s="49">
        <f t="shared" si="1"/>
        <v>9</v>
      </c>
      <c r="L16" s="235"/>
      <c r="M16" s="235"/>
    </row>
    <row r="17" spans="1:14" s="7" customFormat="1" ht="19.149999999999999" customHeight="1" x14ac:dyDescent="0.45">
      <c r="A17" s="173"/>
      <c r="B17" s="48">
        <v>1.4</v>
      </c>
      <c r="C17" s="47" t="s">
        <v>250</v>
      </c>
      <c r="D17" s="674"/>
      <c r="E17" s="674">
        <v>0.75</v>
      </c>
      <c r="F17" s="674"/>
      <c r="G17" s="674"/>
      <c r="H17" s="674"/>
      <c r="I17" s="424">
        <v>12</v>
      </c>
      <c r="J17" s="32">
        <f>I17*SUM(D17:H17)</f>
        <v>9</v>
      </c>
      <c r="K17" s="49">
        <f t="shared" si="1"/>
        <v>9</v>
      </c>
      <c r="L17" s="204" t="s">
        <v>824</v>
      </c>
      <c r="M17" s="204" t="s">
        <v>825</v>
      </c>
      <c r="N17" s="536" t="s">
        <v>826</v>
      </c>
    </row>
    <row r="18" spans="1:14" s="7" customFormat="1" ht="19.149999999999999" customHeight="1" thickBot="1" x14ac:dyDescent="0.3">
      <c r="A18" s="173"/>
      <c r="B18" s="48">
        <v>1.5</v>
      </c>
      <c r="C18" s="47" t="s">
        <v>68</v>
      </c>
      <c r="D18" s="673">
        <v>1</v>
      </c>
      <c r="E18" s="673"/>
      <c r="F18" s="673"/>
      <c r="G18" s="673"/>
      <c r="H18" s="673"/>
      <c r="I18" s="424">
        <v>12</v>
      </c>
      <c r="J18" s="32">
        <f>I18*SUM(D18:H18)</f>
        <v>12</v>
      </c>
      <c r="K18" s="49">
        <f t="shared" si="1"/>
        <v>12</v>
      </c>
      <c r="L18" s="235" t="s">
        <v>823</v>
      </c>
      <c r="M18" s="235"/>
    </row>
    <row r="19" spans="1:14" s="7" customFormat="1" ht="21.75" customHeight="1" thickTop="1" thickBot="1" x14ac:dyDescent="0.3">
      <c r="A19" s="173"/>
      <c r="B19" s="676">
        <v>2</v>
      </c>
      <c r="C19" s="677" t="s">
        <v>251</v>
      </c>
      <c r="D19" s="681"/>
      <c r="E19" s="681"/>
      <c r="F19" s="681"/>
      <c r="G19" s="681"/>
      <c r="H19" s="681"/>
      <c r="I19" s="681">
        <f>SUM(I13:I18)</f>
        <v>60</v>
      </c>
      <c r="J19" s="681">
        <f>SUM(J13:J18)</f>
        <v>36</v>
      </c>
      <c r="K19" s="682">
        <f t="shared" si="1"/>
        <v>36</v>
      </c>
      <c r="L19" s="236"/>
      <c r="M19" s="236"/>
    </row>
    <row r="20" spans="1:14" s="7" customFormat="1" ht="16.5" customHeight="1" thickTop="1" x14ac:dyDescent="0.25">
      <c r="A20" s="173"/>
      <c r="B20" s="48">
        <v>2.1</v>
      </c>
      <c r="C20" s="47" t="s">
        <v>252</v>
      </c>
      <c r="D20" s="674">
        <v>1</v>
      </c>
      <c r="E20" s="674"/>
      <c r="F20" s="674"/>
      <c r="G20" s="674"/>
      <c r="H20" s="674"/>
      <c r="I20" s="32">
        <v>10</v>
      </c>
      <c r="J20" s="32">
        <f>I20*SUM(D20:H20)</f>
        <v>10</v>
      </c>
      <c r="K20" s="49">
        <f t="shared" si="1"/>
        <v>10</v>
      </c>
      <c r="L20" s="810" t="s">
        <v>834</v>
      </c>
      <c r="M20" s="236"/>
    </row>
    <row r="21" spans="1:14" s="7" customFormat="1" ht="21" customHeight="1" x14ac:dyDescent="0.25">
      <c r="A21" s="173"/>
      <c r="B21" s="48">
        <v>2.2000000000000002</v>
      </c>
      <c r="C21" s="47" t="s">
        <v>253</v>
      </c>
      <c r="D21" s="675"/>
      <c r="E21" s="675"/>
      <c r="F21" s="675">
        <v>0.5</v>
      </c>
      <c r="G21" s="675"/>
      <c r="H21" s="675"/>
      <c r="I21" s="32">
        <v>10</v>
      </c>
      <c r="J21" s="32">
        <f>I21*SUM(D21:H21)</f>
        <v>5</v>
      </c>
      <c r="K21" s="49">
        <f t="shared" si="1"/>
        <v>5</v>
      </c>
      <c r="L21" s="236"/>
      <c r="M21" s="236"/>
    </row>
    <row r="22" spans="1:14" s="7" customFormat="1" ht="19.149999999999999" customHeight="1" x14ac:dyDescent="0.25">
      <c r="A22" s="173"/>
      <c r="B22" s="48">
        <v>2.2999999999999998</v>
      </c>
      <c r="C22" s="47" t="s">
        <v>254</v>
      </c>
      <c r="D22" s="675">
        <v>1</v>
      </c>
      <c r="E22" s="675"/>
      <c r="F22" s="675"/>
      <c r="G22" s="675"/>
      <c r="H22" s="675"/>
      <c r="I22" s="32">
        <v>10</v>
      </c>
      <c r="J22" s="32">
        <f>I22*SUM(D22:H22)</f>
        <v>10</v>
      </c>
      <c r="K22" s="49">
        <f>J22</f>
        <v>10</v>
      </c>
      <c r="L22" s="810" t="s">
        <v>835</v>
      </c>
      <c r="M22" s="236"/>
    </row>
    <row r="23" spans="1:14" s="7" customFormat="1" ht="21" customHeight="1" thickBot="1" x14ac:dyDescent="0.3">
      <c r="A23" s="173"/>
      <c r="B23" s="48">
        <v>2.4</v>
      </c>
      <c r="C23" s="47" t="s">
        <v>255</v>
      </c>
      <c r="D23" s="673"/>
      <c r="E23" s="673"/>
      <c r="F23" s="673"/>
      <c r="G23" s="673"/>
      <c r="H23" s="673"/>
      <c r="I23" s="32">
        <v>10</v>
      </c>
      <c r="J23" s="396">
        <f>I23*SUM(D23:H23)</f>
        <v>0</v>
      </c>
      <c r="K23" s="49">
        <f>J23</f>
        <v>0</v>
      </c>
      <c r="L23" s="236"/>
      <c r="M23" s="236"/>
    </row>
    <row r="24" spans="1:14" ht="15" customHeight="1" thickTop="1" thickBot="1" x14ac:dyDescent="0.3">
      <c r="A24" s="170"/>
      <c r="B24" s="686"/>
      <c r="C24" s="683" t="s">
        <v>62</v>
      </c>
      <c r="D24" s="684"/>
      <c r="E24" s="684"/>
      <c r="F24" s="684"/>
      <c r="G24" s="684"/>
      <c r="H24" s="684"/>
      <c r="I24" s="684">
        <f>SUM(I20:I23)</f>
        <v>40</v>
      </c>
      <c r="J24" s="684">
        <f>SUM(J20:J23)</f>
        <v>25</v>
      </c>
      <c r="K24" s="685">
        <f>J24</f>
        <v>25</v>
      </c>
    </row>
    <row r="25" spans="1:14" ht="15" customHeight="1" thickTop="1" thickBot="1" x14ac:dyDescent="0.3">
      <c r="A25" s="170"/>
      <c r="B25" s="687"/>
      <c r="C25" s="688"/>
      <c r="D25" s="689"/>
      <c r="E25" s="689"/>
      <c r="F25" s="689"/>
      <c r="G25" s="689"/>
      <c r="H25" s="689"/>
      <c r="I25" s="689"/>
      <c r="J25" s="689"/>
      <c r="K25" s="690">
        <f>SUM(K24+K19)/100</f>
        <v>0.61</v>
      </c>
    </row>
    <row r="26" spans="1:14" ht="15" customHeight="1" x14ac:dyDescent="0.25">
      <c r="A26" s="170"/>
      <c r="B26" s="177"/>
      <c r="C26" s="177"/>
      <c r="D26" s="177"/>
      <c r="E26" s="177"/>
      <c r="F26" s="177"/>
      <c r="G26" s="170"/>
      <c r="H26" s="170"/>
      <c r="I26" s="170"/>
      <c r="J26" s="170"/>
      <c r="K26" s="170"/>
    </row>
    <row r="27" spans="1:14" ht="15" customHeight="1" x14ac:dyDescent="0.25">
      <c r="A27" s="170"/>
      <c r="B27" s="177"/>
      <c r="C27" s="177"/>
      <c r="D27" s="177"/>
      <c r="E27" s="177"/>
      <c r="F27" s="177"/>
      <c r="G27" s="170"/>
      <c r="H27" s="170"/>
      <c r="I27" s="170"/>
      <c r="J27" s="170"/>
      <c r="K27" s="170"/>
    </row>
    <row r="28" spans="1:14" ht="15" customHeight="1" x14ac:dyDescent="0.25">
      <c r="A28" s="170"/>
      <c r="B28" s="177"/>
      <c r="C28" s="170"/>
      <c r="D28" s="178"/>
      <c r="E28" s="397"/>
      <c r="F28" s="397"/>
      <c r="G28" s="397"/>
      <c r="H28" s="397"/>
      <c r="I28" s="397"/>
      <c r="J28" s="170"/>
      <c r="K28" s="170"/>
    </row>
    <row r="29" spans="1:14" ht="15" customHeight="1" x14ac:dyDescent="0.25">
      <c r="A29" s="170"/>
      <c r="B29" s="170"/>
      <c r="C29" s="170"/>
      <c r="D29" s="178"/>
      <c r="E29" s="397"/>
      <c r="F29" s="397"/>
      <c r="G29" s="397"/>
      <c r="H29" s="397"/>
      <c r="I29" s="397"/>
      <c r="J29" s="170"/>
      <c r="K29" s="170"/>
    </row>
    <row r="30" spans="1:14" x14ac:dyDescent="0.25">
      <c r="A30" s="170"/>
      <c r="B30" s="170"/>
      <c r="C30" s="170"/>
      <c r="D30" s="170"/>
      <c r="E30" s="170"/>
      <c r="F30" s="170"/>
      <c r="G30" s="170"/>
      <c r="H30" s="170"/>
      <c r="I30" s="170"/>
      <c r="J30" s="170"/>
      <c r="K30" s="170"/>
    </row>
    <row r="31" spans="1:14" x14ac:dyDescent="0.25">
      <c r="A31" s="170"/>
      <c r="B31" s="170"/>
      <c r="C31" s="170"/>
      <c r="D31" s="170"/>
      <c r="E31" s="170"/>
      <c r="F31" s="170"/>
      <c r="G31" s="170"/>
      <c r="H31" s="170"/>
      <c r="I31" s="170"/>
      <c r="J31" s="170"/>
      <c r="K31" s="170"/>
    </row>
    <row r="38" spans="2:13" ht="19.5" x14ac:dyDescent="0.25">
      <c r="D38" s="17"/>
      <c r="E38" s="237"/>
      <c r="F38" s="237"/>
      <c r="G38" s="237"/>
      <c r="H38" s="237"/>
      <c r="I38" s="237"/>
    </row>
    <row r="39" spans="2:13" ht="15" customHeight="1" x14ac:dyDescent="0.25">
      <c r="D39" s="17"/>
      <c r="E39" s="237"/>
      <c r="F39" s="237"/>
      <c r="G39" s="237"/>
      <c r="H39" s="237"/>
      <c r="I39" s="237"/>
    </row>
    <row r="40" spans="2:13" ht="15" customHeight="1" x14ac:dyDescent="0.25"/>
    <row r="42" spans="2:13" ht="22.5" x14ac:dyDescent="0.55000000000000004">
      <c r="B42" s="27"/>
      <c r="C42" s="105"/>
      <c r="D42" s="137"/>
      <c r="E42" s="137"/>
      <c r="F42" s="137"/>
      <c r="G42" s="137"/>
      <c r="H42" s="137"/>
      <c r="I42" s="137"/>
      <c r="J42" s="137"/>
      <c r="K42" s="137"/>
    </row>
    <row r="43" spans="2:13" ht="15" customHeight="1" x14ac:dyDescent="0.5">
      <c r="B43" s="13"/>
      <c r="C43" s="24"/>
      <c r="D43" s="24"/>
      <c r="E43" s="24"/>
      <c r="F43" s="24"/>
      <c r="G43" s="24"/>
      <c r="H43" s="24"/>
      <c r="I43" s="24"/>
      <c r="J43" s="24"/>
      <c r="K43" s="24"/>
      <c r="L43" s="195"/>
      <c r="M43" s="195"/>
    </row>
    <row r="44" spans="2:13" ht="15" customHeight="1" x14ac:dyDescent="0.45">
      <c r="B44" s="13"/>
      <c r="C44" s="25"/>
      <c r="D44" s="25"/>
      <c r="E44" s="25"/>
      <c r="F44" s="25"/>
      <c r="G44" s="25"/>
      <c r="H44" s="25"/>
      <c r="I44" s="25"/>
      <c r="J44" s="26"/>
      <c r="K44" s="26"/>
      <c r="L44" s="195"/>
      <c r="M44" s="195"/>
    </row>
    <row r="45" spans="2:13" ht="15" customHeight="1" x14ac:dyDescent="0.45">
      <c r="B45" s="13"/>
      <c r="C45" s="25"/>
      <c r="D45" s="25"/>
      <c r="E45" s="25"/>
      <c r="F45" s="25"/>
      <c r="G45" s="25"/>
      <c r="H45" s="25"/>
      <c r="I45" s="25"/>
      <c r="J45" s="26"/>
      <c r="K45" s="26"/>
      <c r="L45" s="196"/>
      <c r="M45" s="196"/>
    </row>
    <row r="46" spans="2:13" ht="15" customHeight="1" x14ac:dyDescent="0.45">
      <c r="B46" s="13"/>
      <c r="C46" s="25"/>
      <c r="D46" s="25"/>
      <c r="E46" s="25"/>
      <c r="F46" s="25"/>
      <c r="G46" s="25"/>
      <c r="H46" s="25"/>
      <c r="I46" s="25"/>
      <c r="J46" s="26"/>
      <c r="K46" s="26"/>
      <c r="L46" s="196"/>
      <c r="M46" s="196"/>
    </row>
    <row r="47" spans="2:13" ht="15" customHeight="1" x14ac:dyDescent="0.45">
      <c r="B47" s="13"/>
      <c r="C47" s="25"/>
      <c r="D47" s="25"/>
      <c r="E47" s="25"/>
      <c r="F47" s="25"/>
      <c r="G47" s="25"/>
      <c r="H47" s="25"/>
      <c r="I47" s="25"/>
      <c r="J47" s="26"/>
      <c r="K47" s="26"/>
      <c r="L47" s="196"/>
      <c r="M47" s="196"/>
    </row>
    <row r="48" spans="2:13" ht="15" customHeight="1" x14ac:dyDescent="0.45">
      <c r="B48" s="13"/>
      <c r="C48" s="25"/>
      <c r="D48" s="25"/>
      <c r="E48" s="25"/>
      <c r="F48" s="25"/>
      <c r="G48" s="25"/>
      <c r="H48" s="25"/>
      <c r="I48" s="25"/>
      <c r="J48" s="26"/>
      <c r="K48" s="26"/>
      <c r="L48" s="196"/>
      <c r="M48" s="196"/>
    </row>
    <row r="49" spans="2:13" ht="15" customHeight="1" x14ac:dyDescent="0.45">
      <c r="B49" s="13"/>
      <c r="C49" s="25"/>
      <c r="D49" s="25"/>
      <c r="E49" s="25"/>
      <c r="F49" s="25"/>
      <c r="G49" s="25"/>
      <c r="H49" s="25"/>
      <c r="I49" s="25"/>
      <c r="J49" s="26"/>
      <c r="K49" s="26"/>
      <c r="L49" s="196"/>
      <c r="M49" s="196"/>
    </row>
    <row r="50" spans="2:13" ht="15" customHeight="1" x14ac:dyDescent="0.45">
      <c r="B50" s="13"/>
      <c r="C50" s="25"/>
      <c r="D50" s="25"/>
      <c r="E50" s="25"/>
      <c r="F50" s="25"/>
      <c r="G50" s="25"/>
      <c r="H50" s="25"/>
      <c r="I50" s="25"/>
      <c r="J50" s="26"/>
      <c r="K50" s="26"/>
      <c r="L50" s="196"/>
      <c r="M50" s="196"/>
    </row>
    <row r="51" spans="2:13" ht="15" customHeight="1" x14ac:dyDescent="0.45">
      <c r="B51" s="13"/>
      <c r="C51" s="25"/>
      <c r="D51" s="25"/>
      <c r="E51" s="25"/>
      <c r="F51" s="25"/>
      <c r="G51" s="25"/>
      <c r="H51" s="25"/>
      <c r="I51" s="25"/>
      <c r="J51" s="26"/>
      <c r="K51" s="26"/>
      <c r="L51" s="196"/>
      <c r="M51" s="196"/>
    </row>
    <row r="52" spans="2:13" ht="15" customHeight="1" x14ac:dyDescent="0.45">
      <c r="B52" s="13"/>
      <c r="C52" s="25"/>
      <c r="D52" s="25"/>
      <c r="E52" s="25"/>
      <c r="F52" s="25"/>
      <c r="G52" s="25"/>
      <c r="H52" s="25"/>
      <c r="I52" s="25"/>
      <c r="J52" s="26"/>
      <c r="K52" s="26"/>
      <c r="L52" s="196"/>
      <c r="M52" s="196"/>
    </row>
    <row r="53" spans="2:13" ht="15" customHeight="1" x14ac:dyDescent="0.45">
      <c r="B53" s="13"/>
      <c r="C53" s="25"/>
      <c r="D53" s="25"/>
      <c r="E53" s="25"/>
      <c r="F53" s="25"/>
      <c r="G53" s="25"/>
      <c r="H53" s="25"/>
      <c r="I53" s="25"/>
      <c r="J53" s="26"/>
      <c r="K53" s="26"/>
      <c r="L53" s="196"/>
      <c r="M53" s="196"/>
    </row>
    <row r="54" spans="2:13" ht="15" customHeight="1" x14ac:dyDescent="0.45">
      <c r="B54" s="13"/>
      <c r="C54" s="25"/>
      <c r="D54" s="25"/>
      <c r="E54" s="25"/>
      <c r="F54" s="25"/>
      <c r="G54" s="25"/>
      <c r="H54" s="25"/>
      <c r="I54" s="25"/>
      <c r="J54" s="26"/>
      <c r="K54" s="26"/>
      <c r="L54" s="196"/>
      <c r="M54" s="196"/>
    </row>
    <row r="55" spans="2:13" ht="15" customHeight="1" x14ac:dyDescent="0.45">
      <c r="B55" s="13"/>
      <c r="C55" s="25"/>
      <c r="D55" s="25"/>
      <c r="E55" s="25"/>
      <c r="F55" s="25"/>
      <c r="G55" s="25"/>
      <c r="H55" s="25"/>
      <c r="I55" s="25"/>
      <c r="J55" s="26"/>
      <c r="K55" s="26"/>
      <c r="L55" s="196"/>
      <c r="M55" s="196"/>
    </row>
    <row r="56" spans="2:13" ht="15" customHeight="1" x14ac:dyDescent="0.45">
      <c r="B56" s="13"/>
      <c r="C56" s="25"/>
      <c r="D56" s="25"/>
      <c r="E56" s="25"/>
      <c r="F56" s="25"/>
      <c r="G56" s="25"/>
      <c r="H56" s="25"/>
      <c r="I56" s="25"/>
      <c r="J56" s="26"/>
      <c r="K56" s="26"/>
      <c r="L56" s="196"/>
      <c r="M56" s="196"/>
    </row>
    <row r="57" spans="2:13" ht="15" customHeight="1" x14ac:dyDescent="0.45">
      <c r="B57" s="13"/>
      <c r="C57" s="25"/>
      <c r="D57" s="25"/>
      <c r="E57" s="25"/>
      <c r="F57" s="25"/>
      <c r="G57" s="25"/>
      <c r="H57" s="25"/>
      <c r="I57" s="25"/>
      <c r="J57" s="26"/>
      <c r="K57" s="26"/>
      <c r="L57" s="196"/>
      <c r="M57" s="196"/>
    </row>
    <row r="58" spans="2:13" ht="15" customHeight="1" x14ac:dyDescent="0.45">
      <c r="B58" s="13"/>
      <c r="C58" s="25"/>
      <c r="D58" s="25"/>
      <c r="E58" s="25"/>
      <c r="F58" s="25"/>
      <c r="G58" s="25"/>
      <c r="H58" s="25"/>
      <c r="I58" s="25"/>
      <c r="J58" s="26"/>
      <c r="K58" s="26"/>
      <c r="L58" s="196"/>
      <c r="M58" s="196"/>
    </row>
    <row r="59" spans="2:13" ht="15" customHeight="1" x14ac:dyDescent="0.45">
      <c r="B59" s="13"/>
      <c r="C59" s="25"/>
      <c r="D59" s="25"/>
      <c r="E59" s="25"/>
      <c r="F59" s="25"/>
      <c r="G59" s="25"/>
      <c r="H59" s="25"/>
      <c r="I59" s="25"/>
      <c r="J59" s="26"/>
      <c r="K59" s="26"/>
      <c r="L59" s="196"/>
      <c r="M59" s="196"/>
    </row>
    <row r="60" spans="2:13" ht="15" customHeight="1" x14ac:dyDescent="0.45">
      <c r="B60" s="13"/>
      <c r="C60" s="25"/>
      <c r="D60" s="25"/>
      <c r="E60" s="25"/>
      <c r="F60" s="25"/>
      <c r="G60" s="25"/>
      <c r="H60" s="25"/>
      <c r="I60" s="25"/>
      <c r="J60" s="26"/>
      <c r="K60" s="26"/>
      <c r="L60" s="196"/>
      <c r="M60" s="196"/>
    </row>
    <row r="61" spans="2:13" ht="15" customHeight="1" x14ac:dyDescent="0.45">
      <c r="B61" s="13"/>
      <c r="C61" s="25"/>
      <c r="D61" s="25"/>
      <c r="E61" s="25"/>
      <c r="F61" s="25"/>
      <c r="G61" s="25"/>
      <c r="H61" s="25"/>
      <c r="I61" s="25"/>
      <c r="J61" s="26"/>
      <c r="K61" s="26"/>
      <c r="L61" s="196"/>
      <c r="M61" s="196"/>
    </row>
    <row r="62" spans="2:13" ht="15" customHeight="1" x14ac:dyDescent="0.45">
      <c r="L62" s="196"/>
      <c r="M62" s="196"/>
    </row>
  </sheetData>
  <mergeCells count="10">
    <mergeCell ref="J10:J11"/>
    <mergeCell ref="K10:K11"/>
    <mergeCell ref="B3:F4"/>
    <mergeCell ref="B5:F5"/>
    <mergeCell ref="C6:F6"/>
    <mergeCell ref="C7:F7"/>
    <mergeCell ref="B10:B11"/>
    <mergeCell ref="C10:C11"/>
    <mergeCell ref="D10:H10"/>
    <mergeCell ref="I10:I11"/>
  </mergeCells>
  <dataValidations count="2">
    <dataValidation type="list" allowBlank="1" showInputMessage="1" showErrorMessage="1" sqref="E8:E9 E11">
      <formula1>$D$20:$I$20</formula1>
    </dataValidation>
    <dataValidation type="list" allowBlank="1" showInputMessage="1" showErrorMessage="1" sqref="E10 E6:E7">
      <formula1>$E$20:$I$20</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sheetPr>
  <dimension ref="B1:P26"/>
  <sheetViews>
    <sheetView rightToLeft="1" topLeftCell="A16" zoomScale="80" zoomScaleNormal="80" zoomScaleSheetLayoutView="130" workbookViewId="0">
      <selection activeCell="C19" sqref="C19"/>
    </sheetView>
  </sheetViews>
  <sheetFormatPr defaultColWidth="10.42578125" defaultRowHeight="19.5" x14ac:dyDescent="0.45"/>
  <cols>
    <col min="1" max="1" width="10.42578125" style="425"/>
    <col min="2" max="2" width="5.7109375" style="427" customWidth="1"/>
    <col min="3" max="3" width="64.7109375" style="425" customWidth="1"/>
    <col min="4" max="4" width="9.140625" style="425" customWidth="1"/>
    <col min="5" max="5" width="16.42578125" style="425" customWidth="1"/>
    <col min="6" max="6" width="13" style="425" customWidth="1"/>
    <col min="7" max="7" width="16" style="425" customWidth="1"/>
    <col min="8" max="8" width="18.7109375" style="425" customWidth="1"/>
    <col min="9" max="9" width="17.140625" style="425" customWidth="1"/>
    <col min="10" max="10" width="19.85546875" style="425" customWidth="1"/>
    <col min="11" max="11" width="8.7109375" style="425" bestFit="1" customWidth="1"/>
    <col min="12" max="12" width="18.5703125" style="425" bestFit="1" customWidth="1"/>
    <col min="13" max="13" width="14.7109375" style="425" customWidth="1"/>
    <col min="14" max="16384" width="10.42578125" style="425"/>
  </cols>
  <sheetData>
    <row r="1" spans="2:16" ht="21" customHeight="1" x14ac:dyDescent="0.45">
      <c r="B1" s="1481" t="s">
        <v>473</v>
      </c>
      <c r="C1" s="1481"/>
      <c r="D1" s="1481"/>
      <c r="E1" s="1481"/>
      <c r="F1" s="1481"/>
      <c r="G1" s="429"/>
      <c r="H1" s="430"/>
    </row>
    <row r="2" spans="2:16" s="432" customFormat="1" ht="24" customHeight="1" thickBot="1" x14ac:dyDescent="0.7">
      <c r="B2" s="431"/>
      <c r="C2" s="428"/>
      <c r="D2" s="428"/>
      <c r="E2" s="428"/>
      <c r="F2" s="428"/>
    </row>
    <row r="3" spans="2:16" ht="21" thickBot="1" x14ac:dyDescent="0.55000000000000004">
      <c r="B3" s="433" t="s">
        <v>38</v>
      </c>
      <c r="C3" s="434" t="s">
        <v>474</v>
      </c>
      <c r="D3" s="434" t="s">
        <v>256</v>
      </c>
      <c r="E3" s="434" t="s">
        <v>19</v>
      </c>
      <c r="F3" s="435" t="s">
        <v>258</v>
      </c>
    </row>
    <row r="4" spans="2:16" ht="24" customHeight="1" x14ac:dyDescent="0.45">
      <c r="B4" s="436">
        <v>1</v>
      </c>
      <c r="C4" s="437" t="s">
        <v>475</v>
      </c>
      <c r="D4" s="438">
        <v>1</v>
      </c>
      <c r="E4" s="439">
        <v>0.15</v>
      </c>
      <c r="F4" s="440">
        <f>E4*D4</f>
        <v>0.15</v>
      </c>
      <c r="L4" s="441"/>
    </row>
    <row r="5" spans="2:16" ht="24" customHeight="1" x14ac:dyDescent="0.45">
      <c r="B5" s="436"/>
      <c r="C5" s="437" t="s">
        <v>476</v>
      </c>
      <c r="D5" s="438">
        <v>0.7</v>
      </c>
      <c r="E5" s="439">
        <v>0.15</v>
      </c>
      <c r="F5" s="440">
        <f>E5*D5</f>
        <v>0.105</v>
      </c>
      <c r="L5" s="441"/>
    </row>
    <row r="6" spans="2:16" ht="24" customHeight="1" thickBot="1" x14ac:dyDescent="0.5">
      <c r="B6" s="436">
        <v>2</v>
      </c>
      <c r="C6" s="437" t="s">
        <v>477</v>
      </c>
      <c r="D6" s="438">
        <v>1</v>
      </c>
      <c r="E6" s="439">
        <v>0.15</v>
      </c>
      <c r="F6" s="440">
        <f>E6*D6</f>
        <v>0.15</v>
      </c>
      <c r="G6" s="442"/>
      <c r="H6"/>
      <c r="I6"/>
      <c r="J6"/>
      <c r="K6"/>
      <c r="L6"/>
      <c r="M6"/>
      <c r="N6"/>
      <c r="O6"/>
      <c r="P6"/>
    </row>
    <row r="7" spans="2:16" ht="24" customHeight="1" thickBot="1" x14ac:dyDescent="0.5">
      <c r="B7" s="1508" t="s">
        <v>62</v>
      </c>
      <c r="C7" s="1509"/>
      <c r="D7" s="1509"/>
      <c r="E7" s="1509"/>
      <c r="F7" s="443">
        <f>SUM(F4:F6)</f>
        <v>0.40500000000000003</v>
      </c>
      <c r="H7"/>
      <c r="I7"/>
      <c r="J7"/>
      <c r="K7"/>
      <c r="L7"/>
      <c r="M7"/>
      <c r="N7"/>
      <c r="O7"/>
      <c r="P7"/>
    </row>
    <row r="8" spans="2:16" ht="24" customHeight="1" thickBot="1" x14ac:dyDescent="0.5">
      <c r="B8" s="444"/>
      <c r="C8" s="444"/>
      <c r="D8" s="444"/>
      <c r="E8" s="444"/>
      <c r="F8" s="438"/>
      <c r="H8"/>
      <c r="I8"/>
      <c r="J8"/>
      <c r="K8"/>
      <c r="L8"/>
      <c r="M8"/>
      <c r="N8"/>
      <c r="O8"/>
      <c r="P8"/>
    </row>
    <row r="9" spans="2:16" ht="21" thickBot="1" x14ac:dyDescent="0.5">
      <c r="B9" s="445" t="s">
        <v>38</v>
      </c>
      <c r="C9" s="434" t="s">
        <v>478</v>
      </c>
      <c r="D9" s="446" t="str">
        <f>D3</f>
        <v>نمره</v>
      </c>
      <c r="E9" s="446" t="str">
        <f>E3</f>
        <v>وزن</v>
      </c>
      <c r="F9" s="447" t="str">
        <f>F3</f>
        <v xml:space="preserve">امتیاز </v>
      </c>
      <c r="H9"/>
      <c r="I9"/>
      <c r="J9"/>
      <c r="K9"/>
      <c r="L9"/>
      <c r="M9"/>
      <c r="N9"/>
      <c r="O9"/>
      <c r="P9"/>
    </row>
    <row r="10" spans="2:16" ht="24" customHeight="1" x14ac:dyDescent="0.45">
      <c r="B10" s="436">
        <v>1</v>
      </c>
      <c r="C10" s="448" t="s">
        <v>479</v>
      </c>
      <c r="D10" s="438">
        <v>1</v>
      </c>
      <c r="E10" s="439">
        <v>0.25</v>
      </c>
      <c r="F10" s="440">
        <f t="shared" ref="F10:F12" si="0">E10*D10</f>
        <v>0.25</v>
      </c>
      <c r="H10"/>
      <c r="I10"/>
      <c r="J10"/>
      <c r="K10"/>
      <c r="L10"/>
      <c r="M10"/>
      <c r="N10"/>
      <c r="O10"/>
      <c r="P10"/>
    </row>
    <row r="11" spans="2:16" ht="24" customHeight="1" x14ac:dyDescent="0.45">
      <c r="B11" s="436">
        <v>2</v>
      </c>
      <c r="C11" s="448" t="s">
        <v>480</v>
      </c>
      <c r="D11" s="438"/>
      <c r="E11" s="439">
        <v>0.2</v>
      </c>
      <c r="F11" s="440">
        <f t="shared" si="0"/>
        <v>0</v>
      </c>
      <c r="H11"/>
      <c r="I11"/>
      <c r="J11"/>
      <c r="K11"/>
      <c r="L11"/>
      <c r="M11"/>
      <c r="N11"/>
      <c r="O11"/>
      <c r="P11"/>
    </row>
    <row r="12" spans="2:16" ht="24" customHeight="1" thickBot="1" x14ac:dyDescent="0.5">
      <c r="B12" s="436">
        <v>3</v>
      </c>
      <c r="C12" s="448" t="s">
        <v>481</v>
      </c>
      <c r="D12" s="439">
        <v>1</v>
      </c>
      <c r="E12" s="439">
        <v>0.3</v>
      </c>
      <c r="F12" s="440">
        <f t="shared" si="0"/>
        <v>0.3</v>
      </c>
      <c r="H12"/>
      <c r="I12"/>
      <c r="J12"/>
      <c r="K12"/>
      <c r="L12"/>
      <c r="M12"/>
      <c r="N12"/>
      <c r="O12"/>
      <c r="P12"/>
    </row>
    <row r="13" spans="2:16" ht="24" customHeight="1" thickBot="1" x14ac:dyDescent="0.5">
      <c r="B13" s="1508" t="s">
        <v>62</v>
      </c>
      <c r="C13" s="1509"/>
      <c r="D13" s="1509"/>
      <c r="E13" s="1509"/>
      <c r="F13" s="449">
        <f>MIN(0.55,SUM(F10:F12))</f>
        <v>0.55000000000000004</v>
      </c>
    </row>
    <row r="14" spans="2:16" ht="24" customHeight="1" thickBot="1" x14ac:dyDescent="0.5">
      <c r="B14" s="444"/>
      <c r="C14" s="444"/>
      <c r="D14" s="444"/>
      <c r="E14" s="444"/>
      <c r="F14" s="450"/>
    </row>
    <row r="15" spans="2:16" ht="21" thickBot="1" x14ac:dyDescent="0.5">
      <c r="B15" s="445" t="s">
        <v>38</v>
      </c>
      <c r="C15" s="434" t="s">
        <v>482</v>
      </c>
      <c r="D15" s="451" t="str">
        <f>D9</f>
        <v>نمره</v>
      </c>
      <c r="E15" s="451" t="str">
        <f>E9</f>
        <v>وزن</v>
      </c>
      <c r="F15" s="443" t="str">
        <f>F9</f>
        <v xml:space="preserve">امتیاز </v>
      </c>
    </row>
    <row r="16" spans="2:16" ht="24" customHeight="1" x14ac:dyDescent="0.45">
      <c r="B16" s="436">
        <v>1</v>
      </c>
      <c r="C16" s="452" t="s">
        <v>822</v>
      </c>
      <c r="D16" s="438">
        <v>0</v>
      </c>
      <c r="E16" s="438">
        <v>0.2</v>
      </c>
      <c r="F16" s="440">
        <f t="shared" ref="F16:F23" si="1">E16*D16</f>
        <v>0</v>
      </c>
    </row>
    <row r="17" spans="2:6" ht="24" customHeight="1" x14ac:dyDescent="0.45">
      <c r="B17" s="436">
        <v>2</v>
      </c>
      <c r="C17" s="452"/>
      <c r="D17" s="438">
        <v>0</v>
      </c>
      <c r="E17" s="438">
        <v>0.2</v>
      </c>
      <c r="F17" s="440">
        <f t="shared" si="1"/>
        <v>0</v>
      </c>
    </row>
    <row r="18" spans="2:6" ht="24" customHeight="1" x14ac:dyDescent="0.45">
      <c r="B18" s="436">
        <v>3</v>
      </c>
      <c r="C18" s="452"/>
      <c r="D18" s="438">
        <v>0</v>
      </c>
      <c r="E18" s="438">
        <v>0.2</v>
      </c>
      <c r="F18" s="440">
        <f t="shared" si="1"/>
        <v>0</v>
      </c>
    </row>
    <row r="19" spans="2:6" ht="24" customHeight="1" x14ac:dyDescent="0.45">
      <c r="B19" s="436">
        <v>4</v>
      </c>
      <c r="C19" s="452"/>
      <c r="D19" s="438">
        <v>0</v>
      </c>
      <c r="E19" s="438">
        <v>0.2</v>
      </c>
      <c r="F19" s="440">
        <f t="shared" si="1"/>
        <v>0</v>
      </c>
    </row>
    <row r="20" spans="2:6" ht="24" customHeight="1" x14ac:dyDescent="0.45">
      <c r="B20" s="436">
        <v>5</v>
      </c>
      <c r="C20" s="452"/>
      <c r="D20" s="438">
        <v>0</v>
      </c>
      <c r="E20" s="438">
        <v>0.2</v>
      </c>
      <c r="F20" s="440">
        <f t="shared" si="1"/>
        <v>0</v>
      </c>
    </row>
    <row r="21" spans="2:6" ht="24" customHeight="1" x14ac:dyDescent="0.45">
      <c r="B21" s="436">
        <v>6</v>
      </c>
      <c r="C21" s="452"/>
      <c r="D21" s="438">
        <v>0</v>
      </c>
      <c r="E21" s="438">
        <v>0.2</v>
      </c>
      <c r="F21" s="440">
        <f t="shared" si="1"/>
        <v>0</v>
      </c>
    </row>
    <row r="22" spans="2:6" ht="24" customHeight="1" x14ac:dyDescent="0.45">
      <c r="B22" s="436">
        <v>7</v>
      </c>
      <c r="C22" s="452"/>
      <c r="D22" s="438">
        <v>0</v>
      </c>
      <c r="E22" s="438">
        <v>0.2</v>
      </c>
      <c r="F22" s="440">
        <f t="shared" si="1"/>
        <v>0</v>
      </c>
    </row>
    <row r="23" spans="2:6" ht="24" customHeight="1" thickBot="1" x14ac:dyDescent="0.5">
      <c r="B23" s="436">
        <v>8</v>
      </c>
      <c r="C23" s="452"/>
      <c r="D23" s="438">
        <v>0</v>
      </c>
      <c r="E23" s="438">
        <v>0.2</v>
      </c>
      <c r="F23" s="440">
        <f t="shared" si="1"/>
        <v>0</v>
      </c>
    </row>
    <row r="24" spans="2:6" ht="24" customHeight="1" thickBot="1" x14ac:dyDescent="0.5">
      <c r="B24" s="1508" t="s">
        <v>259</v>
      </c>
      <c r="C24" s="1509"/>
      <c r="D24" s="1509"/>
      <c r="E24" s="1509"/>
      <c r="F24" s="449">
        <f>MIN(1,SUM(F16:F23))</f>
        <v>0</v>
      </c>
    </row>
    <row r="25" spans="2:6" ht="34.9" customHeight="1" thickBot="1" x14ac:dyDescent="0.5">
      <c r="C25" s="452"/>
      <c r="D25" s="426"/>
      <c r="E25" s="426"/>
      <c r="F25" s="426"/>
    </row>
    <row r="26" spans="2:6" ht="20.25" thickBot="1" x14ac:dyDescent="0.5">
      <c r="B26" s="1508" t="s">
        <v>260</v>
      </c>
      <c r="C26" s="1509"/>
      <c r="D26" s="1509"/>
      <c r="E26" s="1509"/>
      <c r="F26" s="453">
        <f>F7+F13</f>
        <v>0.95500000000000007</v>
      </c>
    </row>
  </sheetData>
  <mergeCells count="5">
    <mergeCell ref="B26:E26"/>
    <mergeCell ref="B1:F1"/>
    <mergeCell ref="B7:E7"/>
    <mergeCell ref="B13:E13"/>
    <mergeCell ref="B24:E2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92D050"/>
  </sheetPr>
  <dimension ref="A1:S44"/>
  <sheetViews>
    <sheetView rightToLeft="1" topLeftCell="B7" zoomScale="115" zoomScaleNormal="115" workbookViewId="0">
      <selection activeCell="N17" sqref="N17"/>
    </sheetView>
  </sheetViews>
  <sheetFormatPr defaultColWidth="8.85546875" defaultRowHeight="15" x14ac:dyDescent="0.25"/>
  <cols>
    <col min="1" max="1" width="97.28515625" style="6" customWidth="1"/>
    <col min="2" max="2" width="5.28515625" style="6" customWidth="1"/>
    <col min="3" max="6" width="7" style="6" customWidth="1"/>
    <col min="7" max="11" width="10.28515625" style="6" customWidth="1"/>
    <col min="12" max="12" width="8.42578125" style="6" customWidth="1"/>
    <col min="13" max="13" width="6.28515625" style="6" hidden="1" customWidth="1"/>
    <col min="14" max="14" width="24" style="6" customWidth="1"/>
    <col min="15" max="15" width="15.42578125" style="6" customWidth="1"/>
    <col min="16" max="16" width="19" style="6" bestFit="1" customWidth="1"/>
    <col min="17" max="17" width="8.85546875" style="6"/>
    <col min="18" max="18" width="13.85546875" style="6" bestFit="1" customWidth="1"/>
    <col min="19" max="16384" width="8.85546875" style="6"/>
  </cols>
  <sheetData>
    <row r="1" spans="1:19" ht="45" customHeight="1" x14ac:dyDescent="0.25">
      <c r="A1" s="170"/>
      <c r="B1" s="170"/>
      <c r="C1" s="170"/>
      <c r="D1" s="170"/>
      <c r="E1" s="170"/>
      <c r="F1" s="170"/>
      <c r="G1" s="170"/>
      <c r="H1" s="170"/>
      <c r="I1" s="170"/>
      <c r="J1" s="170"/>
      <c r="K1" s="170"/>
      <c r="O1" s="6" t="s">
        <v>553</v>
      </c>
      <c r="P1" s="536" t="s">
        <v>554</v>
      </c>
    </row>
    <row r="2" spans="1:19" ht="38.450000000000003" customHeight="1" thickBot="1" x14ac:dyDescent="0.55000000000000004">
      <c r="A2" s="171"/>
      <c r="B2" s="34"/>
      <c r="C2" s="34"/>
      <c r="D2" s="34"/>
      <c r="E2" s="34"/>
      <c r="F2" s="170"/>
      <c r="G2" s="170"/>
      <c r="H2" s="170"/>
      <c r="I2" s="170"/>
      <c r="J2" s="170"/>
      <c r="K2" s="170"/>
    </row>
    <row r="3" spans="1:19" ht="28.5" customHeight="1" thickBot="1" x14ac:dyDescent="0.5">
      <c r="A3" s="170"/>
      <c r="B3" s="1534" t="s">
        <v>261</v>
      </c>
      <c r="C3" s="1535"/>
      <c r="D3" s="1535"/>
      <c r="E3" s="1535"/>
      <c r="F3" s="1535"/>
      <c r="G3" s="1535"/>
      <c r="H3" s="1535"/>
      <c r="I3" s="1535"/>
      <c r="J3" s="1535"/>
      <c r="K3" s="1536"/>
      <c r="L3" s="57"/>
      <c r="M3" s="58"/>
    </row>
    <row r="4" spans="1:19" ht="35.450000000000003" customHeight="1" thickBot="1" x14ac:dyDescent="0.45">
      <c r="A4" s="10"/>
      <c r="B4" s="246" t="s">
        <v>38</v>
      </c>
      <c r="C4" s="1537" t="s">
        <v>78</v>
      </c>
      <c r="D4" s="1537"/>
      <c r="E4" s="1537"/>
      <c r="F4" s="1537"/>
      <c r="G4" s="247" t="s">
        <v>262</v>
      </c>
      <c r="H4" s="247" t="s">
        <v>263</v>
      </c>
      <c r="I4" s="247" t="s">
        <v>15</v>
      </c>
      <c r="J4" s="247" t="s">
        <v>264</v>
      </c>
      <c r="K4" s="248" t="s">
        <v>265</v>
      </c>
      <c r="L4" s="57"/>
      <c r="M4" s="59" t="s">
        <v>266</v>
      </c>
    </row>
    <row r="5" spans="1:19" ht="19.149999999999999" customHeight="1" x14ac:dyDescent="0.45">
      <c r="B5" s="43">
        <v>1</v>
      </c>
      <c r="C5" s="1538" t="s">
        <v>267</v>
      </c>
      <c r="D5" s="1538"/>
      <c r="E5" s="1538"/>
      <c r="F5" s="1538"/>
      <c r="G5" s="355"/>
      <c r="H5" s="242"/>
      <c r="I5" s="231">
        <f>IF(G5&gt;=$M$5,1,(G5/M5)*1)</f>
        <v>0</v>
      </c>
      <c r="J5" s="231">
        <v>0.4</v>
      </c>
      <c r="K5" s="232">
        <f>J5*I5</f>
        <v>0</v>
      </c>
      <c r="L5" s="57"/>
      <c r="M5" s="61">
        <v>0.15</v>
      </c>
    </row>
    <row r="6" spans="1:19" s="7" customFormat="1" ht="19.149999999999999" customHeight="1" x14ac:dyDescent="0.5">
      <c r="B6" s="43">
        <v>2</v>
      </c>
      <c r="C6" s="1539" t="s">
        <v>268</v>
      </c>
      <c r="D6" s="1539"/>
      <c r="E6" s="242" t="s">
        <v>269</v>
      </c>
      <c r="F6" s="242" t="s">
        <v>270</v>
      </c>
      <c r="G6" s="561">
        <f>'رونق فعالیت '!D35/1000</f>
        <v>2416.4050000000002</v>
      </c>
      <c r="H6" s="242" t="s">
        <v>496</v>
      </c>
      <c r="I6" s="231">
        <f>G6/M6</f>
        <v>0.25435842105263162</v>
      </c>
      <c r="J6" s="231">
        <v>0.4</v>
      </c>
      <c r="K6" s="243">
        <f>J6*I6</f>
        <v>0.10174336842105265</v>
      </c>
      <c r="L6" s="57"/>
      <c r="M6" s="471">
        <f>VLOOKUP(F6,'[22]زمینه ها'!$A$2:$B$6,2,FALSE)</f>
        <v>9500</v>
      </c>
      <c r="N6" s="667" t="s">
        <v>498</v>
      </c>
      <c r="O6" s="779">
        <f>[23]RATE1!$F$9</f>
        <v>1.2574970116033575</v>
      </c>
      <c r="P6" s="470"/>
    </row>
    <row r="7" spans="1:19" s="7" customFormat="1" ht="19.149999999999999" customHeight="1" thickBot="1" x14ac:dyDescent="0.55000000000000004">
      <c r="A7" s="11"/>
      <c r="B7" s="43">
        <v>3</v>
      </c>
      <c r="C7" s="1538" t="s">
        <v>271</v>
      </c>
      <c r="D7" s="1538"/>
      <c r="E7" s="1538"/>
      <c r="F7" s="1538"/>
      <c r="G7" s="231">
        <f>O6/O7</f>
        <v>0.41916567053445247</v>
      </c>
      <c r="H7" s="242"/>
      <c r="I7" s="231">
        <f>IF(G7&gt;=$M$7,1,(G7/M7)*1)</f>
        <v>0.52395708816806552</v>
      </c>
      <c r="J7" s="231">
        <v>0.2</v>
      </c>
      <c r="K7" s="243">
        <f>J7*I7</f>
        <v>0.1047914176336131</v>
      </c>
      <c r="L7" s="57"/>
      <c r="M7" s="472">
        <v>0.8</v>
      </c>
      <c r="N7" s="667" t="s">
        <v>497</v>
      </c>
      <c r="O7" s="668">
        <v>3</v>
      </c>
    </row>
    <row r="8" spans="1:19" s="7" customFormat="1" ht="19.149999999999999" customHeight="1" thickBot="1" x14ac:dyDescent="0.55000000000000004">
      <c r="B8" s="1540" t="s">
        <v>62</v>
      </c>
      <c r="C8" s="1541"/>
      <c r="D8" s="1541"/>
      <c r="E8" s="1541"/>
      <c r="F8" s="1541"/>
      <c r="G8" s="1541"/>
      <c r="H8" s="1541"/>
      <c r="I8" s="1541"/>
      <c r="J8" s="249">
        <f>SUM(J5:J7)</f>
        <v>1</v>
      </c>
      <c r="K8" s="233">
        <f>SUM(K5:K7)</f>
        <v>0.20653478605466574</v>
      </c>
      <c r="L8" s="57"/>
      <c r="M8" s="62"/>
    </row>
    <row r="9" spans="1:19" s="7" customFormat="1" ht="19.149999999999999" customHeight="1" thickBot="1" x14ac:dyDescent="0.5">
      <c r="B9" s="30"/>
      <c r="C9" s="30"/>
      <c r="D9" s="30"/>
      <c r="E9" s="30"/>
      <c r="F9" s="30"/>
      <c r="G9" s="30"/>
      <c r="H9" s="30"/>
      <c r="I9" s="30"/>
      <c r="J9" s="30"/>
      <c r="K9" s="30"/>
      <c r="L9" s="57"/>
      <c r="M9" s="62"/>
    </row>
    <row r="10" spans="1:19" s="7" customFormat="1" ht="19.149999999999999" customHeight="1" thickBot="1" x14ac:dyDescent="0.45">
      <c r="B10" s="1545" t="s">
        <v>272</v>
      </c>
      <c r="C10" s="1546"/>
      <c r="D10" s="1546"/>
      <c r="E10" s="1546"/>
      <c r="F10" s="1546"/>
      <c r="G10" s="1546"/>
      <c r="H10" s="1546"/>
      <c r="I10" s="1546"/>
      <c r="J10" s="1546"/>
      <c r="K10" s="1547"/>
      <c r="L10" s="57"/>
      <c r="M10" s="62"/>
      <c r="N10" s="786"/>
      <c r="O10" s="787"/>
      <c r="P10" s="787"/>
      <c r="Q10" s="788"/>
      <c r="R10" s="788"/>
      <c r="S10" s="789"/>
    </row>
    <row r="11" spans="1:19" s="240" customFormat="1" ht="36.6" customHeight="1" thickBot="1" x14ac:dyDescent="0.4">
      <c r="B11" s="246" t="s">
        <v>38</v>
      </c>
      <c r="C11" s="1537" t="s">
        <v>78</v>
      </c>
      <c r="D11" s="1537"/>
      <c r="E11" s="1537"/>
      <c r="F11" s="1537"/>
      <c r="G11" s="247" t="s">
        <v>262</v>
      </c>
      <c r="H11" s="247" t="s">
        <v>263</v>
      </c>
      <c r="I11" s="247" t="s">
        <v>15</v>
      </c>
      <c r="J11" s="247" t="s">
        <v>264</v>
      </c>
      <c r="K11" s="229" t="s">
        <v>265</v>
      </c>
      <c r="L11" s="245"/>
      <c r="M11" s="783" t="s">
        <v>266</v>
      </c>
      <c r="N11" s="790"/>
      <c r="O11" s="791"/>
      <c r="P11" s="791"/>
      <c r="Q11" s="782"/>
      <c r="R11" s="782"/>
      <c r="S11" s="792"/>
    </row>
    <row r="12" spans="1:19" s="7" customFormat="1" ht="19.149999999999999" customHeight="1" x14ac:dyDescent="0.4">
      <c r="B12" s="244">
        <v>1</v>
      </c>
      <c r="C12" s="1548" t="s">
        <v>273</v>
      </c>
      <c r="D12" s="1548"/>
      <c r="E12" s="1548"/>
      <c r="F12" s="1548"/>
      <c r="G12" s="353">
        <v>25</v>
      </c>
      <c r="H12" s="353"/>
      <c r="I12" s="230">
        <f>G12/M12</f>
        <v>1</v>
      </c>
      <c r="J12" s="230">
        <v>0.3</v>
      </c>
      <c r="K12" s="232">
        <f>J12*I12</f>
        <v>0.3</v>
      </c>
      <c r="L12" s="57"/>
      <c r="M12" s="784">
        <v>25</v>
      </c>
      <c r="N12" s="790" t="s">
        <v>902</v>
      </c>
      <c r="O12" s="791"/>
      <c r="P12" s="791"/>
      <c r="Q12" s="781"/>
      <c r="R12" s="781"/>
      <c r="S12" s="793"/>
    </row>
    <row r="13" spans="1:19" s="7" customFormat="1" ht="19.149999999999999" customHeight="1" thickBot="1" x14ac:dyDescent="0.6">
      <c r="B13" s="244">
        <v>2</v>
      </c>
      <c r="C13" s="1548" t="s">
        <v>274</v>
      </c>
      <c r="D13" s="1548"/>
      <c r="E13" s="1548"/>
      <c r="F13" s="1548"/>
      <c r="G13" s="353">
        <v>3</v>
      </c>
      <c r="H13" s="353"/>
      <c r="I13" s="230">
        <f>G13/M13</f>
        <v>1</v>
      </c>
      <c r="J13" s="230">
        <v>0.7</v>
      </c>
      <c r="K13" s="232">
        <f>J13*I13</f>
        <v>0.7</v>
      </c>
      <c r="L13" s="57"/>
      <c r="M13" s="785">
        <v>3</v>
      </c>
      <c r="N13" s="794"/>
      <c r="O13" s="791"/>
      <c r="P13" s="795"/>
      <c r="Q13" s="781"/>
      <c r="R13" s="781"/>
      <c r="S13" s="793"/>
    </row>
    <row r="14" spans="1:19" s="7" customFormat="1" ht="19.149999999999999" customHeight="1" thickBot="1" x14ac:dyDescent="0.6">
      <c r="B14" s="1542" t="s">
        <v>62</v>
      </c>
      <c r="C14" s="1543"/>
      <c r="D14" s="1543"/>
      <c r="E14" s="1543"/>
      <c r="F14" s="1543"/>
      <c r="G14" s="1543"/>
      <c r="H14" s="1543"/>
      <c r="I14" s="1544"/>
      <c r="J14" s="251">
        <f>SUM(J12:J13)</f>
        <v>1</v>
      </c>
      <c r="K14" s="250">
        <f>SUM(K11:K13)</f>
        <v>1</v>
      </c>
      <c r="L14" s="57"/>
      <c r="M14" s="63"/>
      <c r="N14" s="794"/>
      <c r="O14" s="791"/>
      <c r="P14" s="795"/>
      <c r="Q14" s="781"/>
      <c r="R14" s="781"/>
      <c r="S14" s="793"/>
    </row>
    <row r="15" spans="1:19" s="7" customFormat="1" ht="19.149999999999999" customHeight="1" thickBot="1" x14ac:dyDescent="0.6">
      <c r="B15" s="35"/>
      <c r="C15" s="35"/>
      <c r="D15" s="35"/>
      <c r="E15" s="35"/>
      <c r="F15" s="35"/>
      <c r="G15" s="35"/>
      <c r="H15" s="35"/>
      <c r="I15" s="35"/>
      <c r="J15" s="35"/>
      <c r="K15" s="35"/>
      <c r="L15" s="64"/>
      <c r="M15" s="57"/>
      <c r="N15" s="794"/>
      <c r="O15" s="791"/>
      <c r="P15" s="795"/>
      <c r="Q15" s="781"/>
      <c r="R15" s="781"/>
      <c r="S15" s="793"/>
    </row>
    <row r="16" spans="1:19" s="7" customFormat="1" ht="19.149999999999999" customHeight="1" x14ac:dyDescent="0.55000000000000004">
      <c r="B16" s="1531" t="s">
        <v>275</v>
      </c>
      <c r="C16" s="1532"/>
      <c r="D16" s="1532"/>
      <c r="E16" s="1532"/>
      <c r="F16" s="1532"/>
      <c r="G16" s="1532"/>
      <c r="H16" s="1532"/>
      <c r="I16" s="1532"/>
      <c r="J16" s="1532"/>
      <c r="K16" s="1533"/>
      <c r="L16" s="57"/>
      <c r="M16" s="58"/>
      <c r="N16" s="794"/>
      <c r="O16" s="791"/>
      <c r="P16" s="795"/>
      <c r="Q16" s="781"/>
      <c r="R16" s="781"/>
      <c r="S16" s="793"/>
    </row>
    <row r="17" spans="2:19" s="7" customFormat="1" ht="19.149999999999999" customHeight="1" x14ac:dyDescent="0.4">
      <c r="B17" s="1529" t="s">
        <v>38</v>
      </c>
      <c r="C17" s="1518" t="s">
        <v>78</v>
      </c>
      <c r="D17" s="1518"/>
      <c r="E17" s="1518"/>
      <c r="F17" s="1518"/>
      <c r="G17" s="1518"/>
      <c r="H17" s="1518" t="s">
        <v>15</v>
      </c>
      <c r="I17" s="1518"/>
      <c r="J17" s="1518" t="s">
        <v>276</v>
      </c>
      <c r="K17" s="1519" t="s">
        <v>277</v>
      </c>
      <c r="L17" s="57"/>
      <c r="M17" s="57"/>
      <c r="N17" s="796"/>
      <c r="O17" s="781"/>
      <c r="P17" s="781"/>
      <c r="Q17" s="781"/>
      <c r="R17" s="781"/>
      <c r="S17" s="793"/>
    </row>
    <row r="18" spans="2:19" s="7" customFormat="1" ht="19.149999999999999" customHeight="1" thickBot="1" x14ac:dyDescent="0.5">
      <c r="B18" s="1530"/>
      <c r="C18" s="1514"/>
      <c r="D18" s="1514"/>
      <c r="E18" s="1514"/>
      <c r="F18" s="1514"/>
      <c r="G18" s="1514"/>
      <c r="H18" s="1514"/>
      <c r="I18" s="1514"/>
      <c r="J18" s="1514"/>
      <c r="K18" s="1520"/>
      <c r="L18" s="57"/>
      <c r="M18" s="58"/>
      <c r="N18" s="796"/>
      <c r="O18" s="781"/>
      <c r="P18" s="781"/>
      <c r="Q18" s="781"/>
      <c r="R18" s="781"/>
      <c r="S18" s="793"/>
    </row>
    <row r="19" spans="2:19" s="7" customFormat="1" ht="33" customHeight="1" x14ac:dyDescent="0.45">
      <c r="B19" s="200">
        <v>1</v>
      </c>
      <c r="C19" s="1528" t="s">
        <v>278</v>
      </c>
      <c r="D19" s="1528"/>
      <c r="E19" s="1528"/>
      <c r="F19" s="1528"/>
      <c r="G19" s="1528"/>
      <c r="H19" s="1521"/>
      <c r="I19" s="1521"/>
      <c r="J19" s="230">
        <v>0.3</v>
      </c>
      <c r="K19" s="232">
        <f>J19*H19</f>
        <v>0</v>
      </c>
      <c r="L19" s="57"/>
      <c r="M19" s="57"/>
      <c r="N19" s="1510"/>
      <c r="O19" s="1511"/>
      <c r="P19" s="1511"/>
      <c r="Q19" s="207"/>
      <c r="R19" s="207"/>
      <c r="S19" s="797"/>
    </row>
    <row r="20" spans="2:19" s="7" customFormat="1" ht="34.15" customHeight="1" thickBot="1" x14ac:dyDescent="0.5">
      <c r="B20" s="200">
        <v>2</v>
      </c>
      <c r="C20" s="1528" t="s">
        <v>279</v>
      </c>
      <c r="D20" s="1528"/>
      <c r="E20" s="1528"/>
      <c r="F20" s="1528"/>
      <c r="G20" s="1528"/>
      <c r="H20" s="1521"/>
      <c r="I20" s="1521"/>
      <c r="J20" s="230">
        <v>1</v>
      </c>
      <c r="K20" s="232">
        <f>J20*H20</f>
        <v>0</v>
      </c>
      <c r="L20" s="57"/>
      <c r="M20" s="58"/>
      <c r="N20" s="1512"/>
      <c r="O20" s="1513"/>
      <c r="P20" s="1513"/>
      <c r="Q20" s="798"/>
      <c r="R20" s="799"/>
      <c r="S20" s="800"/>
    </row>
    <row r="21" spans="2:19" s="7" customFormat="1" ht="21" customHeight="1" thickBot="1" x14ac:dyDescent="0.5">
      <c r="B21" s="1522" t="s">
        <v>280</v>
      </c>
      <c r="C21" s="1523"/>
      <c r="D21" s="1523"/>
      <c r="E21" s="1523"/>
      <c r="F21" s="1523"/>
      <c r="G21" s="1523"/>
      <c r="H21" s="1524"/>
      <c r="I21" s="55">
        <f>SUM(I19:I20)</f>
        <v>0</v>
      </c>
      <c r="J21" s="252">
        <f>SUM(J19:J20)</f>
        <v>1.3</v>
      </c>
      <c r="K21" s="56">
        <f>MIN(SUM(K19:K20),1)</f>
        <v>0</v>
      </c>
      <c r="L21" s="57"/>
      <c r="M21" s="58"/>
      <c r="Q21" s="470"/>
      <c r="R21" s="780"/>
    </row>
    <row r="22" spans="2:19" s="7" customFormat="1" ht="19.149999999999999" customHeight="1" thickBot="1" x14ac:dyDescent="0.5">
      <c r="B22" s="66"/>
      <c r="C22" s="30"/>
      <c r="D22" s="66"/>
      <c r="E22" s="66"/>
      <c r="F22" s="66"/>
      <c r="G22" s="66"/>
      <c r="H22" s="66"/>
      <c r="I22" s="30"/>
      <c r="J22" s="30"/>
      <c r="K22" s="30"/>
      <c r="L22" s="60"/>
      <c r="M22" s="57"/>
    </row>
    <row r="23" spans="2:19" s="7" customFormat="1" ht="21" customHeight="1" x14ac:dyDescent="0.5">
      <c r="B23" s="1525" t="s">
        <v>281</v>
      </c>
      <c r="C23" s="1526"/>
      <c r="D23" s="1526"/>
      <c r="E23" s="1526"/>
      <c r="F23" s="1526"/>
      <c r="G23" s="1526"/>
      <c r="H23" s="1526"/>
      <c r="I23" s="1526"/>
      <c r="J23" s="1526"/>
      <c r="K23" s="1527"/>
      <c r="L23" s="60"/>
      <c r="M23" s="58"/>
    </row>
    <row r="24" spans="2:19" ht="15" customHeight="1" thickBot="1" x14ac:dyDescent="0.5">
      <c r="B24" s="185" t="s">
        <v>38</v>
      </c>
      <c r="C24" s="1514" t="s">
        <v>78</v>
      </c>
      <c r="D24" s="1514"/>
      <c r="E24" s="1514"/>
      <c r="F24" s="182" t="s">
        <v>282</v>
      </c>
      <c r="G24" s="182" t="s">
        <v>283</v>
      </c>
      <c r="H24" s="182" t="s">
        <v>284</v>
      </c>
      <c r="I24" s="182" t="s">
        <v>285</v>
      </c>
      <c r="J24" s="182" t="s">
        <v>286</v>
      </c>
      <c r="K24" s="184" t="s">
        <v>256</v>
      </c>
      <c r="L24" s="57"/>
      <c r="M24" s="58"/>
    </row>
    <row r="25" spans="2:19" ht="28.9" customHeight="1" thickBot="1" x14ac:dyDescent="0.5">
      <c r="B25" s="201">
        <v>1</v>
      </c>
      <c r="C25" s="1515" t="s">
        <v>287</v>
      </c>
      <c r="D25" s="1515"/>
      <c r="E25" s="1515"/>
      <c r="F25" s="322">
        <f>'[23]هزینه ثابت و متغیر'!$E$16</f>
        <v>7.1559240810888741E-2</v>
      </c>
      <c r="G25" s="322">
        <f>'[23]هزینه ثابت و متغیر'!$E$21</f>
        <v>0.3016673129119814</v>
      </c>
      <c r="H25" s="322">
        <f>'[23]هزینه ثابت و متغیر'!$E$19</f>
        <v>0.29081039162466071</v>
      </c>
      <c r="I25" s="322">
        <f>'[23]هزینه ثابت و متغیر'!$E$20</f>
        <v>1.6161103985842258E-2</v>
      </c>
      <c r="J25" s="322">
        <f>'[23]هزینه ثابت و متغیر'!$E$18</f>
        <v>0.31980195066662692</v>
      </c>
      <c r="K25" s="253">
        <f>VLOOKUP(F6,'زمینه ها'!A11:K14,11,FALSE)</f>
        <v>0.66245752034553707</v>
      </c>
      <c r="L25" s="419">
        <f>F25+G25+H25+I25++J25</f>
        <v>1</v>
      </c>
      <c r="M25" s="58"/>
    </row>
    <row r="26" spans="2:19" ht="28.9" customHeight="1" x14ac:dyDescent="0.45">
      <c r="B26" s="1516" t="s">
        <v>288</v>
      </c>
      <c r="C26" s="1517"/>
      <c r="D26" s="1517"/>
      <c r="E26" s="1517"/>
      <c r="F26" s="1517"/>
      <c r="G26" s="1517"/>
      <c r="H26" s="1517"/>
      <c r="I26" s="1517"/>
      <c r="J26" s="1517"/>
      <c r="K26" s="1517"/>
      <c r="L26" s="57"/>
      <c r="M26" s="58"/>
    </row>
    <row r="27" spans="2:19" ht="15" customHeight="1" x14ac:dyDescent="0.45">
      <c r="B27" s="25"/>
      <c r="C27" s="25"/>
      <c r="D27" s="25"/>
      <c r="E27" s="25"/>
      <c r="F27" s="25"/>
      <c r="G27" s="25"/>
      <c r="H27" s="25"/>
      <c r="I27" s="26"/>
      <c r="J27" s="26"/>
      <c r="K27" s="13"/>
      <c r="L27" s="13"/>
    </row>
    <row r="28" spans="2:19" ht="15" customHeight="1" x14ac:dyDescent="0.45">
      <c r="B28" s="25"/>
      <c r="C28" s="25"/>
      <c r="D28" s="25"/>
      <c r="E28" s="25"/>
      <c r="F28" s="25"/>
      <c r="G28" s="25"/>
      <c r="H28" s="25"/>
      <c r="I28" s="26"/>
      <c r="J28" s="26"/>
      <c r="K28" s="13"/>
      <c r="L28" s="13"/>
    </row>
    <row r="29" spans="2:19" ht="15" customHeight="1" x14ac:dyDescent="0.45">
      <c r="B29" s="25"/>
      <c r="C29" s="25"/>
      <c r="D29" s="25"/>
      <c r="E29" s="25"/>
      <c r="F29" s="25"/>
      <c r="G29" s="25"/>
      <c r="H29" s="25"/>
      <c r="I29" s="26"/>
      <c r="J29" s="26"/>
      <c r="K29" s="13"/>
      <c r="L29" s="13"/>
    </row>
    <row r="30" spans="2:19" ht="15" customHeight="1" x14ac:dyDescent="0.45">
      <c r="B30" s="25"/>
      <c r="C30" s="25"/>
      <c r="D30" s="25"/>
      <c r="E30" s="25"/>
      <c r="F30" s="25"/>
      <c r="G30" s="25"/>
      <c r="H30" s="25"/>
      <c r="I30" s="26"/>
      <c r="J30" s="26"/>
      <c r="K30" s="13"/>
      <c r="L30" s="13"/>
    </row>
    <row r="31" spans="2:19" ht="15" customHeight="1" x14ac:dyDescent="0.45">
      <c r="B31" s="25"/>
      <c r="C31" s="25"/>
      <c r="D31" s="25"/>
      <c r="E31" s="25"/>
      <c r="F31" s="25"/>
      <c r="G31" s="25"/>
      <c r="H31" s="25"/>
      <c r="I31" s="26"/>
      <c r="J31" s="26"/>
      <c r="K31" s="13"/>
      <c r="L31" s="13"/>
    </row>
    <row r="32" spans="2:19" ht="15" customHeight="1" x14ac:dyDescent="0.45">
      <c r="B32" s="25"/>
      <c r="C32" s="25"/>
      <c r="D32" s="25"/>
      <c r="E32" s="25"/>
      <c r="F32" s="25"/>
      <c r="G32" s="25"/>
      <c r="H32" s="25"/>
      <c r="I32" s="26"/>
      <c r="J32" s="26"/>
      <c r="K32" s="13"/>
      <c r="L32" s="13"/>
    </row>
    <row r="33" spans="2:12" ht="15" customHeight="1" x14ac:dyDescent="0.45">
      <c r="B33" s="25"/>
      <c r="C33" s="25"/>
      <c r="D33" s="25"/>
      <c r="E33" s="25"/>
      <c r="F33" s="25"/>
      <c r="G33" s="25"/>
      <c r="H33" s="25"/>
      <c r="I33" s="26"/>
      <c r="J33" s="26"/>
      <c r="K33" s="13"/>
      <c r="L33" s="13"/>
    </row>
    <row r="34" spans="2:12" ht="15" customHeight="1" x14ac:dyDescent="0.45">
      <c r="B34" s="25"/>
      <c r="C34" s="25"/>
      <c r="D34" s="25"/>
      <c r="E34" s="25"/>
      <c r="F34" s="25"/>
      <c r="G34" s="25"/>
      <c r="H34" s="25"/>
      <c r="I34" s="26"/>
      <c r="J34" s="26"/>
      <c r="K34" s="13"/>
      <c r="L34" s="13"/>
    </row>
    <row r="35" spans="2:12" ht="15" customHeight="1" x14ac:dyDescent="0.45">
      <c r="B35" s="25"/>
      <c r="C35" s="25"/>
      <c r="D35" s="25"/>
      <c r="E35" s="25"/>
      <c r="F35" s="25"/>
      <c r="G35" s="25"/>
      <c r="H35" s="25"/>
      <c r="I35" s="26"/>
      <c r="J35" s="26"/>
      <c r="K35" s="13"/>
      <c r="L35" s="13"/>
    </row>
    <row r="36" spans="2:12" ht="15" customHeight="1" x14ac:dyDescent="0.45">
      <c r="B36" s="25"/>
      <c r="C36" s="25"/>
      <c r="D36" s="25"/>
      <c r="E36" s="25"/>
      <c r="F36" s="25"/>
      <c r="G36" s="25"/>
      <c r="H36" s="25"/>
      <c r="I36" s="26"/>
      <c r="J36" s="26"/>
      <c r="K36" s="13"/>
      <c r="L36" s="13"/>
    </row>
    <row r="37" spans="2:12" ht="15" customHeight="1" x14ac:dyDescent="0.45">
      <c r="B37" s="25"/>
      <c r="C37" s="25"/>
      <c r="D37" s="25"/>
      <c r="E37" s="25"/>
      <c r="F37" s="25"/>
      <c r="G37" s="25"/>
      <c r="H37" s="25"/>
      <c r="I37" s="26"/>
      <c r="J37" s="26"/>
      <c r="K37" s="13"/>
      <c r="L37" s="13"/>
    </row>
    <row r="38" spans="2:12" ht="15" customHeight="1" x14ac:dyDescent="0.45">
      <c r="B38" s="25"/>
      <c r="C38" s="25"/>
      <c r="D38" s="25"/>
      <c r="E38" s="25"/>
      <c r="F38" s="25"/>
      <c r="G38" s="25"/>
      <c r="H38" s="25"/>
      <c r="I38" s="26"/>
      <c r="J38" s="26"/>
      <c r="K38" s="13"/>
      <c r="L38" s="13"/>
    </row>
    <row r="39" spans="2:12" ht="15" customHeight="1" x14ac:dyDescent="0.45">
      <c r="B39" s="25"/>
      <c r="C39" s="25"/>
      <c r="D39" s="25"/>
      <c r="E39" s="25"/>
      <c r="F39" s="25"/>
      <c r="G39" s="25"/>
      <c r="H39" s="25"/>
      <c r="I39" s="26"/>
      <c r="J39" s="26"/>
      <c r="K39" s="13"/>
      <c r="L39" s="13"/>
    </row>
    <row r="40" spans="2:12" ht="15" customHeight="1" x14ac:dyDescent="0.45">
      <c r="B40" s="25"/>
      <c r="C40" s="25"/>
      <c r="D40" s="25"/>
      <c r="E40" s="25"/>
      <c r="F40" s="25"/>
      <c r="G40" s="25"/>
      <c r="H40" s="25"/>
      <c r="I40" s="26"/>
      <c r="J40" s="26"/>
      <c r="K40" s="13"/>
      <c r="L40" s="13"/>
    </row>
    <row r="41" spans="2:12" ht="15" customHeight="1" x14ac:dyDescent="0.45">
      <c r="B41" s="25"/>
      <c r="C41" s="25"/>
      <c r="D41" s="25"/>
      <c r="E41" s="25"/>
      <c r="F41" s="25"/>
      <c r="G41" s="25"/>
      <c r="H41" s="25"/>
      <c r="I41" s="26"/>
      <c r="J41" s="26"/>
      <c r="K41" s="13"/>
      <c r="L41" s="13"/>
    </row>
    <row r="42" spans="2:12" ht="15" customHeight="1" x14ac:dyDescent="0.45">
      <c r="B42" s="25"/>
      <c r="C42" s="25"/>
      <c r="D42" s="25"/>
      <c r="E42" s="25"/>
      <c r="F42" s="25"/>
      <c r="G42" s="25"/>
      <c r="H42" s="25"/>
      <c r="I42" s="26"/>
      <c r="J42" s="26"/>
      <c r="K42" s="13"/>
      <c r="L42" s="13"/>
    </row>
    <row r="43" spans="2:12" ht="15" customHeight="1" x14ac:dyDescent="0.45">
      <c r="B43" s="25"/>
      <c r="C43" s="25"/>
      <c r="D43" s="25"/>
      <c r="E43" s="25"/>
      <c r="F43" s="25"/>
      <c r="G43" s="25"/>
      <c r="H43" s="25"/>
      <c r="I43" s="26"/>
      <c r="J43" s="26"/>
      <c r="K43" s="13"/>
      <c r="L43" s="13"/>
    </row>
    <row r="44" spans="2:12" ht="15" customHeight="1" x14ac:dyDescent="0.45">
      <c r="B44" s="25"/>
      <c r="C44" s="25"/>
      <c r="D44" s="25"/>
      <c r="E44" s="25"/>
      <c r="F44" s="25"/>
      <c r="G44" s="25"/>
      <c r="H44" s="25"/>
      <c r="I44" s="26"/>
      <c r="J44" s="26"/>
      <c r="K44" s="13"/>
      <c r="L44" s="13"/>
    </row>
  </sheetData>
  <mergeCells count="28">
    <mergeCell ref="B16:K16"/>
    <mergeCell ref="B3:K3"/>
    <mergeCell ref="C4:F4"/>
    <mergeCell ref="C5:F5"/>
    <mergeCell ref="C6:D6"/>
    <mergeCell ref="C7:F7"/>
    <mergeCell ref="B8:I8"/>
    <mergeCell ref="B14:I14"/>
    <mergeCell ref="B10:K10"/>
    <mergeCell ref="C11:F11"/>
    <mergeCell ref="C12:F12"/>
    <mergeCell ref="C13:F13"/>
    <mergeCell ref="J17:J18"/>
    <mergeCell ref="K17:K18"/>
    <mergeCell ref="H20:I20"/>
    <mergeCell ref="B21:H21"/>
    <mergeCell ref="B23:K23"/>
    <mergeCell ref="C20:G20"/>
    <mergeCell ref="C19:G19"/>
    <mergeCell ref="H19:I19"/>
    <mergeCell ref="B17:B18"/>
    <mergeCell ref="C17:G18"/>
    <mergeCell ref="H17:I18"/>
    <mergeCell ref="N19:P19"/>
    <mergeCell ref="N20:P20"/>
    <mergeCell ref="C24:E24"/>
    <mergeCell ref="C25:E25"/>
    <mergeCell ref="B26:K2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'زمینه ها'!$A$3:$A$6</xm:f>
          </x14:formula1>
          <xm:sqref>F6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0"/>
  </sheetPr>
  <dimension ref="A1:W185"/>
  <sheetViews>
    <sheetView rightToLeft="1" topLeftCell="A49" zoomScale="55" zoomScaleNormal="55" workbookViewId="0">
      <selection activeCell="G14" sqref="G14"/>
    </sheetView>
  </sheetViews>
  <sheetFormatPr defaultColWidth="9.140625" defaultRowHeight="15" customHeight="1" x14ac:dyDescent="0.25"/>
  <cols>
    <col min="1" max="1" width="7.42578125" style="1" customWidth="1"/>
    <col min="2" max="2" width="9.7109375" style="1" bestFit="1" customWidth="1"/>
    <col min="3" max="3" width="18.85546875" style="1" bestFit="1" customWidth="1"/>
    <col min="4" max="4" width="16" style="1" bestFit="1" customWidth="1"/>
    <col min="5" max="5" width="6.28515625" style="1" bestFit="1" customWidth="1"/>
    <col min="6" max="16384" width="9.140625" style="1"/>
  </cols>
  <sheetData>
    <row r="1" spans="1:23" ht="22.5" x14ac:dyDescent="0.55000000000000004">
      <c r="A1" s="1549" t="s">
        <v>296</v>
      </c>
      <c r="B1" s="1549"/>
      <c r="C1" s="1549"/>
      <c r="D1" s="1549"/>
      <c r="E1" s="1549"/>
      <c r="F1" s="1549"/>
      <c r="G1" s="1549"/>
      <c r="H1" s="1549"/>
      <c r="I1" s="1549"/>
      <c r="J1" s="1549"/>
      <c r="K1" s="1549"/>
      <c r="L1" s="1549"/>
      <c r="M1" s="1549"/>
      <c r="N1" s="1549"/>
      <c r="O1" s="1549"/>
      <c r="P1" s="1549"/>
      <c r="Q1" s="1549"/>
      <c r="R1" s="1549"/>
      <c r="S1" s="1549"/>
      <c r="T1" s="1549"/>
      <c r="U1" s="1549"/>
      <c r="V1" s="1549"/>
      <c r="W1" s="1549"/>
    </row>
    <row r="2" spans="1:23" x14ac:dyDescent="0.25">
      <c r="A2" s="141" t="s">
        <v>291</v>
      </c>
      <c r="B2" s="141">
        <v>0.01</v>
      </c>
    </row>
    <row r="3" spans="1:23" x14ac:dyDescent="0.25">
      <c r="A3" s="142" t="s">
        <v>292</v>
      </c>
      <c r="B3" s="142">
        <v>1</v>
      </c>
      <c r="C3" s="1">
        <v>1000000000</v>
      </c>
    </row>
    <row r="4" spans="1:23" x14ac:dyDescent="0.25">
      <c r="A4" s="143" t="s">
        <v>293</v>
      </c>
      <c r="B4" s="143">
        <v>1.1399999999999999</v>
      </c>
      <c r="C4" s="1">
        <v>5</v>
      </c>
      <c r="D4" s="144">
        <f t="shared" ref="D4:D21" si="0">C4*$B$2+$B$3*$B$4^(C4*$B$5+$B$6)</f>
        <v>3.7669490700039683</v>
      </c>
    </row>
    <row r="5" spans="1:23" x14ac:dyDescent="0.25">
      <c r="A5" s="143" t="s">
        <v>294</v>
      </c>
      <c r="B5" s="143">
        <v>4.0000000000000001E-3</v>
      </c>
      <c r="C5" s="1">
        <v>10</v>
      </c>
      <c r="D5" s="144">
        <f t="shared" si="0"/>
        <v>3.826702351539597</v>
      </c>
    </row>
    <row r="6" spans="1:23" x14ac:dyDescent="0.25">
      <c r="A6" s="143" t="s">
        <v>295</v>
      </c>
      <c r="B6" s="143">
        <v>10</v>
      </c>
      <c r="C6" s="1">
        <v>20</v>
      </c>
      <c r="D6" s="144">
        <f t="shared" si="0"/>
        <v>3.9462857596547023</v>
      </c>
    </row>
    <row r="7" spans="1:23" x14ac:dyDescent="0.25">
      <c r="C7" s="1">
        <v>40</v>
      </c>
      <c r="D7" s="144">
        <f t="shared" si="0"/>
        <v>4.1857618425806127</v>
      </c>
    </row>
    <row r="8" spans="1:23" x14ac:dyDescent="0.25">
      <c r="C8" s="1">
        <v>80</v>
      </c>
      <c r="D8" s="144">
        <f t="shared" si="0"/>
        <v>4.6659663166473129</v>
      </c>
    </row>
    <row r="9" spans="1:23" x14ac:dyDescent="0.25">
      <c r="C9" s="1">
        <v>100</v>
      </c>
      <c r="D9" s="144">
        <f t="shared" si="0"/>
        <v>4.9067035205595975</v>
      </c>
    </row>
    <row r="10" spans="1:23" x14ac:dyDescent="0.25">
      <c r="C10" s="1">
        <v>150</v>
      </c>
      <c r="D10" s="144">
        <f t="shared" si="0"/>
        <v>5.5104344676942434</v>
      </c>
    </row>
    <row r="11" spans="1:23" x14ac:dyDescent="0.25">
      <c r="C11" s="1">
        <v>200</v>
      </c>
      <c r="D11" s="144">
        <f t="shared" si="0"/>
        <v>6.1169196830595913</v>
      </c>
    </row>
    <row r="12" spans="1:23" x14ac:dyDescent="0.25">
      <c r="C12" s="1">
        <v>300</v>
      </c>
      <c r="D12" s="144">
        <f t="shared" si="0"/>
        <v>7.33844738602936</v>
      </c>
    </row>
    <row r="13" spans="1:23" x14ac:dyDescent="0.25">
      <c r="C13" s="1">
        <v>500</v>
      </c>
      <c r="D13" s="144">
        <f t="shared" si="0"/>
        <v>9.8179048198284864</v>
      </c>
    </row>
    <row r="14" spans="1:23" x14ac:dyDescent="0.25">
      <c r="A14" s="141"/>
      <c r="B14" s="141"/>
      <c r="C14" s="1">
        <v>1000</v>
      </c>
      <c r="D14" s="144">
        <f t="shared" si="0"/>
        <v>16.261349103849099</v>
      </c>
    </row>
    <row r="15" spans="1:23" x14ac:dyDescent="0.25">
      <c r="C15" s="1">
        <v>1500</v>
      </c>
      <c r="D15" s="144">
        <f t="shared" si="0"/>
        <v>23.137249295362292</v>
      </c>
    </row>
    <row r="16" spans="1:23" x14ac:dyDescent="0.25">
      <c r="C16" s="1">
        <v>2000</v>
      </c>
      <c r="D16" s="144">
        <f t="shared" si="0"/>
        <v>30.575169184252832</v>
      </c>
    </row>
    <row r="17" spans="3:4" x14ac:dyDescent="0.25">
      <c r="C17" s="1">
        <v>3000</v>
      </c>
      <c r="D17" s="144">
        <f t="shared" si="0"/>
        <v>47.861039437462729</v>
      </c>
    </row>
    <row r="18" spans="3:4" x14ac:dyDescent="0.25">
      <c r="C18" s="1">
        <v>3500</v>
      </c>
      <c r="D18" s="144">
        <f t="shared" si="0"/>
        <v>58.21220685292657</v>
      </c>
    </row>
    <row r="19" spans="3:4" x14ac:dyDescent="0.25">
      <c r="C19" s="1">
        <v>4000</v>
      </c>
      <c r="D19" s="144">
        <f t="shared" si="0"/>
        <v>70.166584026063362</v>
      </c>
    </row>
    <row r="20" spans="3:4" x14ac:dyDescent="0.25">
      <c r="C20" s="1">
        <v>5000</v>
      </c>
      <c r="D20" s="144">
        <f t="shared" si="0"/>
        <v>100.9501585833134</v>
      </c>
    </row>
    <row r="21" spans="3:4" x14ac:dyDescent="0.25">
      <c r="C21" s="1">
        <v>6000</v>
      </c>
      <c r="D21" s="144">
        <f t="shared" si="0"/>
        <v>146.0527879928984</v>
      </c>
    </row>
    <row r="37" spans="1:23" ht="27" customHeight="1" x14ac:dyDescent="0.55000000000000004">
      <c r="A37" s="1549" t="s">
        <v>395</v>
      </c>
      <c r="B37" s="1549"/>
      <c r="C37" s="1549"/>
      <c r="D37" s="1549"/>
      <c r="E37" s="1549"/>
      <c r="F37" s="1549"/>
      <c r="G37" s="1549"/>
      <c r="H37" s="1549"/>
      <c r="I37" s="1549"/>
      <c r="J37" s="1549"/>
      <c r="K37" s="1549"/>
      <c r="L37" s="1549"/>
      <c r="M37" s="1549"/>
      <c r="N37" s="1549"/>
      <c r="O37" s="1549"/>
      <c r="P37" s="1549"/>
      <c r="Q37" s="1549"/>
      <c r="R37" s="1549"/>
      <c r="S37" s="1549"/>
      <c r="T37" s="1549"/>
      <c r="U37" s="1549"/>
      <c r="V37" s="1549"/>
      <c r="W37" s="1549"/>
    </row>
    <row r="38" spans="1:23" x14ac:dyDescent="0.25">
      <c r="A38" s="141" t="s">
        <v>291</v>
      </c>
      <c r="B38" s="141">
        <v>0.1</v>
      </c>
    </row>
    <row r="39" spans="1:23" x14ac:dyDescent="0.25">
      <c r="A39" s="142" t="s">
        <v>292</v>
      </c>
      <c r="B39" s="142">
        <v>1.7</v>
      </c>
      <c r="C39" s="1">
        <v>1000000000000</v>
      </c>
    </row>
    <row r="40" spans="1:23" x14ac:dyDescent="0.25">
      <c r="A40" s="143" t="s">
        <v>293</v>
      </c>
      <c r="B40" s="143">
        <v>1.1200000000000001</v>
      </c>
      <c r="C40" s="145">
        <v>10</v>
      </c>
      <c r="D40" s="146">
        <f t="shared" ref="D40:D58" si="1">C40*$B$38+$B$39*$B$40^(C40*$B$41+$B$42)</f>
        <v>8.0092928413069941</v>
      </c>
    </row>
    <row r="41" spans="1:23" x14ac:dyDescent="0.25">
      <c r="A41" s="143" t="s">
        <v>294</v>
      </c>
      <c r="B41" s="143">
        <v>0.25</v>
      </c>
      <c r="C41" s="145">
        <f t="shared" ref="C41:C58" si="2">C40+5</f>
        <v>15</v>
      </c>
      <c r="D41" s="146">
        <f t="shared" si="1"/>
        <v>9.5760078626591199</v>
      </c>
    </row>
    <row r="42" spans="1:23" x14ac:dyDescent="0.25">
      <c r="A42" s="143" t="s">
        <v>295</v>
      </c>
      <c r="B42" s="143">
        <v>10</v>
      </c>
      <c r="C42" s="145">
        <f t="shared" si="2"/>
        <v>20</v>
      </c>
      <c r="D42" s="146">
        <f t="shared" si="1"/>
        <v>11.305061790736973</v>
      </c>
    </row>
    <row r="43" spans="1:23" x14ac:dyDescent="0.25">
      <c r="C43" s="145">
        <f t="shared" si="2"/>
        <v>25</v>
      </c>
      <c r="D43" s="146">
        <f t="shared" si="1"/>
        <v>13.221160306166961</v>
      </c>
    </row>
    <row r="44" spans="1:23" x14ac:dyDescent="0.25">
      <c r="C44" s="145">
        <f t="shared" si="2"/>
        <v>30</v>
      </c>
      <c r="D44" s="146">
        <f t="shared" si="1"/>
        <v>15.352768943990682</v>
      </c>
    </row>
    <row r="45" spans="1:23" x14ac:dyDescent="0.25">
      <c r="C45" s="145">
        <f t="shared" si="2"/>
        <v>35</v>
      </c>
      <c r="D45" s="146">
        <f t="shared" si="1"/>
        <v>17.732685290215112</v>
      </c>
    </row>
    <row r="46" spans="1:23" x14ac:dyDescent="0.25">
      <c r="C46" s="145">
        <f t="shared" si="2"/>
        <v>40</v>
      </c>
      <c r="D46" s="146">
        <f t="shared" si="1"/>
        <v>20.398698258567411</v>
      </c>
    </row>
    <row r="47" spans="1:23" x14ac:dyDescent="0.25">
      <c r="C47" s="145">
        <f t="shared" si="2"/>
        <v>45</v>
      </c>
      <c r="D47" s="146">
        <f t="shared" si="1"/>
        <v>23.394347699827318</v>
      </c>
    </row>
    <row r="48" spans="1:23" x14ac:dyDescent="0.25">
      <c r="C48" s="145">
        <f t="shared" si="2"/>
        <v>50</v>
      </c>
      <c r="D48" s="146">
        <f t="shared" si="1"/>
        <v>26.769799612933234</v>
      </c>
    </row>
    <row r="49" spans="3:4" x14ac:dyDescent="0.25">
      <c r="C49" s="145">
        <f t="shared" si="2"/>
        <v>55</v>
      </c>
      <c r="D49" s="146">
        <f t="shared" si="1"/>
        <v>30.58285455081359</v>
      </c>
    </row>
    <row r="50" spans="3:4" x14ac:dyDescent="0.25">
      <c r="C50" s="145">
        <f t="shared" si="2"/>
        <v>60</v>
      </c>
      <c r="D50" s="146">
        <f t="shared" si="1"/>
        <v>34.900109491292611</v>
      </c>
    </row>
    <row r="51" spans="3:4" x14ac:dyDescent="0.25">
      <c r="C51" s="145">
        <f t="shared" si="2"/>
        <v>65</v>
      </c>
      <c r="D51" s="146">
        <f t="shared" si="1"/>
        <v>39.798296528279742</v>
      </c>
    </row>
    <row r="52" spans="3:4" x14ac:dyDescent="0.25">
      <c r="C52" s="145">
        <f t="shared" si="2"/>
        <v>70</v>
      </c>
      <c r="D52" s="146">
        <f t="shared" si="1"/>
        <v>45.365825292783491</v>
      </c>
    </row>
    <row r="53" spans="3:4" x14ac:dyDescent="0.25">
      <c r="C53" s="145">
        <f t="shared" si="2"/>
        <v>75</v>
      </c>
      <c r="D53" s="146">
        <f t="shared" si="1"/>
        <v>51.704560108541635</v>
      </c>
    </row>
    <row r="54" spans="3:4" x14ac:dyDescent="0.25">
      <c r="C54" s="145">
        <f t="shared" si="2"/>
        <v>80</v>
      </c>
      <c r="D54" s="146">
        <f t="shared" si="1"/>
        <v>58.931867605548923</v>
      </c>
    </row>
    <row r="55" spans="3:4" x14ac:dyDescent="0.25">
      <c r="C55" s="145">
        <f t="shared" si="2"/>
        <v>85</v>
      </c>
      <c r="D55" s="146">
        <f t="shared" si="1"/>
        <v>67.182975951341263</v>
      </c>
    </row>
    <row r="56" spans="3:4" x14ac:dyDescent="0.25">
      <c r="C56" s="145">
        <f t="shared" si="2"/>
        <v>90</v>
      </c>
      <c r="D56" s="146">
        <f t="shared" si="1"/>
        <v>76.613693123841216</v>
      </c>
    </row>
    <row r="57" spans="3:4" x14ac:dyDescent="0.25">
      <c r="C57" s="145">
        <f t="shared" si="2"/>
        <v>95</v>
      </c>
      <c r="D57" s="146">
        <f t="shared" si="1"/>
        <v>87.403538866802876</v>
      </c>
    </row>
    <row r="58" spans="3:4" x14ac:dyDescent="0.25">
      <c r="C58" s="145">
        <f t="shared" si="2"/>
        <v>100</v>
      </c>
      <c r="D58" s="146">
        <f t="shared" si="1"/>
        <v>99.759353284482685</v>
      </c>
    </row>
    <row r="70" spans="1:23" x14ac:dyDescent="0.25">
      <c r="A70" s="1550" t="s">
        <v>396</v>
      </c>
      <c r="B70" s="1550"/>
      <c r="C70" s="1550"/>
      <c r="D70" s="1550"/>
      <c r="E70" s="1550"/>
      <c r="F70" s="1550"/>
      <c r="G70" s="1550"/>
      <c r="H70" s="1550"/>
      <c r="I70" s="1550"/>
      <c r="J70" s="1550"/>
      <c r="K70" s="1550"/>
      <c r="L70" s="1550"/>
      <c r="M70" s="1550"/>
      <c r="N70" s="1550"/>
      <c r="O70" s="1550"/>
      <c r="P70" s="1550"/>
      <c r="Q70" s="1550"/>
      <c r="R70" s="1550"/>
      <c r="S70" s="1550"/>
      <c r="T70" s="1550"/>
      <c r="U70" s="1550"/>
      <c r="V70" s="1550"/>
      <c r="W70" s="1550"/>
    </row>
    <row r="72" spans="1:23" x14ac:dyDescent="0.25">
      <c r="A72" s="141" t="s">
        <v>291</v>
      </c>
      <c r="B72" s="141">
        <v>0.01</v>
      </c>
    </row>
    <row r="73" spans="1:23" x14ac:dyDescent="0.25">
      <c r="A73" s="142" t="s">
        <v>292</v>
      </c>
      <c r="B73" s="142">
        <v>1E-3</v>
      </c>
      <c r="C73" s="1">
        <v>1000000000</v>
      </c>
    </row>
    <row r="74" spans="1:23" x14ac:dyDescent="0.25">
      <c r="A74" s="143" t="s">
        <v>293</v>
      </c>
      <c r="B74" s="143">
        <v>1.76</v>
      </c>
      <c r="C74" s="145">
        <v>100</v>
      </c>
      <c r="D74" s="146">
        <f t="shared" ref="D74:D93" si="3">C74*$B$72+$B$73*$B$74^(C74*$B$75+$B$76)</f>
        <v>1.0017699776991225</v>
      </c>
      <c r="E74" s="147"/>
    </row>
    <row r="75" spans="1:23" x14ac:dyDescent="0.25">
      <c r="A75" s="143" t="s">
        <v>294</v>
      </c>
      <c r="B75" s="143">
        <v>0.01</v>
      </c>
      <c r="C75" s="145">
        <f t="shared" ref="C75:C93" si="4">C74+100</f>
        <v>200</v>
      </c>
      <c r="D75" s="146">
        <f t="shared" si="3"/>
        <v>2.0031151607504558</v>
      </c>
      <c r="E75" s="147"/>
    </row>
    <row r="76" spans="1:23" x14ac:dyDescent="0.25">
      <c r="A76" s="143" t="s">
        <v>295</v>
      </c>
      <c r="B76" s="143">
        <v>0.01</v>
      </c>
      <c r="C76" s="145">
        <f t="shared" si="4"/>
        <v>300</v>
      </c>
      <c r="D76" s="146">
        <f t="shared" si="3"/>
        <v>3.0054826829208019</v>
      </c>
      <c r="E76" s="147"/>
    </row>
    <row r="77" spans="1:23" x14ac:dyDescent="0.25">
      <c r="C77" s="145">
        <f t="shared" si="4"/>
        <v>400</v>
      </c>
      <c r="D77" s="146">
        <f t="shared" si="3"/>
        <v>4.0096495219406112</v>
      </c>
      <c r="E77" s="148"/>
    </row>
    <row r="78" spans="1:23" x14ac:dyDescent="0.25">
      <c r="C78" s="145">
        <f t="shared" si="4"/>
        <v>500</v>
      </c>
      <c r="D78" s="146">
        <f t="shared" si="3"/>
        <v>5.0169831586154761</v>
      </c>
      <c r="E78" s="149"/>
    </row>
    <row r="79" spans="1:23" x14ac:dyDescent="0.25">
      <c r="C79" s="145">
        <f t="shared" si="4"/>
        <v>600</v>
      </c>
      <c r="D79" s="146">
        <f t="shared" si="3"/>
        <v>6.0298903591632378</v>
      </c>
      <c r="E79" s="149"/>
    </row>
    <row r="80" spans="1:23" x14ac:dyDescent="0.25">
      <c r="C80" s="145">
        <f t="shared" si="4"/>
        <v>700</v>
      </c>
      <c r="D80" s="146">
        <f t="shared" si="3"/>
        <v>7.0526070321272991</v>
      </c>
    </row>
    <row r="81" spans="3:4" x14ac:dyDescent="0.25">
      <c r="C81" s="145">
        <f t="shared" si="4"/>
        <v>800</v>
      </c>
      <c r="D81" s="146">
        <f t="shared" si="3"/>
        <v>8.0925883765440449</v>
      </c>
    </row>
    <row r="82" spans="3:4" x14ac:dyDescent="0.25">
      <c r="C82" s="145">
        <f t="shared" si="4"/>
        <v>900</v>
      </c>
      <c r="D82" s="146">
        <f t="shared" si="3"/>
        <v>9.1629555427175209</v>
      </c>
    </row>
    <row r="83" spans="3:4" x14ac:dyDescent="0.25">
      <c r="C83" s="145">
        <f t="shared" si="4"/>
        <v>1000</v>
      </c>
      <c r="D83" s="146">
        <f t="shared" si="3"/>
        <v>10.286801755182836</v>
      </c>
    </row>
    <row r="84" spans="3:4" x14ac:dyDescent="0.25">
      <c r="C84" s="145">
        <f t="shared" si="4"/>
        <v>1100</v>
      </c>
      <c r="D84" s="146">
        <f t="shared" si="3"/>
        <v>11.504771089121792</v>
      </c>
    </row>
    <row r="85" spans="3:4" x14ac:dyDescent="0.25">
      <c r="C85" s="145">
        <f t="shared" si="4"/>
        <v>1200</v>
      </c>
      <c r="D85" s="146">
        <f t="shared" si="3"/>
        <v>12.888397116854353</v>
      </c>
    </row>
    <row r="86" spans="3:4" x14ac:dyDescent="0.25">
      <c r="C86" s="145">
        <f t="shared" si="4"/>
        <v>1300</v>
      </c>
      <c r="D86" s="146">
        <f t="shared" si="3"/>
        <v>14.563578925663663</v>
      </c>
    </row>
    <row r="87" spans="3:4" x14ac:dyDescent="0.25">
      <c r="C87" s="145">
        <f t="shared" si="4"/>
        <v>1400</v>
      </c>
      <c r="D87" s="146">
        <f t="shared" si="3"/>
        <v>16.751898909168045</v>
      </c>
    </row>
    <row r="88" spans="3:4" x14ac:dyDescent="0.25">
      <c r="C88" s="145">
        <f t="shared" si="4"/>
        <v>1500</v>
      </c>
      <c r="D88" s="146">
        <f t="shared" si="3"/>
        <v>19.843342080135756</v>
      </c>
    </row>
    <row r="89" spans="3:4" x14ac:dyDescent="0.25">
      <c r="C89" s="145">
        <f t="shared" si="4"/>
        <v>1600</v>
      </c>
      <c r="D89" s="146">
        <f t="shared" si="3"/>
        <v>24.524282061038946</v>
      </c>
    </row>
    <row r="90" spans="3:4" x14ac:dyDescent="0.25">
      <c r="C90" s="145">
        <f t="shared" si="4"/>
        <v>1700</v>
      </c>
      <c r="D90" s="146">
        <f t="shared" si="3"/>
        <v>32.002736427428545</v>
      </c>
    </row>
    <row r="91" spans="3:4" x14ac:dyDescent="0.25">
      <c r="C91" s="145">
        <f t="shared" si="4"/>
        <v>1800</v>
      </c>
      <c r="D91" s="146">
        <f t="shared" si="3"/>
        <v>44.404816112274247</v>
      </c>
    </row>
    <row r="92" spans="3:4" x14ac:dyDescent="0.25">
      <c r="C92" s="145">
        <f t="shared" si="4"/>
        <v>1900</v>
      </c>
      <c r="D92" s="146">
        <f t="shared" si="3"/>
        <v>65.472476357602673</v>
      </c>
    </row>
    <row r="93" spans="3:4" x14ac:dyDescent="0.25">
      <c r="C93" s="145">
        <f t="shared" si="4"/>
        <v>2000</v>
      </c>
      <c r="D93" s="146">
        <f t="shared" si="3"/>
        <v>101.79155838938071</v>
      </c>
    </row>
    <row r="104" spans="1:22" ht="22.5" x14ac:dyDescent="0.55000000000000004">
      <c r="A104" s="1549" t="s">
        <v>270</v>
      </c>
      <c r="B104" s="1549"/>
      <c r="C104" s="1549"/>
      <c r="D104" s="1549"/>
      <c r="E104" s="1549"/>
      <c r="F104" s="1549"/>
      <c r="G104" s="1549"/>
      <c r="H104" s="1549"/>
      <c r="I104" s="1549"/>
      <c r="J104" s="1549"/>
      <c r="K104" s="1549"/>
      <c r="L104" s="1549"/>
      <c r="M104" s="1549"/>
      <c r="N104" s="1549"/>
      <c r="O104" s="1549"/>
      <c r="P104" s="1549"/>
      <c r="Q104" s="1549"/>
      <c r="R104" s="1549"/>
      <c r="S104" s="1549"/>
      <c r="T104" s="1549"/>
      <c r="U104" s="1549"/>
      <c r="V104" s="1549"/>
    </row>
    <row r="107" spans="1:22" x14ac:dyDescent="0.25">
      <c r="A107" s="141" t="s">
        <v>291</v>
      </c>
      <c r="B107" s="141">
        <v>0.05</v>
      </c>
    </row>
    <row r="108" spans="1:22" x14ac:dyDescent="0.25">
      <c r="A108" s="142" t="s">
        <v>292</v>
      </c>
      <c r="B108" s="142">
        <v>0.2</v>
      </c>
      <c r="C108" s="145">
        <v>10000000000</v>
      </c>
    </row>
    <row r="109" spans="1:22" x14ac:dyDescent="0.25">
      <c r="A109" s="143" t="s">
        <v>293</v>
      </c>
      <c r="B109" s="143">
        <v>1.06</v>
      </c>
      <c r="C109" s="145">
        <v>10</v>
      </c>
      <c r="D109" s="144">
        <f t="shared" ref="D109:D128" si="5">C109*$B$107+$B$108*$B$109^(C109*$B$110+$B$111)</f>
        <v>0.72472000000000003</v>
      </c>
    </row>
    <row r="110" spans="1:22" x14ac:dyDescent="0.25">
      <c r="A110" s="143" t="s">
        <v>294</v>
      </c>
      <c r="B110" s="143">
        <v>0.1</v>
      </c>
      <c r="C110" s="145">
        <f t="shared" ref="C110:C128" si="6">C109+50</f>
        <v>60</v>
      </c>
      <c r="D110" s="144">
        <f t="shared" si="5"/>
        <v>3.3007260517982724</v>
      </c>
    </row>
    <row r="111" spans="1:22" x14ac:dyDescent="0.25">
      <c r="A111" s="143" t="s">
        <v>295</v>
      </c>
      <c r="B111" s="143">
        <v>1</v>
      </c>
      <c r="C111" s="145">
        <f t="shared" si="6"/>
        <v>110</v>
      </c>
      <c r="D111" s="144">
        <f t="shared" si="5"/>
        <v>5.9024392943671105</v>
      </c>
    </row>
    <row r="112" spans="1:22" x14ac:dyDescent="0.25">
      <c r="C112" s="145">
        <f t="shared" si="6"/>
        <v>160</v>
      </c>
      <c r="D112" s="144">
        <f t="shared" si="5"/>
        <v>8.538554557153363</v>
      </c>
    </row>
    <row r="113" spans="3:4" x14ac:dyDescent="0.25">
      <c r="C113" s="145">
        <f t="shared" si="6"/>
        <v>210</v>
      </c>
      <c r="D113" s="144">
        <f t="shared" si="5"/>
        <v>11.220707483315671</v>
      </c>
    </row>
    <row r="114" spans="3:4" x14ac:dyDescent="0.25">
      <c r="C114" s="145">
        <f t="shared" si="6"/>
        <v>260</v>
      </c>
      <c r="D114" s="144">
        <f t="shared" si="5"/>
        <v>13.964469188140757</v>
      </c>
    </row>
    <row r="115" spans="3:4" x14ac:dyDescent="0.25">
      <c r="C115" s="145">
        <f t="shared" si="6"/>
        <v>310</v>
      </c>
      <c r="D115" s="144">
        <f t="shared" si="5"/>
        <v>16.790677336377069</v>
      </c>
    </row>
    <row r="116" spans="3:4" x14ac:dyDescent="0.25">
      <c r="C116" s="145">
        <f t="shared" si="6"/>
        <v>360</v>
      </c>
      <c r="D116" s="144">
        <f t="shared" si="5"/>
        <v>19.727217423968433</v>
      </c>
    </row>
    <row r="117" spans="3:4" x14ac:dyDescent="0.25">
      <c r="C117" s="145">
        <f t="shared" si="6"/>
        <v>410</v>
      </c>
      <c r="D117" s="144">
        <f t="shared" si="5"/>
        <v>22.81140653483094</v>
      </c>
    </row>
    <row r="118" spans="3:4" x14ac:dyDescent="0.25">
      <c r="C118" s="145">
        <f t="shared" si="6"/>
        <v>460</v>
      </c>
      <c r="D118" s="144">
        <f t="shared" si="5"/>
        <v>26.093183345142549</v>
      </c>
    </row>
    <row r="119" spans="3:4" x14ac:dyDescent="0.25">
      <c r="C119" s="145">
        <f t="shared" si="6"/>
        <v>510</v>
      </c>
      <c r="D119" s="144">
        <f t="shared" si="5"/>
        <v>29.63937706867609</v>
      </c>
    </row>
    <row r="120" spans="3:4" x14ac:dyDescent="0.25">
      <c r="C120" s="145">
        <f t="shared" si="6"/>
        <v>560</v>
      </c>
      <c r="D120" s="144">
        <f t="shared" si="5"/>
        <v>33.539420268633251</v>
      </c>
    </row>
    <row r="121" spans="3:4" x14ac:dyDescent="0.25">
      <c r="C121" s="145">
        <f t="shared" si="6"/>
        <v>610</v>
      </c>
      <c r="D121" s="144">
        <f t="shared" si="5"/>
        <v>37.912993888560891</v>
      </c>
    </row>
    <row r="122" spans="3:4" x14ac:dyDescent="0.25">
      <c r="C122" s="145">
        <f t="shared" si="6"/>
        <v>660</v>
      </c>
      <c r="D122" s="144">
        <f t="shared" si="5"/>
        <v>42.920258028264662</v>
      </c>
    </row>
    <row r="123" spans="3:4" x14ac:dyDescent="0.25">
      <c r="C123" s="145">
        <f t="shared" si="6"/>
        <v>710</v>
      </c>
      <c r="D123" s="144">
        <f t="shared" si="5"/>
        <v>48.775543029815523</v>
      </c>
    </row>
    <row r="124" spans="3:4" x14ac:dyDescent="0.25">
      <c r="C124" s="145">
        <f t="shared" si="6"/>
        <v>760</v>
      </c>
      <c r="D124" s="144">
        <f t="shared" si="5"/>
        <v>55.765671239028535</v>
      </c>
    </row>
    <row r="125" spans="3:4" x14ac:dyDescent="0.25">
      <c r="C125" s="145">
        <f t="shared" si="6"/>
        <v>810</v>
      </c>
      <c r="D125" s="144">
        <f t="shared" si="5"/>
        <v>64.274475655300677</v>
      </c>
    </row>
    <row r="126" spans="3:4" x14ac:dyDescent="0.25">
      <c r="C126" s="145">
        <f t="shared" si="6"/>
        <v>860</v>
      </c>
      <c r="D126" s="144">
        <f t="shared" si="5"/>
        <v>74.815611415951892</v>
      </c>
    </row>
    <row r="127" spans="3:4" x14ac:dyDescent="0.25">
      <c r="C127" s="145">
        <f t="shared" si="6"/>
        <v>910</v>
      </c>
      <c r="D127" s="144">
        <f t="shared" si="5"/>
        <v>88.076464963809386</v>
      </c>
    </row>
    <row r="128" spans="3:4" x14ac:dyDescent="0.25">
      <c r="C128" s="145">
        <f t="shared" si="6"/>
        <v>960</v>
      </c>
      <c r="D128" s="144">
        <f t="shared" si="5"/>
        <v>104.97691441835998</v>
      </c>
    </row>
    <row r="142" spans="1:2" x14ac:dyDescent="0.25">
      <c r="A142" s="1" t="s">
        <v>291</v>
      </c>
      <c r="B142" s="1">
        <v>0.2</v>
      </c>
    </row>
    <row r="143" spans="1:2" x14ac:dyDescent="0.25">
      <c r="A143" s="1" t="s">
        <v>292</v>
      </c>
      <c r="B143" s="1">
        <v>0</v>
      </c>
    </row>
    <row r="144" spans="1:2" x14ac:dyDescent="0.25">
      <c r="A144" s="1" t="s">
        <v>392</v>
      </c>
    </row>
    <row r="145" spans="1:2" x14ac:dyDescent="0.25">
      <c r="A145" s="1">
        <v>1</v>
      </c>
      <c r="B145" s="1">
        <f>1/(5*($B$142*A145+$B$143))</f>
        <v>1</v>
      </c>
    </row>
    <row r="146" spans="1:2" x14ac:dyDescent="0.25">
      <c r="A146" s="1">
        <f>A145+0.1</f>
        <v>1.1000000000000001</v>
      </c>
      <c r="B146" s="1">
        <f t="shared" ref="B146:B185" si="7">1/(5*($B$142*A146+$B$143))</f>
        <v>0.90909090909090906</v>
      </c>
    </row>
    <row r="147" spans="1:2" x14ac:dyDescent="0.25">
      <c r="A147" s="1">
        <f t="shared" ref="A147:A185" si="8">A146+0.1</f>
        <v>1.2000000000000002</v>
      </c>
      <c r="B147" s="1">
        <f t="shared" si="7"/>
        <v>0.83333333333333326</v>
      </c>
    </row>
    <row r="148" spans="1:2" x14ac:dyDescent="0.25">
      <c r="A148" s="1">
        <f t="shared" si="8"/>
        <v>1.3000000000000003</v>
      </c>
      <c r="B148" s="1">
        <f t="shared" si="7"/>
        <v>0.76923076923076905</v>
      </c>
    </row>
    <row r="149" spans="1:2" x14ac:dyDescent="0.25">
      <c r="A149" s="1">
        <f t="shared" si="8"/>
        <v>1.4000000000000004</v>
      </c>
      <c r="B149" s="1">
        <f t="shared" si="7"/>
        <v>0.71428571428571408</v>
      </c>
    </row>
    <row r="150" spans="1:2" x14ac:dyDescent="0.25">
      <c r="A150" s="1">
        <f t="shared" si="8"/>
        <v>1.5000000000000004</v>
      </c>
      <c r="B150" s="1">
        <f t="shared" si="7"/>
        <v>0.66666666666666652</v>
      </c>
    </row>
    <row r="151" spans="1:2" x14ac:dyDescent="0.25">
      <c r="A151" s="1">
        <f t="shared" si="8"/>
        <v>1.6000000000000005</v>
      </c>
      <c r="B151" s="1">
        <f t="shared" si="7"/>
        <v>0.62499999999999978</v>
      </c>
    </row>
    <row r="152" spans="1:2" x14ac:dyDescent="0.25">
      <c r="A152" s="1">
        <f t="shared" si="8"/>
        <v>1.7000000000000006</v>
      </c>
      <c r="B152" s="1">
        <f t="shared" si="7"/>
        <v>0.58823529411764686</v>
      </c>
    </row>
    <row r="153" spans="1:2" x14ac:dyDescent="0.25">
      <c r="A153" s="1">
        <f t="shared" si="8"/>
        <v>1.8000000000000007</v>
      </c>
      <c r="B153" s="1">
        <f t="shared" si="7"/>
        <v>0.55555555555555536</v>
      </c>
    </row>
    <row r="154" spans="1:2" x14ac:dyDescent="0.25">
      <c r="A154" s="1">
        <f t="shared" si="8"/>
        <v>1.9000000000000008</v>
      </c>
      <c r="B154" s="1">
        <f t="shared" si="7"/>
        <v>0.52631578947368396</v>
      </c>
    </row>
    <row r="155" spans="1:2" x14ac:dyDescent="0.25">
      <c r="A155" s="1">
        <f t="shared" si="8"/>
        <v>2.0000000000000009</v>
      </c>
      <c r="B155" s="1">
        <f t="shared" si="7"/>
        <v>0.49999999999999978</v>
      </c>
    </row>
    <row r="156" spans="1:2" x14ac:dyDescent="0.25">
      <c r="A156" s="1">
        <f t="shared" si="8"/>
        <v>2.100000000000001</v>
      </c>
      <c r="B156" s="1">
        <f t="shared" si="7"/>
        <v>0.47619047619047594</v>
      </c>
    </row>
    <row r="157" spans="1:2" x14ac:dyDescent="0.25">
      <c r="A157" s="1">
        <f t="shared" si="8"/>
        <v>2.2000000000000011</v>
      </c>
      <c r="B157" s="1">
        <f t="shared" si="7"/>
        <v>0.45454545454545431</v>
      </c>
    </row>
    <row r="158" spans="1:2" x14ac:dyDescent="0.25">
      <c r="A158" s="1">
        <f t="shared" si="8"/>
        <v>2.3000000000000012</v>
      </c>
      <c r="B158" s="1">
        <f t="shared" si="7"/>
        <v>0.43478260869565194</v>
      </c>
    </row>
    <row r="159" spans="1:2" x14ac:dyDescent="0.25">
      <c r="A159" s="1">
        <f t="shared" si="8"/>
        <v>2.4000000000000012</v>
      </c>
      <c r="B159" s="1">
        <f t="shared" si="7"/>
        <v>0.41666666666666646</v>
      </c>
    </row>
    <row r="160" spans="1:2" x14ac:dyDescent="0.25">
      <c r="A160" s="1">
        <f t="shared" si="8"/>
        <v>2.5000000000000013</v>
      </c>
      <c r="B160" s="1">
        <f t="shared" si="7"/>
        <v>0.39999999999999969</v>
      </c>
    </row>
    <row r="161" spans="1:2" x14ac:dyDescent="0.25">
      <c r="A161" s="1">
        <f t="shared" si="8"/>
        <v>2.6000000000000014</v>
      </c>
      <c r="B161" s="1">
        <f t="shared" si="7"/>
        <v>0.38461538461538436</v>
      </c>
    </row>
    <row r="162" spans="1:2" x14ac:dyDescent="0.25">
      <c r="A162" s="1">
        <f t="shared" si="8"/>
        <v>2.7000000000000015</v>
      </c>
      <c r="B162" s="1">
        <f t="shared" si="7"/>
        <v>0.37037037037037013</v>
      </c>
    </row>
    <row r="163" spans="1:2" x14ac:dyDescent="0.25">
      <c r="A163" s="1">
        <f t="shared" si="8"/>
        <v>2.8000000000000016</v>
      </c>
      <c r="B163" s="1">
        <f t="shared" si="7"/>
        <v>0.35714285714285687</v>
      </c>
    </row>
    <row r="164" spans="1:2" x14ac:dyDescent="0.25">
      <c r="A164" s="1">
        <f t="shared" si="8"/>
        <v>2.9000000000000017</v>
      </c>
      <c r="B164" s="1">
        <f t="shared" si="7"/>
        <v>0.3448275862068963</v>
      </c>
    </row>
    <row r="165" spans="1:2" x14ac:dyDescent="0.25">
      <c r="A165" s="1">
        <f t="shared" si="8"/>
        <v>3.0000000000000018</v>
      </c>
      <c r="B165" s="1">
        <f t="shared" si="7"/>
        <v>0.33333333333333309</v>
      </c>
    </row>
    <row r="166" spans="1:2" x14ac:dyDescent="0.25">
      <c r="A166" s="1">
        <f t="shared" si="8"/>
        <v>3.1000000000000019</v>
      </c>
      <c r="B166" s="1">
        <f t="shared" si="7"/>
        <v>0.32258064516129009</v>
      </c>
    </row>
    <row r="167" spans="1:2" x14ac:dyDescent="0.25">
      <c r="A167" s="1">
        <f t="shared" si="8"/>
        <v>3.200000000000002</v>
      </c>
      <c r="B167" s="1">
        <f t="shared" si="7"/>
        <v>0.31249999999999978</v>
      </c>
    </row>
    <row r="168" spans="1:2" x14ac:dyDescent="0.25">
      <c r="A168" s="1">
        <f t="shared" si="8"/>
        <v>3.300000000000002</v>
      </c>
      <c r="B168" s="1">
        <f t="shared" si="7"/>
        <v>0.30303030303030282</v>
      </c>
    </row>
    <row r="169" spans="1:2" x14ac:dyDescent="0.25">
      <c r="A169" s="1">
        <f t="shared" si="8"/>
        <v>3.4000000000000021</v>
      </c>
      <c r="B169" s="1">
        <f t="shared" si="7"/>
        <v>0.29411764705882332</v>
      </c>
    </row>
    <row r="170" spans="1:2" x14ac:dyDescent="0.25">
      <c r="A170" s="1">
        <f t="shared" si="8"/>
        <v>3.5000000000000022</v>
      </c>
      <c r="B170" s="1">
        <f t="shared" si="7"/>
        <v>0.28571428571428548</v>
      </c>
    </row>
    <row r="171" spans="1:2" x14ac:dyDescent="0.25">
      <c r="A171" s="1">
        <f t="shared" si="8"/>
        <v>3.6000000000000023</v>
      </c>
      <c r="B171" s="1">
        <f t="shared" si="7"/>
        <v>0.27777777777777757</v>
      </c>
    </row>
    <row r="172" spans="1:2" x14ac:dyDescent="0.25">
      <c r="A172" s="1">
        <f t="shared" si="8"/>
        <v>3.7000000000000024</v>
      </c>
      <c r="B172" s="1">
        <f t="shared" si="7"/>
        <v>0.27027027027027006</v>
      </c>
    </row>
    <row r="173" spans="1:2" x14ac:dyDescent="0.25">
      <c r="A173" s="1">
        <f t="shared" si="8"/>
        <v>3.8000000000000025</v>
      </c>
      <c r="B173" s="1">
        <f t="shared" si="7"/>
        <v>0.26315789473684192</v>
      </c>
    </row>
    <row r="174" spans="1:2" x14ac:dyDescent="0.25">
      <c r="A174" s="1">
        <f t="shared" si="8"/>
        <v>3.9000000000000026</v>
      </c>
      <c r="B174" s="1">
        <f t="shared" si="7"/>
        <v>0.25641025641025622</v>
      </c>
    </row>
    <row r="175" spans="1:2" x14ac:dyDescent="0.25">
      <c r="A175" s="1">
        <f t="shared" si="8"/>
        <v>4.0000000000000027</v>
      </c>
      <c r="B175" s="1">
        <f t="shared" si="7"/>
        <v>0.24999999999999983</v>
      </c>
    </row>
    <row r="176" spans="1:2" x14ac:dyDescent="0.25">
      <c r="A176" s="1">
        <f t="shared" si="8"/>
        <v>4.1000000000000023</v>
      </c>
      <c r="B176" s="1">
        <f t="shared" si="7"/>
        <v>0.2439024390243901</v>
      </c>
    </row>
    <row r="177" spans="1:2" x14ac:dyDescent="0.25">
      <c r="A177" s="1">
        <f t="shared" si="8"/>
        <v>4.200000000000002</v>
      </c>
      <c r="B177" s="1">
        <f t="shared" si="7"/>
        <v>0.23809523809523797</v>
      </c>
    </row>
    <row r="178" spans="1:2" x14ac:dyDescent="0.25">
      <c r="A178" s="1">
        <f t="shared" si="8"/>
        <v>4.3000000000000016</v>
      </c>
      <c r="B178" s="1">
        <f t="shared" si="7"/>
        <v>0.23255813953488363</v>
      </c>
    </row>
    <row r="179" spans="1:2" x14ac:dyDescent="0.25">
      <c r="A179" s="1">
        <f t="shared" si="8"/>
        <v>4.4000000000000012</v>
      </c>
      <c r="B179" s="1">
        <f t="shared" si="7"/>
        <v>0.22727272727272715</v>
      </c>
    </row>
    <row r="180" spans="1:2" x14ac:dyDescent="0.25">
      <c r="A180" s="1">
        <f t="shared" si="8"/>
        <v>4.5000000000000009</v>
      </c>
      <c r="B180" s="1">
        <f t="shared" si="7"/>
        <v>0.22222222222222218</v>
      </c>
    </row>
    <row r="181" spans="1:2" x14ac:dyDescent="0.25">
      <c r="A181" s="1">
        <f t="shared" si="8"/>
        <v>4.6000000000000005</v>
      </c>
      <c r="B181" s="1">
        <f t="shared" si="7"/>
        <v>0.21739130434782605</v>
      </c>
    </row>
    <row r="182" spans="1:2" x14ac:dyDescent="0.25">
      <c r="A182" s="1">
        <f t="shared" si="8"/>
        <v>4.7</v>
      </c>
      <c r="B182" s="1">
        <f t="shared" si="7"/>
        <v>0.21276595744680851</v>
      </c>
    </row>
    <row r="183" spans="1:2" x14ac:dyDescent="0.25">
      <c r="A183" s="1">
        <f t="shared" si="8"/>
        <v>4.8</v>
      </c>
      <c r="B183" s="1">
        <f t="shared" si="7"/>
        <v>0.20833333333333334</v>
      </c>
    </row>
    <row r="184" spans="1:2" x14ac:dyDescent="0.25">
      <c r="A184" s="1">
        <f t="shared" si="8"/>
        <v>4.8999999999999995</v>
      </c>
      <c r="B184" s="1">
        <f t="shared" si="7"/>
        <v>0.2040816326530612</v>
      </c>
    </row>
    <row r="185" spans="1:2" x14ac:dyDescent="0.25">
      <c r="A185" s="1">
        <f t="shared" si="8"/>
        <v>4.9999999999999991</v>
      </c>
      <c r="B185" s="1">
        <f t="shared" si="7"/>
        <v>0.20000000000000004</v>
      </c>
    </row>
  </sheetData>
  <mergeCells count="4">
    <mergeCell ref="A1:W1"/>
    <mergeCell ref="A37:W37"/>
    <mergeCell ref="A70:W70"/>
    <mergeCell ref="A104:V104"/>
  </mergeCells>
  <dataValidations count="2">
    <dataValidation type="list" allowBlank="1" showInputMessage="1" showErrorMessage="1" sqref="E9:E10 E12:E15">
      <formula1>$D$21:$I$21</formula1>
    </dataValidation>
    <dataValidation type="list" allowBlank="1" showInputMessage="1" showErrorMessage="1" sqref="E6:E8 E11">
      <formula1>$E$21:$I$21</formula1>
    </dataValidation>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R1000"/>
  <sheetViews>
    <sheetView rightToLeft="1" workbookViewId="0">
      <selection activeCell="G14" sqref="G14"/>
    </sheetView>
  </sheetViews>
  <sheetFormatPr defaultColWidth="14.42578125" defaultRowHeight="18" x14ac:dyDescent="0.25"/>
  <cols>
    <col min="1" max="1" width="15.42578125" style="150" customWidth="1"/>
    <col min="2" max="2" width="11.140625" style="150" customWidth="1"/>
    <col min="3" max="7" width="9.140625" style="150" customWidth="1"/>
    <col min="8" max="8" width="11.85546875" style="150" customWidth="1"/>
    <col min="9" max="9" width="8.7109375" style="150" customWidth="1"/>
    <col min="10" max="10" width="58.140625" style="150" customWidth="1"/>
    <col min="11" max="11" width="8.7109375" style="150" customWidth="1"/>
    <col min="12" max="12" width="9.85546875" style="150" customWidth="1"/>
    <col min="13" max="14" width="9.140625" style="150" customWidth="1"/>
    <col min="15" max="15" width="11.85546875" style="150" customWidth="1"/>
    <col min="16" max="16" width="9.140625" style="150" customWidth="1"/>
    <col min="17" max="26" width="8.7109375" style="150" customWidth="1"/>
    <col min="27" max="16384" width="14.42578125" style="150"/>
  </cols>
  <sheetData>
    <row r="1" spans="1:18" ht="15.75" customHeight="1" thickBot="1" x14ac:dyDescent="0.3"/>
    <row r="2" spans="1:18" ht="15.75" customHeight="1" x14ac:dyDescent="0.25">
      <c r="A2" s="153" t="s">
        <v>289</v>
      </c>
      <c r="B2" s="42" t="s">
        <v>290</v>
      </c>
      <c r="C2" s="42" t="s">
        <v>291</v>
      </c>
      <c r="D2" s="42" t="s">
        <v>292</v>
      </c>
      <c r="E2" s="42" t="s">
        <v>293</v>
      </c>
      <c r="F2" s="42" t="s">
        <v>294</v>
      </c>
      <c r="G2" s="42" t="s">
        <v>295</v>
      </c>
      <c r="H2" s="42">
        <f>[25]تولید!G6</f>
        <v>641789.42357800005</v>
      </c>
      <c r="I2" s="42">
        <f>H2*1000000000</f>
        <v>641789423578000</v>
      </c>
      <c r="J2" s="154"/>
    </row>
    <row r="3" spans="1:18" ht="15.75" customHeight="1" x14ac:dyDescent="0.25">
      <c r="A3" s="155" t="s">
        <v>296</v>
      </c>
      <c r="B3" s="138">
        <v>5000</v>
      </c>
      <c r="C3" s="138">
        <f t="array" ref="C3:G3">TRANSPOSE([25]curve!B2:B6)</f>
        <v>0.01</v>
      </c>
      <c r="D3" s="138">
        <v>1</v>
      </c>
      <c r="E3" s="138">
        <v>1.1399999999999999</v>
      </c>
      <c r="F3" s="138">
        <v>4.0000000000000001E-3</v>
      </c>
      <c r="G3" s="138">
        <v>10</v>
      </c>
      <c r="H3" s="138">
        <f>1000000000</f>
        <v>1000000000</v>
      </c>
      <c r="I3" s="138">
        <f t="shared" ref="I3:I6" si="0">I$2/H3</f>
        <v>641789.42357800005</v>
      </c>
      <c r="J3" s="156">
        <f>C3*I3+D3*E3^(F3*I3+G3)</f>
        <v>4.495473743760585E+146</v>
      </c>
    </row>
    <row r="4" spans="1:18" ht="15.75" customHeight="1" x14ac:dyDescent="0.25">
      <c r="A4" s="155" t="s">
        <v>270</v>
      </c>
      <c r="B4" s="138">
        <v>9500</v>
      </c>
      <c r="C4" s="138">
        <v>0.05</v>
      </c>
      <c r="D4" s="138">
        <v>0.2</v>
      </c>
      <c r="E4" s="138">
        <v>1.06</v>
      </c>
      <c r="F4" s="138">
        <v>0.1</v>
      </c>
      <c r="G4" s="138">
        <v>1</v>
      </c>
      <c r="H4" s="138">
        <v>10000000000</v>
      </c>
      <c r="I4" s="138">
        <f t="shared" si="0"/>
        <v>64178.942357799999</v>
      </c>
      <c r="J4" s="156">
        <f t="shared" ref="J4:J5" si="1">C4*I4+D4*E4^(F4*I4+G4)</f>
        <v>5.4538435448951215E+161</v>
      </c>
    </row>
    <row r="5" spans="1:18" ht="15.75" customHeight="1" x14ac:dyDescent="0.25">
      <c r="A5" s="155" t="s">
        <v>297</v>
      </c>
      <c r="B5" s="138">
        <v>100000</v>
      </c>
      <c r="C5" s="138">
        <f t="array" ref="C5:G5">TRANSPOSE([25]curve!B38:B42)</f>
        <v>0.1</v>
      </c>
      <c r="D5" s="138">
        <v>1.7</v>
      </c>
      <c r="E5" s="138">
        <v>1.1200000000000001</v>
      </c>
      <c r="F5" s="138">
        <v>0.25</v>
      </c>
      <c r="G5" s="138">
        <v>10</v>
      </c>
      <c r="H5" s="138">
        <f>1000000000000</f>
        <v>1000000000000</v>
      </c>
      <c r="I5" s="138">
        <f t="shared" si="0"/>
        <v>641.78942357799997</v>
      </c>
      <c r="J5" s="156">
        <f t="shared" si="1"/>
        <v>416419266.46449476</v>
      </c>
    </row>
    <row r="6" spans="1:18" ht="15.75" customHeight="1" thickBot="1" x14ac:dyDescent="0.3">
      <c r="A6" s="157" t="s">
        <v>298</v>
      </c>
      <c r="B6" s="139">
        <v>2000</v>
      </c>
      <c r="C6" s="139">
        <v>0.01</v>
      </c>
      <c r="D6" s="139">
        <v>1E-3</v>
      </c>
      <c r="E6" s="139">
        <v>1.76</v>
      </c>
      <c r="F6" s="139">
        <v>0.01</v>
      </c>
      <c r="G6" s="139">
        <v>0.01</v>
      </c>
      <c r="H6" s="139">
        <v>1000000000</v>
      </c>
      <c r="I6" s="139">
        <f t="shared" si="0"/>
        <v>641789.42357800005</v>
      </c>
      <c r="J6" s="158" t="e">
        <f>C6*I6+D6*E6^(F6*I6+G6)</f>
        <v>#NUM!</v>
      </c>
    </row>
    <row r="7" spans="1:18" ht="15.75" customHeight="1" x14ac:dyDescent="0.25"/>
    <row r="8" spans="1:18" ht="15.75" customHeight="1" x14ac:dyDescent="0.25"/>
    <row r="9" spans="1:18" ht="15.75" customHeight="1" thickBot="1" x14ac:dyDescent="0.3">
      <c r="B9" s="1551" t="s">
        <v>299</v>
      </c>
      <c r="C9" s="1551"/>
      <c r="D9" s="1551"/>
      <c r="E9" s="1551"/>
      <c r="F9" s="1551"/>
    </row>
    <row r="10" spans="1:18" ht="15.75" customHeight="1" x14ac:dyDescent="0.25">
      <c r="A10" s="41" t="s">
        <v>289</v>
      </c>
      <c r="B10" s="159" t="s">
        <v>282</v>
      </c>
      <c r="C10" s="159" t="s">
        <v>283</v>
      </c>
      <c r="D10" s="159" t="s">
        <v>284</v>
      </c>
      <c r="E10" s="159" t="s">
        <v>285</v>
      </c>
      <c r="F10" s="159" t="s">
        <v>286</v>
      </c>
      <c r="G10" s="42" t="s">
        <v>300</v>
      </c>
      <c r="H10" s="42" t="s">
        <v>301</v>
      </c>
      <c r="I10" s="42" t="s">
        <v>302</v>
      </c>
      <c r="J10" s="42" t="s">
        <v>303</v>
      </c>
      <c r="K10" s="154" t="s">
        <v>24</v>
      </c>
    </row>
    <row r="11" spans="1:18" ht="15.75" customHeight="1" x14ac:dyDescent="0.25">
      <c r="A11" s="38" t="s">
        <v>296</v>
      </c>
      <c r="B11" s="160">
        <v>0.2</v>
      </c>
      <c r="C11" s="160">
        <v>0.1</v>
      </c>
      <c r="D11" s="160">
        <v>0.2</v>
      </c>
      <c r="E11" s="160">
        <v>0.2</v>
      </c>
      <c r="F11" s="160">
        <v>0.3</v>
      </c>
      <c r="G11" s="161">
        <f t="array" ref="G11">SUM(ABS($B$15:$F$15-B11:F11))</f>
        <v>0.62455931040653812</v>
      </c>
      <c r="H11" s="37">
        <f t="shared" ref="H11:H14" si="2">SQRT(SUMSQ(B11:F11))</f>
        <v>0.46904157598234297</v>
      </c>
      <c r="I11" s="37">
        <f>SQRT(SUMSQ($B$15:$F$15))</f>
        <v>0.53219267698275918</v>
      </c>
      <c r="J11" s="161">
        <f t="shared" ref="J11:J14" si="3">H11/I11</f>
        <v>0.88133789935170037</v>
      </c>
      <c r="K11" s="162">
        <f t="shared" ref="K11:K14" si="4">J11*(1-G11)</f>
        <v>0.3308901086974555</v>
      </c>
    </row>
    <row r="12" spans="1:18" ht="15.75" customHeight="1" x14ac:dyDescent="0.25">
      <c r="A12" s="38" t="s">
        <v>270</v>
      </c>
      <c r="B12" s="138">
        <v>0.3</v>
      </c>
      <c r="C12" s="138">
        <v>0.1</v>
      </c>
      <c r="D12" s="138">
        <v>0.2</v>
      </c>
      <c r="E12" s="138">
        <v>0.2</v>
      </c>
      <c r="F12" s="138">
        <v>0.2</v>
      </c>
      <c r="G12" s="161">
        <f t="array" ref="G12">SUM(ABS($B$15:$F$15-B12:F12))</f>
        <v>0.82455931040653796</v>
      </c>
      <c r="H12" s="37">
        <f t="shared" si="2"/>
        <v>0.46904157598234297</v>
      </c>
      <c r="I12" s="37">
        <f t="array" ref="I12">SQRT(SUMSQ($B$15:$F$15))</f>
        <v>0.53219267698275918</v>
      </c>
      <c r="J12" s="161">
        <f t="shared" si="3"/>
        <v>0.88133789935170037</v>
      </c>
      <c r="K12" s="162">
        <f t="shared" si="4"/>
        <v>0.15462252882711555</v>
      </c>
    </row>
    <row r="13" spans="1:18" ht="15.75" customHeight="1" x14ac:dyDescent="0.25">
      <c r="A13" s="38" t="s">
        <v>297</v>
      </c>
      <c r="B13" s="138">
        <v>0.2</v>
      </c>
      <c r="C13" s="138">
        <v>0.2</v>
      </c>
      <c r="D13" s="138">
        <v>0.2</v>
      </c>
      <c r="E13" s="138">
        <v>0.2</v>
      </c>
      <c r="F13" s="138">
        <v>0.2</v>
      </c>
      <c r="G13" s="161">
        <f t="array" ref="G13">SUM(ABS($B$15:$F$15-B13:F13))</f>
        <v>0.624559310406538</v>
      </c>
      <c r="H13" s="37">
        <f t="shared" si="2"/>
        <v>0.44721359549995798</v>
      </c>
      <c r="I13" s="37">
        <f t="array" ref="I13">SQRT(SUMSQ($B$15:$F$15))</f>
        <v>0.53219267698275918</v>
      </c>
      <c r="J13" s="161">
        <f t="shared" si="3"/>
        <v>0.84032271551614346</v>
      </c>
      <c r="K13" s="162">
        <f t="shared" si="4"/>
        <v>0.3154913397944315</v>
      </c>
    </row>
    <row r="14" spans="1:18" ht="15.75" customHeight="1" thickBot="1" x14ac:dyDescent="0.3">
      <c r="A14" s="38" t="s">
        <v>298</v>
      </c>
      <c r="B14" s="138">
        <v>0.2</v>
      </c>
      <c r="C14" s="138">
        <v>0.2</v>
      </c>
      <c r="D14" s="138">
        <v>0.2</v>
      </c>
      <c r="E14" s="138">
        <v>0.2</v>
      </c>
      <c r="F14" s="138">
        <v>0.2</v>
      </c>
      <c r="G14" s="161">
        <f t="array" ref="G14">SUM(ABS($B$15:$F$15-B14:F14))</f>
        <v>0.624559310406538</v>
      </c>
      <c r="H14" s="37">
        <f t="shared" si="2"/>
        <v>0.44721359549995798</v>
      </c>
      <c r="I14" s="37">
        <f t="array" ref="I14">SQRT(SUMSQ($B$15:$F$15))</f>
        <v>0.53219267698275918</v>
      </c>
      <c r="J14" s="161">
        <f t="shared" si="3"/>
        <v>0.84032271551614346</v>
      </c>
      <c r="K14" s="162">
        <f t="shared" si="4"/>
        <v>0.3154913397944315</v>
      </c>
    </row>
    <row r="15" spans="1:18" ht="15.75" customHeight="1" thickBot="1" x14ac:dyDescent="0.3">
      <c r="A15" s="163"/>
      <c r="B15" s="164">
        <f>'14.تولید'!F25</f>
        <v>7.1559240810888741E-2</v>
      </c>
      <c r="C15" s="164">
        <f>'14.تولید'!G25</f>
        <v>0.3016673129119814</v>
      </c>
      <c r="D15" s="164">
        <f>'14.تولید'!H25</f>
        <v>0.29081039162466071</v>
      </c>
      <c r="E15" s="164">
        <f>'14.تولید'!I25</f>
        <v>1.6161103985842258E-2</v>
      </c>
      <c r="F15" s="164">
        <f>'14.تولید'!J25</f>
        <v>0.31980195066662692</v>
      </c>
      <c r="G15" s="164"/>
      <c r="H15" s="164"/>
      <c r="I15" s="164"/>
      <c r="J15" s="164"/>
      <c r="K15" s="165"/>
    </row>
    <row r="16" spans="1:18" ht="15.75" customHeight="1" x14ac:dyDescent="0.25">
      <c r="P16" s="152"/>
      <c r="Q16" s="152"/>
      <c r="R16" s="152"/>
    </row>
    <row r="17" spans="7:18" ht="15.75" customHeight="1" x14ac:dyDescent="0.25">
      <c r="P17" s="152"/>
      <c r="Q17" s="152"/>
      <c r="R17" s="152"/>
    </row>
    <row r="18" spans="7:18" ht="15.75" customHeight="1" x14ac:dyDescent="0.25">
      <c r="P18" s="152"/>
      <c r="Q18" s="152"/>
      <c r="R18" s="152"/>
    </row>
    <row r="19" spans="7:18" ht="15.75" customHeight="1" x14ac:dyDescent="0.25">
      <c r="G19" s="151"/>
      <c r="H19" s="151"/>
      <c r="I19" s="151"/>
      <c r="J19" s="151"/>
      <c r="K19" s="151"/>
      <c r="P19" s="152"/>
      <c r="Q19" s="152"/>
      <c r="R19" s="152"/>
    </row>
    <row r="20" spans="7:18" ht="15.75" customHeight="1" x14ac:dyDescent="0.25"/>
    <row r="21" spans="7:18" ht="15.75" customHeight="1" x14ac:dyDescent="0.25"/>
    <row r="22" spans="7:18" ht="15.75" customHeight="1" x14ac:dyDescent="0.25"/>
    <row r="23" spans="7:18" ht="15.75" customHeight="1" x14ac:dyDescent="0.25"/>
    <row r="24" spans="7:18" ht="15.75" customHeight="1" x14ac:dyDescent="0.25"/>
    <row r="25" spans="7:18" ht="15.75" customHeight="1" x14ac:dyDescent="0.25"/>
    <row r="26" spans="7:18" ht="15.75" customHeight="1" x14ac:dyDescent="0.25"/>
    <row r="27" spans="7:18" ht="15.75" customHeight="1" x14ac:dyDescent="0.25"/>
    <row r="28" spans="7:18" ht="15.75" customHeight="1" x14ac:dyDescent="0.25"/>
    <row r="29" spans="7:18" ht="15.75" customHeight="1" x14ac:dyDescent="0.25"/>
    <row r="30" spans="7:18" ht="15.75" customHeight="1" x14ac:dyDescent="0.25"/>
    <row r="31" spans="7:18" ht="15.75" customHeight="1" x14ac:dyDescent="0.25"/>
    <row r="32" spans="7:18"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B9:F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1000"/>
  <sheetViews>
    <sheetView rightToLeft="1" zoomScale="70" zoomScaleNormal="70" workbookViewId="0">
      <selection activeCell="B11" sqref="B11"/>
    </sheetView>
  </sheetViews>
  <sheetFormatPr defaultColWidth="14.42578125" defaultRowHeight="15" customHeight="1" x14ac:dyDescent="0.45"/>
  <cols>
    <col min="1" max="1" width="15.42578125" style="380" customWidth="1"/>
    <col min="2" max="2" width="11.140625" style="380" customWidth="1"/>
    <col min="3" max="7" width="9.140625" style="380" customWidth="1"/>
    <col min="8" max="8" width="11.85546875" style="380" customWidth="1"/>
    <col min="9" max="9" width="8.7109375" style="380" customWidth="1"/>
    <col min="10" max="10" width="58.140625" style="380" customWidth="1"/>
    <col min="11" max="11" width="8.7109375" style="380" customWidth="1"/>
    <col min="12" max="12" width="9.85546875" style="380" customWidth="1"/>
    <col min="13" max="14" width="9.140625" style="380" customWidth="1"/>
    <col min="15" max="15" width="11.85546875" style="380" customWidth="1"/>
    <col min="16" max="16" width="9.140625" style="380" customWidth="1"/>
    <col min="17" max="26" width="8.7109375" style="380" customWidth="1"/>
    <col min="27" max="16384" width="14.42578125" style="380"/>
  </cols>
  <sheetData>
    <row r="1" spans="1:18" ht="15.75" customHeight="1" thickBot="1" x14ac:dyDescent="0.5">
      <c r="C1" s="382"/>
      <c r="D1" s="382"/>
      <c r="E1" s="382"/>
      <c r="F1" s="382"/>
      <c r="G1" s="382"/>
      <c r="L1" s="381"/>
      <c r="M1" s="381"/>
      <c r="N1" s="381"/>
      <c r="O1" s="381"/>
      <c r="P1" s="381"/>
    </row>
    <row r="2" spans="1:18" ht="15.75" customHeight="1" x14ac:dyDescent="0.55000000000000004">
      <c r="A2" s="392" t="s">
        <v>289</v>
      </c>
      <c r="B2" s="393" t="s">
        <v>290</v>
      </c>
      <c r="C2" s="382" t="s">
        <v>291</v>
      </c>
      <c r="D2" s="382" t="s">
        <v>292</v>
      </c>
      <c r="E2" s="382" t="s">
        <v>293</v>
      </c>
      <c r="F2" s="382" t="s">
        <v>294</v>
      </c>
      <c r="G2" s="382" t="s">
        <v>295</v>
      </c>
      <c r="H2" s="382">
        <f>[25]تولید!G6</f>
        <v>641789.42357800005</v>
      </c>
      <c r="I2" s="380">
        <f>H2*1000000000</f>
        <v>641789423578000</v>
      </c>
      <c r="L2" s="381"/>
      <c r="M2" s="381"/>
      <c r="N2" s="381"/>
      <c r="O2" s="381"/>
      <c r="P2" s="381"/>
    </row>
    <row r="3" spans="1:18" ht="15.75" customHeight="1" x14ac:dyDescent="0.55000000000000004">
      <c r="A3" s="389" t="s">
        <v>296</v>
      </c>
      <c r="B3" s="393">
        <v>5000</v>
      </c>
      <c r="C3" s="382">
        <f t="array" ref="C3:G3">TRANSPOSE([25]curve!B2:B6)</f>
        <v>0.01</v>
      </c>
      <c r="D3" s="382">
        <v>1</v>
      </c>
      <c r="E3" s="382">
        <v>1.1399999999999999</v>
      </c>
      <c r="F3" s="382">
        <v>4.0000000000000001E-3</v>
      </c>
      <c r="G3" s="382">
        <v>10</v>
      </c>
      <c r="H3" s="380">
        <f>1000000000</f>
        <v>1000000000</v>
      </c>
      <c r="I3" s="380">
        <f>I$2/H3</f>
        <v>641789.42357800005</v>
      </c>
      <c r="J3" s="394">
        <f>C3*I3+D3*E3^(F3*I3+G3)</f>
        <v>4.495473743760585E+146</v>
      </c>
      <c r="L3" s="381"/>
      <c r="M3" s="381"/>
      <c r="N3" s="381"/>
      <c r="O3" s="381"/>
      <c r="P3" s="381"/>
    </row>
    <row r="4" spans="1:18" ht="15.75" customHeight="1" x14ac:dyDescent="0.55000000000000004">
      <c r="A4" s="389" t="s">
        <v>270</v>
      </c>
      <c r="B4" s="393">
        <v>9500</v>
      </c>
      <c r="C4" s="380">
        <v>0.05</v>
      </c>
      <c r="D4" s="380">
        <v>0.2</v>
      </c>
      <c r="E4" s="380">
        <v>1.06</v>
      </c>
      <c r="F4" s="380">
        <v>0.1</v>
      </c>
      <c r="G4" s="380">
        <v>1</v>
      </c>
      <c r="H4" s="380">
        <v>10000000000</v>
      </c>
      <c r="I4" s="380">
        <f>I$2/H4</f>
        <v>64178.942357799999</v>
      </c>
      <c r="J4" s="394">
        <f>C4*I4+D4*E4^(F4*I4+G4)</f>
        <v>5.4538435448951215E+161</v>
      </c>
      <c r="L4" s="381"/>
      <c r="M4" s="381"/>
      <c r="N4" s="381"/>
      <c r="O4" s="381"/>
      <c r="P4" s="381"/>
    </row>
    <row r="5" spans="1:18" ht="15.75" customHeight="1" x14ac:dyDescent="0.55000000000000004">
      <c r="A5" s="389" t="s">
        <v>297</v>
      </c>
      <c r="B5" s="393">
        <v>100000</v>
      </c>
      <c r="C5" s="382">
        <f t="array" ref="C5:G5">TRANSPOSE([25]curve!B38:B42)</f>
        <v>0.1</v>
      </c>
      <c r="D5" s="382">
        <v>1.7</v>
      </c>
      <c r="E5" s="382">
        <v>1.1200000000000001</v>
      </c>
      <c r="F5" s="382">
        <v>0.25</v>
      </c>
      <c r="G5" s="382">
        <v>10</v>
      </c>
      <c r="H5" s="380">
        <f>1000000000000</f>
        <v>1000000000000</v>
      </c>
      <c r="I5" s="380">
        <f>I$2/H5</f>
        <v>641.78942357799997</v>
      </c>
      <c r="J5" s="394">
        <f>C5*I5+D5*E5^(F5*I5+G5)</f>
        <v>416419266.46449476</v>
      </c>
      <c r="L5" s="381"/>
      <c r="M5" s="381"/>
      <c r="N5" s="381"/>
      <c r="O5" s="381"/>
      <c r="P5" s="381"/>
    </row>
    <row r="6" spans="1:18" ht="15.75" customHeight="1" thickBot="1" x14ac:dyDescent="0.6">
      <c r="A6" s="388" t="s">
        <v>298</v>
      </c>
      <c r="B6" s="393">
        <v>2000</v>
      </c>
      <c r="C6" s="380">
        <v>0.01</v>
      </c>
      <c r="D6" s="380">
        <v>1E-3</v>
      </c>
      <c r="E6" s="380">
        <v>1.76</v>
      </c>
      <c r="F6" s="380">
        <v>0.01</v>
      </c>
      <c r="G6" s="380">
        <v>0.01</v>
      </c>
      <c r="H6" s="380">
        <v>1000000000</v>
      </c>
      <c r="I6" s="380">
        <f>I$2/H6</f>
        <v>641789.42357800005</v>
      </c>
      <c r="J6" s="380" t="e">
        <f>C6*I6+D6*E6^(F6*I6+G6)</f>
        <v>#NUM!</v>
      </c>
      <c r="L6" s="381"/>
      <c r="M6" s="381"/>
      <c r="N6" s="381"/>
      <c r="O6" s="381"/>
      <c r="P6" s="381"/>
    </row>
    <row r="7" spans="1:18" ht="15.75" customHeight="1" x14ac:dyDescent="0.45">
      <c r="C7" s="382"/>
      <c r="D7" s="382"/>
      <c r="E7" s="382"/>
      <c r="F7" s="382"/>
      <c r="G7" s="382"/>
      <c r="L7" s="381"/>
      <c r="M7" s="381"/>
      <c r="N7" s="381"/>
      <c r="O7" s="381"/>
      <c r="P7" s="381"/>
    </row>
    <row r="8" spans="1:18" ht="15.75" customHeight="1" x14ac:dyDescent="0.45">
      <c r="C8" s="382"/>
      <c r="D8" s="382"/>
      <c r="E8" s="382"/>
      <c r="F8" s="382"/>
      <c r="G8" s="382"/>
      <c r="L8" s="381"/>
      <c r="M8" s="381"/>
      <c r="N8" s="381"/>
      <c r="O8" s="381"/>
      <c r="P8" s="381"/>
    </row>
    <row r="9" spans="1:18" ht="15.75" customHeight="1" thickBot="1" x14ac:dyDescent="0.5">
      <c r="B9" s="1552" t="s">
        <v>299</v>
      </c>
      <c r="C9" s="1553"/>
      <c r="D9" s="1553"/>
      <c r="E9" s="1553"/>
      <c r="F9" s="1553"/>
      <c r="L9" s="381"/>
      <c r="M9" s="381"/>
      <c r="N9" s="381"/>
      <c r="O9" s="381"/>
      <c r="P9" s="381"/>
    </row>
    <row r="10" spans="1:18" ht="15.75" customHeight="1" x14ac:dyDescent="0.55000000000000004">
      <c r="A10" s="392" t="s">
        <v>289</v>
      </c>
      <c r="B10" s="391" t="s">
        <v>282</v>
      </c>
      <c r="C10" s="390" t="s">
        <v>283</v>
      </c>
      <c r="D10" s="390" t="s">
        <v>284</v>
      </c>
      <c r="E10" s="390" t="s">
        <v>285</v>
      </c>
      <c r="F10" s="390" t="s">
        <v>286</v>
      </c>
      <c r="G10" s="381" t="s">
        <v>300</v>
      </c>
      <c r="H10" s="381" t="s">
        <v>301</v>
      </c>
      <c r="I10" s="381" t="s">
        <v>302</v>
      </c>
      <c r="J10" s="381" t="s">
        <v>303</v>
      </c>
      <c r="K10" s="381" t="s">
        <v>24</v>
      </c>
      <c r="L10" s="381"/>
      <c r="M10" s="381"/>
      <c r="N10" s="381"/>
      <c r="O10" s="381"/>
      <c r="P10" s="381"/>
    </row>
    <row r="11" spans="1:18" ht="15.75" customHeight="1" x14ac:dyDescent="0.55000000000000004">
      <c r="A11" s="389" t="s">
        <v>296</v>
      </c>
      <c r="B11" s="386">
        <v>0.2</v>
      </c>
      <c r="C11" s="385">
        <v>0.1</v>
      </c>
      <c r="D11" s="385">
        <v>0.2</v>
      </c>
      <c r="E11" s="385">
        <v>0.2</v>
      </c>
      <c r="F11" s="385">
        <v>0.3</v>
      </c>
      <c r="G11" s="387">
        <f t="array" ref="G11">SUM(ABS($B$15:$F$15-B11:F11))</f>
        <v>0.62455931040653812</v>
      </c>
      <c r="H11" s="384">
        <f>SQRT(SUMSQ(B11:F11))</f>
        <v>0.46904157598234297</v>
      </c>
      <c r="I11" s="384">
        <f>SQRT(SUMSQ($B$15:$F$15))</f>
        <v>0.53219267698275918</v>
      </c>
      <c r="J11" s="387">
        <f>H11/I11</f>
        <v>0.88133789935170037</v>
      </c>
      <c r="K11" s="383">
        <f>J11*(1-G11)</f>
        <v>0.3308901086974555</v>
      </c>
      <c r="L11" s="381"/>
      <c r="M11" s="381"/>
      <c r="N11" s="381"/>
      <c r="O11" s="381"/>
      <c r="P11" s="381"/>
    </row>
    <row r="12" spans="1:18" ht="15.75" customHeight="1" x14ac:dyDescent="0.55000000000000004">
      <c r="A12" s="389" t="s">
        <v>270</v>
      </c>
      <c r="B12" s="381">
        <v>0.1</v>
      </c>
      <c r="C12" s="382">
        <v>0.4</v>
      </c>
      <c r="D12" s="382">
        <v>0.3</v>
      </c>
      <c r="E12" s="382">
        <v>0.05</v>
      </c>
      <c r="F12" s="382">
        <v>0.15</v>
      </c>
      <c r="G12" s="387">
        <f t="array" ref="G12">SUM(ABS($B$15:$F$15-B12:F12))</f>
        <v>0.3396039013332538</v>
      </c>
      <c r="H12" s="384">
        <f>SQRT(SUMSQ(B12:F12))</f>
        <v>0.53385391260156556</v>
      </c>
      <c r="I12" s="384">
        <f t="array" ref="I12">SQRT(SUMSQ($B$15:$F$15))</f>
        <v>0.53219267698275918</v>
      </c>
      <c r="J12" s="387">
        <f>H12/I12</f>
        <v>1.0031214928176477</v>
      </c>
      <c r="K12" s="383">
        <f>J12*(1-G12)</f>
        <v>0.66245752034553707</v>
      </c>
      <c r="L12" s="381"/>
      <c r="M12" s="381"/>
      <c r="N12" s="381"/>
      <c r="O12" s="381"/>
      <c r="P12" s="381"/>
    </row>
    <row r="13" spans="1:18" ht="15.75" customHeight="1" x14ac:dyDescent="0.55000000000000004">
      <c r="A13" s="389" t="s">
        <v>297</v>
      </c>
      <c r="B13" s="381">
        <v>0.2</v>
      </c>
      <c r="C13" s="382">
        <v>0.2</v>
      </c>
      <c r="D13" s="382">
        <v>0.2</v>
      </c>
      <c r="E13" s="382">
        <v>0.2</v>
      </c>
      <c r="F13" s="382">
        <v>0.2</v>
      </c>
      <c r="G13" s="387">
        <f t="array" ref="G13">SUM(ABS($B$15:$F$15-B13:F13))</f>
        <v>0.624559310406538</v>
      </c>
      <c r="H13" s="384">
        <f>SQRT(SUMSQ(B13:F13))</f>
        <v>0.44721359549995798</v>
      </c>
      <c r="I13" s="384">
        <f t="array" ref="I13">SQRT(SUMSQ($B$15:$F$15))</f>
        <v>0.53219267698275918</v>
      </c>
      <c r="J13" s="387">
        <f>H13/I13</f>
        <v>0.84032271551614346</v>
      </c>
      <c r="K13" s="383">
        <f>J13*(1-G13)</f>
        <v>0.3154913397944315</v>
      </c>
      <c r="L13" s="381"/>
      <c r="M13" s="381"/>
      <c r="N13" s="381"/>
      <c r="O13" s="381"/>
      <c r="P13" s="381"/>
    </row>
    <row r="14" spans="1:18" ht="15.75" customHeight="1" thickBot="1" x14ac:dyDescent="0.6">
      <c r="A14" s="388" t="s">
        <v>298</v>
      </c>
      <c r="B14" s="381">
        <v>0.2</v>
      </c>
      <c r="C14" s="382">
        <v>0.2</v>
      </c>
      <c r="D14" s="382">
        <v>0.2</v>
      </c>
      <c r="E14" s="382">
        <v>0.2</v>
      </c>
      <c r="F14" s="382">
        <v>0.2</v>
      </c>
      <c r="G14" s="387">
        <f t="array" ref="G14">SUM(ABS($B$15:$F$15-B14:F14))</f>
        <v>0.624559310406538</v>
      </c>
      <c r="H14" s="384">
        <f>SQRT(SUMSQ(B14:F14))</f>
        <v>0.44721359549995798</v>
      </c>
      <c r="I14" s="384">
        <f t="array" ref="I14">SQRT(SUMSQ($B$15:$F$15))</f>
        <v>0.53219267698275918</v>
      </c>
      <c r="J14" s="387">
        <f>H14/I14</f>
        <v>0.84032271551614346</v>
      </c>
      <c r="K14" s="383">
        <f>J14*(1-G14)</f>
        <v>0.3154913397944315</v>
      </c>
      <c r="L14" s="381"/>
      <c r="M14" s="381"/>
      <c r="N14" s="381"/>
      <c r="O14" s="381"/>
      <c r="P14" s="381"/>
    </row>
    <row r="15" spans="1:18" ht="15.75" customHeight="1" x14ac:dyDescent="0.45">
      <c r="B15" s="381">
        <f>'14.تولید'!F25</f>
        <v>7.1559240810888741E-2</v>
      </c>
      <c r="C15" s="409">
        <f>'14.تولید'!G25</f>
        <v>0.3016673129119814</v>
      </c>
      <c r="D15" s="409">
        <f>'14.تولید'!H25</f>
        <v>0.29081039162466071</v>
      </c>
      <c r="E15" s="409">
        <f>'14.تولید'!I25</f>
        <v>1.6161103985842258E-2</v>
      </c>
      <c r="F15" s="409">
        <f>'14.تولید'!J25</f>
        <v>0.31980195066662692</v>
      </c>
      <c r="G15" s="382"/>
      <c r="H15" s="382"/>
      <c r="L15" s="381"/>
      <c r="M15" s="381"/>
      <c r="N15" s="381"/>
      <c r="O15" s="381"/>
      <c r="P15" s="381"/>
    </row>
    <row r="16" spans="1:18" ht="15.75" customHeight="1" x14ac:dyDescent="0.45">
      <c r="C16" s="382"/>
      <c r="D16" s="382"/>
      <c r="E16" s="382"/>
      <c r="F16" s="382"/>
      <c r="G16" s="382"/>
      <c r="H16" s="382"/>
      <c r="I16" s="382"/>
      <c r="J16" s="382"/>
      <c r="K16" s="382"/>
      <c r="L16" s="381"/>
      <c r="M16" s="381"/>
      <c r="N16" s="381"/>
      <c r="O16" s="381"/>
      <c r="P16" s="384"/>
      <c r="Q16" s="383"/>
      <c r="R16" s="383"/>
    </row>
    <row r="17" spans="3:18" ht="15.75" customHeight="1" x14ac:dyDescent="0.45">
      <c r="C17" s="382"/>
      <c r="D17" s="382"/>
      <c r="E17" s="382"/>
      <c r="F17" s="382"/>
      <c r="G17" s="382"/>
      <c r="J17" s="382"/>
      <c r="K17" s="382"/>
      <c r="L17" s="381"/>
      <c r="M17" s="381"/>
      <c r="N17" s="381"/>
      <c r="O17" s="381"/>
      <c r="P17" s="384"/>
      <c r="Q17" s="383"/>
      <c r="R17" s="383"/>
    </row>
    <row r="18" spans="3:18" ht="15.75" customHeight="1" x14ac:dyDescent="0.45">
      <c r="C18" s="382"/>
      <c r="D18" s="382"/>
      <c r="E18" s="382"/>
      <c r="F18" s="382"/>
      <c r="G18" s="382"/>
      <c r="J18" s="382"/>
      <c r="K18" s="382"/>
      <c r="L18" s="381"/>
      <c r="M18" s="381"/>
      <c r="N18" s="381"/>
      <c r="O18" s="381"/>
      <c r="P18" s="384"/>
      <c r="Q18" s="383"/>
      <c r="R18" s="383"/>
    </row>
    <row r="19" spans="3:18" ht="15.75" customHeight="1" x14ac:dyDescent="0.45">
      <c r="C19" s="382"/>
      <c r="D19" s="382"/>
      <c r="E19" s="382"/>
      <c r="F19" s="382"/>
      <c r="G19" s="386"/>
      <c r="H19" s="385"/>
      <c r="I19" s="385"/>
      <c r="J19" s="385"/>
      <c r="K19" s="385"/>
      <c r="L19" s="381"/>
      <c r="M19" s="381"/>
      <c r="N19" s="381"/>
      <c r="O19" s="381"/>
      <c r="P19" s="384"/>
      <c r="Q19" s="383"/>
      <c r="R19" s="383"/>
    </row>
    <row r="20" spans="3:18" ht="15.75" customHeight="1" x14ac:dyDescent="0.45">
      <c r="C20" s="382"/>
      <c r="D20" s="382"/>
      <c r="E20" s="382"/>
      <c r="F20" s="382"/>
      <c r="G20" s="382"/>
      <c r="L20" s="381"/>
      <c r="M20" s="381"/>
      <c r="N20" s="381"/>
      <c r="O20" s="381"/>
      <c r="P20" s="381"/>
    </row>
    <row r="21" spans="3:18" ht="15.75" customHeight="1" x14ac:dyDescent="0.45">
      <c r="C21" s="382"/>
      <c r="D21" s="382"/>
      <c r="E21" s="382"/>
      <c r="F21" s="382"/>
      <c r="G21" s="382"/>
      <c r="L21" s="381"/>
      <c r="M21" s="381"/>
      <c r="N21" s="381"/>
      <c r="O21" s="381"/>
      <c r="P21" s="381"/>
    </row>
    <row r="22" spans="3:18" ht="15.75" customHeight="1" x14ac:dyDescent="0.45">
      <c r="C22" s="382"/>
      <c r="D22" s="382"/>
      <c r="E22" s="382"/>
      <c r="F22" s="382"/>
      <c r="G22" s="382"/>
      <c r="L22" s="381"/>
      <c r="M22" s="381"/>
      <c r="N22" s="381"/>
      <c r="O22" s="381"/>
      <c r="P22" s="381"/>
    </row>
    <row r="23" spans="3:18" ht="15.75" customHeight="1" x14ac:dyDescent="0.45">
      <c r="C23" s="382"/>
      <c r="D23" s="382"/>
      <c r="E23" s="382"/>
      <c r="F23" s="382"/>
      <c r="G23" s="382"/>
      <c r="L23" s="381"/>
      <c r="M23" s="381"/>
      <c r="N23" s="381"/>
      <c r="O23" s="381"/>
      <c r="P23" s="381"/>
    </row>
    <row r="24" spans="3:18" ht="15.75" customHeight="1" x14ac:dyDescent="0.45">
      <c r="C24" s="382"/>
      <c r="D24" s="382"/>
      <c r="E24" s="382"/>
      <c r="F24" s="382"/>
      <c r="G24" s="382"/>
      <c r="L24" s="381"/>
      <c r="M24" s="381"/>
      <c r="N24" s="381"/>
      <c r="O24" s="381"/>
      <c r="P24" s="381"/>
    </row>
    <row r="25" spans="3:18" ht="15.75" customHeight="1" x14ac:dyDescent="0.45">
      <c r="C25" s="382"/>
      <c r="D25" s="382"/>
      <c r="E25" s="382"/>
      <c r="F25" s="382"/>
      <c r="G25" s="382"/>
      <c r="L25" s="381"/>
      <c r="M25" s="381"/>
      <c r="N25" s="381"/>
      <c r="O25" s="381"/>
      <c r="P25" s="381"/>
    </row>
    <row r="26" spans="3:18" ht="15.75" customHeight="1" x14ac:dyDescent="0.45">
      <c r="C26" s="382"/>
      <c r="D26" s="382"/>
      <c r="E26" s="382"/>
      <c r="F26" s="382"/>
      <c r="G26" s="382"/>
      <c r="L26" s="381"/>
      <c r="M26" s="381"/>
      <c r="N26" s="381"/>
      <c r="O26" s="381"/>
      <c r="P26" s="381"/>
    </row>
    <row r="27" spans="3:18" ht="15.75" customHeight="1" x14ac:dyDescent="0.45">
      <c r="C27" s="382"/>
      <c r="D27" s="382"/>
      <c r="E27" s="382"/>
      <c r="F27" s="382"/>
      <c r="G27" s="382"/>
      <c r="L27" s="381"/>
      <c r="M27" s="381"/>
      <c r="N27" s="381"/>
      <c r="O27" s="381"/>
      <c r="P27" s="381"/>
    </row>
    <row r="28" spans="3:18" ht="15.75" customHeight="1" x14ac:dyDescent="0.45">
      <c r="C28" s="382"/>
      <c r="D28" s="382"/>
      <c r="E28" s="382"/>
      <c r="F28" s="382"/>
      <c r="G28" s="382"/>
      <c r="L28" s="381"/>
      <c r="M28" s="381"/>
      <c r="N28" s="381"/>
      <c r="O28" s="381"/>
      <c r="P28" s="381"/>
    </row>
    <row r="29" spans="3:18" ht="15.75" customHeight="1" x14ac:dyDescent="0.45">
      <c r="C29" s="382"/>
      <c r="D29" s="382"/>
      <c r="E29" s="382"/>
      <c r="F29" s="382"/>
      <c r="G29" s="382"/>
      <c r="L29" s="381"/>
      <c r="M29" s="381"/>
      <c r="N29" s="381"/>
      <c r="O29" s="381"/>
      <c r="P29" s="381"/>
    </row>
    <row r="30" spans="3:18" ht="15.75" customHeight="1" x14ac:dyDescent="0.45">
      <c r="C30" s="382"/>
      <c r="D30" s="382"/>
      <c r="E30" s="382"/>
      <c r="F30" s="382"/>
      <c r="G30" s="382"/>
      <c r="L30" s="381"/>
      <c r="M30" s="381"/>
      <c r="N30" s="381"/>
      <c r="O30" s="381"/>
      <c r="P30" s="381"/>
    </row>
    <row r="31" spans="3:18" ht="15.75" customHeight="1" x14ac:dyDescent="0.45">
      <c r="C31" s="382"/>
      <c r="D31" s="382"/>
      <c r="E31" s="382"/>
      <c r="F31" s="382"/>
      <c r="G31" s="382"/>
      <c r="L31" s="381"/>
      <c r="M31" s="381"/>
      <c r="N31" s="381"/>
      <c r="O31" s="381"/>
      <c r="P31" s="381"/>
    </row>
    <row r="32" spans="3:18" ht="15.75" customHeight="1" x14ac:dyDescent="0.45">
      <c r="C32" s="382"/>
      <c r="D32" s="382"/>
      <c r="E32" s="382"/>
      <c r="F32" s="382"/>
      <c r="G32" s="382"/>
      <c r="L32" s="381"/>
      <c r="M32" s="381"/>
      <c r="N32" s="381"/>
      <c r="O32" s="381"/>
      <c r="P32" s="381"/>
    </row>
    <row r="33" spans="3:16" ht="15.75" customHeight="1" x14ac:dyDescent="0.45">
      <c r="C33" s="382"/>
      <c r="D33" s="382"/>
      <c r="E33" s="382"/>
      <c r="F33" s="382"/>
      <c r="G33" s="382"/>
      <c r="L33" s="381"/>
      <c r="M33" s="381"/>
      <c r="N33" s="381"/>
      <c r="O33" s="381"/>
      <c r="P33" s="381"/>
    </row>
    <row r="34" spans="3:16" ht="15.75" customHeight="1" x14ac:dyDescent="0.45">
      <c r="C34" s="382"/>
      <c r="D34" s="382"/>
      <c r="E34" s="382"/>
      <c r="F34" s="382"/>
      <c r="G34" s="382"/>
      <c r="L34" s="381"/>
      <c r="M34" s="381"/>
      <c r="N34" s="381"/>
      <c r="O34" s="381"/>
      <c r="P34" s="381"/>
    </row>
    <row r="35" spans="3:16" ht="15.75" customHeight="1" x14ac:dyDescent="0.45">
      <c r="C35" s="382"/>
      <c r="D35" s="382"/>
      <c r="E35" s="382"/>
      <c r="F35" s="382"/>
      <c r="G35" s="382"/>
      <c r="L35" s="381"/>
      <c r="M35" s="381"/>
      <c r="N35" s="381"/>
      <c r="O35" s="381"/>
      <c r="P35" s="381"/>
    </row>
    <row r="36" spans="3:16" ht="15.75" customHeight="1" x14ac:dyDescent="0.45">
      <c r="C36" s="382"/>
      <c r="D36" s="382"/>
      <c r="E36" s="382"/>
      <c r="F36" s="382"/>
      <c r="G36" s="382"/>
      <c r="L36" s="381"/>
      <c r="M36" s="381"/>
      <c r="N36" s="381"/>
      <c r="O36" s="381"/>
      <c r="P36" s="381"/>
    </row>
    <row r="37" spans="3:16" ht="15.75" customHeight="1" x14ac:dyDescent="0.45">
      <c r="C37" s="382"/>
      <c r="D37" s="382"/>
      <c r="E37" s="382"/>
      <c r="F37" s="382"/>
      <c r="G37" s="382"/>
      <c r="L37" s="381"/>
      <c r="M37" s="381"/>
      <c r="N37" s="381"/>
      <c r="O37" s="381"/>
      <c r="P37" s="381"/>
    </row>
    <row r="38" spans="3:16" ht="15.75" customHeight="1" x14ac:dyDescent="0.45">
      <c r="C38" s="382"/>
      <c r="D38" s="382"/>
      <c r="E38" s="382"/>
      <c r="F38" s="382"/>
      <c r="G38" s="382"/>
      <c r="L38" s="381"/>
      <c r="M38" s="381"/>
      <c r="N38" s="381"/>
      <c r="O38" s="381"/>
      <c r="P38" s="381"/>
    </row>
    <row r="39" spans="3:16" ht="15.75" customHeight="1" x14ac:dyDescent="0.45">
      <c r="C39" s="382"/>
      <c r="D39" s="382"/>
      <c r="E39" s="382"/>
      <c r="F39" s="382"/>
      <c r="G39" s="382"/>
      <c r="L39" s="381"/>
      <c r="M39" s="381"/>
      <c r="N39" s="381"/>
      <c r="O39" s="381"/>
      <c r="P39" s="381"/>
    </row>
    <row r="40" spans="3:16" ht="15.75" customHeight="1" x14ac:dyDescent="0.45">
      <c r="C40" s="382"/>
      <c r="D40" s="382"/>
      <c r="E40" s="382"/>
      <c r="F40" s="382"/>
      <c r="G40" s="382"/>
      <c r="L40" s="381"/>
      <c r="M40" s="381"/>
      <c r="N40" s="381"/>
      <c r="O40" s="381"/>
      <c r="P40" s="381"/>
    </row>
    <row r="41" spans="3:16" ht="15.75" customHeight="1" x14ac:dyDescent="0.45">
      <c r="C41" s="382"/>
      <c r="D41" s="382"/>
      <c r="E41" s="382"/>
      <c r="F41" s="382"/>
      <c r="G41" s="382"/>
      <c r="L41" s="381"/>
      <c r="M41" s="381"/>
      <c r="N41" s="381"/>
      <c r="O41" s="381"/>
      <c r="P41" s="381"/>
    </row>
    <row r="42" spans="3:16" ht="15.75" customHeight="1" x14ac:dyDescent="0.45">
      <c r="C42" s="382"/>
      <c r="D42" s="382"/>
      <c r="E42" s="382"/>
      <c r="F42" s="382"/>
      <c r="G42" s="382"/>
      <c r="L42" s="381"/>
      <c r="M42" s="381"/>
      <c r="N42" s="381"/>
      <c r="O42" s="381"/>
      <c r="P42" s="381"/>
    </row>
    <row r="43" spans="3:16" ht="15.75" customHeight="1" x14ac:dyDescent="0.45">
      <c r="C43" s="382"/>
      <c r="D43" s="382"/>
      <c r="E43" s="382"/>
      <c r="F43" s="382"/>
      <c r="G43" s="382"/>
      <c r="L43" s="381"/>
      <c r="M43" s="381"/>
      <c r="N43" s="381"/>
      <c r="O43" s="381"/>
      <c r="P43" s="381"/>
    </row>
    <row r="44" spans="3:16" ht="15.75" customHeight="1" x14ac:dyDescent="0.45">
      <c r="C44" s="382"/>
      <c r="D44" s="382"/>
      <c r="E44" s="382"/>
      <c r="F44" s="382"/>
      <c r="G44" s="382"/>
      <c r="L44" s="381"/>
      <c r="M44" s="381"/>
      <c r="N44" s="381"/>
      <c r="O44" s="381"/>
      <c r="P44" s="381"/>
    </row>
    <row r="45" spans="3:16" ht="15.75" customHeight="1" x14ac:dyDescent="0.45">
      <c r="C45" s="382"/>
      <c r="D45" s="382"/>
      <c r="E45" s="382"/>
      <c r="F45" s="382"/>
      <c r="G45" s="382"/>
      <c r="L45" s="381"/>
      <c r="M45" s="381"/>
      <c r="N45" s="381"/>
      <c r="O45" s="381"/>
      <c r="P45" s="381"/>
    </row>
    <row r="46" spans="3:16" ht="15.75" customHeight="1" x14ac:dyDescent="0.45">
      <c r="C46" s="382"/>
      <c r="D46" s="382"/>
      <c r="E46" s="382"/>
      <c r="F46" s="382"/>
      <c r="G46" s="382"/>
      <c r="L46" s="381"/>
      <c r="M46" s="381"/>
      <c r="N46" s="381"/>
      <c r="O46" s="381"/>
      <c r="P46" s="381"/>
    </row>
    <row r="47" spans="3:16" ht="15.75" customHeight="1" x14ac:dyDescent="0.45">
      <c r="C47" s="382"/>
      <c r="D47" s="382"/>
      <c r="E47" s="382"/>
      <c r="F47" s="382"/>
      <c r="G47" s="382"/>
      <c r="L47" s="381"/>
      <c r="M47" s="381"/>
      <c r="N47" s="381"/>
      <c r="O47" s="381"/>
      <c r="P47" s="381"/>
    </row>
    <row r="48" spans="3:16" ht="15.75" customHeight="1" x14ac:dyDescent="0.45">
      <c r="C48" s="382"/>
      <c r="D48" s="382"/>
      <c r="E48" s="382"/>
      <c r="F48" s="382"/>
      <c r="G48" s="382"/>
      <c r="L48" s="381"/>
      <c r="M48" s="381"/>
      <c r="N48" s="381"/>
      <c r="O48" s="381"/>
      <c r="P48" s="381"/>
    </row>
    <row r="49" spans="3:16" ht="15.75" customHeight="1" x14ac:dyDescent="0.45">
      <c r="C49" s="382"/>
      <c r="D49" s="382"/>
      <c r="E49" s="382"/>
      <c r="F49" s="382"/>
      <c r="G49" s="382"/>
      <c r="L49" s="381"/>
      <c r="M49" s="381"/>
      <c r="N49" s="381"/>
      <c r="O49" s="381"/>
      <c r="P49" s="381"/>
    </row>
    <row r="50" spans="3:16" ht="15.75" customHeight="1" x14ac:dyDescent="0.45">
      <c r="C50" s="382"/>
      <c r="D50" s="382"/>
      <c r="E50" s="382"/>
      <c r="F50" s="382"/>
      <c r="G50" s="382"/>
      <c r="L50" s="381"/>
      <c r="M50" s="381"/>
      <c r="N50" s="381"/>
      <c r="O50" s="381"/>
      <c r="P50" s="381"/>
    </row>
    <row r="51" spans="3:16" ht="15.75" customHeight="1" x14ac:dyDescent="0.45">
      <c r="C51" s="382"/>
      <c r="D51" s="382"/>
      <c r="E51" s="382"/>
      <c r="F51" s="382"/>
      <c r="G51" s="382"/>
      <c r="L51" s="381"/>
      <c r="M51" s="381"/>
      <c r="N51" s="381"/>
      <c r="O51" s="381"/>
      <c r="P51" s="381"/>
    </row>
    <row r="52" spans="3:16" ht="15.75" customHeight="1" x14ac:dyDescent="0.45">
      <c r="C52" s="382"/>
      <c r="D52" s="382"/>
      <c r="E52" s="382"/>
      <c r="F52" s="382"/>
      <c r="G52" s="382"/>
      <c r="L52" s="381"/>
      <c r="M52" s="381"/>
      <c r="N52" s="381"/>
      <c r="O52" s="381"/>
      <c r="P52" s="381"/>
    </row>
    <row r="53" spans="3:16" ht="15.75" customHeight="1" x14ac:dyDescent="0.45">
      <c r="C53" s="382"/>
      <c r="D53" s="382"/>
      <c r="E53" s="382"/>
      <c r="F53" s="382"/>
      <c r="G53" s="382"/>
      <c r="L53" s="381"/>
      <c r="M53" s="381"/>
      <c r="N53" s="381"/>
      <c r="O53" s="381"/>
      <c r="P53" s="381"/>
    </row>
    <row r="54" spans="3:16" ht="15.75" customHeight="1" x14ac:dyDescent="0.45">
      <c r="C54" s="382"/>
      <c r="D54" s="382"/>
      <c r="E54" s="382"/>
      <c r="F54" s="382"/>
      <c r="G54" s="382"/>
      <c r="L54" s="381"/>
      <c r="M54" s="381"/>
      <c r="N54" s="381"/>
      <c r="O54" s="381"/>
      <c r="P54" s="381"/>
    </row>
    <row r="55" spans="3:16" ht="15.75" customHeight="1" x14ac:dyDescent="0.45">
      <c r="C55" s="382"/>
      <c r="D55" s="382"/>
      <c r="E55" s="382"/>
      <c r="F55" s="382"/>
      <c r="G55" s="382"/>
      <c r="L55" s="381"/>
      <c r="M55" s="381"/>
      <c r="N55" s="381"/>
      <c r="O55" s="381"/>
      <c r="P55" s="381"/>
    </row>
    <row r="56" spans="3:16" ht="15.75" customHeight="1" x14ac:dyDescent="0.45">
      <c r="C56" s="382"/>
      <c r="D56" s="382"/>
      <c r="E56" s="382"/>
      <c r="F56" s="382"/>
      <c r="G56" s="382"/>
      <c r="L56" s="381"/>
      <c r="M56" s="381"/>
      <c r="N56" s="381"/>
      <c r="O56" s="381"/>
      <c r="P56" s="381"/>
    </row>
    <row r="57" spans="3:16" ht="15.75" customHeight="1" x14ac:dyDescent="0.45">
      <c r="C57" s="382"/>
      <c r="D57" s="382"/>
      <c r="E57" s="382"/>
      <c r="F57" s="382"/>
      <c r="G57" s="382"/>
      <c r="L57" s="381"/>
      <c r="M57" s="381"/>
      <c r="N57" s="381"/>
      <c r="O57" s="381"/>
      <c r="P57" s="381"/>
    </row>
    <row r="58" spans="3:16" ht="15.75" customHeight="1" x14ac:dyDescent="0.45">
      <c r="C58" s="382"/>
      <c r="D58" s="382"/>
      <c r="E58" s="382"/>
      <c r="F58" s="382"/>
      <c r="G58" s="382"/>
      <c r="L58" s="381"/>
      <c r="M58" s="381"/>
      <c r="N58" s="381"/>
      <c r="O58" s="381"/>
      <c r="P58" s="381"/>
    </row>
    <row r="59" spans="3:16" ht="15.75" customHeight="1" x14ac:dyDescent="0.45">
      <c r="C59" s="382"/>
      <c r="D59" s="382"/>
      <c r="E59" s="382"/>
      <c r="F59" s="382"/>
      <c r="G59" s="382"/>
      <c r="L59" s="381"/>
      <c r="M59" s="381"/>
      <c r="N59" s="381"/>
      <c r="O59" s="381"/>
      <c r="P59" s="381"/>
    </row>
    <row r="60" spans="3:16" ht="15.75" customHeight="1" x14ac:dyDescent="0.45">
      <c r="C60" s="382"/>
      <c r="D60" s="382"/>
      <c r="E60" s="382"/>
      <c r="F60" s="382"/>
      <c r="G60" s="382"/>
      <c r="L60" s="381"/>
      <c r="M60" s="381"/>
      <c r="N60" s="381"/>
      <c r="O60" s="381"/>
      <c r="P60" s="381"/>
    </row>
    <row r="61" spans="3:16" ht="15.75" customHeight="1" x14ac:dyDescent="0.45">
      <c r="C61" s="382"/>
      <c r="D61" s="382"/>
      <c r="E61" s="382"/>
      <c r="F61" s="382"/>
      <c r="G61" s="382"/>
      <c r="L61" s="381"/>
      <c r="M61" s="381"/>
      <c r="N61" s="381"/>
      <c r="O61" s="381"/>
      <c r="P61" s="381"/>
    </row>
    <row r="62" spans="3:16" ht="15.75" customHeight="1" x14ac:dyDescent="0.45">
      <c r="C62" s="382"/>
      <c r="D62" s="382"/>
      <c r="E62" s="382"/>
      <c r="F62" s="382"/>
      <c r="G62" s="382"/>
      <c r="L62" s="381"/>
      <c r="M62" s="381"/>
      <c r="N62" s="381"/>
      <c r="O62" s="381"/>
      <c r="P62" s="381"/>
    </row>
    <row r="63" spans="3:16" ht="15.75" customHeight="1" x14ac:dyDescent="0.45">
      <c r="C63" s="382"/>
      <c r="D63" s="382"/>
      <c r="E63" s="382"/>
      <c r="F63" s="382"/>
      <c r="G63" s="382"/>
      <c r="L63" s="381"/>
      <c r="M63" s="381"/>
      <c r="N63" s="381"/>
      <c r="O63" s="381"/>
      <c r="P63" s="381"/>
    </row>
    <row r="64" spans="3:16" ht="15.75" customHeight="1" x14ac:dyDescent="0.45">
      <c r="C64" s="382"/>
      <c r="D64" s="382"/>
      <c r="E64" s="382"/>
      <c r="F64" s="382"/>
      <c r="G64" s="382"/>
      <c r="L64" s="381"/>
      <c r="M64" s="381"/>
      <c r="N64" s="381"/>
      <c r="O64" s="381"/>
      <c r="P64" s="381"/>
    </row>
    <row r="65" spans="3:16" ht="15.75" customHeight="1" x14ac:dyDescent="0.45">
      <c r="C65" s="382"/>
      <c r="D65" s="382"/>
      <c r="E65" s="382"/>
      <c r="F65" s="382"/>
      <c r="G65" s="382"/>
      <c r="L65" s="381"/>
      <c r="M65" s="381"/>
      <c r="N65" s="381"/>
      <c r="O65" s="381"/>
      <c r="P65" s="381"/>
    </row>
    <row r="66" spans="3:16" ht="15.75" customHeight="1" x14ac:dyDescent="0.45">
      <c r="C66" s="382"/>
      <c r="D66" s="382"/>
      <c r="E66" s="382"/>
      <c r="F66" s="382"/>
      <c r="G66" s="382"/>
      <c r="L66" s="381"/>
      <c r="M66" s="381"/>
      <c r="N66" s="381"/>
      <c r="O66" s="381"/>
      <c r="P66" s="381"/>
    </row>
    <row r="67" spans="3:16" ht="15.75" customHeight="1" x14ac:dyDescent="0.45">
      <c r="C67" s="382"/>
      <c r="D67" s="382"/>
      <c r="E67" s="382"/>
      <c r="F67" s="382"/>
      <c r="G67" s="382"/>
      <c r="L67" s="381"/>
      <c r="M67" s="381"/>
      <c r="N67" s="381"/>
      <c r="O67" s="381"/>
      <c r="P67" s="381"/>
    </row>
    <row r="68" spans="3:16" ht="15.75" customHeight="1" x14ac:dyDescent="0.45">
      <c r="C68" s="382"/>
      <c r="D68" s="382"/>
      <c r="E68" s="382"/>
      <c r="F68" s="382"/>
      <c r="G68" s="382"/>
      <c r="L68" s="381"/>
      <c r="M68" s="381"/>
      <c r="N68" s="381"/>
      <c r="O68" s="381"/>
      <c r="P68" s="381"/>
    </row>
    <row r="69" spans="3:16" ht="15.75" customHeight="1" x14ac:dyDescent="0.45">
      <c r="C69" s="382"/>
      <c r="D69" s="382"/>
      <c r="E69" s="382"/>
      <c r="F69" s="382"/>
      <c r="G69" s="382"/>
      <c r="L69" s="381"/>
      <c r="M69" s="381"/>
      <c r="N69" s="381"/>
      <c r="O69" s="381"/>
      <c r="P69" s="381"/>
    </row>
    <row r="70" spans="3:16" ht="15.75" customHeight="1" x14ac:dyDescent="0.45">
      <c r="C70" s="382"/>
      <c r="D70" s="382"/>
      <c r="E70" s="382"/>
      <c r="F70" s="382"/>
      <c r="G70" s="382"/>
      <c r="L70" s="381"/>
      <c r="M70" s="381"/>
      <c r="N70" s="381"/>
      <c r="O70" s="381"/>
      <c r="P70" s="381"/>
    </row>
    <row r="71" spans="3:16" ht="15.75" customHeight="1" x14ac:dyDescent="0.45">
      <c r="C71" s="382"/>
      <c r="D71" s="382"/>
      <c r="E71" s="382"/>
      <c r="F71" s="382"/>
      <c r="G71" s="382"/>
      <c r="L71" s="381"/>
      <c r="M71" s="381"/>
      <c r="N71" s="381"/>
      <c r="O71" s="381"/>
      <c r="P71" s="381"/>
    </row>
    <row r="72" spans="3:16" ht="15.75" customHeight="1" x14ac:dyDescent="0.45">
      <c r="C72" s="382"/>
      <c r="D72" s="382"/>
      <c r="E72" s="382"/>
      <c r="F72" s="382"/>
      <c r="G72" s="382"/>
      <c r="L72" s="381"/>
      <c r="M72" s="381"/>
      <c r="N72" s="381"/>
      <c r="O72" s="381"/>
      <c r="P72" s="381"/>
    </row>
    <row r="73" spans="3:16" ht="15.75" customHeight="1" x14ac:dyDescent="0.45">
      <c r="C73" s="382"/>
      <c r="D73" s="382"/>
      <c r="E73" s="382"/>
      <c r="F73" s="382"/>
      <c r="G73" s="382"/>
      <c r="L73" s="381"/>
      <c r="M73" s="381"/>
      <c r="N73" s="381"/>
      <c r="O73" s="381"/>
      <c r="P73" s="381"/>
    </row>
    <row r="74" spans="3:16" ht="15.75" customHeight="1" x14ac:dyDescent="0.45">
      <c r="C74" s="382"/>
      <c r="D74" s="382"/>
      <c r="E74" s="382"/>
      <c r="F74" s="382"/>
      <c r="G74" s="382"/>
      <c r="L74" s="381"/>
      <c r="M74" s="381"/>
      <c r="N74" s="381"/>
      <c r="O74" s="381"/>
      <c r="P74" s="381"/>
    </row>
    <row r="75" spans="3:16" ht="15.75" customHeight="1" x14ac:dyDescent="0.45">
      <c r="C75" s="382"/>
      <c r="D75" s="382"/>
      <c r="E75" s="382"/>
      <c r="F75" s="382"/>
      <c r="G75" s="382"/>
      <c r="L75" s="381"/>
      <c r="M75" s="381"/>
      <c r="N75" s="381"/>
      <c r="O75" s="381"/>
      <c r="P75" s="381"/>
    </row>
    <row r="76" spans="3:16" ht="15.75" customHeight="1" x14ac:dyDescent="0.45">
      <c r="C76" s="382"/>
      <c r="D76" s="382"/>
      <c r="E76" s="382"/>
      <c r="F76" s="382"/>
      <c r="G76" s="382"/>
      <c r="L76" s="381"/>
      <c r="M76" s="381"/>
      <c r="N76" s="381"/>
      <c r="O76" s="381"/>
      <c r="P76" s="381"/>
    </row>
    <row r="77" spans="3:16" ht="15.75" customHeight="1" x14ac:dyDescent="0.45">
      <c r="C77" s="382"/>
      <c r="D77" s="382"/>
      <c r="E77" s="382"/>
      <c r="F77" s="382"/>
      <c r="G77" s="382"/>
      <c r="L77" s="381"/>
      <c r="M77" s="381"/>
      <c r="N77" s="381"/>
      <c r="O77" s="381"/>
      <c r="P77" s="381"/>
    </row>
    <row r="78" spans="3:16" ht="15.75" customHeight="1" x14ac:dyDescent="0.45">
      <c r="C78" s="382"/>
      <c r="D78" s="382"/>
      <c r="E78" s="382"/>
      <c r="F78" s="382"/>
      <c r="G78" s="382"/>
      <c r="L78" s="381"/>
      <c r="M78" s="381"/>
      <c r="N78" s="381"/>
      <c r="O78" s="381"/>
      <c r="P78" s="381"/>
    </row>
    <row r="79" spans="3:16" ht="15.75" customHeight="1" x14ac:dyDescent="0.45">
      <c r="C79" s="382"/>
      <c r="D79" s="382"/>
      <c r="E79" s="382"/>
      <c r="F79" s="382"/>
      <c r="G79" s="382"/>
      <c r="L79" s="381"/>
      <c r="M79" s="381"/>
      <c r="N79" s="381"/>
      <c r="O79" s="381"/>
      <c r="P79" s="381"/>
    </row>
    <row r="80" spans="3:16" ht="15.75" customHeight="1" x14ac:dyDescent="0.45">
      <c r="C80" s="382"/>
      <c r="D80" s="382"/>
      <c r="E80" s="382"/>
      <c r="F80" s="382"/>
      <c r="G80" s="382"/>
      <c r="L80" s="381"/>
      <c r="M80" s="381"/>
      <c r="N80" s="381"/>
      <c r="O80" s="381"/>
      <c r="P80" s="381"/>
    </row>
    <row r="81" spans="3:16" ht="15.75" customHeight="1" x14ac:dyDescent="0.45">
      <c r="C81" s="382"/>
      <c r="D81" s="382"/>
      <c r="E81" s="382"/>
      <c r="F81" s="382"/>
      <c r="G81" s="382"/>
      <c r="L81" s="381"/>
      <c r="M81" s="381"/>
      <c r="N81" s="381"/>
      <c r="O81" s="381"/>
      <c r="P81" s="381"/>
    </row>
    <row r="82" spans="3:16" ht="15.75" customHeight="1" x14ac:dyDescent="0.45">
      <c r="C82" s="382"/>
      <c r="D82" s="382"/>
      <c r="E82" s="382"/>
      <c r="F82" s="382"/>
      <c r="G82" s="382"/>
      <c r="L82" s="381"/>
      <c r="M82" s="381"/>
      <c r="N82" s="381"/>
      <c r="O82" s="381"/>
      <c r="P82" s="381"/>
    </row>
    <row r="83" spans="3:16" ht="15.75" customHeight="1" x14ac:dyDescent="0.45">
      <c r="C83" s="382"/>
      <c r="D83" s="382"/>
      <c r="E83" s="382"/>
      <c r="F83" s="382"/>
      <c r="G83" s="382"/>
      <c r="L83" s="381"/>
      <c r="M83" s="381"/>
      <c r="N83" s="381"/>
      <c r="O83" s="381"/>
      <c r="P83" s="381"/>
    </row>
    <row r="84" spans="3:16" ht="15.75" customHeight="1" x14ac:dyDescent="0.45">
      <c r="C84" s="382"/>
      <c r="D84" s="382"/>
      <c r="E84" s="382"/>
      <c r="F84" s="382"/>
      <c r="G84" s="382"/>
      <c r="L84" s="381"/>
      <c r="M84" s="381"/>
      <c r="N84" s="381"/>
      <c r="O84" s="381"/>
      <c r="P84" s="381"/>
    </row>
    <row r="85" spans="3:16" ht="15.75" customHeight="1" x14ac:dyDescent="0.45">
      <c r="C85" s="382"/>
      <c r="D85" s="382"/>
      <c r="E85" s="382"/>
      <c r="F85" s="382"/>
      <c r="G85" s="382"/>
      <c r="L85" s="381"/>
      <c r="M85" s="381"/>
      <c r="N85" s="381"/>
      <c r="O85" s="381"/>
      <c r="P85" s="381"/>
    </row>
    <row r="86" spans="3:16" ht="15.75" customHeight="1" x14ac:dyDescent="0.45">
      <c r="C86" s="382"/>
      <c r="D86" s="382"/>
      <c r="E86" s="382"/>
      <c r="F86" s="382"/>
      <c r="G86" s="382"/>
      <c r="L86" s="381"/>
      <c r="M86" s="381"/>
      <c r="N86" s="381"/>
      <c r="O86" s="381"/>
      <c r="P86" s="381"/>
    </row>
    <row r="87" spans="3:16" ht="15.75" customHeight="1" x14ac:dyDescent="0.45">
      <c r="C87" s="382"/>
      <c r="D87" s="382"/>
      <c r="E87" s="382"/>
      <c r="F87" s="382"/>
      <c r="G87" s="382"/>
      <c r="L87" s="381"/>
      <c r="M87" s="381"/>
      <c r="N87" s="381"/>
      <c r="O87" s="381"/>
      <c r="P87" s="381"/>
    </row>
    <row r="88" spans="3:16" ht="15.75" customHeight="1" x14ac:dyDescent="0.45">
      <c r="C88" s="382"/>
      <c r="D88" s="382"/>
      <c r="E88" s="382"/>
      <c r="F88" s="382"/>
      <c r="G88" s="382"/>
      <c r="L88" s="381"/>
      <c r="M88" s="381"/>
      <c r="N88" s="381"/>
      <c r="O88" s="381"/>
      <c r="P88" s="381"/>
    </row>
    <row r="89" spans="3:16" ht="15.75" customHeight="1" x14ac:dyDescent="0.45">
      <c r="C89" s="382"/>
      <c r="D89" s="382"/>
      <c r="E89" s="382"/>
      <c r="F89" s="382"/>
      <c r="G89" s="382"/>
      <c r="L89" s="381"/>
      <c r="M89" s="381"/>
      <c r="N89" s="381"/>
      <c r="O89" s="381"/>
      <c r="P89" s="381"/>
    </row>
    <row r="90" spans="3:16" ht="15.75" customHeight="1" x14ac:dyDescent="0.45">
      <c r="C90" s="382"/>
      <c r="D90" s="382"/>
      <c r="E90" s="382"/>
      <c r="F90" s="382"/>
      <c r="G90" s="382"/>
      <c r="L90" s="381"/>
      <c r="M90" s="381"/>
      <c r="N90" s="381"/>
      <c r="O90" s="381"/>
      <c r="P90" s="381"/>
    </row>
    <row r="91" spans="3:16" ht="15.75" customHeight="1" x14ac:dyDescent="0.45">
      <c r="C91" s="382"/>
      <c r="D91" s="382"/>
      <c r="E91" s="382"/>
      <c r="F91" s="382"/>
      <c r="G91" s="382"/>
      <c r="L91" s="381"/>
      <c r="M91" s="381"/>
      <c r="N91" s="381"/>
      <c r="O91" s="381"/>
      <c r="P91" s="381"/>
    </row>
    <row r="92" spans="3:16" ht="15.75" customHeight="1" x14ac:dyDescent="0.45">
      <c r="C92" s="382"/>
      <c r="D92" s="382"/>
      <c r="E92" s="382"/>
      <c r="F92" s="382"/>
      <c r="G92" s="382"/>
      <c r="L92" s="381"/>
      <c r="M92" s="381"/>
      <c r="N92" s="381"/>
      <c r="O92" s="381"/>
      <c r="P92" s="381"/>
    </row>
    <row r="93" spans="3:16" ht="15.75" customHeight="1" x14ac:dyDescent="0.45">
      <c r="C93" s="382"/>
      <c r="D93" s="382"/>
      <c r="E93" s="382"/>
      <c r="F93" s="382"/>
      <c r="G93" s="382"/>
      <c r="L93" s="381"/>
      <c r="M93" s="381"/>
      <c r="N93" s="381"/>
      <c r="O93" s="381"/>
      <c r="P93" s="381"/>
    </row>
    <row r="94" spans="3:16" ht="15.75" customHeight="1" x14ac:dyDescent="0.45">
      <c r="C94" s="382"/>
      <c r="D94" s="382"/>
      <c r="E94" s="382"/>
      <c r="F94" s="382"/>
      <c r="G94" s="382"/>
      <c r="L94" s="381"/>
      <c r="M94" s="381"/>
      <c r="N94" s="381"/>
      <c r="O94" s="381"/>
      <c r="P94" s="381"/>
    </row>
    <row r="95" spans="3:16" ht="15.75" customHeight="1" x14ac:dyDescent="0.45">
      <c r="C95" s="382"/>
      <c r="D95" s="382"/>
      <c r="E95" s="382"/>
      <c r="F95" s="382"/>
      <c r="G95" s="382"/>
      <c r="L95" s="381"/>
      <c r="M95" s="381"/>
      <c r="N95" s="381"/>
      <c r="O95" s="381"/>
      <c r="P95" s="381"/>
    </row>
    <row r="96" spans="3:16" ht="15.75" customHeight="1" x14ac:dyDescent="0.45">
      <c r="C96" s="382"/>
      <c r="D96" s="382"/>
      <c r="E96" s="382"/>
      <c r="F96" s="382"/>
      <c r="G96" s="382"/>
      <c r="L96" s="381"/>
      <c r="M96" s="381"/>
      <c r="N96" s="381"/>
      <c r="O96" s="381"/>
      <c r="P96" s="381"/>
    </row>
    <row r="97" spans="3:16" ht="15.75" customHeight="1" x14ac:dyDescent="0.45">
      <c r="C97" s="382"/>
      <c r="D97" s="382"/>
      <c r="E97" s="382"/>
      <c r="F97" s="382"/>
      <c r="G97" s="382"/>
      <c r="L97" s="381"/>
      <c r="M97" s="381"/>
      <c r="N97" s="381"/>
      <c r="O97" s="381"/>
      <c r="P97" s="381"/>
    </row>
    <row r="98" spans="3:16" ht="15.75" customHeight="1" x14ac:dyDescent="0.45">
      <c r="C98" s="382"/>
      <c r="D98" s="382"/>
      <c r="E98" s="382"/>
      <c r="F98" s="382"/>
      <c r="G98" s="382"/>
      <c r="L98" s="381"/>
      <c r="M98" s="381"/>
      <c r="N98" s="381"/>
      <c r="O98" s="381"/>
      <c r="P98" s="381"/>
    </row>
    <row r="99" spans="3:16" ht="15.75" customHeight="1" x14ac:dyDescent="0.45">
      <c r="C99" s="382"/>
      <c r="D99" s="382"/>
      <c r="E99" s="382"/>
      <c r="F99" s="382"/>
      <c r="G99" s="382"/>
      <c r="L99" s="381"/>
      <c r="M99" s="381"/>
      <c r="N99" s="381"/>
      <c r="O99" s="381"/>
      <c r="P99" s="381"/>
    </row>
    <row r="100" spans="3:16" ht="15.75" customHeight="1" x14ac:dyDescent="0.45">
      <c r="C100" s="382"/>
      <c r="D100" s="382"/>
      <c r="E100" s="382"/>
      <c r="F100" s="382"/>
      <c r="G100" s="382"/>
      <c r="L100" s="381"/>
      <c r="M100" s="381"/>
      <c r="N100" s="381"/>
      <c r="O100" s="381"/>
      <c r="P100" s="381"/>
    </row>
    <row r="101" spans="3:16" ht="15.75" customHeight="1" x14ac:dyDescent="0.45">
      <c r="C101" s="382"/>
      <c r="D101" s="382"/>
      <c r="E101" s="382"/>
      <c r="F101" s="382"/>
      <c r="G101" s="382"/>
      <c r="L101" s="381"/>
      <c r="M101" s="381"/>
      <c r="N101" s="381"/>
      <c r="O101" s="381"/>
      <c r="P101" s="381"/>
    </row>
    <row r="102" spans="3:16" ht="15.75" customHeight="1" x14ac:dyDescent="0.45">
      <c r="C102" s="382"/>
      <c r="D102" s="382"/>
      <c r="E102" s="382"/>
      <c r="F102" s="382"/>
      <c r="G102" s="382"/>
      <c r="L102" s="381"/>
      <c r="M102" s="381"/>
      <c r="N102" s="381"/>
      <c r="O102" s="381"/>
      <c r="P102" s="381"/>
    </row>
    <row r="103" spans="3:16" ht="15.75" customHeight="1" x14ac:dyDescent="0.45">
      <c r="C103" s="382"/>
      <c r="D103" s="382"/>
      <c r="E103" s="382"/>
      <c r="F103" s="382"/>
      <c r="G103" s="382"/>
      <c r="L103" s="381"/>
      <c r="M103" s="381"/>
      <c r="N103" s="381"/>
      <c r="O103" s="381"/>
      <c r="P103" s="381"/>
    </row>
    <row r="104" spans="3:16" ht="15.75" customHeight="1" x14ac:dyDescent="0.45">
      <c r="C104" s="382"/>
      <c r="D104" s="382"/>
      <c r="E104" s="382"/>
      <c r="F104" s="382"/>
      <c r="G104" s="382"/>
      <c r="L104" s="381"/>
      <c r="M104" s="381"/>
      <c r="N104" s="381"/>
      <c r="O104" s="381"/>
      <c r="P104" s="381"/>
    </row>
    <row r="105" spans="3:16" ht="15.75" customHeight="1" x14ac:dyDescent="0.45">
      <c r="C105" s="382"/>
      <c r="D105" s="382"/>
      <c r="E105" s="382"/>
      <c r="F105" s="382"/>
      <c r="G105" s="382"/>
      <c r="L105" s="381"/>
      <c r="M105" s="381"/>
      <c r="N105" s="381"/>
      <c r="O105" s="381"/>
      <c r="P105" s="381"/>
    </row>
    <row r="106" spans="3:16" ht="15.75" customHeight="1" x14ac:dyDescent="0.45">
      <c r="C106" s="382"/>
      <c r="D106" s="382"/>
      <c r="E106" s="382"/>
      <c r="F106" s="382"/>
      <c r="G106" s="382"/>
      <c r="L106" s="381"/>
      <c r="M106" s="381"/>
      <c r="N106" s="381"/>
      <c r="O106" s="381"/>
      <c r="P106" s="381"/>
    </row>
    <row r="107" spans="3:16" ht="15.75" customHeight="1" x14ac:dyDescent="0.45">
      <c r="C107" s="382"/>
      <c r="D107" s="382"/>
      <c r="E107" s="382"/>
      <c r="F107" s="382"/>
      <c r="G107" s="382"/>
      <c r="L107" s="381"/>
      <c r="M107" s="381"/>
      <c r="N107" s="381"/>
      <c r="O107" s="381"/>
      <c r="P107" s="381"/>
    </row>
    <row r="108" spans="3:16" ht="15.75" customHeight="1" x14ac:dyDescent="0.45">
      <c r="C108" s="382"/>
      <c r="D108" s="382"/>
      <c r="E108" s="382"/>
      <c r="F108" s="382"/>
      <c r="G108" s="382"/>
      <c r="L108" s="381"/>
      <c r="M108" s="381"/>
      <c r="N108" s="381"/>
      <c r="O108" s="381"/>
      <c r="P108" s="381"/>
    </row>
    <row r="109" spans="3:16" ht="15.75" customHeight="1" x14ac:dyDescent="0.45">
      <c r="C109" s="382"/>
      <c r="D109" s="382"/>
      <c r="E109" s="382"/>
      <c r="F109" s="382"/>
      <c r="G109" s="382"/>
      <c r="L109" s="381"/>
      <c r="M109" s="381"/>
      <c r="N109" s="381"/>
      <c r="O109" s="381"/>
      <c r="P109" s="381"/>
    </row>
    <row r="110" spans="3:16" ht="15.75" customHeight="1" x14ac:dyDescent="0.45">
      <c r="C110" s="382"/>
      <c r="D110" s="382"/>
      <c r="E110" s="382"/>
      <c r="F110" s="382"/>
      <c r="G110" s="382"/>
      <c r="L110" s="381"/>
      <c r="M110" s="381"/>
      <c r="N110" s="381"/>
      <c r="O110" s="381"/>
      <c r="P110" s="381"/>
    </row>
    <row r="111" spans="3:16" ht="15.75" customHeight="1" x14ac:dyDescent="0.45">
      <c r="C111" s="382"/>
      <c r="D111" s="382"/>
      <c r="E111" s="382"/>
      <c r="F111" s="382"/>
      <c r="G111" s="382"/>
      <c r="L111" s="381"/>
      <c r="M111" s="381"/>
      <c r="N111" s="381"/>
      <c r="O111" s="381"/>
      <c r="P111" s="381"/>
    </row>
    <row r="112" spans="3:16" ht="15.75" customHeight="1" x14ac:dyDescent="0.45">
      <c r="C112" s="382"/>
      <c r="D112" s="382"/>
      <c r="E112" s="382"/>
      <c r="F112" s="382"/>
      <c r="G112" s="382"/>
      <c r="L112" s="381"/>
      <c r="M112" s="381"/>
      <c r="N112" s="381"/>
      <c r="O112" s="381"/>
      <c r="P112" s="381"/>
    </row>
    <row r="113" spans="3:16" ht="15.75" customHeight="1" x14ac:dyDescent="0.45">
      <c r="C113" s="382"/>
      <c r="D113" s="382"/>
      <c r="E113" s="382"/>
      <c r="F113" s="382"/>
      <c r="G113" s="382"/>
      <c r="L113" s="381"/>
      <c r="M113" s="381"/>
      <c r="N113" s="381"/>
      <c r="O113" s="381"/>
      <c r="P113" s="381"/>
    </row>
    <row r="114" spans="3:16" ht="15.75" customHeight="1" x14ac:dyDescent="0.45">
      <c r="C114" s="382"/>
      <c r="D114" s="382"/>
      <c r="E114" s="382"/>
      <c r="F114" s="382"/>
      <c r="G114" s="382"/>
      <c r="L114" s="381"/>
      <c r="M114" s="381"/>
      <c r="N114" s="381"/>
      <c r="O114" s="381"/>
      <c r="P114" s="381"/>
    </row>
    <row r="115" spans="3:16" ht="15.75" customHeight="1" x14ac:dyDescent="0.45">
      <c r="C115" s="382"/>
      <c r="D115" s="382"/>
      <c r="E115" s="382"/>
      <c r="F115" s="382"/>
      <c r="G115" s="382"/>
      <c r="L115" s="381"/>
      <c r="M115" s="381"/>
      <c r="N115" s="381"/>
      <c r="O115" s="381"/>
      <c r="P115" s="381"/>
    </row>
    <row r="116" spans="3:16" ht="15.75" customHeight="1" x14ac:dyDescent="0.45">
      <c r="C116" s="382"/>
      <c r="D116" s="382"/>
      <c r="E116" s="382"/>
      <c r="F116" s="382"/>
      <c r="G116" s="382"/>
      <c r="L116" s="381"/>
      <c r="M116" s="381"/>
      <c r="N116" s="381"/>
      <c r="O116" s="381"/>
      <c r="P116" s="381"/>
    </row>
    <row r="117" spans="3:16" ht="15.75" customHeight="1" x14ac:dyDescent="0.45">
      <c r="C117" s="382"/>
      <c r="D117" s="382"/>
      <c r="E117" s="382"/>
      <c r="F117" s="382"/>
      <c r="G117" s="382"/>
      <c r="L117" s="381"/>
      <c r="M117" s="381"/>
      <c r="N117" s="381"/>
      <c r="O117" s="381"/>
      <c r="P117" s="381"/>
    </row>
    <row r="118" spans="3:16" ht="15.75" customHeight="1" x14ac:dyDescent="0.45">
      <c r="C118" s="382"/>
      <c r="D118" s="382"/>
      <c r="E118" s="382"/>
      <c r="F118" s="382"/>
      <c r="G118" s="382"/>
      <c r="L118" s="381"/>
      <c r="M118" s="381"/>
      <c r="N118" s="381"/>
      <c r="O118" s="381"/>
      <c r="P118" s="381"/>
    </row>
    <row r="119" spans="3:16" ht="15.75" customHeight="1" x14ac:dyDescent="0.45">
      <c r="C119" s="382"/>
      <c r="D119" s="382"/>
      <c r="E119" s="382"/>
      <c r="F119" s="382"/>
      <c r="G119" s="382"/>
      <c r="L119" s="381"/>
      <c r="M119" s="381"/>
      <c r="N119" s="381"/>
      <c r="O119" s="381"/>
      <c r="P119" s="381"/>
    </row>
    <row r="120" spans="3:16" ht="15.75" customHeight="1" x14ac:dyDescent="0.45">
      <c r="C120" s="382"/>
      <c r="D120" s="382"/>
      <c r="E120" s="382"/>
      <c r="F120" s="382"/>
      <c r="G120" s="382"/>
      <c r="L120" s="381"/>
      <c r="M120" s="381"/>
      <c r="N120" s="381"/>
      <c r="O120" s="381"/>
      <c r="P120" s="381"/>
    </row>
    <row r="121" spans="3:16" ht="15.75" customHeight="1" x14ac:dyDescent="0.45">
      <c r="C121" s="382"/>
      <c r="D121" s="382"/>
      <c r="E121" s="382"/>
      <c r="F121" s="382"/>
      <c r="G121" s="382"/>
      <c r="L121" s="381"/>
      <c r="M121" s="381"/>
      <c r="N121" s="381"/>
      <c r="O121" s="381"/>
      <c r="P121" s="381"/>
    </row>
    <row r="122" spans="3:16" ht="15.75" customHeight="1" x14ac:dyDescent="0.45">
      <c r="C122" s="382"/>
      <c r="D122" s="382"/>
      <c r="E122" s="382"/>
      <c r="F122" s="382"/>
      <c r="G122" s="382"/>
      <c r="L122" s="381"/>
      <c r="M122" s="381"/>
      <c r="N122" s="381"/>
      <c r="O122" s="381"/>
      <c r="P122" s="381"/>
    </row>
    <row r="123" spans="3:16" ht="15.75" customHeight="1" x14ac:dyDescent="0.45">
      <c r="C123" s="382"/>
      <c r="D123" s="382"/>
      <c r="E123" s="382"/>
      <c r="F123" s="382"/>
      <c r="G123" s="382"/>
      <c r="L123" s="381"/>
      <c r="M123" s="381"/>
      <c r="N123" s="381"/>
      <c r="O123" s="381"/>
      <c r="P123" s="381"/>
    </row>
    <row r="124" spans="3:16" ht="15.75" customHeight="1" x14ac:dyDescent="0.45">
      <c r="C124" s="382"/>
      <c r="D124" s="382"/>
      <c r="E124" s="382"/>
      <c r="F124" s="382"/>
      <c r="G124" s="382"/>
      <c r="L124" s="381"/>
      <c r="M124" s="381"/>
      <c r="N124" s="381"/>
      <c r="O124" s="381"/>
      <c r="P124" s="381"/>
    </row>
    <row r="125" spans="3:16" ht="15.75" customHeight="1" x14ac:dyDescent="0.45">
      <c r="C125" s="382"/>
      <c r="D125" s="382"/>
      <c r="E125" s="382"/>
      <c r="F125" s="382"/>
      <c r="G125" s="382"/>
      <c r="L125" s="381"/>
      <c r="M125" s="381"/>
      <c r="N125" s="381"/>
      <c r="O125" s="381"/>
      <c r="P125" s="381"/>
    </row>
    <row r="126" spans="3:16" ht="15.75" customHeight="1" x14ac:dyDescent="0.45">
      <c r="C126" s="382"/>
      <c r="D126" s="382"/>
      <c r="E126" s="382"/>
      <c r="F126" s="382"/>
      <c r="G126" s="382"/>
      <c r="L126" s="381"/>
      <c r="M126" s="381"/>
      <c r="N126" s="381"/>
      <c r="O126" s="381"/>
      <c r="P126" s="381"/>
    </row>
    <row r="127" spans="3:16" ht="15.75" customHeight="1" x14ac:dyDescent="0.45">
      <c r="C127" s="382"/>
      <c r="D127" s="382"/>
      <c r="E127" s="382"/>
      <c r="F127" s="382"/>
      <c r="G127" s="382"/>
      <c r="L127" s="381"/>
      <c r="M127" s="381"/>
      <c r="N127" s="381"/>
      <c r="O127" s="381"/>
      <c r="P127" s="381"/>
    </row>
    <row r="128" spans="3:16" ht="15.75" customHeight="1" x14ac:dyDescent="0.45">
      <c r="C128" s="382"/>
      <c r="D128" s="382"/>
      <c r="E128" s="382"/>
      <c r="F128" s="382"/>
      <c r="G128" s="382"/>
      <c r="L128" s="381"/>
      <c r="M128" s="381"/>
      <c r="N128" s="381"/>
      <c r="O128" s="381"/>
      <c r="P128" s="381"/>
    </row>
    <row r="129" spans="3:16" ht="15.75" customHeight="1" x14ac:dyDescent="0.45">
      <c r="C129" s="382"/>
      <c r="D129" s="382"/>
      <c r="E129" s="382"/>
      <c r="F129" s="382"/>
      <c r="G129" s="382"/>
      <c r="L129" s="381"/>
      <c r="M129" s="381"/>
      <c r="N129" s="381"/>
      <c r="O129" s="381"/>
      <c r="P129" s="381"/>
    </row>
    <row r="130" spans="3:16" ht="15.75" customHeight="1" x14ac:dyDescent="0.45">
      <c r="C130" s="382"/>
      <c r="D130" s="382"/>
      <c r="E130" s="382"/>
      <c r="F130" s="382"/>
      <c r="G130" s="382"/>
      <c r="L130" s="381"/>
      <c r="M130" s="381"/>
      <c r="N130" s="381"/>
      <c r="O130" s="381"/>
      <c r="P130" s="381"/>
    </row>
    <row r="131" spans="3:16" ht="15.75" customHeight="1" x14ac:dyDescent="0.45">
      <c r="C131" s="382"/>
      <c r="D131" s="382"/>
      <c r="E131" s="382"/>
      <c r="F131" s="382"/>
      <c r="G131" s="382"/>
      <c r="L131" s="381"/>
      <c r="M131" s="381"/>
      <c r="N131" s="381"/>
      <c r="O131" s="381"/>
      <c r="P131" s="381"/>
    </row>
    <row r="132" spans="3:16" ht="15.75" customHeight="1" x14ac:dyDescent="0.45">
      <c r="C132" s="382"/>
      <c r="D132" s="382"/>
      <c r="E132" s="382"/>
      <c r="F132" s="382"/>
      <c r="G132" s="382"/>
      <c r="L132" s="381"/>
      <c r="M132" s="381"/>
      <c r="N132" s="381"/>
      <c r="O132" s="381"/>
      <c r="P132" s="381"/>
    </row>
    <row r="133" spans="3:16" ht="15.75" customHeight="1" x14ac:dyDescent="0.45">
      <c r="C133" s="382"/>
      <c r="D133" s="382"/>
      <c r="E133" s="382"/>
      <c r="F133" s="382"/>
      <c r="G133" s="382"/>
      <c r="L133" s="381"/>
      <c r="M133" s="381"/>
      <c r="N133" s="381"/>
      <c r="O133" s="381"/>
      <c r="P133" s="381"/>
    </row>
    <row r="134" spans="3:16" ht="15.75" customHeight="1" x14ac:dyDescent="0.45">
      <c r="C134" s="382"/>
      <c r="D134" s="382"/>
      <c r="E134" s="382"/>
      <c r="F134" s="382"/>
      <c r="G134" s="382"/>
      <c r="L134" s="381"/>
      <c r="M134" s="381"/>
      <c r="N134" s="381"/>
      <c r="O134" s="381"/>
      <c r="P134" s="381"/>
    </row>
    <row r="135" spans="3:16" ht="15.75" customHeight="1" x14ac:dyDescent="0.45">
      <c r="C135" s="382"/>
      <c r="D135" s="382"/>
      <c r="E135" s="382"/>
      <c r="F135" s="382"/>
      <c r="G135" s="382"/>
      <c r="L135" s="381"/>
      <c r="M135" s="381"/>
      <c r="N135" s="381"/>
      <c r="O135" s="381"/>
      <c r="P135" s="381"/>
    </row>
    <row r="136" spans="3:16" ht="15.75" customHeight="1" x14ac:dyDescent="0.45">
      <c r="C136" s="382"/>
      <c r="D136" s="382"/>
      <c r="E136" s="382"/>
      <c r="F136" s="382"/>
      <c r="G136" s="382"/>
      <c r="L136" s="381"/>
      <c r="M136" s="381"/>
      <c r="N136" s="381"/>
      <c r="O136" s="381"/>
      <c r="P136" s="381"/>
    </row>
    <row r="137" spans="3:16" ht="15.75" customHeight="1" x14ac:dyDescent="0.45">
      <c r="C137" s="382"/>
      <c r="D137" s="382"/>
      <c r="E137" s="382"/>
      <c r="F137" s="382"/>
      <c r="G137" s="382"/>
      <c r="L137" s="381"/>
      <c r="M137" s="381"/>
      <c r="N137" s="381"/>
      <c r="O137" s="381"/>
      <c r="P137" s="381"/>
    </row>
    <row r="138" spans="3:16" ht="15.75" customHeight="1" x14ac:dyDescent="0.45">
      <c r="C138" s="382"/>
      <c r="D138" s="382"/>
      <c r="E138" s="382"/>
      <c r="F138" s="382"/>
      <c r="G138" s="382"/>
      <c r="L138" s="381"/>
      <c r="M138" s="381"/>
      <c r="N138" s="381"/>
      <c r="O138" s="381"/>
      <c r="P138" s="381"/>
    </row>
    <row r="139" spans="3:16" ht="15.75" customHeight="1" x14ac:dyDescent="0.45">
      <c r="C139" s="382"/>
      <c r="D139" s="382"/>
      <c r="E139" s="382"/>
      <c r="F139" s="382"/>
      <c r="G139" s="382"/>
      <c r="L139" s="381"/>
      <c r="M139" s="381"/>
      <c r="N139" s="381"/>
      <c r="O139" s="381"/>
      <c r="P139" s="381"/>
    </row>
    <row r="140" spans="3:16" ht="15.75" customHeight="1" x14ac:dyDescent="0.45">
      <c r="C140" s="382"/>
      <c r="D140" s="382"/>
      <c r="E140" s="382"/>
      <c r="F140" s="382"/>
      <c r="G140" s="382"/>
      <c r="L140" s="381"/>
      <c r="M140" s="381"/>
      <c r="N140" s="381"/>
      <c r="O140" s="381"/>
      <c r="P140" s="381"/>
    </row>
    <row r="141" spans="3:16" ht="15.75" customHeight="1" x14ac:dyDescent="0.45">
      <c r="C141" s="382"/>
      <c r="D141" s="382"/>
      <c r="E141" s="382"/>
      <c r="F141" s="382"/>
      <c r="G141" s="382"/>
      <c r="L141" s="381"/>
      <c r="M141" s="381"/>
      <c r="N141" s="381"/>
      <c r="O141" s="381"/>
      <c r="P141" s="381"/>
    </row>
    <row r="142" spans="3:16" ht="15.75" customHeight="1" x14ac:dyDescent="0.45">
      <c r="C142" s="382"/>
      <c r="D142" s="382"/>
      <c r="E142" s="382"/>
      <c r="F142" s="382"/>
      <c r="G142" s="382"/>
      <c r="L142" s="381"/>
      <c r="M142" s="381"/>
      <c r="N142" s="381"/>
      <c r="O142" s="381"/>
      <c r="P142" s="381"/>
    </row>
    <row r="143" spans="3:16" ht="15.75" customHeight="1" x14ac:dyDescent="0.45">
      <c r="C143" s="382"/>
      <c r="D143" s="382"/>
      <c r="E143" s="382"/>
      <c r="F143" s="382"/>
      <c r="G143" s="382"/>
      <c r="L143" s="381"/>
      <c r="M143" s="381"/>
      <c r="N143" s="381"/>
      <c r="O143" s="381"/>
      <c r="P143" s="381"/>
    </row>
    <row r="144" spans="3:16" ht="15.75" customHeight="1" x14ac:dyDescent="0.45">
      <c r="C144" s="382"/>
      <c r="D144" s="382"/>
      <c r="E144" s="382"/>
      <c r="F144" s="382"/>
      <c r="G144" s="382"/>
      <c r="L144" s="381"/>
      <c r="M144" s="381"/>
      <c r="N144" s="381"/>
      <c r="O144" s="381"/>
      <c r="P144" s="381"/>
    </row>
    <row r="145" spans="3:16" ht="15.75" customHeight="1" x14ac:dyDescent="0.45">
      <c r="C145" s="382"/>
      <c r="D145" s="382"/>
      <c r="E145" s="382"/>
      <c r="F145" s="382"/>
      <c r="G145" s="382"/>
      <c r="L145" s="381"/>
      <c r="M145" s="381"/>
      <c r="N145" s="381"/>
      <c r="O145" s="381"/>
      <c r="P145" s="381"/>
    </row>
    <row r="146" spans="3:16" ht="15.75" customHeight="1" x14ac:dyDescent="0.45">
      <c r="C146" s="382"/>
      <c r="D146" s="382"/>
      <c r="E146" s="382"/>
      <c r="F146" s="382"/>
      <c r="G146" s="382"/>
      <c r="L146" s="381"/>
      <c r="M146" s="381"/>
      <c r="N146" s="381"/>
      <c r="O146" s="381"/>
      <c r="P146" s="381"/>
    </row>
    <row r="147" spans="3:16" ht="15.75" customHeight="1" x14ac:dyDescent="0.45">
      <c r="C147" s="382"/>
      <c r="D147" s="382"/>
      <c r="E147" s="382"/>
      <c r="F147" s="382"/>
      <c r="G147" s="382"/>
      <c r="L147" s="381"/>
      <c r="M147" s="381"/>
      <c r="N147" s="381"/>
      <c r="O147" s="381"/>
      <c r="P147" s="381"/>
    </row>
    <row r="148" spans="3:16" ht="15.75" customHeight="1" x14ac:dyDescent="0.45">
      <c r="C148" s="382"/>
      <c r="D148" s="382"/>
      <c r="E148" s="382"/>
      <c r="F148" s="382"/>
      <c r="G148" s="382"/>
      <c r="L148" s="381"/>
      <c r="M148" s="381"/>
      <c r="N148" s="381"/>
      <c r="O148" s="381"/>
      <c r="P148" s="381"/>
    </row>
    <row r="149" spans="3:16" ht="15.75" customHeight="1" x14ac:dyDescent="0.45">
      <c r="C149" s="382"/>
      <c r="D149" s="382"/>
      <c r="E149" s="382"/>
      <c r="F149" s="382"/>
      <c r="G149" s="382"/>
      <c r="L149" s="381"/>
      <c r="M149" s="381"/>
      <c r="N149" s="381"/>
      <c r="O149" s="381"/>
      <c r="P149" s="381"/>
    </row>
    <row r="150" spans="3:16" ht="15.75" customHeight="1" x14ac:dyDescent="0.45">
      <c r="C150" s="382"/>
      <c r="D150" s="382"/>
      <c r="E150" s="382"/>
      <c r="F150" s="382"/>
      <c r="G150" s="382"/>
      <c r="L150" s="381"/>
      <c r="M150" s="381"/>
      <c r="N150" s="381"/>
      <c r="O150" s="381"/>
      <c r="P150" s="381"/>
    </row>
    <row r="151" spans="3:16" ht="15.75" customHeight="1" x14ac:dyDescent="0.45">
      <c r="C151" s="382"/>
      <c r="D151" s="382"/>
      <c r="E151" s="382"/>
      <c r="F151" s="382"/>
      <c r="G151" s="382"/>
      <c r="L151" s="381"/>
      <c r="M151" s="381"/>
      <c r="N151" s="381"/>
      <c r="O151" s="381"/>
      <c r="P151" s="381"/>
    </row>
    <row r="152" spans="3:16" ht="15.75" customHeight="1" x14ac:dyDescent="0.45">
      <c r="C152" s="382"/>
      <c r="D152" s="382"/>
      <c r="E152" s="382"/>
      <c r="F152" s="382"/>
      <c r="G152" s="382"/>
      <c r="L152" s="381"/>
      <c r="M152" s="381"/>
      <c r="N152" s="381"/>
      <c r="O152" s="381"/>
      <c r="P152" s="381"/>
    </row>
    <row r="153" spans="3:16" ht="15.75" customHeight="1" x14ac:dyDescent="0.45">
      <c r="C153" s="382"/>
      <c r="D153" s="382"/>
      <c r="E153" s="382"/>
      <c r="F153" s="382"/>
      <c r="G153" s="382"/>
      <c r="L153" s="381"/>
      <c r="M153" s="381"/>
      <c r="N153" s="381"/>
      <c r="O153" s="381"/>
      <c r="P153" s="381"/>
    </row>
    <row r="154" spans="3:16" ht="15.75" customHeight="1" x14ac:dyDescent="0.45">
      <c r="C154" s="382"/>
      <c r="D154" s="382"/>
      <c r="E154" s="382"/>
      <c r="F154" s="382"/>
      <c r="G154" s="382"/>
      <c r="L154" s="381"/>
      <c r="M154" s="381"/>
      <c r="N154" s="381"/>
      <c r="O154" s="381"/>
      <c r="P154" s="381"/>
    </row>
    <row r="155" spans="3:16" ht="15.75" customHeight="1" x14ac:dyDescent="0.45">
      <c r="C155" s="382"/>
      <c r="D155" s="382"/>
      <c r="E155" s="382"/>
      <c r="F155" s="382"/>
      <c r="G155" s="382"/>
      <c r="L155" s="381"/>
      <c r="M155" s="381"/>
      <c r="N155" s="381"/>
      <c r="O155" s="381"/>
      <c r="P155" s="381"/>
    </row>
    <row r="156" spans="3:16" ht="15.75" customHeight="1" x14ac:dyDescent="0.45">
      <c r="C156" s="382"/>
      <c r="D156" s="382"/>
      <c r="E156" s="382"/>
      <c r="F156" s="382"/>
      <c r="G156" s="382"/>
      <c r="L156" s="381"/>
      <c r="M156" s="381"/>
      <c r="N156" s="381"/>
      <c r="O156" s="381"/>
      <c r="P156" s="381"/>
    </row>
    <row r="157" spans="3:16" ht="15.75" customHeight="1" x14ac:dyDescent="0.45">
      <c r="C157" s="382"/>
      <c r="D157" s="382"/>
      <c r="E157" s="382"/>
      <c r="F157" s="382"/>
      <c r="G157" s="382"/>
      <c r="L157" s="381"/>
      <c r="M157" s="381"/>
      <c r="N157" s="381"/>
      <c r="O157" s="381"/>
      <c r="P157" s="381"/>
    </row>
    <row r="158" spans="3:16" ht="15.75" customHeight="1" x14ac:dyDescent="0.45">
      <c r="C158" s="382"/>
      <c r="D158" s="382"/>
      <c r="E158" s="382"/>
      <c r="F158" s="382"/>
      <c r="G158" s="382"/>
      <c r="L158" s="381"/>
      <c r="M158" s="381"/>
      <c r="N158" s="381"/>
      <c r="O158" s="381"/>
      <c r="P158" s="381"/>
    </row>
    <row r="159" spans="3:16" ht="15.75" customHeight="1" x14ac:dyDescent="0.45">
      <c r="C159" s="382"/>
      <c r="D159" s="382"/>
      <c r="E159" s="382"/>
      <c r="F159" s="382"/>
      <c r="G159" s="382"/>
      <c r="L159" s="381"/>
      <c r="M159" s="381"/>
      <c r="N159" s="381"/>
      <c r="O159" s="381"/>
      <c r="P159" s="381"/>
    </row>
    <row r="160" spans="3:16" ht="15.75" customHeight="1" x14ac:dyDescent="0.45">
      <c r="C160" s="382"/>
      <c r="D160" s="382"/>
      <c r="E160" s="382"/>
      <c r="F160" s="382"/>
      <c r="G160" s="382"/>
      <c r="L160" s="381"/>
      <c r="M160" s="381"/>
      <c r="N160" s="381"/>
      <c r="O160" s="381"/>
      <c r="P160" s="381"/>
    </row>
    <row r="161" spans="3:16" ht="15.75" customHeight="1" x14ac:dyDescent="0.45">
      <c r="C161" s="382"/>
      <c r="D161" s="382"/>
      <c r="E161" s="382"/>
      <c r="F161" s="382"/>
      <c r="G161" s="382"/>
      <c r="L161" s="381"/>
      <c r="M161" s="381"/>
      <c r="N161" s="381"/>
      <c r="O161" s="381"/>
      <c r="P161" s="381"/>
    </row>
    <row r="162" spans="3:16" ht="15.75" customHeight="1" x14ac:dyDescent="0.45">
      <c r="C162" s="382"/>
      <c r="D162" s="382"/>
      <c r="E162" s="382"/>
      <c r="F162" s="382"/>
      <c r="G162" s="382"/>
      <c r="L162" s="381"/>
      <c r="M162" s="381"/>
      <c r="N162" s="381"/>
      <c r="O162" s="381"/>
      <c r="P162" s="381"/>
    </row>
    <row r="163" spans="3:16" ht="15.75" customHeight="1" x14ac:dyDescent="0.45">
      <c r="C163" s="382"/>
      <c r="D163" s="382"/>
      <c r="E163" s="382"/>
      <c r="F163" s="382"/>
      <c r="G163" s="382"/>
      <c r="L163" s="381"/>
      <c r="M163" s="381"/>
      <c r="N163" s="381"/>
      <c r="O163" s="381"/>
      <c r="P163" s="381"/>
    </row>
    <row r="164" spans="3:16" ht="15.75" customHeight="1" x14ac:dyDescent="0.45">
      <c r="C164" s="382"/>
      <c r="D164" s="382"/>
      <c r="E164" s="382"/>
      <c r="F164" s="382"/>
      <c r="G164" s="382"/>
      <c r="L164" s="381"/>
      <c r="M164" s="381"/>
      <c r="N164" s="381"/>
      <c r="O164" s="381"/>
      <c r="P164" s="381"/>
    </row>
    <row r="165" spans="3:16" ht="15.75" customHeight="1" x14ac:dyDescent="0.45">
      <c r="C165" s="382"/>
      <c r="D165" s="382"/>
      <c r="E165" s="382"/>
      <c r="F165" s="382"/>
      <c r="G165" s="382"/>
      <c r="L165" s="381"/>
      <c r="M165" s="381"/>
      <c r="N165" s="381"/>
      <c r="O165" s="381"/>
      <c r="P165" s="381"/>
    </row>
    <row r="166" spans="3:16" ht="15.75" customHeight="1" x14ac:dyDescent="0.45">
      <c r="C166" s="382"/>
      <c r="D166" s="382"/>
      <c r="E166" s="382"/>
      <c r="F166" s="382"/>
      <c r="G166" s="382"/>
      <c r="L166" s="381"/>
      <c r="M166" s="381"/>
      <c r="N166" s="381"/>
      <c r="O166" s="381"/>
      <c r="P166" s="381"/>
    </row>
    <row r="167" spans="3:16" ht="15.75" customHeight="1" x14ac:dyDescent="0.45">
      <c r="C167" s="382"/>
      <c r="D167" s="382"/>
      <c r="E167" s="382"/>
      <c r="F167" s="382"/>
      <c r="G167" s="382"/>
      <c r="L167" s="381"/>
      <c r="M167" s="381"/>
      <c r="N167" s="381"/>
      <c r="O167" s="381"/>
      <c r="P167" s="381"/>
    </row>
    <row r="168" spans="3:16" ht="15.75" customHeight="1" x14ac:dyDescent="0.45">
      <c r="C168" s="382"/>
      <c r="D168" s="382"/>
      <c r="E168" s="382"/>
      <c r="F168" s="382"/>
      <c r="G168" s="382"/>
      <c r="L168" s="381"/>
      <c r="M168" s="381"/>
      <c r="N168" s="381"/>
      <c r="O168" s="381"/>
      <c r="P168" s="381"/>
    </row>
    <row r="169" spans="3:16" ht="15.75" customHeight="1" x14ac:dyDescent="0.45">
      <c r="C169" s="382"/>
      <c r="D169" s="382"/>
      <c r="E169" s="382"/>
      <c r="F169" s="382"/>
      <c r="G169" s="382"/>
      <c r="L169" s="381"/>
      <c r="M169" s="381"/>
      <c r="N169" s="381"/>
      <c r="O169" s="381"/>
      <c r="P169" s="381"/>
    </row>
    <row r="170" spans="3:16" ht="15.75" customHeight="1" x14ac:dyDescent="0.45">
      <c r="C170" s="382"/>
      <c r="D170" s="382"/>
      <c r="E170" s="382"/>
      <c r="F170" s="382"/>
      <c r="G170" s="382"/>
      <c r="L170" s="381"/>
      <c r="M170" s="381"/>
      <c r="N170" s="381"/>
      <c r="O170" s="381"/>
      <c r="P170" s="381"/>
    </row>
    <row r="171" spans="3:16" ht="15.75" customHeight="1" x14ac:dyDescent="0.45">
      <c r="C171" s="382"/>
      <c r="D171" s="382"/>
      <c r="E171" s="382"/>
      <c r="F171" s="382"/>
      <c r="G171" s="382"/>
      <c r="L171" s="381"/>
      <c r="M171" s="381"/>
      <c r="N171" s="381"/>
      <c r="O171" s="381"/>
      <c r="P171" s="381"/>
    </row>
    <row r="172" spans="3:16" ht="15.75" customHeight="1" x14ac:dyDescent="0.45">
      <c r="C172" s="382"/>
      <c r="D172" s="382"/>
      <c r="E172" s="382"/>
      <c r="F172" s="382"/>
      <c r="G172" s="382"/>
      <c r="L172" s="381"/>
      <c r="M172" s="381"/>
      <c r="N172" s="381"/>
      <c r="O172" s="381"/>
      <c r="P172" s="381"/>
    </row>
    <row r="173" spans="3:16" ht="15.75" customHeight="1" x14ac:dyDescent="0.45">
      <c r="C173" s="382"/>
      <c r="D173" s="382"/>
      <c r="E173" s="382"/>
      <c r="F173" s="382"/>
      <c r="G173" s="382"/>
      <c r="L173" s="381"/>
      <c r="M173" s="381"/>
      <c r="N173" s="381"/>
      <c r="O173" s="381"/>
      <c r="P173" s="381"/>
    </row>
    <row r="174" spans="3:16" ht="15.75" customHeight="1" x14ac:dyDescent="0.45">
      <c r="C174" s="382"/>
      <c r="D174" s="382"/>
      <c r="E174" s="382"/>
      <c r="F174" s="382"/>
      <c r="G174" s="382"/>
      <c r="L174" s="381"/>
      <c r="M174" s="381"/>
      <c r="N174" s="381"/>
      <c r="O174" s="381"/>
      <c r="P174" s="381"/>
    </row>
    <row r="175" spans="3:16" ht="15.75" customHeight="1" x14ac:dyDescent="0.45">
      <c r="C175" s="382"/>
      <c r="D175" s="382"/>
      <c r="E175" s="382"/>
      <c r="F175" s="382"/>
      <c r="G175" s="382"/>
      <c r="L175" s="381"/>
      <c r="M175" s="381"/>
      <c r="N175" s="381"/>
      <c r="O175" s="381"/>
      <c r="P175" s="381"/>
    </row>
    <row r="176" spans="3:16" ht="15.75" customHeight="1" x14ac:dyDescent="0.45">
      <c r="C176" s="382"/>
      <c r="D176" s="382"/>
      <c r="E176" s="382"/>
      <c r="F176" s="382"/>
      <c r="G176" s="382"/>
      <c r="L176" s="381"/>
      <c r="M176" s="381"/>
      <c r="N176" s="381"/>
      <c r="O176" s="381"/>
      <c r="P176" s="381"/>
    </row>
    <row r="177" spans="3:16" ht="15.75" customHeight="1" x14ac:dyDescent="0.45">
      <c r="C177" s="382"/>
      <c r="D177" s="382"/>
      <c r="E177" s="382"/>
      <c r="F177" s="382"/>
      <c r="G177" s="382"/>
      <c r="L177" s="381"/>
      <c r="M177" s="381"/>
      <c r="N177" s="381"/>
      <c r="O177" s="381"/>
      <c r="P177" s="381"/>
    </row>
    <row r="178" spans="3:16" ht="15.75" customHeight="1" x14ac:dyDescent="0.45">
      <c r="C178" s="382"/>
      <c r="D178" s="382"/>
      <c r="E178" s="382"/>
      <c r="F178" s="382"/>
      <c r="G178" s="382"/>
      <c r="L178" s="381"/>
      <c r="M178" s="381"/>
      <c r="N178" s="381"/>
      <c r="O178" s="381"/>
      <c r="P178" s="381"/>
    </row>
    <row r="179" spans="3:16" ht="15.75" customHeight="1" x14ac:dyDescent="0.45">
      <c r="C179" s="382"/>
      <c r="D179" s="382"/>
      <c r="E179" s="382"/>
      <c r="F179" s="382"/>
      <c r="G179" s="382"/>
      <c r="L179" s="381"/>
      <c r="M179" s="381"/>
      <c r="N179" s="381"/>
      <c r="O179" s="381"/>
      <c r="P179" s="381"/>
    </row>
    <row r="180" spans="3:16" ht="15.75" customHeight="1" x14ac:dyDescent="0.45">
      <c r="C180" s="382"/>
      <c r="D180" s="382"/>
      <c r="E180" s="382"/>
      <c r="F180" s="382"/>
      <c r="G180" s="382"/>
      <c r="L180" s="381"/>
      <c r="M180" s="381"/>
      <c r="N180" s="381"/>
      <c r="O180" s="381"/>
      <c r="P180" s="381"/>
    </row>
    <row r="181" spans="3:16" ht="15.75" customHeight="1" x14ac:dyDescent="0.45">
      <c r="C181" s="382"/>
      <c r="D181" s="382"/>
      <c r="E181" s="382"/>
      <c r="F181" s="382"/>
      <c r="G181" s="382"/>
      <c r="L181" s="381"/>
      <c r="M181" s="381"/>
      <c r="N181" s="381"/>
      <c r="O181" s="381"/>
      <c r="P181" s="381"/>
    </row>
    <row r="182" spans="3:16" ht="15.75" customHeight="1" x14ac:dyDescent="0.45">
      <c r="C182" s="382"/>
      <c r="D182" s="382"/>
      <c r="E182" s="382"/>
      <c r="F182" s="382"/>
      <c r="G182" s="382"/>
      <c r="L182" s="381"/>
      <c r="M182" s="381"/>
      <c r="N182" s="381"/>
      <c r="O182" s="381"/>
      <c r="P182" s="381"/>
    </row>
    <row r="183" spans="3:16" ht="15.75" customHeight="1" x14ac:dyDescent="0.45">
      <c r="C183" s="382"/>
      <c r="D183" s="382"/>
      <c r="E183" s="382"/>
      <c r="F183" s="382"/>
      <c r="G183" s="382"/>
      <c r="L183" s="381"/>
      <c r="M183" s="381"/>
      <c r="N183" s="381"/>
      <c r="O183" s="381"/>
      <c r="P183" s="381"/>
    </row>
    <row r="184" spans="3:16" ht="15.75" customHeight="1" x14ac:dyDescent="0.45">
      <c r="C184" s="382"/>
      <c r="D184" s="382"/>
      <c r="E184" s="382"/>
      <c r="F184" s="382"/>
      <c r="G184" s="382"/>
      <c r="L184" s="381"/>
      <c r="M184" s="381"/>
      <c r="N184" s="381"/>
      <c r="O184" s="381"/>
      <c r="P184" s="381"/>
    </row>
    <row r="185" spans="3:16" ht="15.75" customHeight="1" x14ac:dyDescent="0.45">
      <c r="C185" s="382"/>
      <c r="D185" s="382"/>
      <c r="E185" s="382"/>
      <c r="F185" s="382"/>
      <c r="G185" s="382"/>
      <c r="L185" s="381"/>
      <c r="M185" s="381"/>
      <c r="N185" s="381"/>
      <c r="O185" s="381"/>
      <c r="P185" s="381"/>
    </row>
    <row r="186" spans="3:16" ht="15.75" customHeight="1" x14ac:dyDescent="0.45">
      <c r="C186" s="382"/>
      <c r="D186" s="382"/>
      <c r="E186" s="382"/>
      <c r="F186" s="382"/>
      <c r="G186" s="382"/>
      <c r="L186" s="381"/>
      <c r="M186" s="381"/>
      <c r="N186" s="381"/>
      <c r="O186" s="381"/>
      <c r="P186" s="381"/>
    </row>
    <row r="187" spans="3:16" ht="15.75" customHeight="1" x14ac:dyDescent="0.45">
      <c r="C187" s="382"/>
      <c r="D187" s="382"/>
      <c r="E187" s="382"/>
      <c r="F187" s="382"/>
      <c r="G187" s="382"/>
      <c r="L187" s="381"/>
      <c r="M187" s="381"/>
      <c r="N187" s="381"/>
      <c r="O187" s="381"/>
      <c r="P187" s="381"/>
    </row>
    <row r="188" spans="3:16" ht="15.75" customHeight="1" x14ac:dyDescent="0.45">
      <c r="C188" s="382"/>
      <c r="D188" s="382"/>
      <c r="E188" s="382"/>
      <c r="F188" s="382"/>
      <c r="G188" s="382"/>
      <c r="L188" s="381"/>
      <c r="M188" s="381"/>
      <c r="N188" s="381"/>
      <c r="O188" s="381"/>
      <c r="P188" s="381"/>
    </row>
    <row r="189" spans="3:16" ht="15.75" customHeight="1" x14ac:dyDescent="0.45">
      <c r="C189" s="382"/>
      <c r="D189" s="382"/>
      <c r="E189" s="382"/>
      <c r="F189" s="382"/>
      <c r="G189" s="382"/>
      <c r="L189" s="381"/>
      <c r="M189" s="381"/>
      <c r="N189" s="381"/>
      <c r="O189" s="381"/>
      <c r="P189" s="381"/>
    </row>
    <row r="190" spans="3:16" ht="15.75" customHeight="1" x14ac:dyDescent="0.45">
      <c r="C190" s="382"/>
      <c r="D190" s="382"/>
      <c r="E190" s="382"/>
      <c r="F190" s="382"/>
      <c r="G190" s="382"/>
      <c r="L190" s="381"/>
      <c r="M190" s="381"/>
      <c r="N190" s="381"/>
      <c r="O190" s="381"/>
      <c r="P190" s="381"/>
    </row>
    <row r="191" spans="3:16" ht="15.75" customHeight="1" x14ac:dyDescent="0.45">
      <c r="C191" s="382"/>
      <c r="D191" s="382"/>
      <c r="E191" s="382"/>
      <c r="F191" s="382"/>
      <c r="G191" s="382"/>
      <c r="L191" s="381"/>
      <c r="M191" s="381"/>
      <c r="N191" s="381"/>
      <c r="O191" s="381"/>
      <c r="P191" s="381"/>
    </row>
    <row r="192" spans="3:16" ht="15.75" customHeight="1" x14ac:dyDescent="0.45">
      <c r="C192" s="382"/>
      <c r="D192" s="382"/>
      <c r="E192" s="382"/>
      <c r="F192" s="382"/>
      <c r="G192" s="382"/>
      <c r="L192" s="381"/>
      <c r="M192" s="381"/>
      <c r="N192" s="381"/>
      <c r="O192" s="381"/>
      <c r="P192" s="381"/>
    </row>
    <row r="193" spans="3:16" ht="15.75" customHeight="1" x14ac:dyDescent="0.45">
      <c r="C193" s="382"/>
      <c r="D193" s="382"/>
      <c r="E193" s="382"/>
      <c r="F193" s="382"/>
      <c r="G193" s="382"/>
      <c r="L193" s="381"/>
      <c r="M193" s="381"/>
      <c r="N193" s="381"/>
      <c r="O193" s="381"/>
      <c r="P193" s="381"/>
    </row>
    <row r="194" spans="3:16" ht="15.75" customHeight="1" x14ac:dyDescent="0.45">
      <c r="C194" s="382"/>
      <c r="D194" s="382"/>
      <c r="E194" s="382"/>
      <c r="F194" s="382"/>
      <c r="G194" s="382"/>
      <c r="L194" s="381"/>
      <c r="M194" s="381"/>
      <c r="N194" s="381"/>
      <c r="O194" s="381"/>
      <c r="P194" s="381"/>
    </row>
    <row r="195" spans="3:16" ht="15.75" customHeight="1" x14ac:dyDescent="0.45">
      <c r="C195" s="382"/>
      <c r="D195" s="382"/>
      <c r="E195" s="382"/>
      <c r="F195" s="382"/>
      <c r="G195" s="382"/>
      <c r="L195" s="381"/>
      <c r="M195" s="381"/>
      <c r="N195" s="381"/>
      <c r="O195" s="381"/>
      <c r="P195" s="381"/>
    </row>
    <row r="196" spans="3:16" ht="15.75" customHeight="1" x14ac:dyDescent="0.45">
      <c r="C196" s="382"/>
      <c r="D196" s="382"/>
      <c r="E196" s="382"/>
      <c r="F196" s="382"/>
      <c r="G196" s="382"/>
      <c r="L196" s="381"/>
      <c r="M196" s="381"/>
      <c r="N196" s="381"/>
      <c r="O196" s="381"/>
      <c r="P196" s="381"/>
    </row>
    <row r="197" spans="3:16" ht="15.75" customHeight="1" x14ac:dyDescent="0.45">
      <c r="C197" s="382"/>
      <c r="D197" s="382"/>
      <c r="E197" s="382"/>
      <c r="F197" s="382"/>
      <c r="G197" s="382"/>
      <c r="L197" s="381"/>
      <c r="M197" s="381"/>
      <c r="N197" s="381"/>
      <c r="O197" s="381"/>
      <c r="P197" s="381"/>
    </row>
    <row r="198" spans="3:16" ht="15.75" customHeight="1" x14ac:dyDescent="0.45">
      <c r="C198" s="382"/>
      <c r="D198" s="382"/>
      <c r="E198" s="382"/>
      <c r="F198" s="382"/>
      <c r="G198" s="382"/>
      <c r="L198" s="381"/>
      <c r="M198" s="381"/>
      <c r="N198" s="381"/>
      <c r="O198" s="381"/>
      <c r="P198" s="381"/>
    </row>
    <row r="199" spans="3:16" ht="15.75" customHeight="1" x14ac:dyDescent="0.45">
      <c r="C199" s="382"/>
      <c r="D199" s="382"/>
      <c r="E199" s="382"/>
      <c r="F199" s="382"/>
      <c r="G199" s="382"/>
      <c r="L199" s="381"/>
      <c r="M199" s="381"/>
      <c r="N199" s="381"/>
      <c r="O199" s="381"/>
      <c r="P199" s="381"/>
    </row>
    <row r="200" spans="3:16" ht="15.75" customHeight="1" x14ac:dyDescent="0.45">
      <c r="C200" s="382"/>
      <c r="D200" s="382"/>
      <c r="E200" s="382"/>
      <c r="F200" s="382"/>
      <c r="G200" s="382"/>
      <c r="L200" s="381"/>
      <c r="M200" s="381"/>
      <c r="N200" s="381"/>
      <c r="O200" s="381"/>
      <c r="P200" s="381"/>
    </row>
    <row r="201" spans="3:16" ht="15.75" customHeight="1" x14ac:dyDescent="0.45">
      <c r="C201" s="382"/>
      <c r="D201" s="382"/>
      <c r="E201" s="382"/>
      <c r="F201" s="382"/>
      <c r="G201" s="382"/>
      <c r="L201" s="381"/>
      <c r="M201" s="381"/>
      <c r="N201" s="381"/>
      <c r="O201" s="381"/>
      <c r="P201" s="381"/>
    </row>
    <row r="202" spans="3:16" ht="15.75" customHeight="1" x14ac:dyDescent="0.45">
      <c r="C202" s="382"/>
      <c r="D202" s="382"/>
      <c r="E202" s="382"/>
      <c r="F202" s="382"/>
      <c r="G202" s="382"/>
      <c r="L202" s="381"/>
      <c r="M202" s="381"/>
      <c r="N202" s="381"/>
      <c r="O202" s="381"/>
      <c r="P202" s="381"/>
    </row>
    <row r="203" spans="3:16" ht="15.75" customHeight="1" x14ac:dyDescent="0.45">
      <c r="C203" s="382"/>
      <c r="D203" s="382"/>
      <c r="E203" s="382"/>
      <c r="F203" s="382"/>
      <c r="G203" s="382"/>
      <c r="L203" s="381"/>
      <c r="M203" s="381"/>
      <c r="N203" s="381"/>
      <c r="O203" s="381"/>
      <c r="P203" s="381"/>
    </row>
    <row r="204" spans="3:16" ht="15.75" customHeight="1" x14ac:dyDescent="0.45">
      <c r="C204" s="382"/>
      <c r="D204" s="382"/>
      <c r="E204" s="382"/>
      <c r="F204" s="382"/>
      <c r="G204" s="382"/>
      <c r="L204" s="381"/>
      <c r="M204" s="381"/>
      <c r="N204" s="381"/>
      <c r="O204" s="381"/>
      <c r="P204" s="381"/>
    </row>
    <row r="205" spans="3:16" ht="15.75" customHeight="1" x14ac:dyDescent="0.45">
      <c r="C205" s="382"/>
      <c r="D205" s="382"/>
      <c r="E205" s="382"/>
      <c r="F205" s="382"/>
      <c r="G205" s="382"/>
      <c r="L205" s="381"/>
      <c r="M205" s="381"/>
      <c r="N205" s="381"/>
      <c r="O205" s="381"/>
      <c r="P205" s="381"/>
    </row>
    <row r="206" spans="3:16" ht="15.75" customHeight="1" x14ac:dyDescent="0.45">
      <c r="C206" s="382"/>
      <c r="D206" s="382"/>
      <c r="E206" s="382"/>
      <c r="F206" s="382"/>
      <c r="G206" s="382"/>
      <c r="L206" s="381"/>
      <c r="M206" s="381"/>
      <c r="N206" s="381"/>
      <c r="O206" s="381"/>
      <c r="P206" s="381"/>
    </row>
    <row r="207" spans="3:16" ht="15.75" customHeight="1" x14ac:dyDescent="0.45">
      <c r="C207" s="382"/>
      <c r="D207" s="382"/>
      <c r="E207" s="382"/>
      <c r="F207" s="382"/>
      <c r="G207" s="382"/>
      <c r="L207" s="381"/>
      <c r="M207" s="381"/>
      <c r="N207" s="381"/>
      <c r="O207" s="381"/>
      <c r="P207" s="381"/>
    </row>
    <row r="208" spans="3:16" ht="15.75" customHeight="1" x14ac:dyDescent="0.45">
      <c r="C208" s="382"/>
      <c r="D208" s="382"/>
      <c r="E208" s="382"/>
      <c r="F208" s="382"/>
      <c r="G208" s="382"/>
      <c r="L208" s="381"/>
      <c r="M208" s="381"/>
      <c r="N208" s="381"/>
      <c r="O208" s="381"/>
      <c r="P208" s="381"/>
    </row>
    <row r="209" spans="3:16" ht="15.75" customHeight="1" x14ac:dyDescent="0.45">
      <c r="C209" s="382"/>
      <c r="D209" s="382"/>
      <c r="E209" s="382"/>
      <c r="F209" s="382"/>
      <c r="G209" s="382"/>
      <c r="L209" s="381"/>
      <c r="M209" s="381"/>
      <c r="N209" s="381"/>
      <c r="O209" s="381"/>
      <c r="P209" s="381"/>
    </row>
    <row r="210" spans="3:16" ht="15.75" customHeight="1" x14ac:dyDescent="0.45">
      <c r="C210" s="382"/>
      <c r="D210" s="382"/>
      <c r="E210" s="382"/>
      <c r="F210" s="382"/>
      <c r="G210" s="382"/>
      <c r="L210" s="381"/>
      <c r="M210" s="381"/>
      <c r="N210" s="381"/>
      <c r="O210" s="381"/>
      <c r="P210" s="381"/>
    </row>
    <row r="211" spans="3:16" ht="15.75" customHeight="1" x14ac:dyDescent="0.45">
      <c r="C211" s="382"/>
      <c r="D211" s="382"/>
      <c r="E211" s="382"/>
      <c r="F211" s="382"/>
      <c r="G211" s="382"/>
      <c r="L211" s="381"/>
      <c r="M211" s="381"/>
      <c r="N211" s="381"/>
      <c r="O211" s="381"/>
      <c r="P211" s="381"/>
    </row>
    <row r="212" spans="3:16" ht="15.75" customHeight="1" x14ac:dyDescent="0.45">
      <c r="C212" s="382"/>
      <c r="D212" s="382"/>
      <c r="E212" s="382"/>
      <c r="F212" s="382"/>
      <c r="G212" s="382"/>
      <c r="L212" s="381"/>
      <c r="M212" s="381"/>
      <c r="N212" s="381"/>
      <c r="O212" s="381"/>
      <c r="P212" s="381"/>
    </row>
    <row r="213" spans="3:16" ht="15.75" customHeight="1" x14ac:dyDescent="0.45">
      <c r="C213" s="382"/>
      <c r="D213" s="382"/>
      <c r="E213" s="382"/>
      <c r="F213" s="382"/>
      <c r="G213" s="382"/>
      <c r="L213" s="381"/>
      <c r="M213" s="381"/>
      <c r="N213" s="381"/>
      <c r="O213" s="381"/>
      <c r="P213" s="381"/>
    </row>
    <row r="214" spans="3:16" ht="15.75" customHeight="1" x14ac:dyDescent="0.45">
      <c r="C214" s="382"/>
      <c r="D214" s="382"/>
      <c r="E214" s="382"/>
      <c r="F214" s="382"/>
      <c r="G214" s="382"/>
      <c r="L214" s="381"/>
      <c r="M214" s="381"/>
      <c r="N214" s="381"/>
      <c r="O214" s="381"/>
      <c r="P214" s="381"/>
    </row>
    <row r="215" spans="3:16" ht="15.75" customHeight="1" x14ac:dyDescent="0.45">
      <c r="C215" s="382"/>
      <c r="D215" s="382"/>
      <c r="E215" s="382"/>
      <c r="F215" s="382"/>
      <c r="G215" s="382"/>
      <c r="L215" s="381"/>
      <c r="M215" s="381"/>
      <c r="N215" s="381"/>
      <c r="O215" s="381"/>
      <c r="P215" s="381"/>
    </row>
    <row r="216" spans="3:16" ht="15.75" customHeight="1" x14ac:dyDescent="0.45">
      <c r="C216" s="382"/>
      <c r="D216" s="382"/>
      <c r="E216" s="382"/>
      <c r="F216" s="382"/>
      <c r="G216" s="382"/>
      <c r="L216" s="381"/>
      <c r="M216" s="381"/>
      <c r="N216" s="381"/>
      <c r="O216" s="381"/>
      <c r="P216" s="381"/>
    </row>
    <row r="217" spans="3:16" ht="15.75" customHeight="1" x14ac:dyDescent="0.45">
      <c r="C217" s="382"/>
      <c r="D217" s="382"/>
      <c r="E217" s="382"/>
      <c r="F217" s="382"/>
      <c r="G217" s="382"/>
      <c r="L217" s="381"/>
      <c r="M217" s="381"/>
      <c r="N217" s="381"/>
      <c r="O217" s="381"/>
      <c r="P217" s="381"/>
    </row>
    <row r="218" spans="3:16" ht="15.75" customHeight="1" x14ac:dyDescent="0.45">
      <c r="C218" s="382"/>
      <c r="D218" s="382"/>
      <c r="E218" s="382"/>
      <c r="F218" s="382"/>
      <c r="G218" s="382"/>
      <c r="L218" s="381"/>
      <c r="M218" s="381"/>
      <c r="N218" s="381"/>
      <c r="O218" s="381"/>
      <c r="P218" s="381"/>
    </row>
    <row r="219" spans="3:16" ht="15.75" customHeight="1" x14ac:dyDescent="0.45">
      <c r="C219" s="382"/>
      <c r="D219" s="382"/>
      <c r="E219" s="382"/>
      <c r="F219" s="382"/>
      <c r="G219" s="382"/>
      <c r="L219" s="381"/>
      <c r="M219" s="381"/>
      <c r="N219" s="381"/>
      <c r="O219" s="381"/>
      <c r="P219" s="381"/>
    </row>
    <row r="220" spans="3:16" ht="15.75" customHeight="1" x14ac:dyDescent="0.45">
      <c r="C220" s="382"/>
      <c r="D220" s="382"/>
      <c r="E220" s="382"/>
      <c r="F220" s="382"/>
      <c r="G220" s="382"/>
      <c r="L220" s="381"/>
      <c r="M220" s="381"/>
      <c r="N220" s="381"/>
      <c r="O220" s="381"/>
      <c r="P220" s="381"/>
    </row>
    <row r="221" spans="3:16" ht="15.75" customHeight="1" x14ac:dyDescent="0.45">
      <c r="C221" s="382"/>
      <c r="D221" s="382"/>
      <c r="E221" s="382"/>
      <c r="F221" s="382"/>
      <c r="G221" s="382"/>
      <c r="L221" s="381"/>
      <c r="M221" s="381"/>
      <c r="N221" s="381"/>
      <c r="O221" s="381"/>
      <c r="P221" s="381"/>
    </row>
    <row r="222" spans="3:16" ht="15.75" customHeight="1" x14ac:dyDescent="0.45">
      <c r="C222" s="382"/>
      <c r="D222" s="382"/>
      <c r="E222" s="382"/>
      <c r="F222" s="382"/>
      <c r="G222" s="382"/>
      <c r="L222" s="381"/>
      <c r="M222" s="381"/>
      <c r="N222" s="381"/>
      <c r="O222" s="381"/>
      <c r="P222" s="381"/>
    </row>
    <row r="223" spans="3:16" ht="15.75" customHeight="1" x14ac:dyDescent="0.45">
      <c r="C223" s="382"/>
      <c r="D223" s="382"/>
      <c r="E223" s="382"/>
      <c r="F223" s="382"/>
      <c r="G223" s="382"/>
      <c r="L223" s="381"/>
      <c r="M223" s="381"/>
      <c r="N223" s="381"/>
      <c r="O223" s="381"/>
      <c r="P223" s="381"/>
    </row>
    <row r="224" spans="3:16" ht="15.75" customHeight="1" x14ac:dyDescent="0.45">
      <c r="C224" s="382"/>
      <c r="D224" s="382"/>
      <c r="E224" s="382"/>
      <c r="F224" s="382"/>
      <c r="G224" s="382"/>
      <c r="L224" s="381"/>
      <c r="M224" s="381"/>
      <c r="N224" s="381"/>
      <c r="O224" s="381"/>
      <c r="P224" s="381"/>
    </row>
    <row r="225" spans="3:16" ht="15.75" customHeight="1" x14ac:dyDescent="0.45">
      <c r="C225" s="382"/>
      <c r="D225" s="382"/>
      <c r="E225" s="382"/>
      <c r="F225" s="382"/>
      <c r="G225" s="382"/>
      <c r="L225" s="381"/>
      <c r="M225" s="381"/>
      <c r="N225" s="381"/>
      <c r="O225" s="381"/>
      <c r="P225" s="381"/>
    </row>
    <row r="226" spans="3:16" ht="15.75" customHeight="1" x14ac:dyDescent="0.45">
      <c r="C226" s="382"/>
      <c r="D226" s="382"/>
      <c r="E226" s="382"/>
      <c r="F226" s="382"/>
      <c r="G226" s="382"/>
      <c r="L226" s="381"/>
      <c r="M226" s="381"/>
      <c r="N226" s="381"/>
      <c r="O226" s="381"/>
      <c r="P226" s="381"/>
    </row>
    <row r="227" spans="3:16" ht="15.75" customHeight="1" x14ac:dyDescent="0.45">
      <c r="C227" s="382"/>
      <c r="D227" s="382"/>
      <c r="E227" s="382"/>
      <c r="F227" s="382"/>
      <c r="G227" s="382"/>
      <c r="L227" s="381"/>
      <c r="M227" s="381"/>
      <c r="N227" s="381"/>
      <c r="O227" s="381"/>
      <c r="P227" s="381"/>
    </row>
    <row r="228" spans="3:16" ht="15.75" customHeight="1" x14ac:dyDescent="0.45">
      <c r="C228" s="382"/>
      <c r="D228" s="382"/>
      <c r="E228" s="382"/>
      <c r="F228" s="382"/>
      <c r="G228" s="382"/>
      <c r="L228" s="381"/>
      <c r="M228" s="381"/>
      <c r="N228" s="381"/>
      <c r="O228" s="381"/>
      <c r="P228" s="381"/>
    </row>
    <row r="229" spans="3:16" ht="15.75" customHeight="1" x14ac:dyDescent="0.45">
      <c r="C229" s="382"/>
      <c r="D229" s="382"/>
      <c r="E229" s="382"/>
      <c r="F229" s="382"/>
      <c r="G229" s="382"/>
      <c r="L229" s="381"/>
      <c r="M229" s="381"/>
      <c r="N229" s="381"/>
      <c r="O229" s="381"/>
      <c r="P229" s="381"/>
    </row>
    <row r="230" spans="3:16" ht="15.75" customHeight="1" x14ac:dyDescent="0.45">
      <c r="C230" s="382"/>
      <c r="D230" s="382"/>
      <c r="E230" s="382"/>
      <c r="F230" s="382"/>
      <c r="G230" s="382"/>
      <c r="L230" s="381"/>
      <c r="M230" s="381"/>
      <c r="N230" s="381"/>
      <c r="O230" s="381"/>
      <c r="P230" s="381"/>
    </row>
    <row r="231" spans="3:16" ht="15.75" customHeight="1" x14ac:dyDescent="0.45">
      <c r="C231" s="382"/>
      <c r="D231" s="382"/>
      <c r="E231" s="382"/>
      <c r="F231" s="382"/>
      <c r="G231" s="382"/>
      <c r="L231" s="381"/>
      <c r="M231" s="381"/>
      <c r="N231" s="381"/>
      <c r="O231" s="381"/>
      <c r="P231" s="381"/>
    </row>
    <row r="232" spans="3:16" ht="15.75" customHeight="1" x14ac:dyDescent="0.45">
      <c r="C232" s="382"/>
      <c r="D232" s="382"/>
      <c r="E232" s="382"/>
      <c r="F232" s="382"/>
      <c r="G232" s="382"/>
      <c r="L232" s="381"/>
      <c r="M232" s="381"/>
      <c r="N232" s="381"/>
      <c r="O232" s="381"/>
      <c r="P232" s="381"/>
    </row>
    <row r="233" spans="3:16" ht="15.75" customHeight="1" x14ac:dyDescent="0.45">
      <c r="C233" s="382"/>
      <c r="D233" s="382"/>
      <c r="E233" s="382"/>
      <c r="F233" s="382"/>
      <c r="G233" s="382"/>
      <c r="L233" s="381"/>
      <c r="M233" s="381"/>
      <c r="N233" s="381"/>
      <c r="O233" s="381"/>
      <c r="P233" s="381"/>
    </row>
    <row r="234" spans="3:16" ht="15.75" customHeight="1" x14ac:dyDescent="0.45">
      <c r="C234" s="382"/>
      <c r="D234" s="382"/>
      <c r="E234" s="382"/>
      <c r="F234" s="382"/>
      <c r="G234" s="382"/>
      <c r="L234" s="381"/>
      <c r="M234" s="381"/>
      <c r="N234" s="381"/>
      <c r="O234" s="381"/>
      <c r="P234" s="381"/>
    </row>
    <row r="235" spans="3:16" ht="15.75" customHeight="1" x14ac:dyDescent="0.45">
      <c r="C235" s="382"/>
      <c r="D235" s="382"/>
      <c r="E235" s="382"/>
      <c r="F235" s="382"/>
      <c r="G235" s="382"/>
      <c r="L235" s="381"/>
      <c r="M235" s="381"/>
      <c r="N235" s="381"/>
      <c r="O235" s="381"/>
      <c r="P235" s="381"/>
    </row>
    <row r="236" spans="3:16" ht="15.75" customHeight="1" x14ac:dyDescent="0.45">
      <c r="C236" s="382"/>
      <c r="D236" s="382"/>
      <c r="E236" s="382"/>
      <c r="F236" s="382"/>
      <c r="G236" s="382"/>
      <c r="L236" s="381"/>
      <c r="M236" s="381"/>
      <c r="N236" s="381"/>
      <c r="O236" s="381"/>
      <c r="P236" s="381"/>
    </row>
    <row r="237" spans="3:16" ht="15.75" customHeight="1" x14ac:dyDescent="0.45">
      <c r="C237" s="382"/>
      <c r="D237" s="382"/>
      <c r="E237" s="382"/>
      <c r="F237" s="382"/>
      <c r="G237" s="382"/>
      <c r="L237" s="381"/>
      <c r="M237" s="381"/>
      <c r="N237" s="381"/>
      <c r="O237" s="381"/>
      <c r="P237" s="381"/>
    </row>
    <row r="238" spans="3:16" ht="15.75" customHeight="1" x14ac:dyDescent="0.45">
      <c r="C238" s="382"/>
      <c r="D238" s="382"/>
      <c r="E238" s="382"/>
      <c r="F238" s="382"/>
      <c r="G238" s="382"/>
      <c r="L238" s="381"/>
      <c r="M238" s="381"/>
      <c r="N238" s="381"/>
      <c r="O238" s="381"/>
      <c r="P238" s="381"/>
    </row>
    <row r="239" spans="3:16" ht="15.75" customHeight="1" x14ac:dyDescent="0.45">
      <c r="C239" s="382"/>
      <c r="D239" s="382"/>
      <c r="E239" s="382"/>
      <c r="F239" s="382"/>
      <c r="G239" s="382"/>
      <c r="L239" s="381"/>
      <c r="M239" s="381"/>
      <c r="N239" s="381"/>
      <c r="O239" s="381"/>
      <c r="P239" s="381"/>
    </row>
    <row r="240" spans="3:16" ht="15.75" customHeight="1" x14ac:dyDescent="0.45">
      <c r="C240" s="382"/>
      <c r="D240" s="382"/>
      <c r="E240" s="382"/>
      <c r="F240" s="382"/>
      <c r="G240" s="382"/>
      <c r="L240" s="381"/>
      <c r="M240" s="381"/>
      <c r="N240" s="381"/>
      <c r="O240" s="381"/>
      <c r="P240" s="381"/>
    </row>
    <row r="241" spans="3:16" ht="15.75" customHeight="1" x14ac:dyDescent="0.45">
      <c r="C241" s="382"/>
      <c r="D241" s="382"/>
      <c r="E241" s="382"/>
      <c r="F241" s="382"/>
      <c r="G241" s="382"/>
      <c r="L241" s="381"/>
      <c r="M241" s="381"/>
      <c r="N241" s="381"/>
      <c r="O241" s="381"/>
      <c r="P241" s="381"/>
    </row>
    <row r="242" spans="3:16" ht="15.75" customHeight="1" x14ac:dyDescent="0.45">
      <c r="C242" s="382"/>
      <c r="D242" s="382"/>
      <c r="E242" s="382"/>
      <c r="F242" s="382"/>
      <c r="G242" s="382"/>
      <c r="L242" s="381"/>
      <c r="M242" s="381"/>
      <c r="N242" s="381"/>
      <c r="O242" s="381"/>
      <c r="P242" s="381"/>
    </row>
    <row r="243" spans="3:16" ht="15.75" customHeight="1" x14ac:dyDescent="0.45">
      <c r="C243" s="382"/>
      <c r="D243" s="382"/>
      <c r="E243" s="382"/>
      <c r="F243" s="382"/>
      <c r="G243" s="382"/>
      <c r="L243" s="381"/>
      <c r="M243" s="381"/>
      <c r="N243" s="381"/>
      <c r="O243" s="381"/>
      <c r="P243" s="381"/>
    </row>
    <row r="244" spans="3:16" ht="15.75" customHeight="1" x14ac:dyDescent="0.45">
      <c r="C244" s="382"/>
      <c r="D244" s="382"/>
      <c r="E244" s="382"/>
      <c r="F244" s="382"/>
      <c r="G244" s="382"/>
      <c r="L244" s="381"/>
      <c r="M244" s="381"/>
      <c r="N244" s="381"/>
      <c r="O244" s="381"/>
      <c r="P244" s="381"/>
    </row>
    <row r="245" spans="3:16" ht="15.75" customHeight="1" x14ac:dyDescent="0.45">
      <c r="C245" s="382"/>
      <c r="D245" s="382"/>
      <c r="E245" s="382"/>
      <c r="F245" s="382"/>
      <c r="G245" s="382"/>
      <c r="L245" s="381"/>
      <c r="M245" s="381"/>
      <c r="N245" s="381"/>
      <c r="O245" s="381"/>
      <c r="P245" s="381"/>
    </row>
    <row r="246" spans="3:16" ht="15.75" customHeight="1" x14ac:dyDescent="0.45">
      <c r="C246" s="382"/>
      <c r="D246" s="382"/>
      <c r="E246" s="382"/>
      <c r="F246" s="382"/>
      <c r="G246" s="382"/>
      <c r="L246" s="381"/>
      <c r="M246" s="381"/>
      <c r="N246" s="381"/>
      <c r="O246" s="381"/>
      <c r="P246" s="381"/>
    </row>
    <row r="247" spans="3:16" ht="15.75" customHeight="1" x14ac:dyDescent="0.45">
      <c r="C247" s="382"/>
      <c r="D247" s="382"/>
      <c r="E247" s="382"/>
      <c r="F247" s="382"/>
      <c r="G247" s="382"/>
      <c r="L247" s="381"/>
      <c r="M247" s="381"/>
      <c r="N247" s="381"/>
      <c r="O247" s="381"/>
      <c r="P247" s="381"/>
    </row>
    <row r="248" spans="3:16" ht="15.75" customHeight="1" x14ac:dyDescent="0.45">
      <c r="C248" s="382"/>
      <c r="D248" s="382"/>
      <c r="E248" s="382"/>
      <c r="F248" s="382"/>
      <c r="G248" s="382"/>
      <c r="L248" s="381"/>
      <c r="M248" s="381"/>
      <c r="N248" s="381"/>
      <c r="O248" s="381"/>
      <c r="P248" s="381"/>
    </row>
    <row r="249" spans="3:16" ht="15.75" customHeight="1" x14ac:dyDescent="0.45">
      <c r="C249" s="382"/>
      <c r="D249" s="382"/>
      <c r="E249" s="382"/>
      <c r="F249" s="382"/>
      <c r="G249" s="382"/>
      <c r="L249" s="381"/>
      <c r="M249" s="381"/>
      <c r="N249" s="381"/>
      <c r="O249" s="381"/>
      <c r="P249" s="381"/>
    </row>
    <row r="250" spans="3:16" ht="15.75" customHeight="1" x14ac:dyDescent="0.45">
      <c r="C250" s="382"/>
      <c r="D250" s="382"/>
      <c r="E250" s="382"/>
      <c r="F250" s="382"/>
      <c r="G250" s="382"/>
      <c r="L250" s="381"/>
      <c r="M250" s="381"/>
      <c r="N250" s="381"/>
      <c r="O250" s="381"/>
      <c r="P250" s="381"/>
    </row>
    <row r="251" spans="3:16" ht="15.75" customHeight="1" x14ac:dyDescent="0.45">
      <c r="C251" s="382"/>
      <c r="D251" s="382"/>
      <c r="E251" s="382"/>
      <c r="F251" s="382"/>
      <c r="G251" s="382"/>
      <c r="L251" s="381"/>
      <c r="M251" s="381"/>
      <c r="N251" s="381"/>
      <c r="O251" s="381"/>
      <c r="P251" s="381"/>
    </row>
    <row r="252" spans="3:16" ht="15.75" customHeight="1" x14ac:dyDescent="0.45">
      <c r="C252" s="382"/>
      <c r="D252" s="382"/>
      <c r="E252" s="382"/>
      <c r="F252" s="382"/>
      <c r="G252" s="382"/>
      <c r="L252" s="381"/>
      <c r="M252" s="381"/>
      <c r="N252" s="381"/>
      <c r="O252" s="381"/>
      <c r="P252" s="381"/>
    </row>
    <row r="253" spans="3:16" ht="15.75" customHeight="1" x14ac:dyDescent="0.45">
      <c r="C253" s="382"/>
      <c r="D253" s="382"/>
      <c r="E253" s="382"/>
      <c r="F253" s="382"/>
      <c r="G253" s="382"/>
      <c r="L253" s="381"/>
      <c r="M253" s="381"/>
      <c r="N253" s="381"/>
      <c r="O253" s="381"/>
      <c r="P253" s="381"/>
    </row>
    <row r="254" spans="3:16" ht="15.75" customHeight="1" x14ac:dyDescent="0.45">
      <c r="C254" s="382"/>
      <c r="D254" s="382"/>
      <c r="E254" s="382"/>
      <c r="F254" s="382"/>
      <c r="G254" s="382"/>
      <c r="L254" s="381"/>
      <c r="M254" s="381"/>
      <c r="N254" s="381"/>
      <c r="O254" s="381"/>
      <c r="P254" s="381"/>
    </row>
    <row r="255" spans="3:16" ht="15.75" customHeight="1" x14ac:dyDescent="0.45">
      <c r="C255" s="382"/>
      <c r="D255" s="382"/>
      <c r="E255" s="382"/>
      <c r="F255" s="382"/>
      <c r="G255" s="382"/>
      <c r="L255" s="381"/>
      <c r="M255" s="381"/>
      <c r="N255" s="381"/>
      <c r="O255" s="381"/>
      <c r="P255" s="381"/>
    </row>
    <row r="256" spans="3:16" ht="15.75" customHeight="1" x14ac:dyDescent="0.45">
      <c r="C256" s="382"/>
      <c r="D256" s="382"/>
      <c r="E256" s="382"/>
      <c r="F256" s="382"/>
      <c r="G256" s="382"/>
      <c r="L256" s="381"/>
      <c r="M256" s="381"/>
      <c r="N256" s="381"/>
      <c r="O256" s="381"/>
      <c r="P256" s="381"/>
    </row>
    <row r="257" spans="3:16" ht="15.75" customHeight="1" x14ac:dyDescent="0.45">
      <c r="C257" s="382"/>
      <c r="D257" s="382"/>
      <c r="E257" s="382"/>
      <c r="F257" s="382"/>
      <c r="G257" s="382"/>
      <c r="L257" s="381"/>
      <c r="M257" s="381"/>
      <c r="N257" s="381"/>
      <c r="O257" s="381"/>
      <c r="P257" s="381"/>
    </row>
    <row r="258" spans="3:16" ht="15.75" customHeight="1" x14ac:dyDescent="0.45">
      <c r="C258" s="382"/>
      <c r="D258" s="382"/>
      <c r="E258" s="382"/>
      <c r="F258" s="382"/>
      <c r="G258" s="382"/>
      <c r="L258" s="381"/>
      <c r="M258" s="381"/>
      <c r="N258" s="381"/>
      <c r="O258" s="381"/>
      <c r="P258" s="381"/>
    </row>
    <row r="259" spans="3:16" ht="15.75" customHeight="1" x14ac:dyDescent="0.45">
      <c r="C259" s="382"/>
      <c r="D259" s="382"/>
      <c r="E259" s="382"/>
      <c r="F259" s="382"/>
      <c r="G259" s="382"/>
      <c r="L259" s="381"/>
      <c r="M259" s="381"/>
      <c r="N259" s="381"/>
      <c r="O259" s="381"/>
      <c r="P259" s="381"/>
    </row>
    <row r="260" spans="3:16" ht="15.75" customHeight="1" x14ac:dyDescent="0.45">
      <c r="C260" s="382"/>
      <c r="D260" s="382"/>
      <c r="E260" s="382"/>
      <c r="F260" s="382"/>
      <c r="G260" s="382"/>
      <c r="L260" s="381"/>
      <c r="M260" s="381"/>
      <c r="N260" s="381"/>
      <c r="O260" s="381"/>
      <c r="P260" s="381"/>
    </row>
    <row r="261" spans="3:16" ht="15.75" customHeight="1" x14ac:dyDescent="0.45">
      <c r="C261" s="382"/>
      <c r="D261" s="382"/>
      <c r="E261" s="382"/>
      <c r="F261" s="382"/>
      <c r="G261" s="382"/>
      <c r="L261" s="381"/>
      <c r="M261" s="381"/>
      <c r="N261" s="381"/>
      <c r="O261" s="381"/>
      <c r="P261" s="381"/>
    </row>
    <row r="262" spans="3:16" ht="15.75" customHeight="1" x14ac:dyDescent="0.45">
      <c r="C262" s="382"/>
      <c r="D262" s="382"/>
      <c r="E262" s="382"/>
      <c r="F262" s="382"/>
      <c r="G262" s="382"/>
      <c r="L262" s="381"/>
      <c r="M262" s="381"/>
      <c r="N262" s="381"/>
      <c r="O262" s="381"/>
      <c r="P262" s="381"/>
    </row>
    <row r="263" spans="3:16" ht="15.75" customHeight="1" x14ac:dyDescent="0.45">
      <c r="C263" s="382"/>
      <c r="D263" s="382"/>
      <c r="E263" s="382"/>
      <c r="F263" s="382"/>
      <c r="G263" s="382"/>
      <c r="L263" s="381"/>
      <c r="M263" s="381"/>
      <c r="N263" s="381"/>
      <c r="O263" s="381"/>
      <c r="P263" s="381"/>
    </row>
    <row r="264" spans="3:16" ht="15.75" customHeight="1" x14ac:dyDescent="0.45">
      <c r="C264" s="382"/>
      <c r="D264" s="382"/>
      <c r="E264" s="382"/>
      <c r="F264" s="382"/>
      <c r="G264" s="382"/>
      <c r="L264" s="381"/>
      <c r="M264" s="381"/>
      <c r="N264" s="381"/>
      <c r="O264" s="381"/>
      <c r="P264" s="381"/>
    </row>
    <row r="265" spans="3:16" ht="15.75" customHeight="1" x14ac:dyDescent="0.45">
      <c r="C265" s="382"/>
      <c r="D265" s="382"/>
      <c r="E265" s="382"/>
      <c r="F265" s="382"/>
      <c r="G265" s="382"/>
      <c r="L265" s="381"/>
      <c r="M265" s="381"/>
      <c r="N265" s="381"/>
      <c r="O265" s="381"/>
      <c r="P265" s="381"/>
    </row>
    <row r="266" spans="3:16" ht="15.75" customHeight="1" x14ac:dyDescent="0.45">
      <c r="C266" s="382"/>
      <c r="D266" s="382"/>
      <c r="E266" s="382"/>
      <c r="F266" s="382"/>
      <c r="G266" s="382"/>
      <c r="L266" s="381"/>
      <c r="M266" s="381"/>
      <c r="N266" s="381"/>
      <c r="O266" s="381"/>
      <c r="P266" s="381"/>
    </row>
    <row r="267" spans="3:16" ht="15.75" customHeight="1" x14ac:dyDescent="0.45">
      <c r="C267" s="382"/>
      <c r="D267" s="382"/>
      <c r="E267" s="382"/>
      <c r="F267" s="382"/>
      <c r="G267" s="382"/>
      <c r="L267" s="381"/>
      <c r="M267" s="381"/>
      <c r="N267" s="381"/>
      <c r="O267" s="381"/>
      <c r="P267" s="381"/>
    </row>
    <row r="268" spans="3:16" ht="15.75" customHeight="1" x14ac:dyDescent="0.45">
      <c r="C268" s="382"/>
      <c r="D268" s="382"/>
      <c r="E268" s="382"/>
      <c r="F268" s="382"/>
      <c r="G268" s="382"/>
      <c r="L268" s="381"/>
      <c r="M268" s="381"/>
      <c r="N268" s="381"/>
      <c r="O268" s="381"/>
      <c r="P268" s="381"/>
    </row>
    <row r="269" spans="3:16" ht="15.75" customHeight="1" x14ac:dyDescent="0.45">
      <c r="C269" s="382"/>
      <c r="D269" s="382"/>
      <c r="E269" s="382"/>
      <c r="F269" s="382"/>
      <c r="G269" s="382"/>
      <c r="L269" s="381"/>
      <c r="M269" s="381"/>
      <c r="N269" s="381"/>
      <c r="O269" s="381"/>
      <c r="P269" s="381"/>
    </row>
    <row r="270" spans="3:16" ht="15.75" customHeight="1" x14ac:dyDescent="0.45">
      <c r="C270" s="382"/>
      <c r="D270" s="382"/>
      <c r="E270" s="382"/>
      <c r="F270" s="382"/>
      <c r="G270" s="382"/>
      <c r="L270" s="381"/>
      <c r="M270" s="381"/>
      <c r="N270" s="381"/>
      <c r="O270" s="381"/>
      <c r="P270" s="381"/>
    </row>
    <row r="271" spans="3:16" ht="15.75" customHeight="1" x14ac:dyDescent="0.45">
      <c r="C271" s="382"/>
      <c r="D271" s="382"/>
      <c r="E271" s="382"/>
      <c r="F271" s="382"/>
      <c r="G271" s="382"/>
      <c r="L271" s="381"/>
      <c r="M271" s="381"/>
      <c r="N271" s="381"/>
      <c r="O271" s="381"/>
      <c r="P271" s="381"/>
    </row>
    <row r="272" spans="3:16" ht="15.75" customHeight="1" x14ac:dyDescent="0.45">
      <c r="C272" s="382"/>
      <c r="D272" s="382"/>
      <c r="E272" s="382"/>
      <c r="F272" s="382"/>
      <c r="G272" s="382"/>
      <c r="L272" s="381"/>
      <c r="M272" s="381"/>
      <c r="N272" s="381"/>
      <c r="O272" s="381"/>
      <c r="P272" s="381"/>
    </row>
    <row r="273" spans="3:16" ht="15.75" customHeight="1" x14ac:dyDescent="0.45">
      <c r="C273" s="382"/>
      <c r="D273" s="382"/>
      <c r="E273" s="382"/>
      <c r="F273" s="382"/>
      <c r="G273" s="382"/>
      <c r="L273" s="381"/>
      <c r="M273" s="381"/>
      <c r="N273" s="381"/>
      <c r="O273" s="381"/>
      <c r="P273" s="381"/>
    </row>
    <row r="274" spans="3:16" ht="15.75" customHeight="1" x14ac:dyDescent="0.45">
      <c r="C274" s="382"/>
      <c r="D274" s="382"/>
      <c r="E274" s="382"/>
      <c r="F274" s="382"/>
      <c r="G274" s="382"/>
      <c r="L274" s="381"/>
      <c r="M274" s="381"/>
      <c r="N274" s="381"/>
      <c r="O274" s="381"/>
      <c r="P274" s="381"/>
    </row>
    <row r="275" spans="3:16" ht="15.75" customHeight="1" x14ac:dyDescent="0.45">
      <c r="C275" s="382"/>
      <c r="D275" s="382"/>
      <c r="E275" s="382"/>
      <c r="F275" s="382"/>
      <c r="G275" s="382"/>
      <c r="L275" s="381"/>
      <c r="M275" s="381"/>
      <c r="N275" s="381"/>
      <c r="O275" s="381"/>
      <c r="P275" s="381"/>
    </row>
    <row r="276" spans="3:16" ht="15.75" customHeight="1" x14ac:dyDescent="0.45">
      <c r="C276" s="382"/>
      <c r="D276" s="382"/>
      <c r="E276" s="382"/>
      <c r="F276" s="382"/>
      <c r="G276" s="382"/>
      <c r="L276" s="381"/>
      <c r="M276" s="381"/>
      <c r="N276" s="381"/>
      <c r="O276" s="381"/>
      <c r="P276" s="381"/>
    </row>
    <row r="277" spans="3:16" ht="15.75" customHeight="1" x14ac:dyDescent="0.45">
      <c r="C277" s="382"/>
      <c r="D277" s="382"/>
      <c r="E277" s="382"/>
      <c r="F277" s="382"/>
      <c r="G277" s="382"/>
      <c r="L277" s="381"/>
      <c r="M277" s="381"/>
      <c r="N277" s="381"/>
      <c r="O277" s="381"/>
      <c r="P277" s="381"/>
    </row>
    <row r="278" spans="3:16" ht="15.75" customHeight="1" x14ac:dyDescent="0.45">
      <c r="C278" s="382"/>
      <c r="D278" s="382"/>
      <c r="E278" s="382"/>
      <c r="F278" s="382"/>
      <c r="G278" s="382"/>
      <c r="L278" s="381"/>
      <c r="M278" s="381"/>
      <c r="N278" s="381"/>
      <c r="O278" s="381"/>
      <c r="P278" s="381"/>
    </row>
    <row r="279" spans="3:16" ht="15.75" customHeight="1" x14ac:dyDescent="0.45">
      <c r="C279" s="382"/>
      <c r="D279" s="382"/>
      <c r="E279" s="382"/>
      <c r="F279" s="382"/>
      <c r="G279" s="382"/>
      <c r="L279" s="381"/>
      <c r="M279" s="381"/>
      <c r="N279" s="381"/>
      <c r="O279" s="381"/>
      <c r="P279" s="381"/>
    </row>
    <row r="280" spans="3:16" ht="15.75" customHeight="1" x14ac:dyDescent="0.45">
      <c r="C280" s="382"/>
      <c r="D280" s="382"/>
      <c r="E280" s="382"/>
      <c r="F280" s="382"/>
      <c r="G280" s="382"/>
      <c r="L280" s="381"/>
      <c r="M280" s="381"/>
      <c r="N280" s="381"/>
      <c r="O280" s="381"/>
      <c r="P280" s="381"/>
    </row>
    <row r="281" spans="3:16" ht="15.75" customHeight="1" x14ac:dyDescent="0.45">
      <c r="C281" s="382"/>
      <c r="D281" s="382"/>
      <c r="E281" s="382"/>
      <c r="F281" s="382"/>
      <c r="G281" s="382"/>
      <c r="L281" s="381"/>
      <c r="M281" s="381"/>
      <c r="N281" s="381"/>
      <c r="O281" s="381"/>
      <c r="P281" s="381"/>
    </row>
    <row r="282" spans="3:16" ht="15.75" customHeight="1" x14ac:dyDescent="0.45">
      <c r="C282" s="382"/>
      <c r="D282" s="382"/>
      <c r="E282" s="382"/>
      <c r="F282" s="382"/>
      <c r="G282" s="382"/>
      <c r="L282" s="381"/>
      <c r="M282" s="381"/>
      <c r="N282" s="381"/>
      <c r="O282" s="381"/>
      <c r="P282" s="381"/>
    </row>
    <row r="283" spans="3:16" ht="15.75" customHeight="1" x14ac:dyDescent="0.45">
      <c r="C283" s="382"/>
      <c r="D283" s="382"/>
      <c r="E283" s="382"/>
      <c r="F283" s="382"/>
      <c r="G283" s="382"/>
      <c r="L283" s="381"/>
      <c r="M283" s="381"/>
      <c r="N283" s="381"/>
      <c r="O283" s="381"/>
      <c r="P283" s="381"/>
    </row>
    <row r="284" spans="3:16" ht="15.75" customHeight="1" x14ac:dyDescent="0.45">
      <c r="C284" s="382"/>
      <c r="D284" s="382"/>
      <c r="E284" s="382"/>
      <c r="F284" s="382"/>
      <c r="G284" s="382"/>
      <c r="L284" s="381"/>
      <c r="M284" s="381"/>
      <c r="N284" s="381"/>
      <c r="O284" s="381"/>
      <c r="P284" s="381"/>
    </row>
    <row r="285" spans="3:16" ht="15.75" customHeight="1" x14ac:dyDescent="0.45">
      <c r="C285" s="382"/>
      <c r="D285" s="382"/>
      <c r="E285" s="382"/>
      <c r="F285" s="382"/>
      <c r="G285" s="382"/>
      <c r="L285" s="381"/>
      <c r="M285" s="381"/>
      <c r="N285" s="381"/>
      <c r="O285" s="381"/>
      <c r="P285" s="381"/>
    </row>
    <row r="286" spans="3:16" ht="15.75" customHeight="1" x14ac:dyDescent="0.45">
      <c r="C286" s="382"/>
      <c r="D286" s="382"/>
      <c r="E286" s="382"/>
      <c r="F286" s="382"/>
      <c r="G286" s="382"/>
      <c r="L286" s="381"/>
      <c r="M286" s="381"/>
      <c r="N286" s="381"/>
      <c r="O286" s="381"/>
      <c r="P286" s="381"/>
    </row>
    <row r="287" spans="3:16" ht="15.75" customHeight="1" x14ac:dyDescent="0.45">
      <c r="C287" s="382"/>
      <c r="D287" s="382"/>
      <c r="E287" s="382"/>
      <c r="F287" s="382"/>
      <c r="G287" s="382"/>
      <c r="L287" s="381"/>
      <c r="M287" s="381"/>
      <c r="N287" s="381"/>
      <c r="O287" s="381"/>
      <c r="P287" s="381"/>
    </row>
    <row r="288" spans="3:16" ht="15.75" customHeight="1" x14ac:dyDescent="0.45">
      <c r="C288" s="382"/>
      <c r="D288" s="382"/>
      <c r="E288" s="382"/>
      <c r="F288" s="382"/>
      <c r="G288" s="382"/>
      <c r="L288" s="381"/>
      <c r="M288" s="381"/>
      <c r="N288" s="381"/>
      <c r="O288" s="381"/>
      <c r="P288" s="381"/>
    </row>
    <row r="289" spans="3:16" ht="15.75" customHeight="1" x14ac:dyDescent="0.45">
      <c r="C289" s="382"/>
      <c r="D289" s="382"/>
      <c r="E289" s="382"/>
      <c r="F289" s="382"/>
      <c r="G289" s="382"/>
      <c r="L289" s="381"/>
      <c r="M289" s="381"/>
      <c r="N289" s="381"/>
      <c r="O289" s="381"/>
      <c r="P289" s="381"/>
    </row>
    <row r="290" spans="3:16" ht="15.75" customHeight="1" x14ac:dyDescent="0.45">
      <c r="C290" s="382"/>
      <c r="D290" s="382"/>
      <c r="E290" s="382"/>
      <c r="F290" s="382"/>
      <c r="G290" s="382"/>
      <c r="L290" s="381"/>
      <c r="M290" s="381"/>
      <c r="N290" s="381"/>
      <c r="O290" s="381"/>
      <c r="P290" s="381"/>
    </row>
    <row r="291" spans="3:16" ht="15.75" customHeight="1" x14ac:dyDescent="0.45">
      <c r="C291" s="382"/>
      <c r="D291" s="382"/>
      <c r="E291" s="382"/>
      <c r="F291" s="382"/>
      <c r="G291" s="382"/>
      <c r="L291" s="381"/>
      <c r="M291" s="381"/>
      <c r="N291" s="381"/>
      <c r="O291" s="381"/>
      <c r="P291" s="381"/>
    </row>
    <row r="292" spans="3:16" ht="15.75" customHeight="1" x14ac:dyDescent="0.45">
      <c r="C292" s="382"/>
      <c r="D292" s="382"/>
      <c r="E292" s="382"/>
      <c r="F292" s="382"/>
      <c r="G292" s="382"/>
      <c r="L292" s="381"/>
      <c r="M292" s="381"/>
      <c r="N292" s="381"/>
      <c r="O292" s="381"/>
      <c r="P292" s="381"/>
    </row>
    <row r="293" spans="3:16" ht="15.75" customHeight="1" x14ac:dyDescent="0.45">
      <c r="C293" s="382"/>
      <c r="D293" s="382"/>
      <c r="E293" s="382"/>
      <c r="F293" s="382"/>
      <c r="G293" s="382"/>
      <c r="L293" s="381"/>
      <c r="M293" s="381"/>
      <c r="N293" s="381"/>
      <c r="O293" s="381"/>
      <c r="P293" s="381"/>
    </row>
    <row r="294" spans="3:16" ht="15.75" customHeight="1" x14ac:dyDescent="0.45">
      <c r="C294" s="382"/>
      <c r="D294" s="382"/>
      <c r="E294" s="382"/>
      <c r="F294" s="382"/>
      <c r="G294" s="382"/>
      <c r="L294" s="381"/>
      <c r="M294" s="381"/>
      <c r="N294" s="381"/>
      <c r="O294" s="381"/>
      <c r="P294" s="381"/>
    </row>
    <row r="295" spans="3:16" ht="15.75" customHeight="1" x14ac:dyDescent="0.45">
      <c r="C295" s="382"/>
      <c r="D295" s="382"/>
      <c r="E295" s="382"/>
      <c r="F295" s="382"/>
      <c r="G295" s="382"/>
      <c r="L295" s="381"/>
      <c r="M295" s="381"/>
      <c r="N295" s="381"/>
      <c r="O295" s="381"/>
      <c r="P295" s="381"/>
    </row>
    <row r="296" spans="3:16" ht="15.75" customHeight="1" x14ac:dyDescent="0.45">
      <c r="C296" s="382"/>
      <c r="D296" s="382"/>
      <c r="E296" s="382"/>
      <c r="F296" s="382"/>
      <c r="G296" s="382"/>
      <c r="L296" s="381"/>
      <c r="M296" s="381"/>
      <c r="N296" s="381"/>
      <c r="O296" s="381"/>
      <c r="P296" s="381"/>
    </row>
    <row r="297" spans="3:16" ht="15.75" customHeight="1" x14ac:dyDescent="0.45">
      <c r="C297" s="382"/>
      <c r="D297" s="382"/>
      <c r="E297" s="382"/>
      <c r="F297" s="382"/>
      <c r="G297" s="382"/>
      <c r="L297" s="381"/>
      <c r="M297" s="381"/>
      <c r="N297" s="381"/>
      <c r="O297" s="381"/>
      <c r="P297" s="381"/>
    </row>
    <row r="298" spans="3:16" ht="15.75" customHeight="1" x14ac:dyDescent="0.45">
      <c r="C298" s="382"/>
      <c r="D298" s="382"/>
      <c r="E298" s="382"/>
      <c r="F298" s="382"/>
      <c r="G298" s="382"/>
      <c r="L298" s="381"/>
      <c r="M298" s="381"/>
      <c r="N298" s="381"/>
      <c r="O298" s="381"/>
      <c r="P298" s="381"/>
    </row>
    <row r="299" spans="3:16" ht="15.75" customHeight="1" x14ac:dyDescent="0.45">
      <c r="C299" s="382"/>
      <c r="D299" s="382"/>
      <c r="E299" s="382"/>
      <c r="F299" s="382"/>
      <c r="G299" s="382"/>
      <c r="L299" s="381"/>
      <c r="M299" s="381"/>
      <c r="N299" s="381"/>
      <c r="O299" s="381"/>
      <c r="P299" s="381"/>
    </row>
    <row r="300" spans="3:16" ht="15.75" customHeight="1" x14ac:dyDescent="0.45">
      <c r="C300" s="382"/>
      <c r="D300" s="382"/>
      <c r="E300" s="382"/>
      <c r="F300" s="382"/>
      <c r="G300" s="382"/>
      <c r="L300" s="381"/>
      <c r="M300" s="381"/>
      <c r="N300" s="381"/>
      <c r="O300" s="381"/>
      <c r="P300" s="381"/>
    </row>
    <row r="301" spans="3:16" ht="15.75" customHeight="1" x14ac:dyDescent="0.45">
      <c r="C301" s="382"/>
      <c r="D301" s="382"/>
      <c r="E301" s="382"/>
      <c r="F301" s="382"/>
      <c r="G301" s="382"/>
      <c r="L301" s="381"/>
      <c r="M301" s="381"/>
      <c r="N301" s="381"/>
      <c r="O301" s="381"/>
      <c r="P301" s="381"/>
    </row>
    <row r="302" spans="3:16" ht="15.75" customHeight="1" x14ac:dyDescent="0.45">
      <c r="C302" s="382"/>
      <c r="D302" s="382"/>
      <c r="E302" s="382"/>
      <c r="F302" s="382"/>
      <c r="G302" s="382"/>
      <c r="L302" s="381"/>
      <c r="M302" s="381"/>
      <c r="N302" s="381"/>
      <c r="O302" s="381"/>
      <c r="P302" s="381"/>
    </row>
    <row r="303" spans="3:16" ht="15.75" customHeight="1" x14ac:dyDescent="0.45">
      <c r="C303" s="382"/>
      <c r="D303" s="382"/>
      <c r="E303" s="382"/>
      <c r="F303" s="382"/>
      <c r="G303" s="382"/>
      <c r="L303" s="381"/>
      <c r="M303" s="381"/>
      <c r="N303" s="381"/>
      <c r="O303" s="381"/>
      <c r="P303" s="381"/>
    </row>
    <row r="304" spans="3:16" ht="15.75" customHeight="1" x14ac:dyDescent="0.45">
      <c r="C304" s="382"/>
      <c r="D304" s="382"/>
      <c r="E304" s="382"/>
      <c r="F304" s="382"/>
      <c r="G304" s="382"/>
      <c r="L304" s="381"/>
      <c r="M304" s="381"/>
      <c r="N304" s="381"/>
      <c r="O304" s="381"/>
      <c r="P304" s="381"/>
    </row>
    <row r="305" spans="3:16" ht="15.75" customHeight="1" x14ac:dyDescent="0.45">
      <c r="C305" s="382"/>
      <c r="D305" s="382"/>
      <c r="E305" s="382"/>
      <c r="F305" s="382"/>
      <c r="G305" s="382"/>
      <c r="L305" s="381"/>
      <c r="M305" s="381"/>
      <c r="N305" s="381"/>
      <c r="O305" s="381"/>
      <c r="P305" s="381"/>
    </row>
    <row r="306" spans="3:16" ht="15.75" customHeight="1" x14ac:dyDescent="0.45">
      <c r="C306" s="382"/>
      <c r="D306" s="382"/>
      <c r="E306" s="382"/>
      <c r="F306" s="382"/>
      <c r="G306" s="382"/>
      <c r="L306" s="381"/>
      <c r="M306" s="381"/>
      <c r="N306" s="381"/>
      <c r="O306" s="381"/>
      <c r="P306" s="381"/>
    </row>
    <row r="307" spans="3:16" ht="15.75" customHeight="1" x14ac:dyDescent="0.45">
      <c r="C307" s="382"/>
      <c r="D307" s="382"/>
      <c r="E307" s="382"/>
      <c r="F307" s="382"/>
      <c r="G307" s="382"/>
      <c r="L307" s="381"/>
      <c r="M307" s="381"/>
      <c r="N307" s="381"/>
      <c r="O307" s="381"/>
      <c r="P307" s="381"/>
    </row>
    <row r="308" spans="3:16" ht="15.75" customHeight="1" x14ac:dyDescent="0.45">
      <c r="C308" s="382"/>
      <c r="D308" s="382"/>
      <c r="E308" s="382"/>
      <c r="F308" s="382"/>
      <c r="G308" s="382"/>
      <c r="L308" s="381"/>
      <c r="M308" s="381"/>
      <c r="N308" s="381"/>
      <c r="O308" s="381"/>
      <c r="P308" s="381"/>
    </row>
    <row r="309" spans="3:16" ht="15.75" customHeight="1" x14ac:dyDescent="0.45">
      <c r="C309" s="382"/>
      <c r="D309" s="382"/>
      <c r="E309" s="382"/>
      <c r="F309" s="382"/>
      <c r="G309" s="382"/>
      <c r="L309" s="381"/>
      <c r="M309" s="381"/>
      <c r="N309" s="381"/>
      <c r="O309" s="381"/>
      <c r="P309" s="381"/>
    </row>
    <row r="310" spans="3:16" ht="15.75" customHeight="1" x14ac:dyDescent="0.45">
      <c r="C310" s="382"/>
      <c r="D310" s="382"/>
      <c r="E310" s="382"/>
      <c r="F310" s="382"/>
      <c r="G310" s="382"/>
      <c r="L310" s="381"/>
      <c r="M310" s="381"/>
      <c r="N310" s="381"/>
      <c r="O310" s="381"/>
      <c r="P310" s="381"/>
    </row>
    <row r="311" spans="3:16" ht="15.75" customHeight="1" x14ac:dyDescent="0.45">
      <c r="C311" s="382"/>
      <c r="D311" s="382"/>
      <c r="E311" s="382"/>
      <c r="F311" s="382"/>
      <c r="G311" s="382"/>
      <c r="L311" s="381"/>
      <c r="M311" s="381"/>
      <c r="N311" s="381"/>
      <c r="O311" s="381"/>
      <c r="P311" s="381"/>
    </row>
    <row r="312" spans="3:16" ht="15.75" customHeight="1" x14ac:dyDescent="0.45">
      <c r="C312" s="382"/>
      <c r="D312" s="382"/>
      <c r="E312" s="382"/>
      <c r="F312" s="382"/>
      <c r="G312" s="382"/>
      <c r="L312" s="381"/>
      <c r="M312" s="381"/>
      <c r="N312" s="381"/>
      <c r="O312" s="381"/>
      <c r="P312" s="381"/>
    </row>
    <row r="313" spans="3:16" ht="15.75" customHeight="1" x14ac:dyDescent="0.45">
      <c r="C313" s="382"/>
      <c r="D313" s="382"/>
      <c r="E313" s="382"/>
      <c r="F313" s="382"/>
      <c r="G313" s="382"/>
      <c r="L313" s="381"/>
      <c r="M313" s="381"/>
      <c r="N313" s="381"/>
      <c r="O313" s="381"/>
      <c r="P313" s="381"/>
    </row>
    <row r="314" spans="3:16" ht="15.75" customHeight="1" x14ac:dyDescent="0.45">
      <c r="C314" s="382"/>
      <c r="D314" s="382"/>
      <c r="E314" s="382"/>
      <c r="F314" s="382"/>
      <c r="G314" s="382"/>
      <c r="L314" s="381"/>
      <c r="M314" s="381"/>
      <c r="N314" s="381"/>
      <c r="O314" s="381"/>
      <c r="P314" s="381"/>
    </row>
    <row r="315" spans="3:16" ht="15.75" customHeight="1" x14ac:dyDescent="0.45">
      <c r="C315" s="382"/>
      <c r="D315" s="382"/>
      <c r="E315" s="382"/>
      <c r="F315" s="382"/>
      <c r="G315" s="382"/>
      <c r="L315" s="381"/>
      <c r="M315" s="381"/>
      <c r="N315" s="381"/>
      <c r="O315" s="381"/>
      <c r="P315" s="381"/>
    </row>
    <row r="316" spans="3:16" ht="15.75" customHeight="1" x14ac:dyDescent="0.45">
      <c r="C316" s="382"/>
      <c r="D316" s="382"/>
      <c r="E316" s="382"/>
      <c r="F316" s="382"/>
      <c r="G316" s="382"/>
      <c r="L316" s="381"/>
      <c r="M316" s="381"/>
      <c r="N316" s="381"/>
      <c r="O316" s="381"/>
      <c r="P316" s="381"/>
    </row>
    <row r="317" spans="3:16" ht="15.75" customHeight="1" x14ac:dyDescent="0.45">
      <c r="C317" s="382"/>
      <c r="D317" s="382"/>
      <c r="E317" s="382"/>
      <c r="F317" s="382"/>
      <c r="G317" s="382"/>
      <c r="L317" s="381"/>
      <c r="M317" s="381"/>
      <c r="N317" s="381"/>
      <c r="O317" s="381"/>
      <c r="P317" s="381"/>
    </row>
    <row r="318" spans="3:16" ht="15.75" customHeight="1" x14ac:dyDescent="0.45">
      <c r="C318" s="382"/>
      <c r="D318" s="382"/>
      <c r="E318" s="382"/>
      <c r="F318" s="382"/>
      <c r="G318" s="382"/>
      <c r="L318" s="381"/>
      <c r="M318" s="381"/>
      <c r="N318" s="381"/>
      <c r="O318" s="381"/>
      <c r="P318" s="381"/>
    </row>
    <row r="319" spans="3:16" ht="15.75" customHeight="1" x14ac:dyDescent="0.45">
      <c r="C319" s="382"/>
      <c r="D319" s="382"/>
      <c r="E319" s="382"/>
      <c r="F319" s="382"/>
      <c r="G319" s="382"/>
      <c r="L319" s="381"/>
      <c r="M319" s="381"/>
      <c r="N319" s="381"/>
      <c r="O319" s="381"/>
      <c r="P319" s="381"/>
    </row>
    <row r="320" spans="3:16" ht="15.75" customHeight="1" x14ac:dyDescent="0.45">
      <c r="C320" s="382"/>
      <c r="D320" s="382"/>
      <c r="E320" s="382"/>
      <c r="F320" s="382"/>
      <c r="G320" s="382"/>
      <c r="L320" s="381"/>
      <c r="M320" s="381"/>
      <c r="N320" s="381"/>
      <c r="O320" s="381"/>
      <c r="P320" s="381"/>
    </row>
    <row r="321" spans="3:16" ht="15.75" customHeight="1" x14ac:dyDescent="0.45">
      <c r="C321" s="382"/>
      <c r="D321" s="382"/>
      <c r="E321" s="382"/>
      <c r="F321" s="382"/>
      <c r="G321" s="382"/>
      <c r="L321" s="381"/>
      <c r="M321" s="381"/>
      <c r="N321" s="381"/>
      <c r="O321" s="381"/>
      <c r="P321" s="381"/>
    </row>
    <row r="322" spans="3:16" ht="15.75" customHeight="1" x14ac:dyDescent="0.45">
      <c r="C322" s="382"/>
      <c r="D322" s="382"/>
      <c r="E322" s="382"/>
      <c r="F322" s="382"/>
      <c r="G322" s="382"/>
      <c r="L322" s="381"/>
      <c r="M322" s="381"/>
      <c r="N322" s="381"/>
      <c r="O322" s="381"/>
      <c r="P322" s="381"/>
    </row>
    <row r="323" spans="3:16" ht="15.75" customHeight="1" x14ac:dyDescent="0.45">
      <c r="C323" s="382"/>
      <c r="D323" s="382"/>
      <c r="E323" s="382"/>
      <c r="F323" s="382"/>
      <c r="G323" s="382"/>
      <c r="L323" s="381"/>
      <c r="M323" s="381"/>
      <c r="N323" s="381"/>
      <c r="O323" s="381"/>
      <c r="P323" s="381"/>
    </row>
    <row r="324" spans="3:16" ht="15.75" customHeight="1" x14ac:dyDescent="0.45">
      <c r="C324" s="382"/>
      <c r="D324" s="382"/>
      <c r="E324" s="382"/>
      <c r="F324" s="382"/>
      <c r="G324" s="382"/>
      <c r="L324" s="381"/>
      <c r="M324" s="381"/>
      <c r="N324" s="381"/>
      <c r="O324" s="381"/>
      <c r="P324" s="381"/>
    </row>
    <row r="325" spans="3:16" ht="15.75" customHeight="1" x14ac:dyDescent="0.45">
      <c r="C325" s="382"/>
      <c r="D325" s="382"/>
      <c r="E325" s="382"/>
      <c r="F325" s="382"/>
      <c r="G325" s="382"/>
      <c r="L325" s="381"/>
      <c r="M325" s="381"/>
      <c r="N325" s="381"/>
      <c r="O325" s="381"/>
      <c r="P325" s="381"/>
    </row>
    <row r="326" spans="3:16" ht="15.75" customHeight="1" x14ac:dyDescent="0.45">
      <c r="C326" s="382"/>
      <c r="D326" s="382"/>
      <c r="E326" s="382"/>
      <c r="F326" s="382"/>
      <c r="G326" s="382"/>
      <c r="L326" s="381"/>
      <c r="M326" s="381"/>
      <c r="N326" s="381"/>
      <c r="O326" s="381"/>
      <c r="P326" s="381"/>
    </row>
    <row r="327" spans="3:16" ht="15.75" customHeight="1" x14ac:dyDescent="0.45">
      <c r="C327" s="382"/>
      <c r="D327" s="382"/>
      <c r="E327" s="382"/>
      <c r="F327" s="382"/>
      <c r="G327" s="382"/>
      <c r="L327" s="381"/>
      <c r="M327" s="381"/>
      <c r="N327" s="381"/>
      <c r="O327" s="381"/>
      <c r="P327" s="381"/>
    </row>
    <row r="328" spans="3:16" ht="15.75" customHeight="1" x14ac:dyDescent="0.45">
      <c r="C328" s="382"/>
      <c r="D328" s="382"/>
      <c r="E328" s="382"/>
      <c r="F328" s="382"/>
      <c r="G328" s="382"/>
      <c r="L328" s="381"/>
      <c r="M328" s="381"/>
      <c r="N328" s="381"/>
      <c r="O328" s="381"/>
      <c r="P328" s="381"/>
    </row>
    <row r="329" spans="3:16" ht="15.75" customHeight="1" x14ac:dyDescent="0.45">
      <c r="C329" s="382"/>
      <c r="D329" s="382"/>
      <c r="E329" s="382"/>
      <c r="F329" s="382"/>
      <c r="G329" s="382"/>
      <c r="L329" s="381"/>
      <c r="M329" s="381"/>
      <c r="N329" s="381"/>
      <c r="O329" s="381"/>
      <c r="P329" s="381"/>
    </row>
    <row r="330" spans="3:16" ht="15.75" customHeight="1" x14ac:dyDescent="0.45">
      <c r="C330" s="382"/>
      <c r="D330" s="382"/>
      <c r="E330" s="382"/>
      <c r="F330" s="382"/>
      <c r="G330" s="382"/>
      <c r="L330" s="381"/>
      <c r="M330" s="381"/>
      <c r="N330" s="381"/>
      <c r="O330" s="381"/>
      <c r="P330" s="381"/>
    </row>
    <row r="331" spans="3:16" ht="15.75" customHeight="1" x14ac:dyDescent="0.45">
      <c r="C331" s="382"/>
      <c r="D331" s="382"/>
      <c r="E331" s="382"/>
      <c r="F331" s="382"/>
      <c r="G331" s="382"/>
      <c r="L331" s="381"/>
      <c r="M331" s="381"/>
      <c r="N331" s="381"/>
      <c r="O331" s="381"/>
      <c r="P331" s="381"/>
    </row>
    <row r="332" spans="3:16" ht="15.75" customHeight="1" x14ac:dyDescent="0.45">
      <c r="C332" s="382"/>
      <c r="D332" s="382"/>
      <c r="E332" s="382"/>
      <c r="F332" s="382"/>
      <c r="G332" s="382"/>
      <c r="L332" s="381"/>
      <c r="M332" s="381"/>
      <c r="N332" s="381"/>
      <c r="O332" s="381"/>
      <c r="P332" s="381"/>
    </row>
    <row r="333" spans="3:16" ht="15.75" customHeight="1" x14ac:dyDescent="0.45">
      <c r="C333" s="382"/>
      <c r="D333" s="382"/>
      <c r="E333" s="382"/>
      <c r="F333" s="382"/>
      <c r="G333" s="382"/>
      <c r="L333" s="381"/>
      <c r="M333" s="381"/>
      <c r="N333" s="381"/>
      <c r="O333" s="381"/>
      <c r="P333" s="381"/>
    </row>
    <row r="334" spans="3:16" ht="15.75" customHeight="1" x14ac:dyDescent="0.45">
      <c r="C334" s="382"/>
      <c r="D334" s="382"/>
      <c r="E334" s="382"/>
      <c r="F334" s="382"/>
      <c r="G334" s="382"/>
      <c r="L334" s="381"/>
      <c r="M334" s="381"/>
      <c r="N334" s="381"/>
      <c r="O334" s="381"/>
      <c r="P334" s="381"/>
    </row>
    <row r="335" spans="3:16" ht="15.75" customHeight="1" x14ac:dyDescent="0.45">
      <c r="C335" s="382"/>
      <c r="D335" s="382"/>
      <c r="E335" s="382"/>
      <c r="F335" s="382"/>
      <c r="G335" s="382"/>
      <c r="L335" s="381"/>
      <c r="M335" s="381"/>
      <c r="N335" s="381"/>
      <c r="O335" s="381"/>
      <c r="P335" s="381"/>
    </row>
    <row r="336" spans="3:16" ht="15.75" customHeight="1" x14ac:dyDescent="0.45">
      <c r="C336" s="382"/>
      <c r="D336" s="382"/>
      <c r="E336" s="382"/>
      <c r="F336" s="382"/>
      <c r="G336" s="382"/>
      <c r="L336" s="381"/>
      <c r="M336" s="381"/>
      <c r="N336" s="381"/>
      <c r="O336" s="381"/>
      <c r="P336" s="381"/>
    </row>
    <row r="337" spans="3:16" ht="15.75" customHeight="1" x14ac:dyDescent="0.45">
      <c r="C337" s="382"/>
      <c r="D337" s="382"/>
      <c r="E337" s="382"/>
      <c r="F337" s="382"/>
      <c r="G337" s="382"/>
      <c r="L337" s="381"/>
      <c r="M337" s="381"/>
      <c r="N337" s="381"/>
      <c r="O337" s="381"/>
      <c r="P337" s="381"/>
    </row>
    <row r="338" spans="3:16" ht="15.75" customHeight="1" x14ac:dyDescent="0.45">
      <c r="C338" s="382"/>
      <c r="D338" s="382"/>
      <c r="E338" s="382"/>
      <c r="F338" s="382"/>
      <c r="G338" s="382"/>
      <c r="L338" s="381"/>
      <c r="M338" s="381"/>
      <c r="N338" s="381"/>
      <c r="O338" s="381"/>
      <c r="P338" s="381"/>
    </row>
    <row r="339" spans="3:16" ht="15.75" customHeight="1" x14ac:dyDescent="0.45">
      <c r="C339" s="382"/>
      <c r="D339" s="382"/>
      <c r="E339" s="382"/>
      <c r="F339" s="382"/>
      <c r="G339" s="382"/>
      <c r="L339" s="381"/>
      <c r="M339" s="381"/>
      <c r="N339" s="381"/>
      <c r="O339" s="381"/>
      <c r="P339" s="381"/>
    </row>
    <row r="340" spans="3:16" ht="15.75" customHeight="1" x14ac:dyDescent="0.45">
      <c r="C340" s="382"/>
      <c r="D340" s="382"/>
      <c r="E340" s="382"/>
      <c r="F340" s="382"/>
      <c r="G340" s="382"/>
      <c r="L340" s="381"/>
      <c r="M340" s="381"/>
      <c r="N340" s="381"/>
      <c r="O340" s="381"/>
      <c r="P340" s="381"/>
    </row>
    <row r="341" spans="3:16" ht="15.75" customHeight="1" x14ac:dyDescent="0.45">
      <c r="C341" s="382"/>
      <c r="D341" s="382"/>
      <c r="E341" s="382"/>
      <c r="F341" s="382"/>
      <c r="G341" s="382"/>
      <c r="L341" s="381"/>
      <c r="M341" s="381"/>
      <c r="N341" s="381"/>
      <c r="O341" s="381"/>
      <c r="P341" s="381"/>
    </row>
    <row r="342" spans="3:16" ht="15.75" customHeight="1" x14ac:dyDescent="0.45">
      <c r="C342" s="382"/>
      <c r="D342" s="382"/>
      <c r="E342" s="382"/>
      <c r="F342" s="382"/>
      <c r="G342" s="382"/>
      <c r="L342" s="381"/>
      <c r="M342" s="381"/>
      <c r="N342" s="381"/>
      <c r="O342" s="381"/>
      <c r="P342" s="381"/>
    </row>
    <row r="343" spans="3:16" ht="15.75" customHeight="1" x14ac:dyDescent="0.45">
      <c r="C343" s="382"/>
      <c r="D343" s="382"/>
      <c r="E343" s="382"/>
      <c r="F343" s="382"/>
      <c r="G343" s="382"/>
      <c r="L343" s="381"/>
      <c r="M343" s="381"/>
      <c r="N343" s="381"/>
      <c r="O343" s="381"/>
      <c r="P343" s="381"/>
    </row>
    <row r="344" spans="3:16" ht="15.75" customHeight="1" x14ac:dyDescent="0.45">
      <c r="C344" s="382"/>
      <c r="D344" s="382"/>
      <c r="E344" s="382"/>
      <c r="F344" s="382"/>
      <c r="G344" s="382"/>
      <c r="L344" s="381"/>
      <c r="M344" s="381"/>
      <c r="N344" s="381"/>
      <c r="O344" s="381"/>
      <c r="P344" s="381"/>
    </row>
    <row r="345" spans="3:16" ht="15.75" customHeight="1" x14ac:dyDescent="0.45">
      <c r="C345" s="382"/>
      <c r="D345" s="382"/>
      <c r="E345" s="382"/>
      <c r="F345" s="382"/>
      <c r="G345" s="382"/>
      <c r="L345" s="381"/>
      <c r="M345" s="381"/>
      <c r="N345" s="381"/>
      <c r="O345" s="381"/>
      <c r="P345" s="381"/>
    </row>
    <row r="346" spans="3:16" ht="15.75" customHeight="1" x14ac:dyDescent="0.45">
      <c r="C346" s="382"/>
      <c r="D346" s="382"/>
      <c r="E346" s="382"/>
      <c r="F346" s="382"/>
      <c r="G346" s="382"/>
      <c r="L346" s="381"/>
      <c r="M346" s="381"/>
      <c r="N346" s="381"/>
      <c r="O346" s="381"/>
      <c r="P346" s="381"/>
    </row>
    <row r="347" spans="3:16" ht="15.75" customHeight="1" x14ac:dyDescent="0.45">
      <c r="C347" s="382"/>
      <c r="D347" s="382"/>
      <c r="E347" s="382"/>
      <c r="F347" s="382"/>
      <c r="G347" s="382"/>
      <c r="L347" s="381"/>
      <c r="M347" s="381"/>
      <c r="N347" s="381"/>
      <c r="O347" s="381"/>
      <c r="P347" s="381"/>
    </row>
    <row r="348" spans="3:16" ht="15.75" customHeight="1" x14ac:dyDescent="0.45">
      <c r="C348" s="382"/>
      <c r="D348" s="382"/>
      <c r="E348" s="382"/>
      <c r="F348" s="382"/>
      <c r="G348" s="382"/>
      <c r="L348" s="381"/>
      <c r="M348" s="381"/>
      <c r="N348" s="381"/>
      <c r="O348" s="381"/>
      <c r="P348" s="381"/>
    </row>
    <row r="349" spans="3:16" ht="15.75" customHeight="1" x14ac:dyDescent="0.45">
      <c r="C349" s="382"/>
      <c r="D349" s="382"/>
      <c r="E349" s="382"/>
      <c r="F349" s="382"/>
      <c r="G349" s="382"/>
      <c r="L349" s="381"/>
      <c r="M349" s="381"/>
      <c r="N349" s="381"/>
      <c r="O349" s="381"/>
      <c r="P349" s="381"/>
    </row>
    <row r="350" spans="3:16" ht="15.75" customHeight="1" x14ac:dyDescent="0.45">
      <c r="C350" s="382"/>
      <c r="D350" s="382"/>
      <c r="E350" s="382"/>
      <c r="F350" s="382"/>
      <c r="G350" s="382"/>
      <c r="L350" s="381"/>
      <c r="M350" s="381"/>
      <c r="N350" s="381"/>
      <c r="O350" s="381"/>
      <c r="P350" s="381"/>
    </row>
    <row r="351" spans="3:16" ht="15.75" customHeight="1" x14ac:dyDescent="0.45">
      <c r="C351" s="382"/>
      <c r="D351" s="382"/>
      <c r="E351" s="382"/>
      <c r="F351" s="382"/>
      <c r="G351" s="382"/>
      <c r="L351" s="381"/>
      <c r="M351" s="381"/>
      <c r="N351" s="381"/>
      <c r="O351" s="381"/>
      <c r="P351" s="381"/>
    </row>
    <row r="352" spans="3:16" ht="15.75" customHeight="1" x14ac:dyDescent="0.45">
      <c r="C352" s="382"/>
      <c r="D352" s="382"/>
      <c r="E352" s="382"/>
      <c r="F352" s="382"/>
      <c r="G352" s="382"/>
      <c r="L352" s="381"/>
      <c r="M352" s="381"/>
      <c r="N352" s="381"/>
      <c r="O352" s="381"/>
      <c r="P352" s="381"/>
    </row>
    <row r="353" spans="3:16" ht="15.75" customHeight="1" x14ac:dyDescent="0.45">
      <c r="C353" s="382"/>
      <c r="D353" s="382"/>
      <c r="E353" s="382"/>
      <c r="F353" s="382"/>
      <c r="G353" s="382"/>
      <c r="L353" s="381"/>
      <c r="M353" s="381"/>
      <c r="N353" s="381"/>
      <c r="O353" s="381"/>
      <c r="P353" s="381"/>
    </row>
    <row r="354" spans="3:16" ht="15.75" customHeight="1" x14ac:dyDescent="0.45">
      <c r="C354" s="382"/>
      <c r="D354" s="382"/>
      <c r="E354" s="382"/>
      <c r="F354" s="382"/>
      <c r="G354" s="382"/>
      <c r="L354" s="381"/>
      <c r="M354" s="381"/>
      <c r="N354" s="381"/>
      <c r="O354" s="381"/>
      <c r="P354" s="381"/>
    </row>
    <row r="355" spans="3:16" ht="15.75" customHeight="1" x14ac:dyDescent="0.45">
      <c r="C355" s="382"/>
      <c r="D355" s="382"/>
      <c r="E355" s="382"/>
      <c r="F355" s="382"/>
      <c r="G355" s="382"/>
      <c r="L355" s="381"/>
      <c r="M355" s="381"/>
      <c r="N355" s="381"/>
      <c r="O355" s="381"/>
      <c r="P355" s="381"/>
    </row>
    <row r="356" spans="3:16" ht="15.75" customHeight="1" x14ac:dyDescent="0.45">
      <c r="C356" s="382"/>
      <c r="D356" s="382"/>
      <c r="E356" s="382"/>
      <c r="F356" s="382"/>
      <c r="G356" s="382"/>
      <c r="L356" s="381"/>
      <c r="M356" s="381"/>
      <c r="N356" s="381"/>
      <c r="O356" s="381"/>
      <c r="P356" s="381"/>
    </row>
    <row r="357" spans="3:16" ht="15.75" customHeight="1" x14ac:dyDescent="0.45">
      <c r="C357" s="382"/>
      <c r="D357" s="382"/>
      <c r="E357" s="382"/>
      <c r="F357" s="382"/>
      <c r="G357" s="382"/>
      <c r="L357" s="381"/>
      <c r="M357" s="381"/>
      <c r="N357" s="381"/>
      <c r="O357" s="381"/>
      <c r="P357" s="381"/>
    </row>
    <row r="358" spans="3:16" ht="15.75" customHeight="1" x14ac:dyDescent="0.45">
      <c r="C358" s="382"/>
      <c r="D358" s="382"/>
      <c r="E358" s="382"/>
      <c r="F358" s="382"/>
      <c r="G358" s="382"/>
      <c r="L358" s="381"/>
      <c r="M358" s="381"/>
      <c r="N358" s="381"/>
      <c r="O358" s="381"/>
      <c r="P358" s="381"/>
    </row>
    <row r="359" spans="3:16" ht="15.75" customHeight="1" x14ac:dyDescent="0.45">
      <c r="C359" s="382"/>
      <c r="D359" s="382"/>
      <c r="E359" s="382"/>
      <c r="F359" s="382"/>
      <c r="G359" s="382"/>
      <c r="L359" s="381"/>
      <c r="M359" s="381"/>
      <c r="N359" s="381"/>
      <c r="O359" s="381"/>
      <c r="P359" s="381"/>
    </row>
    <row r="360" spans="3:16" ht="15.75" customHeight="1" x14ac:dyDescent="0.45">
      <c r="C360" s="382"/>
      <c r="D360" s="382"/>
      <c r="E360" s="382"/>
      <c r="F360" s="382"/>
      <c r="G360" s="382"/>
      <c r="L360" s="381"/>
      <c r="M360" s="381"/>
      <c r="N360" s="381"/>
      <c r="O360" s="381"/>
      <c r="P360" s="381"/>
    </row>
    <row r="361" spans="3:16" ht="15.75" customHeight="1" x14ac:dyDescent="0.45">
      <c r="C361" s="382"/>
      <c r="D361" s="382"/>
      <c r="E361" s="382"/>
      <c r="F361" s="382"/>
      <c r="G361" s="382"/>
      <c r="L361" s="381"/>
      <c r="M361" s="381"/>
      <c r="N361" s="381"/>
      <c r="O361" s="381"/>
      <c r="P361" s="381"/>
    </row>
    <row r="362" spans="3:16" ht="15.75" customHeight="1" x14ac:dyDescent="0.45">
      <c r="C362" s="382"/>
      <c r="D362" s="382"/>
      <c r="E362" s="382"/>
      <c r="F362" s="382"/>
      <c r="G362" s="382"/>
      <c r="L362" s="381"/>
      <c r="M362" s="381"/>
      <c r="N362" s="381"/>
      <c r="O362" s="381"/>
      <c r="P362" s="381"/>
    </row>
    <row r="363" spans="3:16" ht="15.75" customHeight="1" x14ac:dyDescent="0.45">
      <c r="C363" s="382"/>
      <c r="D363" s="382"/>
      <c r="E363" s="382"/>
      <c r="F363" s="382"/>
      <c r="G363" s="382"/>
      <c r="L363" s="381"/>
      <c r="M363" s="381"/>
      <c r="N363" s="381"/>
      <c r="O363" s="381"/>
      <c r="P363" s="381"/>
    </row>
    <row r="364" spans="3:16" ht="15.75" customHeight="1" x14ac:dyDescent="0.45">
      <c r="C364" s="382"/>
      <c r="D364" s="382"/>
      <c r="E364" s="382"/>
      <c r="F364" s="382"/>
      <c r="G364" s="382"/>
      <c r="L364" s="381"/>
      <c r="M364" s="381"/>
      <c r="N364" s="381"/>
      <c r="O364" s="381"/>
      <c r="P364" s="381"/>
    </row>
    <row r="365" spans="3:16" ht="15.75" customHeight="1" x14ac:dyDescent="0.45">
      <c r="C365" s="382"/>
      <c r="D365" s="382"/>
      <c r="E365" s="382"/>
      <c r="F365" s="382"/>
      <c r="G365" s="382"/>
      <c r="L365" s="381"/>
      <c r="M365" s="381"/>
      <c r="N365" s="381"/>
      <c r="O365" s="381"/>
      <c r="P365" s="381"/>
    </row>
    <row r="366" spans="3:16" ht="15.75" customHeight="1" x14ac:dyDescent="0.45">
      <c r="C366" s="382"/>
      <c r="D366" s="382"/>
      <c r="E366" s="382"/>
      <c r="F366" s="382"/>
      <c r="G366" s="382"/>
      <c r="L366" s="381"/>
      <c r="M366" s="381"/>
      <c r="N366" s="381"/>
      <c r="O366" s="381"/>
      <c r="P366" s="381"/>
    </row>
    <row r="367" spans="3:16" ht="15.75" customHeight="1" x14ac:dyDescent="0.45">
      <c r="C367" s="382"/>
      <c r="D367" s="382"/>
      <c r="E367" s="382"/>
      <c r="F367" s="382"/>
      <c r="G367" s="382"/>
      <c r="L367" s="381"/>
      <c r="M367" s="381"/>
      <c r="N367" s="381"/>
      <c r="O367" s="381"/>
      <c r="P367" s="381"/>
    </row>
    <row r="368" spans="3:16" ht="15.75" customHeight="1" x14ac:dyDescent="0.45">
      <c r="C368" s="382"/>
      <c r="D368" s="382"/>
      <c r="E368" s="382"/>
      <c r="F368" s="382"/>
      <c r="G368" s="382"/>
      <c r="L368" s="381"/>
      <c r="M368" s="381"/>
      <c r="N368" s="381"/>
      <c r="O368" s="381"/>
      <c r="P368" s="381"/>
    </row>
    <row r="369" spans="3:16" ht="15.75" customHeight="1" x14ac:dyDescent="0.45">
      <c r="C369" s="382"/>
      <c r="D369" s="382"/>
      <c r="E369" s="382"/>
      <c r="F369" s="382"/>
      <c r="G369" s="382"/>
      <c r="L369" s="381"/>
      <c r="M369" s="381"/>
      <c r="N369" s="381"/>
      <c r="O369" s="381"/>
      <c r="P369" s="381"/>
    </row>
    <row r="370" spans="3:16" ht="15.75" customHeight="1" x14ac:dyDescent="0.45">
      <c r="C370" s="382"/>
      <c r="D370" s="382"/>
      <c r="E370" s="382"/>
      <c r="F370" s="382"/>
      <c r="G370" s="382"/>
      <c r="L370" s="381"/>
      <c r="M370" s="381"/>
      <c r="N370" s="381"/>
      <c r="O370" s="381"/>
      <c r="P370" s="381"/>
    </row>
    <row r="371" spans="3:16" ht="15.75" customHeight="1" x14ac:dyDescent="0.45">
      <c r="C371" s="382"/>
      <c r="D371" s="382"/>
      <c r="E371" s="382"/>
      <c r="F371" s="382"/>
      <c r="G371" s="382"/>
      <c r="L371" s="381"/>
      <c r="M371" s="381"/>
      <c r="N371" s="381"/>
      <c r="O371" s="381"/>
      <c r="P371" s="381"/>
    </row>
    <row r="372" spans="3:16" ht="15.75" customHeight="1" x14ac:dyDescent="0.45">
      <c r="C372" s="382"/>
      <c r="D372" s="382"/>
      <c r="E372" s="382"/>
      <c r="F372" s="382"/>
      <c r="G372" s="382"/>
      <c r="L372" s="381"/>
      <c r="M372" s="381"/>
      <c r="N372" s="381"/>
      <c r="O372" s="381"/>
      <c r="P372" s="381"/>
    </row>
    <row r="373" spans="3:16" ht="15.75" customHeight="1" x14ac:dyDescent="0.45">
      <c r="C373" s="382"/>
      <c r="D373" s="382"/>
      <c r="E373" s="382"/>
      <c r="F373" s="382"/>
      <c r="G373" s="382"/>
      <c r="L373" s="381"/>
      <c r="M373" s="381"/>
      <c r="N373" s="381"/>
      <c r="O373" s="381"/>
      <c r="P373" s="381"/>
    </row>
    <row r="374" spans="3:16" ht="15.75" customHeight="1" x14ac:dyDescent="0.45">
      <c r="C374" s="382"/>
      <c r="D374" s="382"/>
      <c r="E374" s="382"/>
      <c r="F374" s="382"/>
      <c r="G374" s="382"/>
      <c r="L374" s="381"/>
      <c r="M374" s="381"/>
      <c r="N374" s="381"/>
      <c r="O374" s="381"/>
      <c r="P374" s="381"/>
    </row>
    <row r="375" spans="3:16" ht="15.75" customHeight="1" x14ac:dyDescent="0.45">
      <c r="C375" s="382"/>
      <c r="D375" s="382"/>
      <c r="E375" s="382"/>
      <c r="F375" s="382"/>
      <c r="G375" s="382"/>
      <c r="L375" s="381"/>
      <c r="M375" s="381"/>
      <c r="N375" s="381"/>
      <c r="O375" s="381"/>
      <c r="P375" s="381"/>
    </row>
    <row r="376" spans="3:16" ht="15.75" customHeight="1" x14ac:dyDescent="0.45">
      <c r="C376" s="382"/>
      <c r="D376" s="382"/>
      <c r="E376" s="382"/>
      <c r="F376" s="382"/>
      <c r="G376" s="382"/>
      <c r="L376" s="381"/>
      <c r="M376" s="381"/>
      <c r="N376" s="381"/>
      <c r="O376" s="381"/>
      <c r="P376" s="381"/>
    </row>
    <row r="377" spans="3:16" ht="15.75" customHeight="1" x14ac:dyDescent="0.45">
      <c r="C377" s="382"/>
      <c r="D377" s="382"/>
      <c r="E377" s="382"/>
      <c r="F377" s="382"/>
      <c r="G377" s="382"/>
      <c r="L377" s="381"/>
      <c r="M377" s="381"/>
      <c r="N377" s="381"/>
      <c r="O377" s="381"/>
      <c r="P377" s="381"/>
    </row>
    <row r="378" spans="3:16" ht="15.75" customHeight="1" x14ac:dyDescent="0.45">
      <c r="C378" s="382"/>
      <c r="D378" s="382"/>
      <c r="E378" s="382"/>
      <c r="F378" s="382"/>
      <c r="G378" s="382"/>
      <c r="L378" s="381"/>
      <c r="M378" s="381"/>
      <c r="N378" s="381"/>
      <c r="O378" s="381"/>
      <c r="P378" s="381"/>
    </row>
    <row r="379" spans="3:16" ht="15.75" customHeight="1" x14ac:dyDescent="0.45">
      <c r="C379" s="382"/>
      <c r="D379" s="382"/>
      <c r="E379" s="382"/>
      <c r="F379" s="382"/>
      <c r="G379" s="382"/>
      <c r="L379" s="381"/>
      <c r="M379" s="381"/>
      <c r="N379" s="381"/>
      <c r="O379" s="381"/>
      <c r="P379" s="381"/>
    </row>
    <row r="380" spans="3:16" ht="15.75" customHeight="1" x14ac:dyDescent="0.45">
      <c r="C380" s="382"/>
      <c r="D380" s="382"/>
      <c r="E380" s="382"/>
      <c r="F380" s="382"/>
      <c r="G380" s="382"/>
      <c r="L380" s="381"/>
      <c r="M380" s="381"/>
      <c r="N380" s="381"/>
      <c r="O380" s="381"/>
      <c r="P380" s="381"/>
    </row>
    <row r="381" spans="3:16" ht="15.75" customHeight="1" x14ac:dyDescent="0.45">
      <c r="C381" s="382"/>
      <c r="D381" s="382"/>
      <c r="E381" s="382"/>
      <c r="F381" s="382"/>
      <c r="G381" s="382"/>
      <c r="L381" s="381"/>
      <c r="M381" s="381"/>
      <c r="N381" s="381"/>
      <c r="O381" s="381"/>
      <c r="P381" s="381"/>
    </row>
    <row r="382" spans="3:16" ht="15.75" customHeight="1" x14ac:dyDescent="0.45">
      <c r="C382" s="382"/>
      <c r="D382" s="382"/>
      <c r="E382" s="382"/>
      <c r="F382" s="382"/>
      <c r="G382" s="382"/>
      <c r="L382" s="381"/>
      <c r="M382" s="381"/>
      <c r="N382" s="381"/>
      <c r="O382" s="381"/>
      <c r="P382" s="381"/>
    </row>
    <row r="383" spans="3:16" ht="15.75" customHeight="1" x14ac:dyDescent="0.45">
      <c r="C383" s="382"/>
      <c r="D383" s="382"/>
      <c r="E383" s="382"/>
      <c r="F383" s="382"/>
      <c r="G383" s="382"/>
      <c r="L383" s="381"/>
      <c r="M383" s="381"/>
      <c r="N383" s="381"/>
      <c r="O383" s="381"/>
      <c r="P383" s="381"/>
    </row>
    <row r="384" spans="3:16" ht="15.75" customHeight="1" x14ac:dyDescent="0.45">
      <c r="C384" s="382"/>
      <c r="D384" s="382"/>
      <c r="E384" s="382"/>
      <c r="F384" s="382"/>
      <c r="G384" s="382"/>
      <c r="L384" s="381"/>
      <c r="M384" s="381"/>
      <c r="N384" s="381"/>
      <c r="O384" s="381"/>
      <c r="P384" s="381"/>
    </row>
    <row r="385" spans="3:16" ht="15.75" customHeight="1" x14ac:dyDescent="0.45">
      <c r="C385" s="382"/>
      <c r="D385" s="382"/>
      <c r="E385" s="382"/>
      <c r="F385" s="382"/>
      <c r="G385" s="382"/>
      <c r="L385" s="381"/>
      <c r="M385" s="381"/>
      <c r="N385" s="381"/>
      <c r="O385" s="381"/>
      <c r="P385" s="381"/>
    </row>
    <row r="386" spans="3:16" ht="15.75" customHeight="1" x14ac:dyDescent="0.45">
      <c r="C386" s="382"/>
      <c r="D386" s="382"/>
      <c r="E386" s="382"/>
      <c r="F386" s="382"/>
      <c r="G386" s="382"/>
      <c r="L386" s="381"/>
      <c r="M386" s="381"/>
      <c r="N386" s="381"/>
      <c r="O386" s="381"/>
      <c r="P386" s="381"/>
    </row>
    <row r="387" spans="3:16" ht="15.75" customHeight="1" x14ac:dyDescent="0.45">
      <c r="C387" s="382"/>
      <c r="D387" s="382"/>
      <c r="E387" s="382"/>
      <c r="F387" s="382"/>
      <c r="G387" s="382"/>
      <c r="L387" s="381"/>
      <c r="M387" s="381"/>
      <c r="N387" s="381"/>
      <c r="O387" s="381"/>
      <c r="P387" s="381"/>
    </row>
    <row r="388" spans="3:16" ht="15.75" customHeight="1" x14ac:dyDescent="0.45">
      <c r="C388" s="382"/>
      <c r="D388" s="382"/>
      <c r="E388" s="382"/>
      <c r="F388" s="382"/>
      <c r="G388" s="382"/>
      <c r="L388" s="381"/>
      <c r="M388" s="381"/>
      <c r="N388" s="381"/>
      <c r="O388" s="381"/>
      <c r="P388" s="381"/>
    </row>
    <row r="389" spans="3:16" ht="15.75" customHeight="1" x14ac:dyDescent="0.45">
      <c r="C389" s="382"/>
      <c r="D389" s="382"/>
      <c r="E389" s="382"/>
      <c r="F389" s="382"/>
      <c r="G389" s="382"/>
      <c r="L389" s="381"/>
      <c r="M389" s="381"/>
      <c r="N389" s="381"/>
      <c r="O389" s="381"/>
      <c r="P389" s="381"/>
    </row>
    <row r="390" spans="3:16" ht="15.75" customHeight="1" x14ac:dyDescent="0.45">
      <c r="C390" s="382"/>
      <c r="D390" s="382"/>
      <c r="E390" s="382"/>
      <c r="F390" s="382"/>
      <c r="G390" s="382"/>
      <c r="L390" s="381"/>
      <c r="M390" s="381"/>
      <c r="N390" s="381"/>
      <c r="O390" s="381"/>
      <c r="P390" s="381"/>
    </row>
    <row r="391" spans="3:16" ht="15.75" customHeight="1" x14ac:dyDescent="0.45">
      <c r="C391" s="382"/>
      <c r="D391" s="382"/>
      <c r="E391" s="382"/>
      <c r="F391" s="382"/>
      <c r="G391" s="382"/>
      <c r="L391" s="381"/>
      <c r="M391" s="381"/>
      <c r="N391" s="381"/>
      <c r="O391" s="381"/>
      <c r="P391" s="381"/>
    </row>
    <row r="392" spans="3:16" ht="15.75" customHeight="1" x14ac:dyDescent="0.45">
      <c r="C392" s="382"/>
      <c r="D392" s="382"/>
      <c r="E392" s="382"/>
      <c r="F392" s="382"/>
      <c r="G392" s="382"/>
      <c r="L392" s="381"/>
      <c r="M392" s="381"/>
      <c r="N392" s="381"/>
      <c r="O392" s="381"/>
      <c r="P392" s="381"/>
    </row>
    <row r="393" spans="3:16" ht="15.75" customHeight="1" x14ac:dyDescent="0.45">
      <c r="C393" s="382"/>
      <c r="D393" s="382"/>
      <c r="E393" s="382"/>
      <c r="F393" s="382"/>
      <c r="G393" s="382"/>
      <c r="L393" s="381"/>
      <c r="M393" s="381"/>
      <c r="N393" s="381"/>
      <c r="O393" s="381"/>
      <c r="P393" s="381"/>
    </row>
    <row r="394" spans="3:16" ht="15.75" customHeight="1" x14ac:dyDescent="0.45">
      <c r="C394" s="382"/>
      <c r="D394" s="382"/>
      <c r="E394" s="382"/>
      <c r="F394" s="382"/>
      <c r="G394" s="382"/>
      <c r="L394" s="381"/>
      <c r="M394" s="381"/>
      <c r="N394" s="381"/>
      <c r="O394" s="381"/>
      <c r="P394" s="381"/>
    </row>
    <row r="395" spans="3:16" ht="15.75" customHeight="1" x14ac:dyDescent="0.45">
      <c r="C395" s="382"/>
      <c r="D395" s="382"/>
      <c r="E395" s="382"/>
      <c r="F395" s="382"/>
      <c r="G395" s="382"/>
      <c r="L395" s="381"/>
      <c r="M395" s="381"/>
      <c r="N395" s="381"/>
      <c r="O395" s="381"/>
      <c r="P395" s="381"/>
    </row>
    <row r="396" spans="3:16" ht="15.75" customHeight="1" x14ac:dyDescent="0.45">
      <c r="C396" s="382"/>
      <c r="D396" s="382"/>
      <c r="E396" s="382"/>
      <c r="F396" s="382"/>
      <c r="G396" s="382"/>
      <c r="L396" s="381"/>
      <c r="M396" s="381"/>
      <c r="N396" s="381"/>
      <c r="O396" s="381"/>
      <c r="P396" s="381"/>
    </row>
    <row r="397" spans="3:16" ht="15.75" customHeight="1" x14ac:dyDescent="0.45">
      <c r="C397" s="382"/>
      <c r="D397" s="382"/>
      <c r="E397" s="382"/>
      <c r="F397" s="382"/>
      <c r="G397" s="382"/>
      <c r="L397" s="381"/>
      <c r="M397" s="381"/>
      <c r="N397" s="381"/>
      <c r="O397" s="381"/>
      <c r="P397" s="381"/>
    </row>
    <row r="398" spans="3:16" ht="15.75" customHeight="1" x14ac:dyDescent="0.45">
      <c r="C398" s="382"/>
      <c r="D398" s="382"/>
      <c r="E398" s="382"/>
      <c r="F398" s="382"/>
      <c r="G398" s="382"/>
      <c r="L398" s="381"/>
      <c r="M398" s="381"/>
      <c r="N398" s="381"/>
      <c r="O398" s="381"/>
      <c r="P398" s="381"/>
    </row>
    <row r="399" spans="3:16" ht="15.75" customHeight="1" x14ac:dyDescent="0.45">
      <c r="C399" s="382"/>
      <c r="D399" s="382"/>
      <c r="E399" s="382"/>
      <c r="F399" s="382"/>
      <c r="G399" s="382"/>
      <c r="L399" s="381"/>
      <c r="M399" s="381"/>
      <c r="N399" s="381"/>
      <c r="O399" s="381"/>
      <c r="P399" s="381"/>
    </row>
    <row r="400" spans="3:16" ht="15.75" customHeight="1" x14ac:dyDescent="0.45">
      <c r="C400" s="382"/>
      <c r="D400" s="382"/>
      <c r="E400" s="382"/>
      <c r="F400" s="382"/>
      <c r="G400" s="382"/>
      <c r="L400" s="381"/>
      <c r="M400" s="381"/>
      <c r="N400" s="381"/>
      <c r="O400" s="381"/>
      <c r="P400" s="381"/>
    </row>
    <row r="401" spans="3:16" ht="15.75" customHeight="1" x14ac:dyDescent="0.45">
      <c r="C401" s="382"/>
      <c r="D401" s="382"/>
      <c r="E401" s="382"/>
      <c r="F401" s="382"/>
      <c r="G401" s="382"/>
      <c r="L401" s="381"/>
      <c r="M401" s="381"/>
      <c r="N401" s="381"/>
      <c r="O401" s="381"/>
      <c r="P401" s="381"/>
    </row>
    <row r="402" spans="3:16" ht="15.75" customHeight="1" x14ac:dyDescent="0.45">
      <c r="C402" s="382"/>
      <c r="D402" s="382"/>
      <c r="E402" s="382"/>
      <c r="F402" s="382"/>
      <c r="G402" s="382"/>
      <c r="L402" s="381"/>
      <c r="M402" s="381"/>
      <c r="N402" s="381"/>
      <c r="O402" s="381"/>
      <c r="P402" s="381"/>
    </row>
    <row r="403" spans="3:16" ht="15.75" customHeight="1" x14ac:dyDescent="0.45">
      <c r="C403" s="382"/>
      <c r="D403" s="382"/>
      <c r="E403" s="382"/>
      <c r="F403" s="382"/>
      <c r="G403" s="382"/>
      <c r="L403" s="381"/>
      <c r="M403" s="381"/>
      <c r="N403" s="381"/>
      <c r="O403" s="381"/>
      <c r="P403" s="381"/>
    </row>
    <row r="404" spans="3:16" ht="15.75" customHeight="1" x14ac:dyDescent="0.45">
      <c r="C404" s="382"/>
      <c r="D404" s="382"/>
      <c r="E404" s="382"/>
      <c r="F404" s="382"/>
      <c r="G404" s="382"/>
      <c r="L404" s="381"/>
      <c r="M404" s="381"/>
      <c r="N404" s="381"/>
      <c r="O404" s="381"/>
      <c r="P404" s="381"/>
    </row>
    <row r="405" spans="3:16" ht="15.75" customHeight="1" x14ac:dyDescent="0.45">
      <c r="C405" s="382"/>
      <c r="D405" s="382"/>
      <c r="E405" s="382"/>
      <c r="F405" s="382"/>
      <c r="G405" s="382"/>
      <c r="L405" s="381"/>
      <c r="M405" s="381"/>
      <c r="N405" s="381"/>
      <c r="O405" s="381"/>
      <c r="P405" s="381"/>
    </row>
    <row r="406" spans="3:16" ht="15.75" customHeight="1" x14ac:dyDescent="0.45">
      <c r="C406" s="382"/>
      <c r="D406" s="382"/>
      <c r="E406" s="382"/>
      <c r="F406" s="382"/>
      <c r="G406" s="382"/>
      <c r="L406" s="381"/>
      <c r="M406" s="381"/>
      <c r="N406" s="381"/>
      <c r="O406" s="381"/>
      <c r="P406" s="381"/>
    </row>
    <row r="407" spans="3:16" ht="15.75" customHeight="1" x14ac:dyDescent="0.45">
      <c r="C407" s="382"/>
      <c r="D407" s="382"/>
      <c r="E407" s="382"/>
      <c r="F407" s="382"/>
      <c r="G407" s="382"/>
      <c r="L407" s="381"/>
      <c r="M407" s="381"/>
      <c r="N407" s="381"/>
      <c r="O407" s="381"/>
      <c r="P407" s="381"/>
    </row>
    <row r="408" spans="3:16" ht="15.75" customHeight="1" x14ac:dyDescent="0.45">
      <c r="C408" s="382"/>
      <c r="D408" s="382"/>
      <c r="E408" s="382"/>
      <c r="F408" s="382"/>
      <c r="G408" s="382"/>
      <c r="L408" s="381"/>
      <c r="M408" s="381"/>
      <c r="N408" s="381"/>
      <c r="O408" s="381"/>
      <c r="P408" s="381"/>
    </row>
    <row r="409" spans="3:16" ht="15.75" customHeight="1" x14ac:dyDescent="0.45">
      <c r="C409" s="382"/>
      <c r="D409" s="382"/>
      <c r="E409" s="382"/>
      <c r="F409" s="382"/>
      <c r="G409" s="382"/>
      <c r="L409" s="381"/>
      <c r="M409" s="381"/>
      <c r="N409" s="381"/>
      <c r="O409" s="381"/>
      <c r="P409" s="381"/>
    </row>
    <row r="410" spans="3:16" ht="15.75" customHeight="1" x14ac:dyDescent="0.45">
      <c r="C410" s="382"/>
      <c r="D410" s="382"/>
      <c r="E410" s="382"/>
      <c r="F410" s="382"/>
      <c r="G410" s="382"/>
      <c r="L410" s="381"/>
      <c r="M410" s="381"/>
      <c r="N410" s="381"/>
      <c r="O410" s="381"/>
      <c r="P410" s="381"/>
    </row>
    <row r="411" spans="3:16" ht="15.75" customHeight="1" x14ac:dyDescent="0.45">
      <c r="C411" s="382"/>
      <c r="D411" s="382"/>
      <c r="E411" s="382"/>
      <c r="F411" s="382"/>
      <c r="G411" s="382"/>
      <c r="L411" s="381"/>
      <c r="M411" s="381"/>
      <c r="N411" s="381"/>
      <c r="O411" s="381"/>
      <c r="P411" s="381"/>
    </row>
    <row r="412" spans="3:16" ht="15.75" customHeight="1" x14ac:dyDescent="0.45">
      <c r="C412" s="382"/>
      <c r="D412" s="382"/>
      <c r="E412" s="382"/>
      <c r="F412" s="382"/>
      <c r="G412" s="382"/>
      <c r="L412" s="381"/>
      <c r="M412" s="381"/>
      <c r="N412" s="381"/>
      <c r="O412" s="381"/>
      <c r="P412" s="381"/>
    </row>
    <row r="413" spans="3:16" ht="15.75" customHeight="1" x14ac:dyDescent="0.45">
      <c r="C413" s="382"/>
      <c r="D413" s="382"/>
      <c r="E413" s="382"/>
      <c r="F413" s="382"/>
      <c r="G413" s="382"/>
      <c r="L413" s="381"/>
      <c r="M413" s="381"/>
      <c r="N413" s="381"/>
      <c r="O413" s="381"/>
      <c r="P413" s="381"/>
    </row>
    <row r="414" spans="3:16" ht="15.75" customHeight="1" x14ac:dyDescent="0.45">
      <c r="C414" s="382"/>
      <c r="D414" s="382"/>
      <c r="E414" s="382"/>
      <c r="F414" s="382"/>
      <c r="G414" s="382"/>
      <c r="L414" s="381"/>
      <c r="M414" s="381"/>
      <c r="N414" s="381"/>
      <c r="O414" s="381"/>
      <c r="P414" s="381"/>
    </row>
    <row r="415" spans="3:16" ht="15.75" customHeight="1" x14ac:dyDescent="0.45">
      <c r="C415" s="382"/>
      <c r="D415" s="382"/>
      <c r="E415" s="382"/>
      <c r="F415" s="382"/>
      <c r="G415" s="382"/>
      <c r="L415" s="381"/>
      <c r="M415" s="381"/>
      <c r="N415" s="381"/>
      <c r="O415" s="381"/>
      <c r="P415" s="381"/>
    </row>
    <row r="416" spans="3:16" ht="15.75" customHeight="1" x14ac:dyDescent="0.45">
      <c r="C416" s="382"/>
      <c r="D416" s="382"/>
      <c r="E416" s="382"/>
      <c r="F416" s="382"/>
      <c r="G416" s="382"/>
      <c r="L416" s="381"/>
      <c r="M416" s="381"/>
      <c r="N416" s="381"/>
      <c r="O416" s="381"/>
      <c r="P416" s="381"/>
    </row>
    <row r="417" spans="3:16" ht="15.75" customHeight="1" x14ac:dyDescent="0.45">
      <c r="C417" s="382"/>
      <c r="D417" s="382"/>
      <c r="E417" s="382"/>
      <c r="F417" s="382"/>
      <c r="G417" s="382"/>
      <c r="L417" s="381"/>
      <c r="M417" s="381"/>
      <c r="N417" s="381"/>
      <c r="O417" s="381"/>
      <c r="P417" s="381"/>
    </row>
    <row r="418" spans="3:16" ht="15.75" customHeight="1" x14ac:dyDescent="0.45">
      <c r="C418" s="382"/>
      <c r="D418" s="382"/>
      <c r="E418" s="382"/>
      <c r="F418" s="382"/>
      <c r="G418" s="382"/>
      <c r="L418" s="381"/>
      <c r="M418" s="381"/>
      <c r="N418" s="381"/>
      <c r="O418" s="381"/>
      <c r="P418" s="381"/>
    </row>
    <row r="419" spans="3:16" ht="15.75" customHeight="1" x14ac:dyDescent="0.45">
      <c r="C419" s="382"/>
      <c r="D419" s="382"/>
      <c r="E419" s="382"/>
      <c r="F419" s="382"/>
      <c r="G419" s="382"/>
      <c r="L419" s="381"/>
      <c r="M419" s="381"/>
      <c r="N419" s="381"/>
      <c r="O419" s="381"/>
      <c r="P419" s="381"/>
    </row>
    <row r="420" spans="3:16" ht="15.75" customHeight="1" x14ac:dyDescent="0.45">
      <c r="C420" s="382"/>
      <c r="D420" s="382"/>
      <c r="E420" s="382"/>
      <c r="F420" s="382"/>
      <c r="G420" s="382"/>
      <c r="L420" s="381"/>
      <c r="M420" s="381"/>
      <c r="N420" s="381"/>
      <c r="O420" s="381"/>
      <c r="P420" s="381"/>
    </row>
    <row r="421" spans="3:16" ht="15.75" customHeight="1" x14ac:dyDescent="0.45">
      <c r="C421" s="382"/>
      <c r="D421" s="382"/>
      <c r="E421" s="382"/>
      <c r="F421" s="382"/>
      <c r="G421" s="382"/>
      <c r="L421" s="381"/>
      <c r="M421" s="381"/>
      <c r="N421" s="381"/>
      <c r="O421" s="381"/>
      <c r="P421" s="381"/>
    </row>
    <row r="422" spans="3:16" ht="15.75" customHeight="1" x14ac:dyDescent="0.45">
      <c r="C422" s="382"/>
      <c r="D422" s="382"/>
      <c r="E422" s="382"/>
      <c r="F422" s="382"/>
      <c r="G422" s="382"/>
      <c r="L422" s="381"/>
      <c r="M422" s="381"/>
      <c r="N422" s="381"/>
      <c r="O422" s="381"/>
      <c r="P422" s="381"/>
    </row>
    <row r="423" spans="3:16" ht="15.75" customHeight="1" x14ac:dyDescent="0.45">
      <c r="C423" s="382"/>
      <c r="D423" s="382"/>
      <c r="E423" s="382"/>
      <c r="F423" s="382"/>
      <c r="G423" s="382"/>
      <c r="L423" s="381"/>
      <c r="M423" s="381"/>
      <c r="N423" s="381"/>
      <c r="O423" s="381"/>
      <c r="P423" s="381"/>
    </row>
    <row r="424" spans="3:16" ht="15.75" customHeight="1" x14ac:dyDescent="0.45">
      <c r="C424" s="382"/>
      <c r="D424" s="382"/>
      <c r="E424" s="382"/>
      <c r="F424" s="382"/>
      <c r="G424" s="382"/>
      <c r="L424" s="381"/>
      <c r="M424" s="381"/>
      <c r="N424" s="381"/>
      <c r="O424" s="381"/>
      <c r="P424" s="381"/>
    </row>
    <row r="425" spans="3:16" ht="15.75" customHeight="1" x14ac:dyDescent="0.45">
      <c r="C425" s="382"/>
      <c r="D425" s="382"/>
      <c r="E425" s="382"/>
      <c r="F425" s="382"/>
      <c r="G425" s="382"/>
      <c r="L425" s="381"/>
      <c r="M425" s="381"/>
      <c r="N425" s="381"/>
      <c r="O425" s="381"/>
      <c r="P425" s="381"/>
    </row>
    <row r="426" spans="3:16" ht="15.75" customHeight="1" x14ac:dyDescent="0.45">
      <c r="C426" s="382"/>
      <c r="D426" s="382"/>
      <c r="E426" s="382"/>
      <c r="F426" s="382"/>
      <c r="G426" s="382"/>
      <c r="L426" s="381"/>
      <c r="M426" s="381"/>
      <c r="N426" s="381"/>
      <c r="O426" s="381"/>
      <c r="P426" s="381"/>
    </row>
    <row r="427" spans="3:16" ht="15.75" customHeight="1" x14ac:dyDescent="0.45">
      <c r="C427" s="382"/>
      <c r="D427" s="382"/>
      <c r="E427" s="382"/>
      <c r="F427" s="382"/>
      <c r="G427" s="382"/>
      <c r="L427" s="381"/>
      <c r="M427" s="381"/>
      <c r="N427" s="381"/>
      <c r="O427" s="381"/>
      <c r="P427" s="381"/>
    </row>
    <row r="428" spans="3:16" ht="15.75" customHeight="1" x14ac:dyDescent="0.45">
      <c r="C428" s="382"/>
      <c r="D428" s="382"/>
      <c r="E428" s="382"/>
      <c r="F428" s="382"/>
      <c r="G428" s="382"/>
      <c r="L428" s="381"/>
      <c r="M428" s="381"/>
      <c r="N428" s="381"/>
      <c r="O428" s="381"/>
      <c r="P428" s="381"/>
    </row>
    <row r="429" spans="3:16" ht="15.75" customHeight="1" x14ac:dyDescent="0.45">
      <c r="C429" s="382"/>
      <c r="D429" s="382"/>
      <c r="E429" s="382"/>
      <c r="F429" s="382"/>
      <c r="G429" s="382"/>
      <c r="L429" s="381"/>
      <c r="M429" s="381"/>
      <c r="N429" s="381"/>
      <c r="O429" s="381"/>
      <c r="P429" s="381"/>
    </row>
    <row r="430" spans="3:16" ht="15.75" customHeight="1" x14ac:dyDescent="0.45">
      <c r="C430" s="382"/>
      <c r="D430" s="382"/>
      <c r="E430" s="382"/>
      <c r="F430" s="382"/>
      <c r="G430" s="382"/>
      <c r="L430" s="381"/>
      <c r="M430" s="381"/>
      <c r="N430" s="381"/>
      <c r="O430" s="381"/>
      <c r="P430" s="381"/>
    </row>
    <row r="431" spans="3:16" ht="15.75" customHeight="1" x14ac:dyDescent="0.45">
      <c r="C431" s="382"/>
      <c r="D431" s="382"/>
      <c r="E431" s="382"/>
      <c r="F431" s="382"/>
      <c r="G431" s="382"/>
      <c r="L431" s="381"/>
      <c r="M431" s="381"/>
      <c r="N431" s="381"/>
      <c r="O431" s="381"/>
      <c r="P431" s="381"/>
    </row>
    <row r="432" spans="3:16" ht="15.75" customHeight="1" x14ac:dyDescent="0.45">
      <c r="C432" s="382"/>
      <c r="D432" s="382"/>
      <c r="E432" s="382"/>
      <c r="F432" s="382"/>
      <c r="G432" s="382"/>
      <c r="L432" s="381"/>
      <c r="M432" s="381"/>
      <c r="N432" s="381"/>
      <c r="O432" s="381"/>
      <c r="P432" s="381"/>
    </row>
    <row r="433" spans="3:16" ht="15.75" customHeight="1" x14ac:dyDescent="0.45">
      <c r="C433" s="382"/>
      <c r="D433" s="382"/>
      <c r="E433" s="382"/>
      <c r="F433" s="382"/>
      <c r="G433" s="382"/>
      <c r="L433" s="381"/>
      <c r="M433" s="381"/>
      <c r="N433" s="381"/>
      <c r="O433" s="381"/>
      <c r="P433" s="381"/>
    </row>
    <row r="434" spans="3:16" ht="15.75" customHeight="1" x14ac:dyDescent="0.45">
      <c r="C434" s="382"/>
      <c r="D434" s="382"/>
      <c r="E434" s="382"/>
      <c r="F434" s="382"/>
      <c r="G434" s="382"/>
      <c r="L434" s="381"/>
      <c r="M434" s="381"/>
      <c r="N434" s="381"/>
      <c r="O434" s="381"/>
      <c r="P434" s="381"/>
    </row>
    <row r="435" spans="3:16" ht="15.75" customHeight="1" x14ac:dyDescent="0.45">
      <c r="C435" s="382"/>
      <c r="D435" s="382"/>
      <c r="E435" s="382"/>
      <c r="F435" s="382"/>
      <c r="G435" s="382"/>
      <c r="L435" s="381"/>
      <c r="M435" s="381"/>
      <c r="N435" s="381"/>
      <c r="O435" s="381"/>
      <c r="P435" s="381"/>
    </row>
    <row r="436" spans="3:16" ht="15.75" customHeight="1" x14ac:dyDescent="0.45">
      <c r="C436" s="382"/>
      <c r="D436" s="382"/>
      <c r="E436" s="382"/>
      <c r="F436" s="382"/>
      <c r="G436" s="382"/>
      <c r="L436" s="381"/>
      <c r="M436" s="381"/>
      <c r="N436" s="381"/>
      <c r="O436" s="381"/>
      <c r="P436" s="381"/>
    </row>
    <row r="437" spans="3:16" ht="15.75" customHeight="1" x14ac:dyDescent="0.45">
      <c r="C437" s="382"/>
      <c r="D437" s="382"/>
      <c r="E437" s="382"/>
      <c r="F437" s="382"/>
      <c r="G437" s="382"/>
      <c r="L437" s="381"/>
      <c r="M437" s="381"/>
      <c r="N437" s="381"/>
      <c r="O437" s="381"/>
      <c r="P437" s="381"/>
    </row>
    <row r="438" spans="3:16" ht="15.75" customHeight="1" x14ac:dyDescent="0.45">
      <c r="C438" s="382"/>
      <c r="D438" s="382"/>
      <c r="E438" s="382"/>
      <c r="F438" s="382"/>
      <c r="G438" s="382"/>
      <c r="L438" s="381"/>
      <c r="M438" s="381"/>
      <c r="N438" s="381"/>
      <c r="O438" s="381"/>
      <c r="P438" s="381"/>
    </row>
    <row r="439" spans="3:16" ht="15.75" customHeight="1" x14ac:dyDescent="0.45">
      <c r="C439" s="382"/>
      <c r="D439" s="382"/>
      <c r="E439" s="382"/>
      <c r="F439" s="382"/>
      <c r="G439" s="382"/>
      <c r="L439" s="381"/>
      <c r="M439" s="381"/>
      <c r="N439" s="381"/>
      <c r="O439" s="381"/>
      <c r="P439" s="381"/>
    </row>
    <row r="440" spans="3:16" ht="15.75" customHeight="1" x14ac:dyDescent="0.45">
      <c r="C440" s="382"/>
      <c r="D440" s="382"/>
      <c r="E440" s="382"/>
      <c r="F440" s="382"/>
      <c r="G440" s="382"/>
      <c r="L440" s="381"/>
      <c r="M440" s="381"/>
      <c r="N440" s="381"/>
      <c r="O440" s="381"/>
      <c r="P440" s="381"/>
    </row>
    <row r="441" spans="3:16" ht="15.75" customHeight="1" x14ac:dyDescent="0.45">
      <c r="C441" s="382"/>
      <c r="D441" s="382"/>
      <c r="E441" s="382"/>
      <c r="F441" s="382"/>
      <c r="G441" s="382"/>
      <c r="L441" s="381"/>
      <c r="M441" s="381"/>
      <c r="N441" s="381"/>
      <c r="O441" s="381"/>
      <c r="P441" s="381"/>
    </row>
    <row r="442" spans="3:16" ht="15.75" customHeight="1" x14ac:dyDescent="0.45">
      <c r="C442" s="382"/>
      <c r="D442" s="382"/>
      <c r="E442" s="382"/>
      <c r="F442" s="382"/>
      <c r="G442" s="382"/>
      <c r="L442" s="381"/>
      <c r="M442" s="381"/>
      <c r="N442" s="381"/>
      <c r="O442" s="381"/>
      <c r="P442" s="381"/>
    </row>
    <row r="443" spans="3:16" ht="15.75" customHeight="1" x14ac:dyDescent="0.45">
      <c r="C443" s="382"/>
      <c r="D443" s="382"/>
      <c r="E443" s="382"/>
      <c r="F443" s="382"/>
      <c r="G443" s="382"/>
      <c r="L443" s="381"/>
      <c r="M443" s="381"/>
      <c r="N443" s="381"/>
      <c r="O443" s="381"/>
      <c r="P443" s="381"/>
    </row>
    <row r="444" spans="3:16" ht="15.75" customHeight="1" x14ac:dyDescent="0.45">
      <c r="C444" s="382"/>
      <c r="D444" s="382"/>
      <c r="E444" s="382"/>
      <c r="F444" s="382"/>
      <c r="G444" s="382"/>
      <c r="L444" s="381"/>
      <c r="M444" s="381"/>
      <c r="N444" s="381"/>
      <c r="O444" s="381"/>
      <c r="P444" s="381"/>
    </row>
    <row r="445" spans="3:16" ht="15.75" customHeight="1" x14ac:dyDescent="0.45">
      <c r="C445" s="382"/>
      <c r="D445" s="382"/>
      <c r="E445" s="382"/>
      <c r="F445" s="382"/>
      <c r="G445" s="382"/>
      <c r="L445" s="381"/>
      <c r="M445" s="381"/>
      <c r="N445" s="381"/>
      <c r="O445" s="381"/>
      <c r="P445" s="381"/>
    </row>
    <row r="446" spans="3:16" ht="15.75" customHeight="1" x14ac:dyDescent="0.45">
      <c r="C446" s="382"/>
      <c r="D446" s="382"/>
      <c r="E446" s="382"/>
      <c r="F446" s="382"/>
      <c r="G446" s="382"/>
      <c r="L446" s="381"/>
      <c r="M446" s="381"/>
      <c r="N446" s="381"/>
      <c r="O446" s="381"/>
      <c r="P446" s="381"/>
    </row>
    <row r="447" spans="3:16" ht="15.75" customHeight="1" x14ac:dyDescent="0.45">
      <c r="C447" s="382"/>
      <c r="D447" s="382"/>
      <c r="E447" s="382"/>
      <c r="F447" s="382"/>
      <c r="G447" s="382"/>
      <c r="L447" s="381"/>
      <c r="M447" s="381"/>
      <c r="N447" s="381"/>
      <c r="O447" s="381"/>
      <c r="P447" s="381"/>
    </row>
    <row r="448" spans="3:16" ht="15.75" customHeight="1" x14ac:dyDescent="0.45">
      <c r="C448" s="382"/>
      <c r="D448" s="382"/>
      <c r="E448" s="382"/>
      <c r="F448" s="382"/>
      <c r="G448" s="382"/>
      <c r="L448" s="381"/>
      <c r="M448" s="381"/>
      <c r="N448" s="381"/>
      <c r="O448" s="381"/>
      <c r="P448" s="381"/>
    </row>
    <row r="449" spans="3:16" ht="15.75" customHeight="1" x14ac:dyDescent="0.45">
      <c r="C449" s="382"/>
      <c r="D449" s="382"/>
      <c r="E449" s="382"/>
      <c r="F449" s="382"/>
      <c r="G449" s="382"/>
      <c r="L449" s="381"/>
      <c r="M449" s="381"/>
      <c r="N449" s="381"/>
      <c r="O449" s="381"/>
      <c r="P449" s="381"/>
    </row>
    <row r="450" spans="3:16" ht="15.75" customHeight="1" x14ac:dyDescent="0.45">
      <c r="C450" s="382"/>
      <c r="D450" s="382"/>
      <c r="E450" s="382"/>
      <c r="F450" s="382"/>
      <c r="G450" s="382"/>
      <c r="L450" s="381"/>
      <c r="M450" s="381"/>
      <c r="N450" s="381"/>
      <c r="O450" s="381"/>
      <c r="P450" s="381"/>
    </row>
    <row r="451" spans="3:16" ht="15.75" customHeight="1" x14ac:dyDescent="0.45">
      <c r="C451" s="382"/>
      <c r="D451" s="382"/>
      <c r="E451" s="382"/>
      <c r="F451" s="382"/>
      <c r="G451" s="382"/>
      <c r="L451" s="381"/>
      <c r="M451" s="381"/>
      <c r="N451" s="381"/>
      <c r="O451" s="381"/>
      <c r="P451" s="381"/>
    </row>
    <row r="452" spans="3:16" ht="15.75" customHeight="1" x14ac:dyDescent="0.45">
      <c r="C452" s="382"/>
      <c r="D452" s="382"/>
      <c r="E452" s="382"/>
      <c r="F452" s="382"/>
      <c r="G452" s="382"/>
      <c r="L452" s="381"/>
      <c r="M452" s="381"/>
      <c r="N452" s="381"/>
      <c r="O452" s="381"/>
      <c r="P452" s="381"/>
    </row>
    <row r="453" spans="3:16" ht="15.75" customHeight="1" x14ac:dyDescent="0.45">
      <c r="C453" s="382"/>
      <c r="D453" s="382"/>
      <c r="E453" s="382"/>
      <c r="F453" s="382"/>
      <c r="G453" s="382"/>
      <c r="L453" s="381"/>
      <c r="M453" s="381"/>
      <c r="N453" s="381"/>
      <c r="O453" s="381"/>
      <c r="P453" s="381"/>
    </row>
    <row r="454" spans="3:16" ht="15.75" customHeight="1" x14ac:dyDescent="0.45">
      <c r="C454" s="382"/>
      <c r="D454" s="382"/>
      <c r="E454" s="382"/>
      <c r="F454" s="382"/>
      <c r="G454" s="382"/>
      <c r="L454" s="381"/>
      <c r="M454" s="381"/>
      <c r="N454" s="381"/>
      <c r="O454" s="381"/>
      <c r="P454" s="381"/>
    </row>
    <row r="455" spans="3:16" ht="15.75" customHeight="1" x14ac:dyDescent="0.45">
      <c r="C455" s="382"/>
      <c r="D455" s="382"/>
      <c r="E455" s="382"/>
      <c r="F455" s="382"/>
      <c r="G455" s="382"/>
      <c r="L455" s="381"/>
      <c r="M455" s="381"/>
      <c r="N455" s="381"/>
      <c r="O455" s="381"/>
      <c r="P455" s="381"/>
    </row>
    <row r="456" spans="3:16" ht="15.75" customHeight="1" x14ac:dyDescent="0.45">
      <c r="C456" s="382"/>
      <c r="D456" s="382"/>
      <c r="E456" s="382"/>
      <c r="F456" s="382"/>
      <c r="G456" s="382"/>
      <c r="L456" s="381"/>
      <c r="M456" s="381"/>
      <c r="N456" s="381"/>
      <c r="O456" s="381"/>
      <c r="P456" s="381"/>
    </row>
    <row r="457" spans="3:16" ht="15.75" customHeight="1" x14ac:dyDescent="0.45">
      <c r="C457" s="382"/>
      <c r="D457" s="382"/>
      <c r="E457" s="382"/>
      <c r="F457" s="382"/>
      <c r="G457" s="382"/>
      <c r="L457" s="381"/>
      <c r="M457" s="381"/>
      <c r="N457" s="381"/>
      <c r="O457" s="381"/>
      <c r="P457" s="381"/>
    </row>
    <row r="458" spans="3:16" ht="15.75" customHeight="1" x14ac:dyDescent="0.45">
      <c r="C458" s="382"/>
      <c r="D458" s="382"/>
      <c r="E458" s="382"/>
      <c r="F458" s="382"/>
      <c r="G458" s="382"/>
      <c r="L458" s="381"/>
      <c r="M458" s="381"/>
      <c r="N458" s="381"/>
      <c r="O458" s="381"/>
      <c r="P458" s="381"/>
    </row>
    <row r="459" spans="3:16" ht="15.75" customHeight="1" x14ac:dyDescent="0.45">
      <c r="C459" s="382"/>
      <c r="D459" s="382"/>
      <c r="E459" s="382"/>
      <c r="F459" s="382"/>
      <c r="G459" s="382"/>
      <c r="L459" s="381"/>
      <c r="M459" s="381"/>
      <c r="N459" s="381"/>
      <c r="O459" s="381"/>
      <c r="P459" s="381"/>
    </row>
    <row r="460" spans="3:16" ht="15.75" customHeight="1" x14ac:dyDescent="0.45">
      <c r="C460" s="382"/>
      <c r="D460" s="382"/>
      <c r="E460" s="382"/>
      <c r="F460" s="382"/>
      <c r="G460" s="382"/>
      <c r="L460" s="381"/>
      <c r="M460" s="381"/>
      <c r="N460" s="381"/>
      <c r="O460" s="381"/>
      <c r="P460" s="381"/>
    </row>
    <row r="461" spans="3:16" ht="15.75" customHeight="1" x14ac:dyDescent="0.45">
      <c r="C461" s="382"/>
      <c r="D461" s="382"/>
      <c r="E461" s="382"/>
      <c r="F461" s="382"/>
      <c r="G461" s="382"/>
      <c r="L461" s="381"/>
      <c r="M461" s="381"/>
      <c r="N461" s="381"/>
      <c r="O461" s="381"/>
      <c r="P461" s="381"/>
    </row>
    <row r="462" spans="3:16" ht="15.75" customHeight="1" x14ac:dyDescent="0.45">
      <c r="C462" s="382"/>
      <c r="D462" s="382"/>
      <c r="E462" s="382"/>
      <c r="F462" s="382"/>
      <c r="G462" s="382"/>
      <c r="L462" s="381"/>
      <c r="M462" s="381"/>
      <c r="N462" s="381"/>
      <c r="O462" s="381"/>
      <c r="P462" s="381"/>
    </row>
    <row r="463" spans="3:16" ht="15.75" customHeight="1" x14ac:dyDescent="0.45">
      <c r="C463" s="382"/>
      <c r="D463" s="382"/>
      <c r="E463" s="382"/>
      <c r="F463" s="382"/>
      <c r="G463" s="382"/>
      <c r="L463" s="381"/>
      <c r="M463" s="381"/>
      <c r="N463" s="381"/>
      <c r="O463" s="381"/>
      <c r="P463" s="381"/>
    </row>
    <row r="464" spans="3:16" ht="15.75" customHeight="1" x14ac:dyDescent="0.45">
      <c r="C464" s="382"/>
      <c r="D464" s="382"/>
      <c r="E464" s="382"/>
      <c r="F464" s="382"/>
      <c r="G464" s="382"/>
      <c r="L464" s="381"/>
      <c r="M464" s="381"/>
      <c r="N464" s="381"/>
      <c r="O464" s="381"/>
      <c r="P464" s="381"/>
    </row>
    <row r="465" spans="3:16" ht="15.75" customHeight="1" x14ac:dyDescent="0.45">
      <c r="C465" s="382"/>
      <c r="D465" s="382"/>
      <c r="E465" s="382"/>
      <c r="F465" s="382"/>
      <c r="G465" s="382"/>
      <c r="L465" s="381"/>
      <c r="M465" s="381"/>
      <c r="N465" s="381"/>
      <c r="O465" s="381"/>
      <c r="P465" s="381"/>
    </row>
    <row r="466" spans="3:16" ht="15.75" customHeight="1" x14ac:dyDescent="0.45">
      <c r="C466" s="382"/>
      <c r="D466" s="382"/>
      <c r="E466" s="382"/>
      <c r="F466" s="382"/>
      <c r="G466" s="382"/>
      <c r="L466" s="381"/>
      <c r="M466" s="381"/>
      <c r="N466" s="381"/>
      <c r="O466" s="381"/>
      <c r="P466" s="381"/>
    </row>
    <row r="467" spans="3:16" ht="15.75" customHeight="1" x14ac:dyDescent="0.45">
      <c r="C467" s="382"/>
      <c r="D467" s="382"/>
      <c r="E467" s="382"/>
      <c r="F467" s="382"/>
      <c r="G467" s="382"/>
      <c r="L467" s="381"/>
      <c r="M467" s="381"/>
      <c r="N467" s="381"/>
      <c r="O467" s="381"/>
      <c r="P467" s="381"/>
    </row>
    <row r="468" spans="3:16" ht="15.75" customHeight="1" x14ac:dyDescent="0.45">
      <c r="C468" s="382"/>
      <c r="D468" s="382"/>
      <c r="E468" s="382"/>
      <c r="F468" s="382"/>
      <c r="G468" s="382"/>
      <c r="L468" s="381"/>
      <c r="M468" s="381"/>
      <c r="N468" s="381"/>
      <c r="O468" s="381"/>
      <c r="P468" s="381"/>
    </row>
    <row r="469" spans="3:16" ht="15.75" customHeight="1" x14ac:dyDescent="0.45">
      <c r="C469" s="382"/>
      <c r="D469" s="382"/>
      <c r="E469" s="382"/>
      <c r="F469" s="382"/>
      <c r="G469" s="382"/>
      <c r="L469" s="381"/>
      <c r="M469" s="381"/>
      <c r="N469" s="381"/>
      <c r="O469" s="381"/>
      <c r="P469" s="381"/>
    </row>
    <row r="470" spans="3:16" ht="15.75" customHeight="1" x14ac:dyDescent="0.45">
      <c r="C470" s="382"/>
      <c r="D470" s="382"/>
      <c r="E470" s="382"/>
      <c r="F470" s="382"/>
      <c r="G470" s="382"/>
      <c r="L470" s="381"/>
      <c r="M470" s="381"/>
      <c r="N470" s="381"/>
      <c r="O470" s="381"/>
      <c r="P470" s="381"/>
    </row>
    <row r="471" spans="3:16" ht="15.75" customHeight="1" x14ac:dyDescent="0.45">
      <c r="C471" s="382"/>
      <c r="D471" s="382"/>
      <c r="E471" s="382"/>
      <c r="F471" s="382"/>
      <c r="G471" s="382"/>
      <c r="L471" s="381"/>
      <c r="M471" s="381"/>
      <c r="N471" s="381"/>
      <c r="O471" s="381"/>
      <c r="P471" s="381"/>
    </row>
    <row r="472" spans="3:16" ht="15.75" customHeight="1" x14ac:dyDescent="0.45">
      <c r="C472" s="382"/>
      <c r="D472" s="382"/>
      <c r="E472" s="382"/>
      <c r="F472" s="382"/>
      <c r="G472" s="382"/>
      <c r="L472" s="381"/>
      <c r="M472" s="381"/>
      <c r="N472" s="381"/>
      <c r="O472" s="381"/>
      <c r="P472" s="381"/>
    </row>
    <row r="473" spans="3:16" ht="15.75" customHeight="1" x14ac:dyDescent="0.45">
      <c r="C473" s="382"/>
      <c r="D473" s="382"/>
      <c r="E473" s="382"/>
      <c r="F473" s="382"/>
      <c r="G473" s="382"/>
      <c r="L473" s="381"/>
      <c r="M473" s="381"/>
      <c r="N473" s="381"/>
      <c r="O473" s="381"/>
      <c r="P473" s="381"/>
    </row>
    <row r="474" spans="3:16" ht="15.75" customHeight="1" x14ac:dyDescent="0.45">
      <c r="C474" s="382"/>
      <c r="D474" s="382"/>
      <c r="E474" s="382"/>
      <c r="F474" s="382"/>
      <c r="G474" s="382"/>
      <c r="L474" s="381"/>
      <c r="M474" s="381"/>
      <c r="N474" s="381"/>
      <c r="O474" s="381"/>
      <c r="P474" s="381"/>
    </row>
    <row r="475" spans="3:16" ht="15.75" customHeight="1" x14ac:dyDescent="0.45">
      <c r="C475" s="382"/>
      <c r="D475" s="382"/>
      <c r="E475" s="382"/>
      <c r="F475" s="382"/>
      <c r="G475" s="382"/>
      <c r="L475" s="381"/>
      <c r="M475" s="381"/>
      <c r="N475" s="381"/>
      <c r="O475" s="381"/>
      <c r="P475" s="381"/>
    </row>
    <row r="476" spans="3:16" ht="15.75" customHeight="1" x14ac:dyDescent="0.45">
      <c r="C476" s="382"/>
      <c r="D476" s="382"/>
      <c r="E476" s="382"/>
      <c r="F476" s="382"/>
      <c r="G476" s="382"/>
      <c r="L476" s="381"/>
      <c r="M476" s="381"/>
      <c r="N476" s="381"/>
      <c r="O476" s="381"/>
      <c r="P476" s="381"/>
    </row>
    <row r="477" spans="3:16" ht="15.75" customHeight="1" x14ac:dyDescent="0.45">
      <c r="C477" s="382"/>
      <c r="D477" s="382"/>
      <c r="E477" s="382"/>
      <c r="F477" s="382"/>
      <c r="G477" s="382"/>
      <c r="L477" s="381"/>
      <c r="M477" s="381"/>
      <c r="N477" s="381"/>
      <c r="O477" s="381"/>
      <c r="P477" s="381"/>
    </row>
    <row r="478" spans="3:16" ht="15.75" customHeight="1" x14ac:dyDescent="0.45">
      <c r="C478" s="382"/>
      <c r="D478" s="382"/>
      <c r="E478" s="382"/>
      <c r="F478" s="382"/>
      <c r="G478" s="382"/>
      <c r="L478" s="381"/>
      <c r="M478" s="381"/>
      <c r="N478" s="381"/>
      <c r="O478" s="381"/>
      <c r="P478" s="381"/>
    </row>
    <row r="479" spans="3:16" ht="15.75" customHeight="1" x14ac:dyDescent="0.45">
      <c r="C479" s="382"/>
      <c r="D479" s="382"/>
      <c r="E479" s="382"/>
      <c r="F479" s="382"/>
      <c r="G479" s="382"/>
      <c r="L479" s="381"/>
      <c r="M479" s="381"/>
      <c r="N479" s="381"/>
      <c r="O479" s="381"/>
      <c r="P479" s="381"/>
    </row>
    <row r="480" spans="3:16" ht="15.75" customHeight="1" x14ac:dyDescent="0.45">
      <c r="C480" s="382"/>
      <c r="D480" s="382"/>
      <c r="E480" s="382"/>
      <c r="F480" s="382"/>
      <c r="G480" s="382"/>
      <c r="L480" s="381"/>
      <c r="M480" s="381"/>
      <c r="N480" s="381"/>
      <c r="O480" s="381"/>
      <c r="P480" s="381"/>
    </row>
    <row r="481" spans="3:16" ht="15.75" customHeight="1" x14ac:dyDescent="0.45">
      <c r="C481" s="382"/>
      <c r="D481" s="382"/>
      <c r="E481" s="382"/>
      <c r="F481" s="382"/>
      <c r="G481" s="382"/>
      <c r="L481" s="381"/>
      <c r="M481" s="381"/>
      <c r="N481" s="381"/>
      <c r="O481" s="381"/>
      <c r="P481" s="381"/>
    </row>
    <row r="482" spans="3:16" ht="15.75" customHeight="1" x14ac:dyDescent="0.45">
      <c r="C482" s="382"/>
      <c r="D482" s="382"/>
      <c r="E482" s="382"/>
      <c r="F482" s="382"/>
      <c r="G482" s="382"/>
      <c r="L482" s="381"/>
      <c r="M482" s="381"/>
      <c r="N482" s="381"/>
      <c r="O482" s="381"/>
      <c r="P482" s="381"/>
    </row>
    <row r="483" spans="3:16" ht="15.75" customHeight="1" x14ac:dyDescent="0.45">
      <c r="C483" s="382"/>
      <c r="D483" s="382"/>
      <c r="E483" s="382"/>
      <c r="F483" s="382"/>
      <c r="G483" s="382"/>
      <c r="L483" s="381"/>
      <c r="M483" s="381"/>
      <c r="N483" s="381"/>
      <c r="O483" s="381"/>
      <c r="P483" s="381"/>
    </row>
    <row r="484" spans="3:16" ht="15.75" customHeight="1" x14ac:dyDescent="0.45">
      <c r="C484" s="382"/>
      <c r="D484" s="382"/>
      <c r="E484" s="382"/>
      <c r="F484" s="382"/>
      <c r="G484" s="382"/>
      <c r="L484" s="381"/>
      <c r="M484" s="381"/>
      <c r="N484" s="381"/>
      <c r="O484" s="381"/>
      <c r="P484" s="381"/>
    </row>
    <row r="485" spans="3:16" ht="15.75" customHeight="1" x14ac:dyDescent="0.45">
      <c r="C485" s="382"/>
      <c r="D485" s="382"/>
      <c r="E485" s="382"/>
      <c r="F485" s="382"/>
      <c r="G485" s="382"/>
      <c r="L485" s="381"/>
      <c r="M485" s="381"/>
      <c r="N485" s="381"/>
      <c r="O485" s="381"/>
      <c r="P485" s="381"/>
    </row>
    <row r="486" spans="3:16" ht="15.75" customHeight="1" x14ac:dyDescent="0.45">
      <c r="C486" s="382"/>
      <c r="D486" s="382"/>
      <c r="E486" s="382"/>
      <c r="F486" s="382"/>
      <c r="G486" s="382"/>
      <c r="L486" s="381"/>
      <c r="M486" s="381"/>
      <c r="N486" s="381"/>
      <c r="O486" s="381"/>
      <c r="P486" s="381"/>
    </row>
    <row r="487" spans="3:16" ht="15.75" customHeight="1" x14ac:dyDescent="0.45">
      <c r="C487" s="382"/>
      <c r="D487" s="382"/>
      <c r="E487" s="382"/>
      <c r="F487" s="382"/>
      <c r="G487" s="382"/>
      <c r="L487" s="381"/>
      <c r="M487" s="381"/>
      <c r="N487" s="381"/>
      <c r="O487" s="381"/>
      <c r="P487" s="381"/>
    </row>
    <row r="488" spans="3:16" ht="15.75" customHeight="1" x14ac:dyDescent="0.45">
      <c r="C488" s="382"/>
      <c r="D488" s="382"/>
      <c r="E488" s="382"/>
      <c r="F488" s="382"/>
      <c r="G488" s="382"/>
      <c r="L488" s="381"/>
      <c r="M488" s="381"/>
      <c r="N488" s="381"/>
      <c r="O488" s="381"/>
      <c r="P488" s="381"/>
    </row>
    <row r="489" spans="3:16" ht="15.75" customHeight="1" x14ac:dyDescent="0.45">
      <c r="C489" s="382"/>
      <c r="D489" s="382"/>
      <c r="E489" s="382"/>
      <c r="F489" s="382"/>
      <c r="G489" s="382"/>
      <c r="L489" s="381"/>
      <c r="M489" s="381"/>
      <c r="N489" s="381"/>
      <c r="O489" s="381"/>
      <c r="P489" s="381"/>
    </row>
    <row r="490" spans="3:16" ht="15.75" customHeight="1" x14ac:dyDescent="0.45">
      <c r="C490" s="382"/>
      <c r="D490" s="382"/>
      <c r="E490" s="382"/>
      <c r="F490" s="382"/>
      <c r="G490" s="382"/>
      <c r="L490" s="381"/>
      <c r="M490" s="381"/>
      <c r="N490" s="381"/>
      <c r="O490" s="381"/>
      <c r="P490" s="381"/>
    </row>
    <row r="491" spans="3:16" ht="15.75" customHeight="1" x14ac:dyDescent="0.45">
      <c r="C491" s="382"/>
      <c r="D491" s="382"/>
      <c r="E491" s="382"/>
      <c r="F491" s="382"/>
      <c r="G491" s="382"/>
      <c r="L491" s="381"/>
      <c r="M491" s="381"/>
      <c r="N491" s="381"/>
      <c r="O491" s="381"/>
      <c r="P491" s="381"/>
    </row>
    <row r="492" spans="3:16" ht="15.75" customHeight="1" x14ac:dyDescent="0.45">
      <c r="C492" s="382"/>
      <c r="D492" s="382"/>
      <c r="E492" s="382"/>
      <c r="F492" s="382"/>
      <c r="G492" s="382"/>
      <c r="L492" s="381"/>
      <c r="M492" s="381"/>
      <c r="N492" s="381"/>
      <c r="O492" s="381"/>
      <c r="P492" s="381"/>
    </row>
    <row r="493" spans="3:16" ht="15.75" customHeight="1" x14ac:dyDescent="0.45">
      <c r="C493" s="382"/>
      <c r="D493" s="382"/>
      <c r="E493" s="382"/>
      <c r="F493" s="382"/>
      <c r="G493" s="382"/>
      <c r="L493" s="381"/>
      <c r="M493" s="381"/>
      <c r="N493" s="381"/>
      <c r="O493" s="381"/>
      <c r="P493" s="381"/>
    </row>
    <row r="494" spans="3:16" ht="15.75" customHeight="1" x14ac:dyDescent="0.45">
      <c r="C494" s="382"/>
      <c r="D494" s="382"/>
      <c r="E494" s="382"/>
      <c r="F494" s="382"/>
      <c r="G494" s="382"/>
      <c r="L494" s="381"/>
      <c r="M494" s="381"/>
      <c r="N494" s="381"/>
      <c r="O494" s="381"/>
      <c r="P494" s="381"/>
    </row>
    <row r="495" spans="3:16" ht="15.75" customHeight="1" x14ac:dyDescent="0.45">
      <c r="C495" s="382"/>
      <c r="D495" s="382"/>
      <c r="E495" s="382"/>
      <c r="F495" s="382"/>
      <c r="G495" s="382"/>
      <c r="L495" s="381"/>
      <c r="M495" s="381"/>
      <c r="N495" s="381"/>
      <c r="O495" s="381"/>
      <c r="P495" s="381"/>
    </row>
    <row r="496" spans="3:16" ht="15.75" customHeight="1" x14ac:dyDescent="0.45">
      <c r="C496" s="382"/>
      <c r="D496" s="382"/>
      <c r="E496" s="382"/>
      <c r="F496" s="382"/>
      <c r="G496" s="382"/>
      <c r="L496" s="381"/>
      <c r="M496" s="381"/>
      <c r="N496" s="381"/>
      <c r="O496" s="381"/>
      <c r="P496" s="381"/>
    </row>
    <row r="497" spans="3:16" ht="15.75" customHeight="1" x14ac:dyDescent="0.45">
      <c r="C497" s="382"/>
      <c r="D497" s="382"/>
      <c r="E497" s="382"/>
      <c r="F497" s="382"/>
      <c r="G497" s="382"/>
      <c r="L497" s="381"/>
      <c r="M497" s="381"/>
      <c r="N497" s="381"/>
      <c r="O497" s="381"/>
      <c r="P497" s="381"/>
    </row>
    <row r="498" spans="3:16" ht="15.75" customHeight="1" x14ac:dyDescent="0.45">
      <c r="C498" s="382"/>
      <c r="D498" s="382"/>
      <c r="E498" s="382"/>
      <c r="F498" s="382"/>
      <c r="G498" s="382"/>
      <c r="L498" s="381"/>
      <c r="M498" s="381"/>
      <c r="N498" s="381"/>
      <c r="O498" s="381"/>
      <c r="P498" s="381"/>
    </row>
    <row r="499" spans="3:16" ht="15.75" customHeight="1" x14ac:dyDescent="0.45">
      <c r="C499" s="382"/>
      <c r="D499" s="382"/>
      <c r="E499" s="382"/>
      <c r="F499" s="382"/>
      <c r="G499" s="382"/>
      <c r="L499" s="381"/>
      <c r="M499" s="381"/>
      <c r="N499" s="381"/>
      <c r="O499" s="381"/>
      <c r="P499" s="381"/>
    </row>
    <row r="500" spans="3:16" ht="15.75" customHeight="1" x14ac:dyDescent="0.45">
      <c r="C500" s="382"/>
      <c r="D500" s="382"/>
      <c r="E500" s="382"/>
      <c r="F500" s="382"/>
      <c r="G500" s="382"/>
      <c r="L500" s="381"/>
      <c r="M500" s="381"/>
      <c r="N500" s="381"/>
      <c r="O500" s="381"/>
      <c r="P500" s="381"/>
    </row>
    <row r="501" spans="3:16" ht="15.75" customHeight="1" x14ac:dyDescent="0.45">
      <c r="C501" s="382"/>
      <c r="D501" s="382"/>
      <c r="E501" s="382"/>
      <c r="F501" s="382"/>
      <c r="G501" s="382"/>
      <c r="L501" s="381"/>
      <c r="M501" s="381"/>
      <c r="N501" s="381"/>
      <c r="O501" s="381"/>
      <c r="P501" s="381"/>
    </row>
    <row r="502" spans="3:16" ht="15.75" customHeight="1" x14ac:dyDescent="0.45">
      <c r="C502" s="382"/>
      <c r="D502" s="382"/>
      <c r="E502" s="382"/>
      <c r="F502" s="382"/>
      <c r="G502" s="382"/>
      <c r="L502" s="381"/>
      <c r="M502" s="381"/>
      <c r="N502" s="381"/>
      <c r="O502" s="381"/>
      <c r="P502" s="381"/>
    </row>
    <row r="503" spans="3:16" ht="15.75" customHeight="1" x14ac:dyDescent="0.45">
      <c r="C503" s="382"/>
      <c r="D503" s="382"/>
      <c r="E503" s="382"/>
      <c r="F503" s="382"/>
      <c r="G503" s="382"/>
      <c r="L503" s="381"/>
      <c r="M503" s="381"/>
      <c r="N503" s="381"/>
      <c r="O503" s="381"/>
      <c r="P503" s="381"/>
    </row>
    <row r="504" spans="3:16" ht="15.75" customHeight="1" x14ac:dyDescent="0.45">
      <c r="C504" s="382"/>
      <c r="D504" s="382"/>
      <c r="E504" s="382"/>
      <c r="F504" s="382"/>
      <c r="G504" s="382"/>
      <c r="L504" s="381"/>
      <c r="M504" s="381"/>
      <c r="N504" s="381"/>
      <c r="O504" s="381"/>
      <c r="P504" s="381"/>
    </row>
    <row r="505" spans="3:16" ht="15.75" customHeight="1" x14ac:dyDescent="0.45">
      <c r="C505" s="382"/>
      <c r="D505" s="382"/>
      <c r="E505" s="382"/>
      <c r="F505" s="382"/>
      <c r="G505" s="382"/>
      <c r="L505" s="381"/>
      <c r="M505" s="381"/>
      <c r="N505" s="381"/>
      <c r="O505" s="381"/>
      <c r="P505" s="381"/>
    </row>
    <row r="506" spans="3:16" ht="15.75" customHeight="1" x14ac:dyDescent="0.45">
      <c r="C506" s="382"/>
      <c r="D506" s="382"/>
      <c r="E506" s="382"/>
      <c r="F506" s="382"/>
      <c r="G506" s="382"/>
      <c r="L506" s="381"/>
      <c r="M506" s="381"/>
      <c r="N506" s="381"/>
      <c r="O506" s="381"/>
      <c r="P506" s="381"/>
    </row>
    <row r="507" spans="3:16" ht="15.75" customHeight="1" x14ac:dyDescent="0.45">
      <c r="C507" s="382"/>
      <c r="D507" s="382"/>
      <c r="E507" s="382"/>
      <c r="F507" s="382"/>
      <c r="G507" s="382"/>
      <c r="L507" s="381"/>
      <c r="M507" s="381"/>
      <c r="N507" s="381"/>
      <c r="O507" s="381"/>
      <c r="P507" s="381"/>
    </row>
    <row r="508" spans="3:16" ht="15.75" customHeight="1" x14ac:dyDescent="0.45">
      <c r="C508" s="382"/>
      <c r="D508" s="382"/>
      <c r="E508" s="382"/>
      <c r="F508" s="382"/>
      <c r="G508" s="382"/>
      <c r="L508" s="381"/>
      <c r="M508" s="381"/>
      <c r="N508" s="381"/>
      <c r="O508" s="381"/>
      <c r="P508" s="381"/>
    </row>
    <row r="509" spans="3:16" ht="15.75" customHeight="1" x14ac:dyDescent="0.45">
      <c r="C509" s="382"/>
      <c r="D509" s="382"/>
      <c r="E509" s="382"/>
      <c r="F509" s="382"/>
      <c r="G509" s="382"/>
      <c r="L509" s="381"/>
      <c r="M509" s="381"/>
      <c r="N509" s="381"/>
      <c r="O509" s="381"/>
      <c r="P509" s="381"/>
    </row>
    <row r="510" spans="3:16" ht="15.75" customHeight="1" x14ac:dyDescent="0.45">
      <c r="C510" s="382"/>
      <c r="D510" s="382"/>
      <c r="E510" s="382"/>
      <c r="F510" s="382"/>
      <c r="G510" s="382"/>
      <c r="L510" s="381"/>
      <c r="M510" s="381"/>
      <c r="N510" s="381"/>
      <c r="O510" s="381"/>
      <c r="P510" s="381"/>
    </row>
    <row r="511" spans="3:16" ht="15.75" customHeight="1" x14ac:dyDescent="0.45">
      <c r="C511" s="382"/>
      <c r="D511" s="382"/>
      <c r="E511" s="382"/>
      <c r="F511" s="382"/>
      <c r="G511" s="382"/>
      <c r="L511" s="381"/>
      <c r="M511" s="381"/>
      <c r="N511" s="381"/>
      <c r="O511" s="381"/>
      <c r="P511" s="381"/>
    </row>
    <row r="512" spans="3:16" ht="15.75" customHeight="1" x14ac:dyDescent="0.45">
      <c r="C512" s="382"/>
      <c r="D512" s="382"/>
      <c r="E512" s="382"/>
      <c r="F512" s="382"/>
      <c r="G512" s="382"/>
      <c r="L512" s="381"/>
      <c r="M512" s="381"/>
      <c r="N512" s="381"/>
      <c r="O512" s="381"/>
      <c r="P512" s="381"/>
    </row>
    <row r="513" spans="3:16" ht="15.75" customHeight="1" x14ac:dyDescent="0.45">
      <c r="C513" s="382"/>
      <c r="D513" s="382"/>
      <c r="E513" s="382"/>
      <c r="F513" s="382"/>
      <c r="G513" s="382"/>
      <c r="L513" s="381"/>
      <c r="M513" s="381"/>
      <c r="N513" s="381"/>
      <c r="O513" s="381"/>
      <c r="P513" s="381"/>
    </row>
    <row r="514" spans="3:16" ht="15.75" customHeight="1" x14ac:dyDescent="0.45">
      <c r="C514" s="382"/>
      <c r="D514" s="382"/>
      <c r="E514" s="382"/>
      <c r="F514" s="382"/>
      <c r="G514" s="382"/>
      <c r="L514" s="381"/>
      <c r="M514" s="381"/>
      <c r="N514" s="381"/>
      <c r="O514" s="381"/>
      <c r="P514" s="381"/>
    </row>
    <row r="515" spans="3:16" ht="15.75" customHeight="1" x14ac:dyDescent="0.45">
      <c r="C515" s="382"/>
      <c r="D515" s="382"/>
      <c r="E515" s="382"/>
      <c r="F515" s="382"/>
      <c r="G515" s="382"/>
      <c r="L515" s="381"/>
      <c r="M515" s="381"/>
      <c r="N515" s="381"/>
      <c r="O515" s="381"/>
      <c r="P515" s="381"/>
    </row>
    <row r="516" spans="3:16" ht="15.75" customHeight="1" x14ac:dyDescent="0.45">
      <c r="C516" s="382"/>
      <c r="D516" s="382"/>
      <c r="E516" s="382"/>
      <c r="F516" s="382"/>
      <c r="G516" s="382"/>
      <c r="L516" s="381"/>
      <c r="M516" s="381"/>
      <c r="N516" s="381"/>
      <c r="O516" s="381"/>
      <c r="P516" s="381"/>
    </row>
    <row r="517" spans="3:16" ht="15.75" customHeight="1" x14ac:dyDescent="0.45">
      <c r="C517" s="382"/>
      <c r="D517" s="382"/>
      <c r="E517" s="382"/>
      <c r="F517" s="382"/>
      <c r="G517" s="382"/>
      <c r="L517" s="381"/>
      <c r="M517" s="381"/>
      <c r="N517" s="381"/>
      <c r="O517" s="381"/>
      <c r="P517" s="381"/>
    </row>
    <row r="518" spans="3:16" ht="15.75" customHeight="1" x14ac:dyDescent="0.45">
      <c r="C518" s="382"/>
      <c r="D518" s="382"/>
      <c r="E518" s="382"/>
      <c r="F518" s="382"/>
      <c r="G518" s="382"/>
      <c r="L518" s="381"/>
      <c r="M518" s="381"/>
      <c r="N518" s="381"/>
      <c r="O518" s="381"/>
      <c r="P518" s="381"/>
    </row>
    <row r="519" spans="3:16" ht="15.75" customHeight="1" x14ac:dyDescent="0.45">
      <c r="C519" s="382"/>
      <c r="D519" s="382"/>
      <c r="E519" s="382"/>
      <c r="F519" s="382"/>
      <c r="G519" s="382"/>
      <c r="L519" s="381"/>
      <c r="M519" s="381"/>
      <c r="N519" s="381"/>
      <c r="O519" s="381"/>
      <c r="P519" s="381"/>
    </row>
    <row r="520" spans="3:16" ht="15.75" customHeight="1" x14ac:dyDescent="0.45">
      <c r="C520" s="382"/>
      <c r="D520" s="382"/>
      <c r="E520" s="382"/>
      <c r="F520" s="382"/>
      <c r="G520" s="382"/>
      <c r="L520" s="381"/>
      <c r="M520" s="381"/>
      <c r="N520" s="381"/>
      <c r="O520" s="381"/>
      <c r="P520" s="381"/>
    </row>
    <row r="521" spans="3:16" ht="15.75" customHeight="1" x14ac:dyDescent="0.45">
      <c r="C521" s="382"/>
      <c r="D521" s="382"/>
      <c r="E521" s="382"/>
      <c r="F521" s="382"/>
      <c r="G521" s="382"/>
      <c r="L521" s="381"/>
      <c r="M521" s="381"/>
      <c r="N521" s="381"/>
      <c r="O521" s="381"/>
      <c r="P521" s="381"/>
    </row>
    <row r="522" spans="3:16" ht="15.75" customHeight="1" x14ac:dyDescent="0.45">
      <c r="C522" s="382"/>
      <c r="D522" s="382"/>
      <c r="E522" s="382"/>
      <c r="F522" s="382"/>
      <c r="G522" s="382"/>
      <c r="L522" s="381"/>
      <c r="M522" s="381"/>
      <c r="N522" s="381"/>
      <c r="O522" s="381"/>
      <c r="P522" s="381"/>
    </row>
    <row r="523" spans="3:16" ht="15.75" customHeight="1" x14ac:dyDescent="0.45">
      <c r="C523" s="382"/>
      <c r="D523" s="382"/>
      <c r="E523" s="382"/>
      <c r="F523" s="382"/>
      <c r="G523" s="382"/>
      <c r="L523" s="381"/>
      <c r="M523" s="381"/>
      <c r="N523" s="381"/>
      <c r="O523" s="381"/>
      <c r="P523" s="381"/>
    </row>
    <row r="524" spans="3:16" ht="15.75" customHeight="1" x14ac:dyDescent="0.45">
      <c r="C524" s="382"/>
      <c r="D524" s="382"/>
      <c r="E524" s="382"/>
      <c r="F524" s="382"/>
      <c r="G524" s="382"/>
      <c r="L524" s="381"/>
      <c r="M524" s="381"/>
      <c r="N524" s="381"/>
      <c r="O524" s="381"/>
      <c r="P524" s="381"/>
    </row>
    <row r="525" spans="3:16" ht="15.75" customHeight="1" x14ac:dyDescent="0.45">
      <c r="C525" s="382"/>
      <c r="D525" s="382"/>
      <c r="E525" s="382"/>
      <c r="F525" s="382"/>
      <c r="G525" s="382"/>
      <c r="L525" s="381"/>
      <c r="M525" s="381"/>
      <c r="N525" s="381"/>
      <c r="O525" s="381"/>
      <c r="P525" s="381"/>
    </row>
    <row r="526" spans="3:16" ht="15.75" customHeight="1" x14ac:dyDescent="0.45">
      <c r="C526" s="382"/>
      <c r="D526" s="382"/>
      <c r="E526" s="382"/>
      <c r="F526" s="382"/>
      <c r="G526" s="382"/>
      <c r="L526" s="381"/>
      <c r="M526" s="381"/>
      <c r="N526" s="381"/>
      <c r="O526" s="381"/>
      <c r="P526" s="381"/>
    </row>
    <row r="527" spans="3:16" ht="15.75" customHeight="1" x14ac:dyDescent="0.45">
      <c r="C527" s="382"/>
      <c r="D527" s="382"/>
      <c r="E527" s="382"/>
      <c r="F527" s="382"/>
      <c r="G527" s="382"/>
      <c r="L527" s="381"/>
      <c r="M527" s="381"/>
      <c r="N527" s="381"/>
      <c r="O527" s="381"/>
      <c r="P527" s="381"/>
    </row>
    <row r="528" spans="3:16" ht="15.75" customHeight="1" x14ac:dyDescent="0.45">
      <c r="C528" s="382"/>
      <c r="D528" s="382"/>
      <c r="E528" s="382"/>
      <c r="F528" s="382"/>
      <c r="G528" s="382"/>
      <c r="L528" s="381"/>
      <c r="M528" s="381"/>
      <c r="N528" s="381"/>
      <c r="O528" s="381"/>
      <c r="P528" s="381"/>
    </row>
    <row r="529" spans="3:16" ht="15.75" customHeight="1" x14ac:dyDescent="0.45">
      <c r="C529" s="382"/>
      <c r="D529" s="382"/>
      <c r="E529" s="382"/>
      <c r="F529" s="382"/>
      <c r="G529" s="382"/>
      <c r="L529" s="381"/>
      <c r="M529" s="381"/>
      <c r="N529" s="381"/>
      <c r="O529" s="381"/>
      <c r="P529" s="381"/>
    </row>
    <row r="530" spans="3:16" ht="15.75" customHeight="1" x14ac:dyDescent="0.45">
      <c r="C530" s="382"/>
      <c r="D530" s="382"/>
      <c r="E530" s="382"/>
      <c r="F530" s="382"/>
      <c r="G530" s="382"/>
      <c r="L530" s="381"/>
      <c r="M530" s="381"/>
      <c r="N530" s="381"/>
      <c r="O530" s="381"/>
      <c r="P530" s="381"/>
    </row>
    <row r="531" spans="3:16" ht="15.75" customHeight="1" x14ac:dyDescent="0.45">
      <c r="C531" s="382"/>
      <c r="D531" s="382"/>
      <c r="E531" s="382"/>
      <c r="F531" s="382"/>
      <c r="G531" s="382"/>
      <c r="L531" s="381"/>
      <c r="M531" s="381"/>
      <c r="N531" s="381"/>
      <c r="O531" s="381"/>
      <c r="P531" s="381"/>
    </row>
    <row r="532" spans="3:16" ht="15.75" customHeight="1" x14ac:dyDescent="0.45">
      <c r="C532" s="382"/>
      <c r="D532" s="382"/>
      <c r="E532" s="382"/>
      <c r="F532" s="382"/>
      <c r="G532" s="382"/>
      <c r="L532" s="381"/>
      <c r="M532" s="381"/>
      <c r="N532" s="381"/>
      <c r="O532" s="381"/>
      <c r="P532" s="381"/>
    </row>
    <row r="533" spans="3:16" ht="15.75" customHeight="1" x14ac:dyDescent="0.45">
      <c r="C533" s="382"/>
      <c r="D533" s="382"/>
      <c r="E533" s="382"/>
      <c r="F533" s="382"/>
      <c r="G533" s="382"/>
      <c r="L533" s="381"/>
      <c r="M533" s="381"/>
      <c r="N533" s="381"/>
      <c r="O533" s="381"/>
      <c r="P533" s="381"/>
    </row>
    <row r="534" spans="3:16" ht="15.75" customHeight="1" x14ac:dyDescent="0.45">
      <c r="C534" s="382"/>
      <c r="D534" s="382"/>
      <c r="E534" s="382"/>
      <c r="F534" s="382"/>
      <c r="G534" s="382"/>
      <c r="L534" s="381"/>
      <c r="M534" s="381"/>
      <c r="N534" s="381"/>
      <c r="O534" s="381"/>
      <c r="P534" s="381"/>
    </row>
    <row r="535" spans="3:16" ht="15.75" customHeight="1" x14ac:dyDescent="0.45">
      <c r="C535" s="382"/>
      <c r="D535" s="382"/>
      <c r="E535" s="382"/>
      <c r="F535" s="382"/>
      <c r="G535" s="382"/>
      <c r="L535" s="381"/>
      <c r="M535" s="381"/>
      <c r="N535" s="381"/>
      <c r="O535" s="381"/>
      <c r="P535" s="381"/>
    </row>
    <row r="536" spans="3:16" ht="15.75" customHeight="1" x14ac:dyDescent="0.45">
      <c r="C536" s="382"/>
      <c r="D536" s="382"/>
      <c r="E536" s="382"/>
      <c r="F536" s="382"/>
      <c r="G536" s="382"/>
      <c r="L536" s="381"/>
      <c r="M536" s="381"/>
      <c r="N536" s="381"/>
      <c r="O536" s="381"/>
      <c r="P536" s="381"/>
    </row>
    <row r="537" spans="3:16" ht="15.75" customHeight="1" x14ac:dyDescent="0.45">
      <c r="C537" s="382"/>
      <c r="D537" s="382"/>
      <c r="E537" s="382"/>
      <c r="F537" s="382"/>
      <c r="G537" s="382"/>
      <c r="L537" s="381"/>
      <c r="M537" s="381"/>
      <c r="N537" s="381"/>
      <c r="O537" s="381"/>
      <c r="P537" s="381"/>
    </row>
    <row r="538" spans="3:16" ht="15.75" customHeight="1" x14ac:dyDescent="0.45">
      <c r="C538" s="382"/>
      <c r="D538" s="382"/>
      <c r="E538" s="382"/>
      <c r="F538" s="382"/>
      <c r="G538" s="382"/>
      <c r="L538" s="381"/>
      <c r="M538" s="381"/>
      <c r="N538" s="381"/>
      <c r="O538" s="381"/>
      <c r="P538" s="381"/>
    </row>
    <row r="539" spans="3:16" ht="15.75" customHeight="1" x14ac:dyDescent="0.45">
      <c r="C539" s="382"/>
      <c r="D539" s="382"/>
      <c r="E539" s="382"/>
      <c r="F539" s="382"/>
      <c r="G539" s="382"/>
      <c r="L539" s="381"/>
      <c r="M539" s="381"/>
      <c r="N539" s="381"/>
      <c r="O539" s="381"/>
      <c r="P539" s="381"/>
    </row>
    <row r="540" spans="3:16" ht="15.75" customHeight="1" x14ac:dyDescent="0.45">
      <c r="C540" s="382"/>
      <c r="D540" s="382"/>
      <c r="E540" s="382"/>
      <c r="F540" s="382"/>
      <c r="G540" s="382"/>
      <c r="L540" s="381"/>
      <c r="M540" s="381"/>
      <c r="N540" s="381"/>
      <c r="O540" s="381"/>
      <c r="P540" s="381"/>
    </row>
    <row r="541" spans="3:16" ht="15.75" customHeight="1" x14ac:dyDescent="0.45">
      <c r="C541" s="382"/>
      <c r="D541" s="382"/>
      <c r="E541" s="382"/>
      <c r="F541" s="382"/>
      <c r="G541" s="382"/>
      <c r="L541" s="381"/>
      <c r="M541" s="381"/>
      <c r="N541" s="381"/>
      <c r="O541" s="381"/>
      <c r="P541" s="381"/>
    </row>
    <row r="542" spans="3:16" ht="15.75" customHeight="1" x14ac:dyDescent="0.45">
      <c r="C542" s="382"/>
      <c r="D542" s="382"/>
      <c r="E542" s="382"/>
      <c r="F542" s="382"/>
      <c r="G542" s="382"/>
      <c r="L542" s="381"/>
      <c r="M542" s="381"/>
      <c r="N542" s="381"/>
      <c r="O542" s="381"/>
      <c r="P542" s="381"/>
    </row>
    <row r="543" spans="3:16" ht="15.75" customHeight="1" x14ac:dyDescent="0.45">
      <c r="C543" s="382"/>
      <c r="D543" s="382"/>
      <c r="E543" s="382"/>
      <c r="F543" s="382"/>
      <c r="G543" s="382"/>
      <c r="L543" s="381"/>
      <c r="M543" s="381"/>
      <c r="N543" s="381"/>
      <c r="O543" s="381"/>
      <c r="P543" s="381"/>
    </row>
    <row r="544" spans="3:16" ht="15.75" customHeight="1" x14ac:dyDescent="0.45">
      <c r="C544" s="382"/>
      <c r="D544" s="382"/>
      <c r="E544" s="382"/>
      <c r="F544" s="382"/>
      <c r="G544" s="382"/>
      <c r="L544" s="381"/>
      <c r="M544" s="381"/>
      <c r="N544" s="381"/>
      <c r="O544" s="381"/>
      <c r="P544" s="381"/>
    </row>
    <row r="545" spans="3:16" ht="15.75" customHeight="1" x14ac:dyDescent="0.45">
      <c r="C545" s="382"/>
      <c r="D545" s="382"/>
      <c r="E545" s="382"/>
      <c r="F545" s="382"/>
      <c r="G545" s="382"/>
      <c r="L545" s="381"/>
      <c r="M545" s="381"/>
      <c r="N545" s="381"/>
      <c r="O545" s="381"/>
      <c r="P545" s="381"/>
    </row>
    <row r="546" spans="3:16" ht="15.75" customHeight="1" x14ac:dyDescent="0.45">
      <c r="C546" s="382"/>
      <c r="D546" s="382"/>
      <c r="E546" s="382"/>
      <c r="F546" s="382"/>
      <c r="G546" s="382"/>
      <c r="L546" s="381"/>
      <c r="M546" s="381"/>
      <c r="N546" s="381"/>
      <c r="O546" s="381"/>
      <c r="P546" s="381"/>
    </row>
    <row r="547" spans="3:16" ht="15.75" customHeight="1" x14ac:dyDescent="0.45">
      <c r="C547" s="382"/>
      <c r="D547" s="382"/>
      <c r="E547" s="382"/>
      <c r="F547" s="382"/>
      <c r="G547" s="382"/>
      <c r="L547" s="381"/>
      <c r="M547" s="381"/>
      <c r="N547" s="381"/>
      <c r="O547" s="381"/>
      <c r="P547" s="381"/>
    </row>
    <row r="548" spans="3:16" ht="15.75" customHeight="1" x14ac:dyDescent="0.45">
      <c r="C548" s="382"/>
      <c r="D548" s="382"/>
      <c r="E548" s="382"/>
      <c r="F548" s="382"/>
      <c r="G548" s="382"/>
      <c r="L548" s="381"/>
      <c r="M548" s="381"/>
      <c r="N548" s="381"/>
      <c r="O548" s="381"/>
      <c r="P548" s="381"/>
    </row>
    <row r="549" spans="3:16" ht="15.75" customHeight="1" x14ac:dyDescent="0.45">
      <c r="C549" s="382"/>
      <c r="D549" s="382"/>
      <c r="E549" s="382"/>
      <c r="F549" s="382"/>
      <c r="G549" s="382"/>
      <c r="L549" s="381"/>
      <c r="M549" s="381"/>
      <c r="N549" s="381"/>
      <c r="O549" s="381"/>
      <c r="P549" s="381"/>
    </row>
    <row r="550" spans="3:16" ht="15.75" customHeight="1" x14ac:dyDescent="0.45">
      <c r="C550" s="382"/>
      <c r="D550" s="382"/>
      <c r="E550" s="382"/>
      <c r="F550" s="382"/>
      <c r="G550" s="382"/>
      <c r="L550" s="381"/>
      <c r="M550" s="381"/>
      <c r="N550" s="381"/>
      <c r="O550" s="381"/>
      <c r="P550" s="381"/>
    </row>
    <row r="551" spans="3:16" ht="15.75" customHeight="1" x14ac:dyDescent="0.45">
      <c r="C551" s="382"/>
      <c r="D551" s="382"/>
      <c r="E551" s="382"/>
      <c r="F551" s="382"/>
      <c r="G551" s="382"/>
      <c r="L551" s="381"/>
      <c r="M551" s="381"/>
      <c r="N551" s="381"/>
      <c r="O551" s="381"/>
      <c r="P551" s="381"/>
    </row>
    <row r="552" spans="3:16" ht="15.75" customHeight="1" x14ac:dyDescent="0.45">
      <c r="C552" s="382"/>
      <c r="D552" s="382"/>
      <c r="E552" s="382"/>
      <c r="F552" s="382"/>
      <c r="G552" s="382"/>
      <c r="L552" s="381"/>
      <c r="M552" s="381"/>
      <c r="N552" s="381"/>
      <c r="O552" s="381"/>
      <c r="P552" s="381"/>
    </row>
    <row r="553" spans="3:16" ht="15.75" customHeight="1" x14ac:dyDescent="0.45">
      <c r="C553" s="382"/>
      <c r="D553" s="382"/>
      <c r="E553" s="382"/>
      <c r="F553" s="382"/>
      <c r="G553" s="382"/>
      <c r="L553" s="381"/>
      <c r="M553" s="381"/>
      <c r="N553" s="381"/>
      <c r="O553" s="381"/>
      <c r="P553" s="381"/>
    </row>
    <row r="554" spans="3:16" ht="15.75" customHeight="1" x14ac:dyDescent="0.45">
      <c r="C554" s="382"/>
      <c r="D554" s="382"/>
      <c r="E554" s="382"/>
      <c r="F554" s="382"/>
      <c r="G554" s="382"/>
      <c r="L554" s="381"/>
      <c r="M554" s="381"/>
      <c r="N554" s="381"/>
      <c r="O554" s="381"/>
      <c r="P554" s="381"/>
    </row>
    <row r="555" spans="3:16" ht="15.75" customHeight="1" x14ac:dyDescent="0.45">
      <c r="C555" s="382"/>
      <c r="D555" s="382"/>
      <c r="E555" s="382"/>
      <c r="F555" s="382"/>
      <c r="G555" s="382"/>
      <c r="L555" s="381"/>
      <c r="M555" s="381"/>
      <c r="N555" s="381"/>
      <c r="O555" s="381"/>
      <c r="P555" s="381"/>
    </row>
    <row r="556" spans="3:16" ht="15.75" customHeight="1" x14ac:dyDescent="0.45">
      <c r="C556" s="382"/>
      <c r="D556" s="382"/>
      <c r="E556" s="382"/>
      <c r="F556" s="382"/>
      <c r="G556" s="382"/>
      <c r="L556" s="381"/>
      <c r="M556" s="381"/>
      <c r="N556" s="381"/>
      <c r="O556" s="381"/>
      <c r="P556" s="381"/>
    </row>
    <row r="557" spans="3:16" ht="15.75" customHeight="1" x14ac:dyDescent="0.45">
      <c r="C557" s="382"/>
      <c r="D557" s="382"/>
      <c r="E557" s="382"/>
      <c r="F557" s="382"/>
      <c r="G557" s="382"/>
      <c r="L557" s="381"/>
      <c r="M557" s="381"/>
      <c r="N557" s="381"/>
      <c r="O557" s="381"/>
      <c r="P557" s="381"/>
    </row>
    <row r="558" spans="3:16" ht="15.75" customHeight="1" x14ac:dyDescent="0.45">
      <c r="C558" s="382"/>
      <c r="D558" s="382"/>
      <c r="E558" s="382"/>
      <c r="F558" s="382"/>
      <c r="G558" s="382"/>
      <c r="L558" s="381"/>
      <c r="M558" s="381"/>
      <c r="N558" s="381"/>
      <c r="O558" s="381"/>
      <c r="P558" s="381"/>
    </row>
    <row r="559" spans="3:16" ht="15.75" customHeight="1" x14ac:dyDescent="0.45">
      <c r="C559" s="382"/>
      <c r="D559" s="382"/>
      <c r="E559" s="382"/>
      <c r="F559" s="382"/>
      <c r="G559" s="382"/>
      <c r="L559" s="381"/>
      <c r="M559" s="381"/>
      <c r="N559" s="381"/>
      <c r="O559" s="381"/>
      <c r="P559" s="381"/>
    </row>
    <row r="560" spans="3:16" ht="15.75" customHeight="1" x14ac:dyDescent="0.45">
      <c r="C560" s="382"/>
      <c r="D560" s="382"/>
      <c r="E560" s="382"/>
      <c r="F560" s="382"/>
      <c r="G560" s="382"/>
      <c r="L560" s="381"/>
      <c r="M560" s="381"/>
      <c r="N560" s="381"/>
      <c r="O560" s="381"/>
      <c r="P560" s="381"/>
    </row>
    <row r="561" spans="3:16" ht="15.75" customHeight="1" x14ac:dyDescent="0.45">
      <c r="C561" s="382"/>
      <c r="D561" s="382"/>
      <c r="E561" s="382"/>
      <c r="F561" s="382"/>
      <c r="G561" s="382"/>
      <c r="L561" s="381"/>
      <c r="M561" s="381"/>
      <c r="N561" s="381"/>
      <c r="O561" s="381"/>
      <c r="P561" s="381"/>
    </row>
    <row r="562" spans="3:16" ht="15.75" customHeight="1" x14ac:dyDescent="0.45">
      <c r="C562" s="382"/>
      <c r="D562" s="382"/>
      <c r="E562" s="382"/>
      <c r="F562" s="382"/>
      <c r="G562" s="382"/>
      <c r="L562" s="381"/>
      <c r="M562" s="381"/>
      <c r="N562" s="381"/>
      <c r="O562" s="381"/>
      <c r="P562" s="381"/>
    </row>
    <row r="563" spans="3:16" ht="15.75" customHeight="1" x14ac:dyDescent="0.45">
      <c r="C563" s="382"/>
      <c r="D563" s="382"/>
      <c r="E563" s="382"/>
      <c r="F563" s="382"/>
      <c r="G563" s="382"/>
      <c r="L563" s="381"/>
      <c r="M563" s="381"/>
      <c r="N563" s="381"/>
      <c r="O563" s="381"/>
      <c r="P563" s="381"/>
    </row>
    <row r="564" spans="3:16" ht="15.75" customHeight="1" x14ac:dyDescent="0.45">
      <c r="C564" s="382"/>
      <c r="D564" s="382"/>
      <c r="E564" s="382"/>
      <c r="F564" s="382"/>
      <c r="G564" s="382"/>
      <c r="L564" s="381"/>
      <c r="M564" s="381"/>
      <c r="N564" s="381"/>
      <c r="O564" s="381"/>
      <c r="P564" s="381"/>
    </row>
    <row r="565" spans="3:16" ht="15.75" customHeight="1" x14ac:dyDescent="0.45">
      <c r="C565" s="382"/>
      <c r="D565" s="382"/>
      <c r="E565" s="382"/>
      <c r="F565" s="382"/>
      <c r="G565" s="382"/>
      <c r="L565" s="381"/>
      <c r="M565" s="381"/>
      <c r="N565" s="381"/>
      <c r="O565" s="381"/>
      <c r="P565" s="381"/>
    </row>
    <row r="566" spans="3:16" ht="15.75" customHeight="1" x14ac:dyDescent="0.45">
      <c r="C566" s="382"/>
      <c r="D566" s="382"/>
      <c r="E566" s="382"/>
      <c r="F566" s="382"/>
      <c r="G566" s="382"/>
      <c r="L566" s="381"/>
      <c r="M566" s="381"/>
      <c r="N566" s="381"/>
      <c r="O566" s="381"/>
      <c r="P566" s="381"/>
    </row>
    <row r="567" spans="3:16" ht="15.75" customHeight="1" x14ac:dyDescent="0.45">
      <c r="C567" s="382"/>
      <c r="D567" s="382"/>
      <c r="E567" s="382"/>
      <c r="F567" s="382"/>
      <c r="G567" s="382"/>
      <c r="L567" s="381"/>
      <c r="M567" s="381"/>
      <c r="N567" s="381"/>
      <c r="O567" s="381"/>
      <c r="P567" s="381"/>
    </row>
    <row r="568" spans="3:16" ht="15.75" customHeight="1" x14ac:dyDescent="0.45">
      <c r="C568" s="382"/>
      <c r="D568" s="382"/>
      <c r="E568" s="382"/>
      <c r="F568" s="382"/>
      <c r="G568" s="382"/>
      <c r="L568" s="381"/>
      <c r="M568" s="381"/>
      <c r="N568" s="381"/>
      <c r="O568" s="381"/>
      <c r="P568" s="381"/>
    </row>
    <row r="569" spans="3:16" ht="15.75" customHeight="1" x14ac:dyDescent="0.45">
      <c r="C569" s="382"/>
      <c r="D569" s="382"/>
      <c r="E569" s="382"/>
      <c r="F569" s="382"/>
      <c r="G569" s="382"/>
      <c r="L569" s="381"/>
      <c r="M569" s="381"/>
      <c r="N569" s="381"/>
      <c r="O569" s="381"/>
      <c r="P569" s="381"/>
    </row>
    <row r="570" spans="3:16" ht="15.75" customHeight="1" x14ac:dyDescent="0.45">
      <c r="C570" s="382"/>
      <c r="D570" s="382"/>
      <c r="E570" s="382"/>
      <c r="F570" s="382"/>
      <c r="G570" s="382"/>
      <c r="L570" s="381"/>
      <c r="M570" s="381"/>
      <c r="N570" s="381"/>
      <c r="O570" s="381"/>
      <c r="P570" s="381"/>
    </row>
    <row r="571" spans="3:16" ht="15.75" customHeight="1" x14ac:dyDescent="0.45">
      <c r="C571" s="382"/>
      <c r="D571" s="382"/>
      <c r="E571" s="382"/>
      <c r="F571" s="382"/>
      <c r="G571" s="382"/>
      <c r="L571" s="381"/>
      <c r="M571" s="381"/>
      <c r="N571" s="381"/>
      <c r="O571" s="381"/>
      <c r="P571" s="381"/>
    </row>
    <row r="572" spans="3:16" ht="15.75" customHeight="1" x14ac:dyDescent="0.45">
      <c r="C572" s="382"/>
      <c r="D572" s="382"/>
      <c r="E572" s="382"/>
      <c r="F572" s="382"/>
      <c r="G572" s="382"/>
      <c r="L572" s="381"/>
      <c r="M572" s="381"/>
      <c r="N572" s="381"/>
      <c r="O572" s="381"/>
      <c r="P572" s="381"/>
    </row>
    <row r="573" spans="3:16" ht="15.75" customHeight="1" x14ac:dyDescent="0.45">
      <c r="C573" s="382"/>
      <c r="D573" s="382"/>
      <c r="E573" s="382"/>
      <c r="F573" s="382"/>
      <c r="G573" s="382"/>
      <c r="L573" s="381"/>
      <c r="M573" s="381"/>
      <c r="N573" s="381"/>
      <c r="O573" s="381"/>
      <c r="P573" s="381"/>
    </row>
    <row r="574" spans="3:16" ht="15.75" customHeight="1" x14ac:dyDescent="0.45">
      <c r="C574" s="382"/>
      <c r="D574" s="382"/>
      <c r="E574" s="382"/>
      <c r="F574" s="382"/>
      <c r="G574" s="382"/>
      <c r="L574" s="381"/>
      <c r="M574" s="381"/>
      <c r="N574" s="381"/>
      <c r="O574" s="381"/>
      <c r="P574" s="381"/>
    </row>
    <row r="575" spans="3:16" ht="15.75" customHeight="1" x14ac:dyDescent="0.45">
      <c r="C575" s="382"/>
      <c r="D575" s="382"/>
      <c r="E575" s="382"/>
      <c r="F575" s="382"/>
      <c r="G575" s="382"/>
      <c r="L575" s="381"/>
      <c r="M575" s="381"/>
      <c r="N575" s="381"/>
      <c r="O575" s="381"/>
      <c r="P575" s="381"/>
    </row>
    <row r="576" spans="3:16" ht="15.75" customHeight="1" x14ac:dyDescent="0.45">
      <c r="C576" s="382"/>
      <c r="D576" s="382"/>
      <c r="E576" s="382"/>
      <c r="F576" s="382"/>
      <c r="G576" s="382"/>
      <c r="L576" s="381"/>
      <c r="M576" s="381"/>
      <c r="N576" s="381"/>
      <c r="O576" s="381"/>
      <c r="P576" s="381"/>
    </row>
    <row r="577" spans="3:16" ht="15.75" customHeight="1" x14ac:dyDescent="0.45">
      <c r="C577" s="382"/>
      <c r="D577" s="382"/>
      <c r="E577" s="382"/>
      <c r="F577" s="382"/>
      <c r="G577" s="382"/>
      <c r="L577" s="381"/>
      <c r="M577" s="381"/>
      <c r="N577" s="381"/>
      <c r="O577" s="381"/>
      <c r="P577" s="381"/>
    </row>
    <row r="578" spans="3:16" ht="15.75" customHeight="1" x14ac:dyDescent="0.45">
      <c r="C578" s="382"/>
      <c r="D578" s="382"/>
      <c r="E578" s="382"/>
      <c r="F578" s="382"/>
      <c r="G578" s="382"/>
      <c r="L578" s="381"/>
      <c r="M578" s="381"/>
      <c r="N578" s="381"/>
      <c r="O578" s="381"/>
      <c r="P578" s="381"/>
    </row>
    <row r="579" spans="3:16" ht="15.75" customHeight="1" x14ac:dyDescent="0.45">
      <c r="C579" s="382"/>
      <c r="D579" s="382"/>
      <c r="E579" s="382"/>
      <c r="F579" s="382"/>
      <c r="G579" s="382"/>
      <c r="L579" s="381"/>
      <c r="M579" s="381"/>
      <c r="N579" s="381"/>
      <c r="O579" s="381"/>
      <c r="P579" s="381"/>
    </row>
    <row r="580" spans="3:16" ht="15.75" customHeight="1" x14ac:dyDescent="0.45">
      <c r="C580" s="382"/>
      <c r="D580" s="382"/>
      <c r="E580" s="382"/>
      <c r="F580" s="382"/>
      <c r="G580" s="382"/>
      <c r="L580" s="381"/>
      <c r="M580" s="381"/>
      <c r="N580" s="381"/>
      <c r="O580" s="381"/>
      <c r="P580" s="381"/>
    </row>
    <row r="581" spans="3:16" ht="15.75" customHeight="1" x14ac:dyDescent="0.45">
      <c r="C581" s="382"/>
      <c r="D581" s="382"/>
      <c r="E581" s="382"/>
      <c r="F581" s="382"/>
      <c r="G581" s="382"/>
      <c r="L581" s="381"/>
      <c r="M581" s="381"/>
      <c r="N581" s="381"/>
      <c r="O581" s="381"/>
      <c r="P581" s="381"/>
    </row>
    <row r="582" spans="3:16" ht="15.75" customHeight="1" x14ac:dyDescent="0.45">
      <c r="C582" s="382"/>
      <c r="D582" s="382"/>
      <c r="E582" s="382"/>
      <c r="F582" s="382"/>
      <c r="G582" s="382"/>
      <c r="L582" s="381"/>
      <c r="M582" s="381"/>
      <c r="N582" s="381"/>
      <c r="O582" s="381"/>
      <c r="P582" s="381"/>
    </row>
    <row r="583" spans="3:16" ht="15.75" customHeight="1" x14ac:dyDescent="0.45">
      <c r="C583" s="382"/>
      <c r="D583" s="382"/>
      <c r="E583" s="382"/>
      <c r="F583" s="382"/>
      <c r="G583" s="382"/>
      <c r="L583" s="381"/>
      <c r="M583" s="381"/>
      <c r="N583" s="381"/>
      <c r="O583" s="381"/>
      <c r="P583" s="381"/>
    </row>
    <row r="584" spans="3:16" ht="15.75" customHeight="1" x14ac:dyDescent="0.45">
      <c r="C584" s="382"/>
      <c r="D584" s="382"/>
      <c r="E584" s="382"/>
      <c r="F584" s="382"/>
      <c r="G584" s="382"/>
      <c r="L584" s="381"/>
      <c r="M584" s="381"/>
      <c r="N584" s="381"/>
      <c r="O584" s="381"/>
      <c r="P584" s="381"/>
    </row>
    <row r="585" spans="3:16" ht="15.75" customHeight="1" x14ac:dyDescent="0.45">
      <c r="C585" s="382"/>
      <c r="D585" s="382"/>
      <c r="E585" s="382"/>
      <c r="F585" s="382"/>
      <c r="G585" s="382"/>
      <c r="L585" s="381"/>
      <c r="M585" s="381"/>
      <c r="N585" s="381"/>
      <c r="O585" s="381"/>
      <c r="P585" s="381"/>
    </row>
    <row r="586" spans="3:16" ht="15.75" customHeight="1" x14ac:dyDescent="0.45">
      <c r="C586" s="382"/>
      <c r="D586" s="382"/>
      <c r="E586" s="382"/>
      <c r="F586" s="382"/>
      <c r="G586" s="382"/>
      <c r="L586" s="381"/>
      <c r="M586" s="381"/>
      <c r="N586" s="381"/>
      <c r="O586" s="381"/>
      <c r="P586" s="381"/>
    </row>
    <row r="587" spans="3:16" ht="15.75" customHeight="1" x14ac:dyDescent="0.45">
      <c r="C587" s="382"/>
      <c r="D587" s="382"/>
      <c r="E587" s="382"/>
      <c r="F587" s="382"/>
      <c r="G587" s="382"/>
      <c r="L587" s="381"/>
      <c r="M587" s="381"/>
      <c r="N587" s="381"/>
      <c r="O587" s="381"/>
      <c r="P587" s="381"/>
    </row>
    <row r="588" spans="3:16" ht="15.75" customHeight="1" x14ac:dyDescent="0.45">
      <c r="C588" s="382"/>
      <c r="D588" s="382"/>
      <c r="E588" s="382"/>
      <c r="F588" s="382"/>
      <c r="G588" s="382"/>
      <c r="L588" s="381"/>
      <c r="M588" s="381"/>
      <c r="N588" s="381"/>
      <c r="O588" s="381"/>
      <c r="P588" s="381"/>
    </row>
    <row r="589" spans="3:16" ht="15.75" customHeight="1" x14ac:dyDescent="0.45">
      <c r="C589" s="382"/>
      <c r="D589" s="382"/>
      <c r="E589" s="382"/>
      <c r="F589" s="382"/>
      <c r="G589" s="382"/>
      <c r="L589" s="381"/>
      <c r="M589" s="381"/>
      <c r="N589" s="381"/>
      <c r="O589" s="381"/>
      <c r="P589" s="381"/>
    </row>
    <row r="590" spans="3:16" ht="15.75" customHeight="1" x14ac:dyDescent="0.45">
      <c r="C590" s="382"/>
      <c r="D590" s="382"/>
      <c r="E590" s="382"/>
      <c r="F590" s="382"/>
      <c r="G590" s="382"/>
      <c r="L590" s="381"/>
      <c r="M590" s="381"/>
      <c r="N590" s="381"/>
      <c r="O590" s="381"/>
      <c r="P590" s="381"/>
    </row>
    <row r="591" spans="3:16" ht="15.75" customHeight="1" x14ac:dyDescent="0.45">
      <c r="C591" s="382"/>
      <c r="D591" s="382"/>
      <c r="E591" s="382"/>
      <c r="F591" s="382"/>
      <c r="G591" s="382"/>
      <c r="L591" s="381"/>
      <c r="M591" s="381"/>
      <c r="N591" s="381"/>
      <c r="O591" s="381"/>
      <c r="P591" s="381"/>
    </row>
    <row r="592" spans="3:16" ht="15.75" customHeight="1" x14ac:dyDescent="0.45">
      <c r="C592" s="382"/>
      <c r="D592" s="382"/>
      <c r="E592" s="382"/>
      <c r="F592" s="382"/>
      <c r="G592" s="382"/>
      <c r="L592" s="381"/>
      <c r="M592" s="381"/>
      <c r="N592" s="381"/>
      <c r="O592" s="381"/>
      <c r="P592" s="381"/>
    </row>
    <row r="593" spans="3:16" ht="15.75" customHeight="1" x14ac:dyDescent="0.45">
      <c r="C593" s="382"/>
      <c r="D593" s="382"/>
      <c r="E593" s="382"/>
      <c r="F593" s="382"/>
      <c r="G593" s="382"/>
      <c r="L593" s="381"/>
      <c r="M593" s="381"/>
      <c r="N593" s="381"/>
      <c r="O593" s="381"/>
      <c r="P593" s="381"/>
    </row>
    <row r="594" spans="3:16" ht="15.75" customHeight="1" x14ac:dyDescent="0.45">
      <c r="C594" s="382"/>
      <c r="D594" s="382"/>
      <c r="E594" s="382"/>
      <c r="F594" s="382"/>
      <c r="G594" s="382"/>
      <c r="L594" s="381"/>
      <c r="M594" s="381"/>
      <c r="N594" s="381"/>
      <c r="O594" s="381"/>
      <c r="P594" s="381"/>
    </row>
    <row r="595" spans="3:16" ht="15.75" customHeight="1" x14ac:dyDescent="0.45">
      <c r="C595" s="382"/>
      <c r="D595" s="382"/>
      <c r="E595" s="382"/>
      <c r="F595" s="382"/>
      <c r="G595" s="382"/>
      <c r="L595" s="381"/>
      <c r="M595" s="381"/>
      <c r="N595" s="381"/>
      <c r="O595" s="381"/>
      <c r="P595" s="381"/>
    </row>
    <row r="596" spans="3:16" ht="15.75" customHeight="1" x14ac:dyDescent="0.45">
      <c r="C596" s="382"/>
      <c r="D596" s="382"/>
      <c r="E596" s="382"/>
      <c r="F596" s="382"/>
      <c r="G596" s="382"/>
      <c r="L596" s="381"/>
      <c r="M596" s="381"/>
      <c r="N596" s="381"/>
      <c r="O596" s="381"/>
      <c r="P596" s="381"/>
    </row>
    <row r="597" spans="3:16" ht="15.75" customHeight="1" x14ac:dyDescent="0.45">
      <c r="C597" s="382"/>
      <c r="D597" s="382"/>
      <c r="E597" s="382"/>
      <c r="F597" s="382"/>
      <c r="G597" s="382"/>
      <c r="L597" s="381"/>
      <c r="M597" s="381"/>
      <c r="N597" s="381"/>
      <c r="O597" s="381"/>
      <c r="P597" s="381"/>
    </row>
    <row r="598" spans="3:16" ht="15.75" customHeight="1" x14ac:dyDescent="0.45">
      <c r="C598" s="382"/>
      <c r="D598" s="382"/>
      <c r="E598" s="382"/>
      <c r="F598" s="382"/>
      <c r="G598" s="382"/>
      <c r="L598" s="381"/>
      <c r="M598" s="381"/>
      <c r="N598" s="381"/>
      <c r="O598" s="381"/>
      <c r="P598" s="381"/>
    </row>
    <row r="599" spans="3:16" ht="15.75" customHeight="1" x14ac:dyDescent="0.45">
      <c r="C599" s="382"/>
      <c r="D599" s="382"/>
      <c r="E599" s="382"/>
      <c r="F599" s="382"/>
      <c r="G599" s="382"/>
      <c r="L599" s="381"/>
      <c r="M599" s="381"/>
      <c r="N599" s="381"/>
      <c r="O599" s="381"/>
      <c r="P599" s="381"/>
    </row>
    <row r="600" spans="3:16" ht="15.75" customHeight="1" x14ac:dyDescent="0.45">
      <c r="C600" s="382"/>
      <c r="D600" s="382"/>
      <c r="E600" s="382"/>
      <c r="F600" s="382"/>
      <c r="G600" s="382"/>
      <c r="L600" s="381"/>
      <c r="M600" s="381"/>
      <c r="N600" s="381"/>
      <c r="O600" s="381"/>
      <c r="P600" s="381"/>
    </row>
    <row r="601" spans="3:16" ht="15.75" customHeight="1" x14ac:dyDescent="0.45">
      <c r="C601" s="382"/>
      <c r="D601" s="382"/>
      <c r="E601" s="382"/>
      <c r="F601" s="382"/>
      <c r="G601" s="382"/>
      <c r="L601" s="381"/>
      <c r="M601" s="381"/>
      <c r="N601" s="381"/>
      <c r="O601" s="381"/>
      <c r="P601" s="381"/>
    </row>
    <row r="602" spans="3:16" ht="15.75" customHeight="1" x14ac:dyDescent="0.45">
      <c r="C602" s="382"/>
      <c r="D602" s="382"/>
      <c r="E602" s="382"/>
      <c r="F602" s="382"/>
      <c r="G602" s="382"/>
      <c r="L602" s="381"/>
      <c r="M602" s="381"/>
      <c r="N602" s="381"/>
      <c r="O602" s="381"/>
      <c r="P602" s="381"/>
    </row>
    <row r="603" spans="3:16" ht="15.75" customHeight="1" x14ac:dyDescent="0.45">
      <c r="C603" s="382"/>
      <c r="D603" s="382"/>
      <c r="E603" s="382"/>
      <c r="F603" s="382"/>
      <c r="G603" s="382"/>
      <c r="L603" s="381"/>
      <c r="M603" s="381"/>
      <c r="N603" s="381"/>
      <c r="O603" s="381"/>
      <c r="P603" s="381"/>
    </row>
    <row r="604" spans="3:16" ht="15.75" customHeight="1" x14ac:dyDescent="0.45">
      <c r="C604" s="382"/>
      <c r="D604" s="382"/>
      <c r="E604" s="382"/>
      <c r="F604" s="382"/>
      <c r="G604" s="382"/>
      <c r="L604" s="381"/>
      <c r="M604" s="381"/>
      <c r="N604" s="381"/>
      <c r="O604" s="381"/>
      <c r="P604" s="381"/>
    </row>
    <row r="605" spans="3:16" ht="15.75" customHeight="1" x14ac:dyDescent="0.45">
      <c r="C605" s="382"/>
      <c r="D605" s="382"/>
      <c r="E605" s="382"/>
      <c r="F605" s="382"/>
      <c r="G605" s="382"/>
      <c r="L605" s="381"/>
      <c r="M605" s="381"/>
      <c r="N605" s="381"/>
      <c r="O605" s="381"/>
      <c r="P605" s="381"/>
    </row>
    <row r="606" spans="3:16" ht="15.75" customHeight="1" x14ac:dyDescent="0.45">
      <c r="C606" s="382"/>
      <c r="D606" s="382"/>
      <c r="E606" s="382"/>
      <c r="F606" s="382"/>
      <c r="G606" s="382"/>
      <c r="L606" s="381"/>
      <c r="M606" s="381"/>
      <c r="N606" s="381"/>
      <c r="O606" s="381"/>
      <c r="P606" s="381"/>
    </row>
    <row r="607" spans="3:16" ht="15.75" customHeight="1" x14ac:dyDescent="0.45">
      <c r="C607" s="382"/>
      <c r="D607" s="382"/>
      <c r="E607" s="382"/>
      <c r="F607" s="382"/>
      <c r="G607" s="382"/>
      <c r="L607" s="381"/>
      <c r="M607" s="381"/>
      <c r="N607" s="381"/>
      <c r="O607" s="381"/>
      <c r="P607" s="381"/>
    </row>
    <row r="608" spans="3:16" ht="15.75" customHeight="1" x14ac:dyDescent="0.45">
      <c r="C608" s="382"/>
      <c r="D608" s="382"/>
      <c r="E608" s="382"/>
      <c r="F608" s="382"/>
      <c r="G608" s="382"/>
      <c r="L608" s="381"/>
      <c r="M608" s="381"/>
      <c r="N608" s="381"/>
      <c r="O608" s="381"/>
      <c r="P608" s="381"/>
    </row>
    <row r="609" spans="3:16" ht="15.75" customHeight="1" x14ac:dyDescent="0.45">
      <c r="C609" s="382"/>
      <c r="D609" s="382"/>
      <c r="E609" s="382"/>
      <c r="F609" s="382"/>
      <c r="G609" s="382"/>
      <c r="L609" s="381"/>
      <c r="M609" s="381"/>
      <c r="N609" s="381"/>
      <c r="O609" s="381"/>
      <c r="P609" s="381"/>
    </row>
    <row r="610" spans="3:16" ht="15.75" customHeight="1" x14ac:dyDescent="0.45">
      <c r="C610" s="382"/>
      <c r="D610" s="382"/>
      <c r="E610" s="382"/>
      <c r="F610" s="382"/>
      <c r="G610" s="382"/>
      <c r="L610" s="381"/>
      <c r="M610" s="381"/>
      <c r="N610" s="381"/>
      <c r="O610" s="381"/>
      <c r="P610" s="381"/>
    </row>
    <row r="611" spans="3:16" ht="15.75" customHeight="1" x14ac:dyDescent="0.45">
      <c r="C611" s="382"/>
      <c r="D611" s="382"/>
      <c r="E611" s="382"/>
      <c r="F611" s="382"/>
      <c r="G611" s="382"/>
      <c r="L611" s="381"/>
      <c r="M611" s="381"/>
      <c r="N611" s="381"/>
      <c r="O611" s="381"/>
      <c r="P611" s="381"/>
    </row>
    <row r="612" spans="3:16" ht="15.75" customHeight="1" x14ac:dyDescent="0.45">
      <c r="C612" s="382"/>
      <c r="D612" s="382"/>
      <c r="E612" s="382"/>
      <c r="F612" s="382"/>
      <c r="G612" s="382"/>
      <c r="L612" s="381"/>
      <c r="M612" s="381"/>
      <c r="N612" s="381"/>
      <c r="O612" s="381"/>
      <c r="P612" s="381"/>
    </row>
    <row r="613" spans="3:16" ht="15.75" customHeight="1" x14ac:dyDescent="0.45">
      <c r="C613" s="382"/>
      <c r="D613" s="382"/>
      <c r="E613" s="382"/>
      <c r="F613" s="382"/>
      <c r="G613" s="382"/>
      <c r="L613" s="381"/>
      <c r="M613" s="381"/>
      <c r="N613" s="381"/>
      <c r="O613" s="381"/>
      <c r="P613" s="381"/>
    </row>
    <row r="614" spans="3:16" ht="15.75" customHeight="1" x14ac:dyDescent="0.45">
      <c r="C614" s="382"/>
      <c r="D614" s="382"/>
      <c r="E614" s="382"/>
      <c r="F614" s="382"/>
      <c r="G614" s="382"/>
      <c r="L614" s="381"/>
      <c r="M614" s="381"/>
      <c r="N614" s="381"/>
      <c r="O614" s="381"/>
      <c r="P614" s="381"/>
    </row>
    <row r="615" spans="3:16" ht="15.75" customHeight="1" x14ac:dyDescent="0.45">
      <c r="C615" s="382"/>
      <c r="D615" s="382"/>
      <c r="E615" s="382"/>
      <c r="F615" s="382"/>
      <c r="G615" s="382"/>
      <c r="L615" s="381"/>
      <c r="M615" s="381"/>
      <c r="N615" s="381"/>
      <c r="O615" s="381"/>
      <c r="P615" s="381"/>
    </row>
    <row r="616" spans="3:16" ht="15.75" customHeight="1" x14ac:dyDescent="0.45">
      <c r="C616" s="382"/>
      <c r="D616" s="382"/>
      <c r="E616" s="382"/>
      <c r="F616" s="382"/>
      <c r="G616" s="382"/>
      <c r="L616" s="381"/>
      <c r="M616" s="381"/>
      <c r="N616" s="381"/>
      <c r="O616" s="381"/>
      <c r="P616" s="381"/>
    </row>
    <row r="617" spans="3:16" ht="15.75" customHeight="1" x14ac:dyDescent="0.45">
      <c r="C617" s="382"/>
      <c r="D617" s="382"/>
      <c r="E617" s="382"/>
      <c r="F617" s="382"/>
      <c r="G617" s="382"/>
      <c r="L617" s="381"/>
      <c r="M617" s="381"/>
      <c r="N617" s="381"/>
      <c r="O617" s="381"/>
      <c r="P617" s="381"/>
    </row>
    <row r="618" spans="3:16" ht="15.75" customHeight="1" x14ac:dyDescent="0.45">
      <c r="C618" s="382"/>
      <c r="D618" s="382"/>
      <c r="E618" s="382"/>
      <c r="F618" s="382"/>
      <c r="G618" s="382"/>
      <c r="L618" s="381"/>
      <c r="M618" s="381"/>
      <c r="N618" s="381"/>
      <c r="O618" s="381"/>
      <c r="P618" s="381"/>
    </row>
    <row r="619" spans="3:16" ht="15.75" customHeight="1" x14ac:dyDescent="0.45">
      <c r="C619" s="382"/>
      <c r="D619" s="382"/>
      <c r="E619" s="382"/>
      <c r="F619" s="382"/>
      <c r="G619" s="382"/>
      <c r="L619" s="381"/>
      <c r="M619" s="381"/>
      <c r="N619" s="381"/>
      <c r="O619" s="381"/>
      <c r="P619" s="381"/>
    </row>
    <row r="620" spans="3:16" ht="15.75" customHeight="1" x14ac:dyDescent="0.45">
      <c r="C620" s="382"/>
      <c r="D620" s="382"/>
      <c r="E620" s="382"/>
      <c r="F620" s="382"/>
      <c r="G620" s="382"/>
      <c r="L620" s="381"/>
      <c r="M620" s="381"/>
      <c r="N620" s="381"/>
      <c r="O620" s="381"/>
      <c r="P620" s="381"/>
    </row>
    <row r="621" spans="3:16" ht="15.75" customHeight="1" x14ac:dyDescent="0.45">
      <c r="C621" s="382"/>
      <c r="D621" s="382"/>
      <c r="E621" s="382"/>
      <c r="F621" s="382"/>
      <c r="G621" s="382"/>
      <c r="L621" s="381"/>
      <c r="M621" s="381"/>
      <c r="N621" s="381"/>
      <c r="O621" s="381"/>
      <c r="P621" s="381"/>
    </row>
    <row r="622" spans="3:16" ht="15.75" customHeight="1" x14ac:dyDescent="0.45">
      <c r="C622" s="382"/>
      <c r="D622" s="382"/>
      <c r="E622" s="382"/>
      <c r="F622" s="382"/>
      <c r="G622" s="382"/>
      <c r="L622" s="381"/>
      <c r="M622" s="381"/>
      <c r="N622" s="381"/>
      <c r="O622" s="381"/>
      <c r="P622" s="381"/>
    </row>
    <row r="623" spans="3:16" ht="15.75" customHeight="1" x14ac:dyDescent="0.45">
      <c r="C623" s="382"/>
      <c r="D623" s="382"/>
      <c r="E623" s="382"/>
      <c r="F623" s="382"/>
      <c r="G623" s="382"/>
      <c r="L623" s="381"/>
      <c r="M623" s="381"/>
      <c r="N623" s="381"/>
      <c r="O623" s="381"/>
      <c r="P623" s="381"/>
    </row>
    <row r="624" spans="3:16" ht="15.75" customHeight="1" x14ac:dyDescent="0.45">
      <c r="C624" s="382"/>
      <c r="D624" s="382"/>
      <c r="E624" s="382"/>
      <c r="F624" s="382"/>
      <c r="G624" s="382"/>
      <c r="L624" s="381"/>
      <c r="M624" s="381"/>
      <c r="N624" s="381"/>
      <c r="O624" s="381"/>
      <c r="P624" s="381"/>
    </row>
    <row r="625" spans="3:16" ht="15.75" customHeight="1" x14ac:dyDescent="0.45">
      <c r="C625" s="382"/>
      <c r="D625" s="382"/>
      <c r="E625" s="382"/>
      <c r="F625" s="382"/>
      <c r="G625" s="382"/>
      <c r="L625" s="381"/>
      <c r="M625" s="381"/>
      <c r="N625" s="381"/>
      <c r="O625" s="381"/>
      <c r="P625" s="381"/>
    </row>
    <row r="626" spans="3:16" ht="15.75" customHeight="1" x14ac:dyDescent="0.45">
      <c r="C626" s="382"/>
      <c r="D626" s="382"/>
      <c r="E626" s="382"/>
      <c r="F626" s="382"/>
      <c r="G626" s="382"/>
      <c r="L626" s="381"/>
      <c r="M626" s="381"/>
      <c r="N626" s="381"/>
      <c r="O626" s="381"/>
      <c r="P626" s="381"/>
    </row>
    <row r="627" spans="3:16" ht="15.75" customHeight="1" x14ac:dyDescent="0.45">
      <c r="C627" s="382"/>
      <c r="D627" s="382"/>
      <c r="E627" s="382"/>
      <c r="F627" s="382"/>
      <c r="G627" s="382"/>
      <c r="L627" s="381"/>
      <c r="M627" s="381"/>
      <c r="N627" s="381"/>
      <c r="O627" s="381"/>
      <c r="P627" s="381"/>
    </row>
    <row r="628" spans="3:16" ht="15.75" customHeight="1" x14ac:dyDescent="0.45">
      <c r="C628" s="382"/>
      <c r="D628" s="382"/>
      <c r="E628" s="382"/>
      <c r="F628" s="382"/>
      <c r="G628" s="382"/>
      <c r="L628" s="381"/>
      <c r="M628" s="381"/>
      <c r="N628" s="381"/>
      <c r="O628" s="381"/>
      <c r="P628" s="381"/>
    </row>
    <row r="629" spans="3:16" ht="15.75" customHeight="1" x14ac:dyDescent="0.45">
      <c r="C629" s="382"/>
      <c r="D629" s="382"/>
      <c r="E629" s="382"/>
      <c r="F629" s="382"/>
      <c r="G629" s="382"/>
      <c r="L629" s="381"/>
      <c r="M629" s="381"/>
      <c r="N629" s="381"/>
      <c r="O629" s="381"/>
      <c r="P629" s="381"/>
    </row>
    <row r="630" spans="3:16" ht="15.75" customHeight="1" x14ac:dyDescent="0.45">
      <c r="C630" s="382"/>
      <c r="D630" s="382"/>
      <c r="E630" s="382"/>
      <c r="F630" s="382"/>
      <c r="G630" s="382"/>
      <c r="L630" s="381"/>
      <c r="M630" s="381"/>
      <c r="N630" s="381"/>
      <c r="O630" s="381"/>
      <c r="P630" s="381"/>
    </row>
    <row r="631" spans="3:16" ht="15.75" customHeight="1" x14ac:dyDescent="0.45">
      <c r="C631" s="382"/>
      <c r="D631" s="382"/>
      <c r="E631" s="382"/>
      <c r="F631" s="382"/>
      <c r="G631" s="382"/>
      <c r="L631" s="381"/>
      <c r="M631" s="381"/>
      <c r="N631" s="381"/>
      <c r="O631" s="381"/>
      <c r="P631" s="381"/>
    </row>
    <row r="632" spans="3:16" ht="15.75" customHeight="1" x14ac:dyDescent="0.45">
      <c r="C632" s="382"/>
      <c r="D632" s="382"/>
      <c r="E632" s="382"/>
      <c r="F632" s="382"/>
      <c r="G632" s="382"/>
      <c r="L632" s="381"/>
      <c r="M632" s="381"/>
      <c r="N632" s="381"/>
      <c r="O632" s="381"/>
      <c r="P632" s="381"/>
    </row>
    <row r="633" spans="3:16" ht="15.75" customHeight="1" x14ac:dyDescent="0.45">
      <c r="C633" s="382"/>
      <c r="D633" s="382"/>
      <c r="E633" s="382"/>
      <c r="F633" s="382"/>
      <c r="G633" s="382"/>
      <c r="L633" s="381"/>
      <c r="M633" s="381"/>
      <c r="N633" s="381"/>
      <c r="O633" s="381"/>
      <c r="P633" s="381"/>
    </row>
    <row r="634" spans="3:16" ht="15.75" customHeight="1" x14ac:dyDescent="0.45">
      <c r="C634" s="382"/>
      <c r="D634" s="382"/>
      <c r="E634" s="382"/>
      <c r="F634" s="382"/>
      <c r="G634" s="382"/>
      <c r="L634" s="381"/>
      <c r="M634" s="381"/>
      <c r="N634" s="381"/>
      <c r="O634" s="381"/>
      <c r="P634" s="381"/>
    </row>
    <row r="635" spans="3:16" ht="15.75" customHeight="1" x14ac:dyDescent="0.45">
      <c r="C635" s="382"/>
      <c r="D635" s="382"/>
      <c r="E635" s="382"/>
      <c r="F635" s="382"/>
      <c r="G635" s="382"/>
      <c r="L635" s="381"/>
      <c r="M635" s="381"/>
      <c r="N635" s="381"/>
      <c r="O635" s="381"/>
      <c r="P635" s="381"/>
    </row>
    <row r="636" spans="3:16" ht="15.75" customHeight="1" x14ac:dyDescent="0.45">
      <c r="C636" s="382"/>
      <c r="D636" s="382"/>
      <c r="E636" s="382"/>
      <c r="F636" s="382"/>
      <c r="G636" s="382"/>
      <c r="L636" s="381"/>
      <c r="M636" s="381"/>
      <c r="N636" s="381"/>
      <c r="O636" s="381"/>
      <c r="P636" s="381"/>
    </row>
    <row r="637" spans="3:16" ht="15.75" customHeight="1" x14ac:dyDescent="0.45">
      <c r="C637" s="382"/>
      <c r="D637" s="382"/>
      <c r="E637" s="382"/>
      <c r="F637" s="382"/>
      <c r="G637" s="382"/>
      <c r="L637" s="381"/>
      <c r="M637" s="381"/>
      <c r="N637" s="381"/>
      <c r="O637" s="381"/>
      <c r="P637" s="381"/>
    </row>
    <row r="638" spans="3:16" ht="15.75" customHeight="1" x14ac:dyDescent="0.45">
      <c r="C638" s="382"/>
      <c r="D638" s="382"/>
      <c r="E638" s="382"/>
      <c r="F638" s="382"/>
      <c r="G638" s="382"/>
      <c r="L638" s="381"/>
      <c r="M638" s="381"/>
      <c r="N638" s="381"/>
      <c r="O638" s="381"/>
      <c r="P638" s="381"/>
    </row>
    <row r="639" spans="3:16" ht="15.75" customHeight="1" x14ac:dyDescent="0.45">
      <c r="C639" s="382"/>
      <c r="D639" s="382"/>
      <c r="E639" s="382"/>
      <c r="F639" s="382"/>
      <c r="G639" s="382"/>
      <c r="L639" s="381"/>
      <c r="M639" s="381"/>
      <c r="N639" s="381"/>
      <c r="O639" s="381"/>
      <c r="P639" s="381"/>
    </row>
    <row r="640" spans="3:16" ht="15.75" customHeight="1" x14ac:dyDescent="0.45">
      <c r="C640" s="382"/>
      <c r="D640" s="382"/>
      <c r="E640" s="382"/>
      <c r="F640" s="382"/>
      <c r="G640" s="382"/>
      <c r="L640" s="381"/>
      <c r="M640" s="381"/>
      <c r="N640" s="381"/>
      <c r="O640" s="381"/>
      <c r="P640" s="381"/>
    </row>
    <row r="641" spans="3:16" ht="15.75" customHeight="1" x14ac:dyDescent="0.45">
      <c r="C641" s="382"/>
      <c r="D641" s="382"/>
      <c r="E641" s="382"/>
      <c r="F641" s="382"/>
      <c r="G641" s="382"/>
      <c r="L641" s="381"/>
      <c r="M641" s="381"/>
      <c r="N641" s="381"/>
      <c r="O641" s="381"/>
      <c r="P641" s="381"/>
    </row>
    <row r="642" spans="3:16" ht="15.75" customHeight="1" x14ac:dyDescent="0.45">
      <c r="C642" s="382"/>
      <c r="D642" s="382"/>
      <c r="E642" s="382"/>
      <c r="F642" s="382"/>
      <c r="G642" s="382"/>
      <c r="L642" s="381"/>
      <c r="M642" s="381"/>
      <c r="N642" s="381"/>
      <c r="O642" s="381"/>
      <c r="P642" s="381"/>
    </row>
    <row r="643" spans="3:16" ht="15.75" customHeight="1" x14ac:dyDescent="0.45">
      <c r="C643" s="382"/>
      <c r="D643" s="382"/>
      <c r="E643" s="382"/>
      <c r="F643" s="382"/>
      <c r="G643" s="382"/>
      <c r="L643" s="381"/>
      <c r="M643" s="381"/>
      <c r="N643" s="381"/>
      <c r="O643" s="381"/>
      <c r="P643" s="381"/>
    </row>
    <row r="644" spans="3:16" ht="15.75" customHeight="1" x14ac:dyDescent="0.45">
      <c r="C644" s="382"/>
      <c r="D644" s="382"/>
      <c r="E644" s="382"/>
      <c r="F644" s="382"/>
      <c r="G644" s="382"/>
      <c r="L644" s="381"/>
      <c r="M644" s="381"/>
      <c r="N644" s="381"/>
      <c r="O644" s="381"/>
      <c r="P644" s="381"/>
    </row>
    <row r="645" spans="3:16" ht="15.75" customHeight="1" x14ac:dyDescent="0.45">
      <c r="C645" s="382"/>
      <c r="D645" s="382"/>
      <c r="E645" s="382"/>
      <c r="F645" s="382"/>
      <c r="G645" s="382"/>
      <c r="L645" s="381"/>
      <c r="M645" s="381"/>
      <c r="N645" s="381"/>
      <c r="O645" s="381"/>
      <c r="P645" s="381"/>
    </row>
    <row r="646" spans="3:16" ht="15.75" customHeight="1" x14ac:dyDescent="0.45">
      <c r="C646" s="382"/>
      <c r="D646" s="382"/>
      <c r="E646" s="382"/>
      <c r="F646" s="382"/>
      <c r="G646" s="382"/>
      <c r="L646" s="381"/>
      <c r="M646" s="381"/>
      <c r="N646" s="381"/>
      <c r="O646" s="381"/>
      <c r="P646" s="381"/>
    </row>
    <row r="647" spans="3:16" ht="15.75" customHeight="1" x14ac:dyDescent="0.45">
      <c r="C647" s="382"/>
      <c r="D647" s="382"/>
      <c r="E647" s="382"/>
      <c r="F647" s="382"/>
      <c r="G647" s="382"/>
      <c r="L647" s="381"/>
      <c r="M647" s="381"/>
      <c r="N647" s="381"/>
      <c r="O647" s="381"/>
      <c r="P647" s="381"/>
    </row>
    <row r="648" spans="3:16" ht="15.75" customHeight="1" x14ac:dyDescent="0.45">
      <c r="C648" s="382"/>
      <c r="D648" s="382"/>
      <c r="E648" s="382"/>
      <c r="F648" s="382"/>
      <c r="G648" s="382"/>
      <c r="L648" s="381"/>
      <c r="M648" s="381"/>
      <c r="N648" s="381"/>
      <c r="O648" s="381"/>
      <c r="P648" s="381"/>
    </row>
    <row r="649" spans="3:16" ht="15.75" customHeight="1" x14ac:dyDescent="0.45">
      <c r="C649" s="382"/>
      <c r="D649" s="382"/>
      <c r="E649" s="382"/>
      <c r="F649" s="382"/>
      <c r="G649" s="382"/>
      <c r="L649" s="381"/>
      <c r="M649" s="381"/>
      <c r="N649" s="381"/>
      <c r="O649" s="381"/>
      <c r="P649" s="381"/>
    </row>
    <row r="650" spans="3:16" ht="15.75" customHeight="1" x14ac:dyDescent="0.45">
      <c r="C650" s="382"/>
      <c r="D650" s="382"/>
      <c r="E650" s="382"/>
      <c r="F650" s="382"/>
      <c r="G650" s="382"/>
      <c r="L650" s="381"/>
      <c r="M650" s="381"/>
      <c r="N650" s="381"/>
      <c r="O650" s="381"/>
      <c r="P650" s="381"/>
    </row>
    <row r="651" spans="3:16" ht="15.75" customHeight="1" x14ac:dyDescent="0.45">
      <c r="C651" s="382"/>
      <c r="D651" s="382"/>
      <c r="E651" s="382"/>
      <c r="F651" s="382"/>
      <c r="G651" s="382"/>
      <c r="L651" s="381"/>
      <c r="M651" s="381"/>
      <c r="N651" s="381"/>
      <c r="O651" s="381"/>
      <c r="P651" s="381"/>
    </row>
    <row r="652" spans="3:16" ht="15.75" customHeight="1" x14ac:dyDescent="0.45">
      <c r="C652" s="382"/>
      <c r="D652" s="382"/>
      <c r="E652" s="382"/>
      <c r="F652" s="382"/>
      <c r="G652" s="382"/>
      <c r="L652" s="381"/>
      <c r="M652" s="381"/>
      <c r="N652" s="381"/>
      <c r="O652" s="381"/>
      <c r="P652" s="381"/>
    </row>
    <row r="653" spans="3:16" ht="15.75" customHeight="1" x14ac:dyDescent="0.45">
      <c r="C653" s="382"/>
      <c r="D653" s="382"/>
      <c r="E653" s="382"/>
      <c r="F653" s="382"/>
      <c r="G653" s="382"/>
      <c r="L653" s="381"/>
      <c r="M653" s="381"/>
      <c r="N653" s="381"/>
      <c r="O653" s="381"/>
      <c r="P653" s="381"/>
    </row>
    <row r="654" spans="3:16" ht="15.75" customHeight="1" x14ac:dyDescent="0.45">
      <c r="C654" s="382"/>
      <c r="D654" s="382"/>
      <c r="E654" s="382"/>
      <c r="F654" s="382"/>
      <c r="G654" s="382"/>
      <c r="L654" s="381"/>
      <c r="M654" s="381"/>
      <c r="N654" s="381"/>
      <c r="O654" s="381"/>
      <c r="P654" s="381"/>
    </row>
    <row r="655" spans="3:16" ht="15.75" customHeight="1" x14ac:dyDescent="0.45">
      <c r="C655" s="382"/>
      <c r="D655" s="382"/>
      <c r="E655" s="382"/>
      <c r="F655" s="382"/>
      <c r="G655" s="382"/>
      <c r="L655" s="381"/>
      <c r="M655" s="381"/>
      <c r="N655" s="381"/>
      <c r="O655" s="381"/>
      <c r="P655" s="381"/>
    </row>
    <row r="656" spans="3:16" ht="15.75" customHeight="1" x14ac:dyDescent="0.45">
      <c r="C656" s="382"/>
      <c r="D656" s="382"/>
      <c r="E656" s="382"/>
      <c r="F656" s="382"/>
      <c r="G656" s="382"/>
      <c r="L656" s="381"/>
      <c r="M656" s="381"/>
      <c r="N656" s="381"/>
      <c r="O656" s="381"/>
      <c r="P656" s="381"/>
    </row>
    <row r="657" spans="3:16" ht="15.75" customHeight="1" x14ac:dyDescent="0.45">
      <c r="C657" s="382"/>
      <c r="D657" s="382"/>
      <c r="E657" s="382"/>
      <c r="F657" s="382"/>
      <c r="G657" s="382"/>
      <c r="L657" s="381"/>
      <c r="M657" s="381"/>
      <c r="N657" s="381"/>
      <c r="O657" s="381"/>
      <c r="P657" s="381"/>
    </row>
    <row r="658" spans="3:16" ht="15.75" customHeight="1" x14ac:dyDescent="0.45">
      <c r="C658" s="382"/>
      <c r="D658" s="382"/>
      <c r="E658" s="382"/>
      <c r="F658" s="382"/>
      <c r="G658" s="382"/>
      <c r="L658" s="381"/>
      <c r="M658" s="381"/>
      <c r="N658" s="381"/>
      <c r="O658" s="381"/>
      <c r="P658" s="381"/>
    </row>
    <row r="659" spans="3:16" ht="15.75" customHeight="1" x14ac:dyDescent="0.45">
      <c r="C659" s="382"/>
      <c r="D659" s="382"/>
      <c r="E659" s="382"/>
      <c r="F659" s="382"/>
      <c r="G659" s="382"/>
      <c r="L659" s="381"/>
      <c r="M659" s="381"/>
      <c r="N659" s="381"/>
      <c r="O659" s="381"/>
      <c r="P659" s="381"/>
    </row>
    <row r="660" spans="3:16" ht="15.75" customHeight="1" x14ac:dyDescent="0.45">
      <c r="C660" s="382"/>
      <c r="D660" s="382"/>
      <c r="E660" s="382"/>
      <c r="F660" s="382"/>
      <c r="G660" s="382"/>
      <c r="L660" s="381"/>
      <c r="M660" s="381"/>
      <c r="N660" s="381"/>
      <c r="O660" s="381"/>
      <c r="P660" s="381"/>
    </row>
    <row r="661" spans="3:16" ht="15.75" customHeight="1" x14ac:dyDescent="0.45">
      <c r="C661" s="382"/>
      <c r="D661" s="382"/>
      <c r="E661" s="382"/>
      <c r="F661" s="382"/>
      <c r="G661" s="382"/>
      <c r="L661" s="381"/>
      <c r="M661" s="381"/>
      <c r="N661" s="381"/>
      <c r="O661" s="381"/>
      <c r="P661" s="381"/>
    </row>
    <row r="662" spans="3:16" ht="15.75" customHeight="1" x14ac:dyDescent="0.45">
      <c r="C662" s="382"/>
      <c r="D662" s="382"/>
      <c r="E662" s="382"/>
      <c r="F662" s="382"/>
      <c r="G662" s="382"/>
      <c r="L662" s="381"/>
      <c r="M662" s="381"/>
      <c r="N662" s="381"/>
      <c r="O662" s="381"/>
      <c r="P662" s="381"/>
    </row>
    <row r="663" spans="3:16" ht="15.75" customHeight="1" x14ac:dyDescent="0.45">
      <c r="C663" s="382"/>
      <c r="D663" s="382"/>
      <c r="E663" s="382"/>
      <c r="F663" s="382"/>
      <c r="G663" s="382"/>
      <c r="L663" s="381"/>
      <c r="M663" s="381"/>
      <c r="N663" s="381"/>
      <c r="O663" s="381"/>
      <c r="P663" s="381"/>
    </row>
    <row r="664" spans="3:16" ht="15.75" customHeight="1" x14ac:dyDescent="0.45">
      <c r="C664" s="382"/>
      <c r="D664" s="382"/>
      <c r="E664" s="382"/>
      <c r="F664" s="382"/>
      <c r="G664" s="382"/>
      <c r="L664" s="381"/>
      <c r="M664" s="381"/>
      <c r="N664" s="381"/>
      <c r="O664" s="381"/>
      <c r="P664" s="381"/>
    </row>
    <row r="665" spans="3:16" ht="15.75" customHeight="1" x14ac:dyDescent="0.45">
      <c r="C665" s="382"/>
      <c r="D665" s="382"/>
      <c r="E665" s="382"/>
      <c r="F665" s="382"/>
      <c r="G665" s="382"/>
      <c r="L665" s="381"/>
      <c r="M665" s="381"/>
      <c r="N665" s="381"/>
      <c r="O665" s="381"/>
      <c r="P665" s="381"/>
    </row>
    <row r="666" spans="3:16" ht="15.75" customHeight="1" x14ac:dyDescent="0.45">
      <c r="C666" s="382"/>
      <c r="D666" s="382"/>
      <c r="E666" s="382"/>
      <c r="F666" s="382"/>
      <c r="G666" s="382"/>
      <c r="L666" s="381"/>
      <c r="M666" s="381"/>
      <c r="N666" s="381"/>
      <c r="O666" s="381"/>
      <c r="P666" s="381"/>
    </row>
    <row r="667" spans="3:16" ht="15.75" customHeight="1" x14ac:dyDescent="0.45">
      <c r="C667" s="382"/>
      <c r="D667" s="382"/>
      <c r="E667" s="382"/>
      <c r="F667" s="382"/>
      <c r="G667" s="382"/>
      <c r="L667" s="381"/>
      <c r="M667" s="381"/>
      <c r="N667" s="381"/>
      <c r="O667" s="381"/>
      <c r="P667" s="381"/>
    </row>
    <row r="668" spans="3:16" ht="15.75" customHeight="1" x14ac:dyDescent="0.45">
      <c r="C668" s="382"/>
      <c r="D668" s="382"/>
      <c r="E668" s="382"/>
      <c r="F668" s="382"/>
      <c r="G668" s="382"/>
      <c r="L668" s="381"/>
      <c r="M668" s="381"/>
      <c r="N668" s="381"/>
      <c r="O668" s="381"/>
      <c r="P668" s="381"/>
    </row>
    <row r="669" spans="3:16" ht="15.75" customHeight="1" x14ac:dyDescent="0.45">
      <c r="C669" s="382"/>
      <c r="D669" s="382"/>
      <c r="E669" s="382"/>
      <c r="F669" s="382"/>
      <c r="G669" s="382"/>
      <c r="L669" s="381"/>
      <c r="M669" s="381"/>
      <c r="N669" s="381"/>
      <c r="O669" s="381"/>
      <c r="P669" s="381"/>
    </row>
    <row r="670" spans="3:16" ht="15.75" customHeight="1" x14ac:dyDescent="0.45">
      <c r="C670" s="382"/>
      <c r="D670" s="382"/>
      <c r="E670" s="382"/>
      <c r="F670" s="382"/>
      <c r="G670" s="382"/>
      <c r="L670" s="381"/>
      <c r="M670" s="381"/>
      <c r="N670" s="381"/>
      <c r="O670" s="381"/>
      <c r="P670" s="381"/>
    </row>
    <row r="671" spans="3:16" ht="15.75" customHeight="1" x14ac:dyDescent="0.45">
      <c r="C671" s="382"/>
      <c r="D671" s="382"/>
      <c r="E671" s="382"/>
      <c r="F671" s="382"/>
      <c r="G671" s="382"/>
      <c r="L671" s="381"/>
      <c r="M671" s="381"/>
      <c r="N671" s="381"/>
      <c r="O671" s="381"/>
      <c r="P671" s="381"/>
    </row>
    <row r="672" spans="3:16" ht="15.75" customHeight="1" x14ac:dyDescent="0.45">
      <c r="C672" s="382"/>
      <c r="D672" s="382"/>
      <c r="E672" s="382"/>
      <c r="F672" s="382"/>
      <c r="G672" s="382"/>
      <c r="L672" s="381"/>
      <c r="M672" s="381"/>
      <c r="N672" s="381"/>
      <c r="O672" s="381"/>
      <c r="P672" s="381"/>
    </row>
    <row r="673" spans="3:16" ht="15.75" customHeight="1" x14ac:dyDescent="0.45">
      <c r="C673" s="382"/>
      <c r="D673" s="382"/>
      <c r="E673" s="382"/>
      <c r="F673" s="382"/>
      <c r="G673" s="382"/>
      <c r="L673" s="381"/>
      <c r="M673" s="381"/>
      <c r="N673" s="381"/>
      <c r="O673" s="381"/>
      <c r="P673" s="381"/>
    </row>
    <row r="674" spans="3:16" ht="15.75" customHeight="1" x14ac:dyDescent="0.45">
      <c r="C674" s="382"/>
      <c r="D674" s="382"/>
      <c r="E674" s="382"/>
      <c r="F674" s="382"/>
      <c r="G674" s="382"/>
      <c r="L674" s="381"/>
      <c r="M674" s="381"/>
      <c r="N674" s="381"/>
      <c r="O674" s="381"/>
      <c r="P674" s="381"/>
    </row>
    <row r="675" spans="3:16" ht="15.75" customHeight="1" x14ac:dyDescent="0.45">
      <c r="C675" s="382"/>
      <c r="D675" s="382"/>
      <c r="E675" s="382"/>
      <c r="F675" s="382"/>
      <c r="G675" s="382"/>
      <c r="L675" s="381"/>
      <c r="M675" s="381"/>
      <c r="N675" s="381"/>
      <c r="O675" s="381"/>
      <c r="P675" s="381"/>
    </row>
    <row r="676" spans="3:16" ht="15.75" customHeight="1" x14ac:dyDescent="0.45">
      <c r="C676" s="382"/>
      <c r="D676" s="382"/>
      <c r="E676" s="382"/>
      <c r="F676" s="382"/>
      <c r="G676" s="382"/>
      <c r="L676" s="381"/>
      <c r="M676" s="381"/>
      <c r="N676" s="381"/>
      <c r="O676" s="381"/>
      <c r="P676" s="381"/>
    </row>
    <row r="677" spans="3:16" ht="15.75" customHeight="1" x14ac:dyDescent="0.45">
      <c r="C677" s="382"/>
      <c r="D677" s="382"/>
      <c r="E677" s="382"/>
      <c r="F677" s="382"/>
      <c r="G677" s="382"/>
      <c r="L677" s="381"/>
      <c r="M677" s="381"/>
      <c r="N677" s="381"/>
      <c r="O677" s="381"/>
      <c r="P677" s="381"/>
    </row>
    <row r="678" spans="3:16" ht="15.75" customHeight="1" x14ac:dyDescent="0.45">
      <c r="C678" s="382"/>
      <c r="D678" s="382"/>
      <c r="E678" s="382"/>
      <c r="F678" s="382"/>
      <c r="G678" s="382"/>
      <c r="L678" s="381"/>
      <c r="M678" s="381"/>
      <c r="N678" s="381"/>
      <c r="O678" s="381"/>
      <c r="P678" s="381"/>
    </row>
    <row r="679" spans="3:16" ht="15.75" customHeight="1" x14ac:dyDescent="0.45">
      <c r="C679" s="382"/>
      <c r="D679" s="382"/>
      <c r="E679" s="382"/>
      <c r="F679" s="382"/>
      <c r="G679" s="382"/>
      <c r="L679" s="381"/>
      <c r="M679" s="381"/>
      <c r="N679" s="381"/>
      <c r="O679" s="381"/>
      <c r="P679" s="381"/>
    </row>
    <row r="680" spans="3:16" ht="15.75" customHeight="1" x14ac:dyDescent="0.45">
      <c r="C680" s="382"/>
      <c r="D680" s="382"/>
      <c r="E680" s="382"/>
      <c r="F680" s="382"/>
      <c r="G680" s="382"/>
      <c r="L680" s="381"/>
      <c r="M680" s="381"/>
      <c r="N680" s="381"/>
      <c r="O680" s="381"/>
      <c r="P680" s="381"/>
    </row>
    <row r="681" spans="3:16" ht="15.75" customHeight="1" x14ac:dyDescent="0.45">
      <c r="C681" s="382"/>
      <c r="D681" s="382"/>
      <c r="E681" s="382"/>
      <c r="F681" s="382"/>
      <c r="G681" s="382"/>
      <c r="L681" s="381"/>
      <c r="M681" s="381"/>
      <c r="N681" s="381"/>
      <c r="O681" s="381"/>
      <c r="P681" s="381"/>
    </row>
    <row r="682" spans="3:16" ht="15.75" customHeight="1" x14ac:dyDescent="0.45">
      <c r="C682" s="382"/>
      <c r="D682" s="382"/>
      <c r="E682" s="382"/>
      <c r="F682" s="382"/>
      <c r="G682" s="382"/>
      <c r="L682" s="381"/>
      <c r="M682" s="381"/>
      <c r="N682" s="381"/>
      <c r="O682" s="381"/>
      <c r="P682" s="381"/>
    </row>
    <row r="683" spans="3:16" ht="15.75" customHeight="1" x14ac:dyDescent="0.45">
      <c r="C683" s="382"/>
      <c r="D683" s="382"/>
      <c r="E683" s="382"/>
      <c r="F683" s="382"/>
      <c r="G683" s="382"/>
      <c r="L683" s="381"/>
      <c r="M683" s="381"/>
      <c r="N683" s="381"/>
      <c r="O683" s="381"/>
      <c r="P683" s="381"/>
    </row>
    <row r="684" spans="3:16" ht="15.75" customHeight="1" x14ac:dyDescent="0.45">
      <c r="C684" s="382"/>
      <c r="D684" s="382"/>
      <c r="E684" s="382"/>
      <c r="F684" s="382"/>
      <c r="G684" s="382"/>
      <c r="L684" s="381"/>
      <c r="M684" s="381"/>
      <c r="N684" s="381"/>
      <c r="O684" s="381"/>
      <c r="P684" s="381"/>
    </row>
    <row r="685" spans="3:16" ht="15.75" customHeight="1" x14ac:dyDescent="0.45">
      <c r="C685" s="382"/>
      <c r="D685" s="382"/>
      <c r="E685" s="382"/>
      <c r="F685" s="382"/>
      <c r="G685" s="382"/>
      <c r="L685" s="381"/>
      <c r="M685" s="381"/>
      <c r="N685" s="381"/>
      <c r="O685" s="381"/>
      <c r="P685" s="381"/>
    </row>
    <row r="686" spans="3:16" ht="15.75" customHeight="1" x14ac:dyDescent="0.45">
      <c r="C686" s="382"/>
      <c r="D686" s="382"/>
      <c r="E686" s="382"/>
      <c r="F686" s="382"/>
      <c r="G686" s="382"/>
      <c r="L686" s="381"/>
      <c r="M686" s="381"/>
      <c r="N686" s="381"/>
      <c r="O686" s="381"/>
      <c r="P686" s="381"/>
    </row>
    <row r="687" spans="3:16" ht="15.75" customHeight="1" x14ac:dyDescent="0.45">
      <c r="C687" s="382"/>
      <c r="D687" s="382"/>
      <c r="E687" s="382"/>
      <c r="F687" s="382"/>
      <c r="G687" s="382"/>
      <c r="L687" s="381"/>
      <c r="M687" s="381"/>
      <c r="N687" s="381"/>
      <c r="O687" s="381"/>
      <c r="P687" s="381"/>
    </row>
    <row r="688" spans="3:16" ht="15.75" customHeight="1" x14ac:dyDescent="0.45">
      <c r="C688" s="382"/>
      <c r="D688" s="382"/>
      <c r="E688" s="382"/>
      <c r="F688" s="382"/>
      <c r="G688" s="382"/>
      <c r="L688" s="381"/>
      <c r="M688" s="381"/>
      <c r="N688" s="381"/>
      <c r="O688" s="381"/>
      <c r="P688" s="381"/>
    </row>
    <row r="689" spans="3:16" ht="15.75" customHeight="1" x14ac:dyDescent="0.45">
      <c r="C689" s="382"/>
      <c r="D689" s="382"/>
      <c r="E689" s="382"/>
      <c r="F689" s="382"/>
      <c r="G689" s="382"/>
      <c r="L689" s="381"/>
      <c r="M689" s="381"/>
      <c r="N689" s="381"/>
      <c r="O689" s="381"/>
      <c r="P689" s="381"/>
    </row>
    <row r="690" spans="3:16" ht="15.75" customHeight="1" x14ac:dyDescent="0.45">
      <c r="C690" s="382"/>
      <c r="D690" s="382"/>
      <c r="E690" s="382"/>
      <c r="F690" s="382"/>
      <c r="G690" s="382"/>
      <c r="L690" s="381"/>
      <c r="M690" s="381"/>
      <c r="N690" s="381"/>
      <c r="O690" s="381"/>
      <c r="P690" s="381"/>
    </row>
    <row r="691" spans="3:16" ht="15.75" customHeight="1" x14ac:dyDescent="0.45">
      <c r="C691" s="382"/>
      <c r="D691" s="382"/>
      <c r="E691" s="382"/>
      <c r="F691" s="382"/>
      <c r="G691" s="382"/>
      <c r="L691" s="381"/>
      <c r="M691" s="381"/>
      <c r="N691" s="381"/>
      <c r="O691" s="381"/>
      <c r="P691" s="381"/>
    </row>
    <row r="692" spans="3:16" ht="15.75" customHeight="1" x14ac:dyDescent="0.45">
      <c r="C692" s="382"/>
      <c r="D692" s="382"/>
      <c r="E692" s="382"/>
      <c r="F692" s="382"/>
      <c r="G692" s="382"/>
      <c r="L692" s="381"/>
      <c r="M692" s="381"/>
      <c r="N692" s="381"/>
      <c r="O692" s="381"/>
      <c r="P692" s="381"/>
    </row>
    <row r="693" spans="3:16" ht="15.75" customHeight="1" x14ac:dyDescent="0.45">
      <c r="C693" s="382"/>
      <c r="D693" s="382"/>
      <c r="E693" s="382"/>
      <c r="F693" s="382"/>
      <c r="G693" s="382"/>
      <c r="L693" s="381"/>
      <c r="M693" s="381"/>
      <c r="N693" s="381"/>
      <c r="O693" s="381"/>
      <c r="P693" s="381"/>
    </row>
    <row r="694" spans="3:16" ht="15.75" customHeight="1" x14ac:dyDescent="0.45">
      <c r="C694" s="382"/>
      <c r="D694" s="382"/>
      <c r="E694" s="382"/>
      <c r="F694" s="382"/>
      <c r="G694" s="382"/>
      <c r="L694" s="381"/>
      <c r="M694" s="381"/>
      <c r="N694" s="381"/>
      <c r="O694" s="381"/>
      <c r="P694" s="381"/>
    </row>
    <row r="695" spans="3:16" ht="15.75" customHeight="1" x14ac:dyDescent="0.45">
      <c r="C695" s="382"/>
      <c r="D695" s="382"/>
      <c r="E695" s="382"/>
      <c r="F695" s="382"/>
      <c r="G695" s="382"/>
      <c r="L695" s="381"/>
      <c r="M695" s="381"/>
      <c r="N695" s="381"/>
      <c r="O695" s="381"/>
      <c r="P695" s="381"/>
    </row>
    <row r="696" spans="3:16" ht="15.75" customHeight="1" x14ac:dyDescent="0.45">
      <c r="C696" s="382"/>
      <c r="D696" s="382"/>
      <c r="E696" s="382"/>
      <c r="F696" s="382"/>
      <c r="G696" s="382"/>
      <c r="L696" s="381"/>
      <c r="M696" s="381"/>
      <c r="N696" s="381"/>
      <c r="O696" s="381"/>
      <c r="P696" s="381"/>
    </row>
    <row r="697" spans="3:16" ht="15.75" customHeight="1" x14ac:dyDescent="0.45">
      <c r="C697" s="382"/>
      <c r="D697" s="382"/>
      <c r="E697" s="382"/>
      <c r="F697" s="382"/>
      <c r="G697" s="382"/>
      <c r="L697" s="381"/>
      <c r="M697" s="381"/>
      <c r="N697" s="381"/>
      <c r="O697" s="381"/>
      <c r="P697" s="381"/>
    </row>
    <row r="698" spans="3:16" ht="15.75" customHeight="1" x14ac:dyDescent="0.45">
      <c r="C698" s="382"/>
      <c r="D698" s="382"/>
      <c r="E698" s="382"/>
      <c r="F698" s="382"/>
      <c r="G698" s="382"/>
      <c r="L698" s="381"/>
      <c r="M698" s="381"/>
      <c r="N698" s="381"/>
      <c r="O698" s="381"/>
      <c r="P698" s="381"/>
    </row>
    <row r="699" spans="3:16" ht="15.75" customHeight="1" x14ac:dyDescent="0.45">
      <c r="C699" s="382"/>
      <c r="D699" s="382"/>
      <c r="E699" s="382"/>
      <c r="F699" s="382"/>
      <c r="G699" s="382"/>
      <c r="L699" s="381"/>
      <c r="M699" s="381"/>
      <c r="N699" s="381"/>
      <c r="O699" s="381"/>
      <c r="P699" s="381"/>
    </row>
    <row r="700" spans="3:16" ht="15.75" customHeight="1" x14ac:dyDescent="0.45">
      <c r="C700" s="382"/>
      <c r="D700" s="382"/>
      <c r="E700" s="382"/>
      <c r="F700" s="382"/>
      <c r="G700" s="382"/>
      <c r="L700" s="381"/>
      <c r="M700" s="381"/>
      <c r="N700" s="381"/>
      <c r="O700" s="381"/>
      <c r="P700" s="381"/>
    </row>
    <row r="701" spans="3:16" ht="15.75" customHeight="1" x14ac:dyDescent="0.45">
      <c r="C701" s="382"/>
      <c r="D701" s="382"/>
      <c r="E701" s="382"/>
      <c r="F701" s="382"/>
      <c r="G701" s="382"/>
      <c r="L701" s="381"/>
      <c r="M701" s="381"/>
      <c r="N701" s="381"/>
      <c r="O701" s="381"/>
      <c r="P701" s="381"/>
    </row>
    <row r="702" spans="3:16" ht="15.75" customHeight="1" x14ac:dyDescent="0.45">
      <c r="C702" s="382"/>
      <c r="D702" s="382"/>
      <c r="E702" s="382"/>
      <c r="F702" s="382"/>
      <c r="G702" s="382"/>
      <c r="L702" s="381"/>
      <c r="M702" s="381"/>
      <c r="N702" s="381"/>
      <c r="O702" s="381"/>
      <c r="P702" s="381"/>
    </row>
    <row r="703" spans="3:16" ht="15.75" customHeight="1" x14ac:dyDescent="0.45">
      <c r="C703" s="382"/>
      <c r="D703" s="382"/>
      <c r="E703" s="382"/>
      <c r="F703" s="382"/>
      <c r="G703" s="382"/>
      <c r="L703" s="381"/>
      <c r="M703" s="381"/>
      <c r="N703" s="381"/>
      <c r="O703" s="381"/>
      <c r="P703" s="381"/>
    </row>
    <row r="704" spans="3:16" ht="15.75" customHeight="1" x14ac:dyDescent="0.45">
      <c r="C704" s="382"/>
      <c r="D704" s="382"/>
      <c r="E704" s="382"/>
      <c r="F704" s="382"/>
      <c r="G704" s="382"/>
      <c r="L704" s="381"/>
      <c r="M704" s="381"/>
      <c r="N704" s="381"/>
      <c r="O704" s="381"/>
      <c r="P704" s="381"/>
    </row>
    <row r="705" spans="3:16" ht="15.75" customHeight="1" x14ac:dyDescent="0.45">
      <c r="C705" s="382"/>
      <c r="D705" s="382"/>
      <c r="E705" s="382"/>
      <c r="F705" s="382"/>
      <c r="G705" s="382"/>
      <c r="L705" s="381"/>
      <c r="M705" s="381"/>
      <c r="N705" s="381"/>
      <c r="O705" s="381"/>
      <c r="P705" s="381"/>
    </row>
    <row r="706" spans="3:16" ht="15.75" customHeight="1" x14ac:dyDescent="0.45">
      <c r="C706" s="382"/>
      <c r="D706" s="382"/>
      <c r="E706" s="382"/>
      <c r="F706" s="382"/>
      <c r="G706" s="382"/>
      <c r="L706" s="381"/>
      <c r="M706" s="381"/>
      <c r="N706" s="381"/>
      <c r="O706" s="381"/>
      <c r="P706" s="381"/>
    </row>
    <row r="707" spans="3:16" ht="15.75" customHeight="1" x14ac:dyDescent="0.45">
      <c r="C707" s="382"/>
      <c r="D707" s="382"/>
      <c r="E707" s="382"/>
      <c r="F707" s="382"/>
      <c r="G707" s="382"/>
      <c r="L707" s="381"/>
      <c r="M707" s="381"/>
      <c r="N707" s="381"/>
      <c r="O707" s="381"/>
      <c r="P707" s="381"/>
    </row>
    <row r="708" spans="3:16" ht="15.75" customHeight="1" x14ac:dyDescent="0.45">
      <c r="C708" s="382"/>
      <c r="D708" s="382"/>
      <c r="E708" s="382"/>
      <c r="F708" s="382"/>
      <c r="G708" s="382"/>
      <c r="L708" s="381"/>
      <c r="M708" s="381"/>
      <c r="N708" s="381"/>
      <c r="O708" s="381"/>
      <c r="P708" s="381"/>
    </row>
    <row r="709" spans="3:16" ht="15.75" customHeight="1" x14ac:dyDescent="0.45">
      <c r="C709" s="382"/>
      <c r="D709" s="382"/>
      <c r="E709" s="382"/>
      <c r="F709" s="382"/>
      <c r="G709" s="382"/>
      <c r="L709" s="381"/>
      <c r="M709" s="381"/>
      <c r="N709" s="381"/>
      <c r="O709" s="381"/>
      <c r="P709" s="381"/>
    </row>
    <row r="710" spans="3:16" ht="15.75" customHeight="1" x14ac:dyDescent="0.45">
      <c r="C710" s="382"/>
      <c r="D710" s="382"/>
      <c r="E710" s="382"/>
      <c r="F710" s="382"/>
      <c r="G710" s="382"/>
      <c r="L710" s="381"/>
      <c r="M710" s="381"/>
      <c r="N710" s="381"/>
      <c r="O710" s="381"/>
      <c r="P710" s="381"/>
    </row>
    <row r="711" spans="3:16" ht="15.75" customHeight="1" x14ac:dyDescent="0.45">
      <c r="C711" s="382"/>
      <c r="D711" s="382"/>
      <c r="E711" s="382"/>
      <c r="F711" s="382"/>
      <c r="G711" s="382"/>
      <c r="L711" s="381"/>
      <c r="M711" s="381"/>
      <c r="N711" s="381"/>
      <c r="O711" s="381"/>
      <c r="P711" s="381"/>
    </row>
    <row r="712" spans="3:16" ht="15.75" customHeight="1" x14ac:dyDescent="0.45">
      <c r="C712" s="382"/>
      <c r="D712" s="382"/>
      <c r="E712" s="382"/>
      <c r="F712" s="382"/>
      <c r="G712" s="382"/>
      <c r="L712" s="381"/>
      <c r="M712" s="381"/>
      <c r="N712" s="381"/>
      <c r="O712" s="381"/>
      <c r="P712" s="381"/>
    </row>
    <row r="713" spans="3:16" ht="15.75" customHeight="1" x14ac:dyDescent="0.45">
      <c r="C713" s="382"/>
      <c r="D713" s="382"/>
      <c r="E713" s="382"/>
      <c r="F713" s="382"/>
      <c r="G713" s="382"/>
      <c r="L713" s="381"/>
      <c r="M713" s="381"/>
      <c r="N713" s="381"/>
      <c r="O713" s="381"/>
      <c r="P713" s="381"/>
    </row>
    <row r="714" spans="3:16" ht="15.75" customHeight="1" x14ac:dyDescent="0.45">
      <c r="C714" s="382"/>
      <c r="D714" s="382"/>
      <c r="E714" s="382"/>
      <c r="F714" s="382"/>
      <c r="G714" s="382"/>
      <c r="L714" s="381"/>
      <c r="M714" s="381"/>
      <c r="N714" s="381"/>
      <c r="O714" s="381"/>
      <c r="P714" s="381"/>
    </row>
    <row r="715" spans="3:16" ht="15.75" customHeight="1" x14ac:dyDescent="0.45">
      <c r="C715" s="382"/>
      <c r="D715" s="382"/>
      <c r="E715" s="382"/>
      <c r="F715" s="382"/>
      <c r="G715" s="382"/>
      <c r="L715" s="381"/>
      <c r="M715" s="381"/>
      <c r="N715" s="381"/>
      <c r="O715" s="381"/>
      <c r="P715" s="381"/>
    </row>
    <row r="716" spans="3:16" ht="15.75" customHeight="1" x14ac:dyDescent="0.45">
      <c r="C716" s="382"/>
      <c r="D716" s="382"/>
      <c r="E716" s="382"/>
      <c r="F716" s="382"/>
      <c r="G716" s="382"/>
      <c r="L716" s="381"/>
      <c r="M716" s="381"/>
      <c r="N716" s="381"/>
      <c r="O716" s="381"/>
      <c r="P716" s="381"/>
    </row>
    <row r="717" spans="3:16" ht="15.75" customHeight="1" x14ac:dyDescent="0.45">
      <c r="C717" s="382"/>
      <c r="D717" s="382"/>
      <c r="E717" s="382"/>
      <c r="F717" s="382"/>
      <c r="G717" s="382"/>
      <c r="L717" s="381"/>
      <c r="M717" s="381"/>
      <c r="N717" s="381"/>
      <c r="O717" s="381"/>
      <c r="P717" s="381"/>
    </row>
    <row r="718" spans="3:16" ht="15.75" customHeight="1" x14ac:dyDescent="0.45">
      <c r="C718" s="382"/>
      <c r="D718" s="382"/>
      <c r="E718" s="382"/>
      <c r="F718" s="382"/>
      <c r="G718" s="382"/>
      <c r="L718" s="381"/>
      <c r="M718" s="381"/>
      <c r="N718" s="381"/>
      <c r="O718" s="381"/>
      <c r="P718" s="381"/>
    </row>
    <row r="719" spans="3:16" ht="15.75" customHeight="1" x14ac:dyDescent="0.45">
      <c r="C719" s="382"/>
      <c r="D719" s="382"/>
      <c r="E719" s="382"/>
      <c r="F719" s="382"/>
      <c r="G719" s="382"/>
      <c r="L719" s="381"/>
      <c r="M719" s="381"/>
      <c r="N719" s="381"/>
      <c r="O719" s="381"/>
      <c r="P719" s="381"/>
    </row>
    <row r="720" spans="3:16" ht="15.75" customHeight="1" x14ac:dyDescent="0.45">
      <c r="C720" s="382"/>
      <c r="D720" s="382"/>
      <c r="E720" s="382"/>
      <c r="F720" s="382"/>
      <c r="G720" s="382"/>
      <c r="L720" s="381"/>
      <c r="M720" s="381"/>
      <c r="N720" s="381"/>
      <c r="O720" s="381"/>
      <c r="P720" s="381"/>
    </row>
    <row r="721" spans="3:16" ht="15.75" customHeight="1" x14ac:dyDescent="0.45">
      <c r="C721" s="382"/>
      <c r="D721" s="382"/>
      <c r="E721" s="382"/>
      <c r="F721" s="382"/>
      <c r="G721" s="382"/>
      <c r="L721" s="381"/>
      <c r="M721" s="381"/>
      <c r="N721" s="381"/>
      <c r="O721" s="381"/>
      <c r="P721" s="381"/>
    </row>
    <row r="722" spans="3:16" ht="15.75" customHeight="1" x14ac:dyDescent="0.45">
      <c r="C722" s="382"/>
      <c r="D722" s="382"/>
      <c r="E722" s="382"/>
      <c r="F722" s="382"/>
      <c r="G722" s="382"/>
      <c r="L722" s="381"/>
      <c r="M722" s="381"/>
      <c r="N722" s="381"/>
      <c r="O722" s="381"/>
      <c r="P722" s="381"/>
    </row>
    <row r="723" spans="3:16" ht="15.75" customHeight="1" x14ac:dyDescent="0.45">
      <c r="C723" s="382"/>
      <c r="D723" s="382"/>
      <c r="E723" s="382"/>
      <c r="F723" s="382"/>
      <c r="G723" s="382"/>
      <c r="L723" s="381"/>
      <c r="M723" s="381"/>
      <c r="N723" s="381"/>
      <c r="O723" s="381"/>
      <c r="P723" s="381"/>
    </row>
    <row r="724" spans="3:16" ht="15.75" customHeight="1" x14ac:dyDescent="0.45">
      <c r="C724" s="382"/>
      <c r="D724" s="382"/>
      <c r="E724" s="382"/>
      <c r="F724" s="382"/>
      <c r="G724" s="382"/>
      <c r="L724" s="381"/>
      <c r="M724" s="381"/>
      <c r="N724" s="381"/>
      <c r="O724" s="381"/>
      <c r="P724" s="381"/>
    </row>
    <row r="725" spans="3:16" ht="15.75" customHeight="1" x14ac:dyDescent="0.45">
      <c r="C725" s="382"/>
      <c r="D725" s="382"/>
      <c r="E725" s="382"/>
      <c r="F725" s="382"/>
      <c r="G725" s="382"/>
      <c r="L725" s="381"/>
      <c r="M725" s="381"/>
      <c r="N725" s="381"/>
      <c r="O725" s="381"/>
      <c r="P725" s="381"/>
    </row>
    <row r="726" spans="3:16" ht="15.75" customHeight="1" x14ac:dyDescent="0.45">
      <c r="C726" s="382"/>
      <c r="D726" s="382"/>
      <c r="E726" s="382"/>
      <c r="F726" s="382"/>
      <c r="G726" s="382"/>
      <c r="L726" s="381"/>
      <c r="M726" s="381"/>
      <c r="N726" s="381"/>
      <c r="O726" s="381"/>
      <c r="P726" s="381"/>
    </row>
    <row r="727" spans="3:16" ht="15.75" customHeight="1" x14ac:dyDescent="0.45">
      <c r="C727" s="382"/>
      <c r="D727" s="382"/>
      <c r="E727" s="382"/>
      <c r="F727" s="382"/>
      <c r="G727" s="382"/>
      <c r="L727" s="381"/>
      <c r="M727" s="381"/>
      <c r="N727" s="381"/>
      <c r="O727" s="381"/>
      <c r="P727" s="381"/>
    </row>
    <row r="728" spans="3:16" ht="15.75" customHeight="1" x14ac:dyDescent="0.45">
      <c r="C728" s="382"/>
      <c r="D728" s="382"/>
      <c r="E728" s="382"/>
      <c r="F728" s="382"/>
      <c r="G728" s="382"/>
      <c r="L728" s="381"/>
      <c r="M728" s="381"/>
      <c r="N728" s="381"/>
      <c r="O728" s="381"/>
      <c r="P728" s="381"/>
    </row>
    <row r="729" spans="3:16" ht="15.75" customHeight="1" x14ac:dyDescent="0.45">
      <c r="C729" s="382"/>
      <c r="D729" s="382"/>
      <c r="E729" s="382"/>
      <c r="F729" s="382"/>
      <c r="G729" s="382"/>
      <c r="L729" s="381"/>
      <c r="M729" s="381"/>
      <c r="N729" s="381"/>
      <c r="O729" s="381"/>
      <c r="P729" s="381"/>
    </row>
    <row r="730" spans="3:16" ht="15.75" customHeight="1" x14ac:dyDescent="0.45">
      <c r="C730" s="382"/>
      <c r="D730" s="382"/>
      <c r="E730" s="382"/>
      <c r="F730" s="382"/>
      <c r="G730" s="382"/>
      <c r="L730" s="381"/>
      <c r="M730" s="381"/>
      <c r="N730" s="381"/>
      <c r="O730" s="381"/>
      <c r="P730" s="381"/>
    </row>
    <row r="731" spans="3:16" ht="15.75" customHeight="1" x14ac:dyDescent="0.45">
      <c r="C731" s="382"/>
      <c r="D731" s="382"/>
      <c r="E731" s="382"/>
      <c r="F731" s="382"/>
      <c r="G731" s="382"/>
      <c r="L731" s="381"/>
      <c r="M731" s="381"/>
      <c r="N731" s="381"/>
      <c r="O731" s="381"/>
      <c r="P731" s="381"/>
    </row>
    <row r="732" spans="3:16" ht="15.75" customHeight="1" x14ac:dyDescent="0.45">
      <c r="C732" s="382"/>
      <c r="D732" s="382"/>
      <c r="E732" s="382"/>
      <c r="F732" s="382"/>
      <c r="G732" s="382"/>
      <c r="L732" s="381"/>
      <c r="M732" s="381"/>
      <c r="N732" s="381"/>
      <c r="O732" s="381"/>
      <c r="P732" s="381"/>
    </row>
    <row r="733" spans="3:16" ht="15.75" customHeight="1" x14ac:dyDescent="0.45">
      <c r="C733" s="382"/>
      <c r="D733" s="382"/>
      <c r="E733" s="382"/>
      <c r="F733" s="382"/>
      <c r="G733" s="382"/>
      <c r="L733" s="381"/>
      <c r="M733" s="381"/>
      <c r="N733" s="381"/>
      <c r="O733" s="381"/>
      <c r="P733" s="381"/>
    </row>
    <row r="734" spans="3:16" ht="15.75" customHeight="1" x14ac:dyDescent="0.45">
      <c r="C734" s="382"/>
      <c r="D734" s="382"/>
      <c r="E734" s="382"/>
      <c r="F734" s="382"/>
      <c r="G734" s="382"/>
      <c r="L734" s="381"/>
      <c r="M734" s="381"/>
      <c r="N734" s="381"/>
      <c r="O734" s="381"/>
      <c r="P734" s="381"/>
    </row>
    <row r="735" spans="3:16" ht="15.75" customHeight="1" x14ac:dyDescent="0.45">
      <c r="C735" s="382"/>
      <c r="D735" s="382"/>
      <c r="E735" s="382"/>
      <c r="F735" s="382"/>
      <c r="G735" s="382"/>
      <c r="L735" s="381"/>
      <c r="M735" s="381"/>
      <c r="N735" s="381"/>
      <c r="O735" s="381"/>
      <c r="P735" s="381"/>
    </row>
    <row r="736" spans="3:16" ht="15.75" customHeight="1" x14ac:dyDescent="0.45">
      <c r="C736" s="382"/>
      <c r="D736" s="382"/>
      <c r="E736" s="382"/>
      <c r="F736" s="382"/>
      <c r="G736" s="382"/>
      <c r="L736" s="381"/>
      <c r="M736" s="381"/>
      <c r="N736" s="381"/>
      <c r="O736" s="381"/>
      <c r="P736" s="381"/>
    </row>
    <row r="737" spans="3:16" ht="15.75" customHeight="1" x14ac:dyDescent="0.45">
      <c r="C737" s="382"/>
      <c r="D737" s="382"/>
      <c r="E737" s="382"/>
      <c r="F737" s="382"/>
      <c r="G737" s="382"/>
      <c r="L737" s="381"/>
      <c r="M737" s="381"/>
      <c r="N737" s="381"/>
      <c r="O737" s="381"/>
      <c r="P737" s="381"/>
    </row>
    <row r="738" spans="3:16" ht="15.75" customHeight="1" x14ac:dyDescent="0.45">
      <c r="C738" s="382"/>
      <c r="D738" s="382"/>
      <c r="E738" s="382"/>
      <c r="F738" s="382"/>
      <c r="G738" s="382"/>
      <c r="L738" s="381"/>
      <c r="M738" s="381"/>
      <c r="N738" s="381"/>
      <c r="O738" s="381"/>
      <c r="P738" s="381"/>
    </row>
    <row r="739" spans="3:16" ht="15.75" customHeight="1" x14ac:dyDescent="0.45">
      <c r="C739" s="382"/>
      <c r="D739" s="382"/>
      <c r="E739" s="382"/>
      <c r="F739" s="382"/>
      <c r="G739" s="382"/>
      <c r="L739" s="381"/>
      <c r="M739" s="381"/>
      <c r="N739" s="381"/>
      <c r="O739" s="381"/>
      <c r="P739" s="381"/>
    </row>
    <row r="740" spans="3:16" ht="15.75" customHeight="1" x14ac:dyDescent="0.45">
      <c r="C740" s="382"/>
      <c r="D740" s="382"/>
      <c r="E740" s="382"/>
      <c r="F740" s="382"/>
      <c r="G740" s="382"/>
      <c r="L740" s="381"/>
      <c r="M740" s="381"/>
      <c r="N740" s="381"/>
      <c r="O740" s="381"/>
      <c r="P740" s="381"/>
    </row>
    <row r="741" spans="3:16" ht="15.75" customHeight="1" x14ac:dyDescent="0.45">
      <c r="C741" s="382"/>
      <c r="D741" s="382"/>
      <c r="E741" s="382"/>
      <c r="F741" s="382"/>
      <c r="G741" s="382"/>
      <c r="L741" s="381"/>
      <c r="M741" s="381"/>
      <c r="N741" s="381"/>
      <c r="O741" s="381"/>
      <c r="P741" s="381"/>
    </row>
    <row r="742" spans="3:16" ht="15.75" customHeight="1" x14ac:dyDescent="0.45">
      <c r="C742" s="382"/>
      <c r="D742" s="382"/>
      <c r="E742" s="382"/>
      <c r="F742" s="382"/>
      <c r="G742" s="382"/>
      <c r="L742" s="381"/>
      <c r="M742" s="381"/>
      <c r="N742" s="381"/>
      <c r="O742" s="381"/>
      <c r="P742" s="381"/>
    </row>
    <row r="743" spans="3:16" ht="15.75" customHeight="1" x14ac:dyDescent="0.45">
      <c r="C743" s="382"/>
      <c r="D743" s="382"/>
      <c r="E743" s="382"/>
      <c r="F743" s="382"/>
      <c r="G743" s="382"/>
      <c r="L743" s="381"/>
      <c r="M743" s="381"/>
      <c r="N743" s="381"/>
      <c r="O743" s="381"/>
      <c r="P743" s="381"/>
    </row>
    <row r="744" spans="3:16" ht="15.75" customHeight="1" x14ac:dyDescent="0.45">
      <c r="C744" s="382"/>
      <c r="D744" s="382"/>
      <c r="E744" s="382"/>
      <c r="F744" s="382"/>
      <c r="G744" s="382"/>
      <c r="L744" s="381"/>
      <c r="M744" s="381"/>
      <c r="N744" s="381"/>
      <c r="O744" s="381"/>
      <c r="P744" s="381"/>
    </row>
    <row r="745" spans="3:16" ht="15.75" customHeight="1" x14ac:dyDescent="0.45">
      <c r="C745" s="382"/>
      <c r="D745" s="382"/>
      <c r="E745" s="382"/>
      <c r="F745" s="382"/>
      <c r="G745" s="382"/>
      <c r="L745" s="381"/>
      <c r="M745" s="381"/>
      <c r="N745" s="381"/>
      <c r="O745" s="381"/>
      <c r="P745" s="381"/>
    </row>
    <row r="746" spans="3:16" ht="15.75" customHeight="1" x14ac:dyDescent="0.45">
      <c r="C746" s="382"/>
      <c r="D746" s="382"/>
      <c r="E746" s="382"/>
      <c r="F746" s="382"/>
      <c r="G746" s="382"/>
      <c r="L746" s="381"/>
      <c r="M746" s="381"/>
      <c r="N746" s="381"/>
      <c r="O746" s="381"/>
      <c r="P746" s="381"/>
    </row>
    <row r="747" spans="3:16" ht="15.75" customHeight="1" x14ac:dyDescent="0.45">
      <c r="C747" s="382"/>
      <c r="D747" s="382"/>
      <c r="E747" s="382"/>
      <c r="F747" s="382"/>
      <c r="G747" s="382"/>
      <c r="L747" s="381"/>
      <c r="M747" s="381"/>
      <c r="N747" s="381"/>
      <c r="O747" s="381"/>
      <c r="P747" s="381"/>
    </row>
    <row r="748" spans="3:16" ht="15.75" customHeight="1" x14ac:dyDescent="0.45">
      <c r="C748" s="382"/>
      <c r="D748" s="382"/>
      <c r="E748" s="382"/>
      <c r="F748" s="382"/>
      <c r="G748" s="382"/>
      <c r="L748" s="381"/>
      <c r="M748" s="381"/>
      <c r="N748" s="381"/>
      <c r="O748" s="381"/>
      <c r="P748" s="381"/>
    </row>
    <row r="749" spans="3:16" ht="15.75" customHeight="1" x14ac:dyDescent="0.45">
      <c r="C749" s="382"/>
      <c r="D749" s="382"/>
      <c r="E749" s="382"/>
      <c r="F749" s="382"/>
      <c r="G749" s="382"/>
      <c r="L749" s="381"/>
      <c r="M749" s="381"/>
      <c r="N749" s="381"/>
      <c r="O749" s="381"/>
      <c r="P749" s="381"/>
    </row>
    <row r="750" spans="3:16" ht="15.75" customHeight="1" x14ac:dyDescent="0.45">
      <c r="C750" s="382"/>
      <c r="D750" s="382"/>
      <c r="E750" s="382"/>
      <c r="F750" s="382"/>
      <c r="G750" s="382"/>
      <c r="L750" s="381"/>
      <c r="M750" s="381"/>
      <c r="N750" s="381"/>
      <c r="O750" s="381"/>
      <c r="P750" s="381"/>
    </row>
    <row r="751" spans="3:16" ht="15.75" customHeight="1" x14ac:dyDescent="0.45">
      <c r="C751" s="382"/>
      <c r="D751" s="382"/>
      <c r="E751" s="382"/>
      <c r="F751" s="382"/>
      <c r="G751" s="382"/>
      <c r="L751" s="381"/>
      <c r="M751" s="381"/>
      <c r="N751" s="381"/>
      <c r="O751" s="381"/>
      <c r="P751" s="381"/>
    </row>
    <row r="752" spans="3:16" ht="15.75" customHeight="1" x14ac:dyDescent="0.45">
      <c r="C752" s="382"/>
      <c r="D752" s="382"/>
      <c r="E752" s="382"/>
      <c r="F752" s="382"/>
      <c r="G752" s="382"/>
      <c r="L752" s="381"/>
      <c r="M752" s="381"/>
      <c r="N752" s="381"/>
      <c r="O752" s="381"/>
      <c r="P752" s="381"/>
    </row>
    <row r="753" spans="3:16" ht="15.75" customHeight="1" x14ac:dyDescent="0.45">
      <c r="C753" s="382"/>
      <c r="D753" s="382"/>
      <c r="E753" s="382"/>
      <c r="F753" s="382"/>
      <c r="G753" s="382"/>
      <c r="L753" s="381"/>
      <c r="M753" s="381"/>
      <c r="N753" s="381"/>
      <c r="O753" s="381"/>
      <c r="P753" s="381"/>
    </row>
    <row r="754" spans="3:16" ht="15.75" customHeight="1" x14ac:dyDescent="0.45">
      <c r="C754" s="382"/>
      <c r="D754" s="382"/>
      <c r="E754" s="382"/>
      <c r="F754" s="382"/>
      <c r="G754" s="382"/>
      <c r="L754" s="381"/>
      <c r="M754" s="381"/>
      <c r="N754" s="381"/>
      <c r="O754" s="381"/>
      <c r="P754" s="381"/>
    </row>
    <row r="755" spans="3:16" ht="15.75" customHeight="1" x14ac:dyDescent="0.45">
      <c r="C755" s="382"/>
      <c r="D755" s="382"/>
      <c r="E755" s="382"/>
      <c r="F755" s="382"/>
      <c r="G755" s="382"/>
      <c r="L755" s="381"/>
      <c r="M755" s="381"/>
      <c r="N755" s="381"/>
      <c r="O755" s="381"/>
      <c r="P755" s="381"/>
    </row>
    <row r="756" spans="3:16" ht="15.75" customHeight="1" x14ac:dyDescent="0.45">
      <c r="C756" s="382"/>
      <c r="D756" s="382"/>
      <c r="E756" s="382"/>
      <c r="F756" s="382"/>
      <c r="G756" s="382"/>
      <c r="L756" s="381"/>
      <c r="M756" s="381"/>
      <c r="N756" s="381"/>
      <c r="O756" s="381"/>
      <c r="P756" s="381"/>
    </row>
    <row r="757" spans="3:16" ht="15.75" customHeight="1" x14ac:dyDescent="0.45">
      <c r="C757" s="382"/>
      <c r="D757" s="382"/>
      <c r="E757" s="382"/>
      <c r="F757" s="382"/>
      <c r="G757" s="382"/>
      <c r="L757" s="381"/>
      <c r="M757" s="381"/>
      <c r="N757" s="381"/>
      <c r="O757" s="381"/>
      <c r="P757" s="381"/>
    </row>
    <row r="758" spans="3:16" ht="15.75" customHeight="1" x14ac:dyDescent="0.45">
      <c r="C758" s="382"/>
      <c r="D758" s="382"/>
      <c r="E758" s="382"/>
      <c r="F758" s="382"/>
      <c r="G758" s="382"/>
      <c r="L758" s="381"/>
      <c r="M758" s="381"/>
      <c r="N758" s="381"/>
      <c r="O758" s="381"/>
      <c r="P758" s="381"/>
    </row>
    <row r="759" spans="3:16" ht="15.75" customHeight="1" x14ac:dyDescent="0.45">
      <c r="C759" s="382"/>
      <c r="D759" s="382"/>
      <c r="E759" s="382"/>
      <c r="F759" s="382"/>
      <c r="G759" s="382"/>
      <c r="L759" s="381"/>
      <c r="M759" s="381"/>
      <c r="N759" s="381"/>
      <c r="O759" s="381"/>
      <c r="P759" s="381"/>
    </row>
    <row r="760" spans="3:16" ht="15.75" customHeight="1" x14ac:dyDescent="0.45">
      <c r="C760" s="382"/>
      <c r="D760" s="382"/>
      <c r="E760" s="382"/>
      <c r="F760" s="382"/>
      <c r="G760" s="382"/>
      <c r="L760" s="381"/>
      <c r="M760" s="381"/>
      <c r="N760" s="381"/>
      <c r="O760" s="381"/>
      <c r="P760" s="381"/>
    </row>
    <row r="761" spans="3:16" ht="15.75" customHeight="1" x14ac:dyDescent="0.45">
      <c r="C761" s="382"/>
      <c r="D761" s="382"/>
      <c r="E761" s="382"/>
      <c r="F761" s="382"/>
      <c r="G761" s="382"/>
      <c r="L761" s="381"/>
      <c r="M761" s="381"/>
      <c r="N761" s="381"/>
      <c r="O761" s="381"/>
      <c r="P761" s="381"/>
    </row>
    <row r="762" spans="3:16" ht="15.75" customHeight="1" x14ac:dyDescent="0.45">
      <c r="C762" s="382"/>
      <c r="D762" s="382"/>
      <c r="E762" s="382"/>
      <c r="F762" s="382"/>
      <c r="G762" s="382"/>
      <c r="L762" s="381"/>
      <c r="M762" s="381"/>
      <c r="N762" s="381"/>
      <c r="O762" s="381"/>
      <c r="P762" s="381"/>
    </row>
    <row r="763" spans="3:16" ht="15.75" customHeight="1" x14ac:dyDescent="0.45">
      <c r="C763" s="382"/>
      <c r="D763" s="382"/>
      <c r="E763" s="382"/>
      <c r="F763" s="382"/>
      <c r="G763" s="382"/>
      <c r="L763" s="381"/>
      <c r="M763" s="381"/>
      <c r="N763" s="381"/>
      <c r="O763" s="381"/>
      <c r="P763" s="381"/>
    </row>
    <row r="764" spans="3:16" ht="15.75" customHeight="1" x14ac:dyDescent="0.45">
      <c r="C764" s="382"/>
      <c r="D764" s="382"/>
      <c r="E764" s="382"/>
      <c r="F764" s="382"/>
      <c r="G764" s="382"/>
      <c r="L764" s="381"/>
      <c r="M764" s="381"/>
      <c r="N764" s="381"/>
      <c r="O764" s="381"/>
      <c r="P764" s="381"/>
    </row>
    <row r="765" spans="3:16" ht="15.75" customHeight="1" x14ac:dyDescent="0.45">
      <c r="C765" s="382"/>
      <c r="D765" s="382"/>
      <c r="E765" s="382"/>
      <c r="F765" s="382"/>
      <c r="G765" s="382"/>
      <c r="L765" s="381"/>
      <c r="M765" s="381"/>
      <c r="N765" s="381"/>
      <c r="O765" s="381"/>
      <c r="P765" s="381"/>
    </row>
    <row r="766" spans="3:16" ht="15.75" customHeight="1" x14ac:dyDescent="0.45">
      <c r="C766" s="382"/>
      <c r="D766" s="382"/>
      <c r="E766" s="382"/>
      <c r="F766" s="382"/>
      <c r="G766" s="382"/>
      <c r="L766" s="381"/>
      <c r="M766" s="381"/>
      <c r="N766" s="381"/>
      <c r="O766" s="381"/>
      <c r="P766" s="381"/>
    </row>
    <row r="767" spans="3:16" ht="15.75" customHeight="1" x14ac:dyDescent="0.45">
      <c r="C767" s="382"/>
      <c r="D767" s="382"/>
      <c r="E767" s="382"/>
      <c r="F767" s="382"/>
      <c r="G767" s="382"/>
      <c r="L767" s="381"/>
      <c r="M767" s="381"/>
      <c r="N767" s="381"/>
      <c r="O767" s="381"/>
      <c r="P767" s="381"/>
    </row>
    <row r="768" spans="3:16" ht="15.75" customHeight="1" x14ac:dyDescent="0.45">
      <c r="C768" s="382"/>
      <c r="D768" s="382"/>
      <c r="E768" s="382"/>
      <c r="F768" s="382"/>
      <c r="G768" s="382"/>
      <c r="L768" s="381"/>
      <c r="M768" s="381"/>
      <c r="N768" s="381"/>
      <c r="O768" s="381"/>
      <c r="P768" s="381"/>
    </row>
    <row r="769" spans="3:16" ht="15.75" customHeight="1" x14ac:dyDescent="0.45">
      <c r="C769" s="382"/>
      <c r="D769" s="382"/>
      <c r="E769" s="382"/>
      <c r="F769" s="382"/>
      <c r="G769" s="382"/>
      <c r="L769" s="381"/>
      <c r="M769" s="381"/>
      <c r="N769" s="381"/>
      <c r="O769" s="381"/>
      <c r="P769" s="381"/>
    </row>
    <row r="770" spans="3:16" ht="15.75" customHeight="1" x14ac:dyDescent="0.45">
      <c r="C770" s="382"/>
      <c r="D770" s="382"/>
      <c r="E770" s="382"/>
      <c r="F770" s="382"/>
      <c r="G770" s="382"/>
      <c r="L770" s="381"/>
      <c r="M770" s="381"/>
      <c r="N770" s="381"/>
      <c r="O770" s="381"/>
      <c r="P770" s="381"/>
    </row>
    <row r="771" spans="3:16" ht="15.75" customHeight="1" x14ac:dyDescent="0.45">
      <c r="C771" s="382"/>
      <c r="D771" s="382"/>
      <c r="E771" s="382"/>
      <c r="F771" s="382"/>
      <c r="G771" s="382"/>
      <c r="L771" s="381"/>
      <c r="M771" s="381"/>
      <c r="N771" s="381"/>
      <c r="O771" s="381"/>
      <c r="P771" s="381"/>
    </row>
    <row r="772" spans="3:16" ht="15.75" customHeight="1" x14ac:dyDescent="0.45">
      <c r="C772" s="382"/>
      <c r="D772" s="382"/>
      <c r="E772" s="382"/>
      <c r="F772" s="382"/>
      <c r="G772" s="382"/>
      <c r="L772" s="381"/>
      <c r="M772" s="381"/>
      <c r="N772" s="381"/>
      <c r="O772" s="381"/>
      <c r="P772" s="381"/>
    </row>
    <row r="773" spans="3:16" ht="15.75" customHeight="1" x14ac:dyDescent="0.45">
      <c r="C773" s="382"/>
      <c r="D773" s="382"/>
      <c r="E773" s="382"/>
      <c r="F773" s="382"/>
      <c r="G773" s="382"/>
      <c r="L773" s="381"/>
      <c r="M773" s="381"/>
      <c r="N773" s="381"/>
      <c r="O773" s="381"/>
      <c r="P773" s="381"/>
    </row>
    <row r="774" spans="3:16" ht="15.75" customHeight="1" x14ac:dyDescent="0.45">
      <c r="C774" s="382"/>
      <c r="D774" s="382"/>
      <c r="E774" s="382"/>
      <c r="F774" s="382"/>
      <c r="G774" s="382"/>
      <c r="L774" s="381"/>
      <c r="M774" s="381"/>
      <c r="N774" s="381"/>
      <c r="O774" s="381"/>
      <c r="P774" s="381"/>
    </row>
    <row r="775" spans="3:16" ht="15.75" customHeight="1" x14ac:dyDescent="0.45">
      <c r="C775" s="382"/>
      <c r="D775" s="382"/>
      <c r="E775" s="382"/>
      <c r="F775" s="382"/>
      <c r="G775" s="382"/>
      <c r="L775" s="381"/>
      <c r="M775" s="381"/>
      <c r="N775" s="381"/>
      <c r="O775" s="381"/>
      <c r="P775" s="381"/>
    </row>
    <row r="776" spans="3:16" ht="15.75" customHeight="1" x14ac:dyDescent="0.45">
      <c r="C776" s="382"/>
      <c r="D776" s="382"/>
      <c r="E776" s="382"/>
      <c r="F776" s="382"/>
      <c r="G776" s="382"/>
      <c r="L776" s="381"/>
      <c r="M776" s="381"/>
      <c r="N776" s="381"/>
      <c r="O776" s="381"/>
      <c r="P776" s="381"/>
    </row>
    <row r="777" spans="3:16" ht="15.75" customHeight="1" x14ac:dyDescent="0.45">
      <c r="C777" s="382"/>
      <c r="D777" s="382"/>
      <c r="E777" s="382"/>
      <c r="F777" s="382"/>
      <c r="G777" s="382"/>
      <c r="L777" s="381"/>
      <c r="M777" s="381"/>
      <c r="N777" s="381"/>
      <c r="O777" s="381"/>
      <c r="P777" s="381"/>
    </row>
    <row r="778" spans="3:16" ht="15.75" customHeight="1" x14ac:dyDescent="0.45">
      <c r="C778" s="382"/>
      <c r="D778" s="382"/>
      <c r="E778" s="382"/>
      <c r="F778" s="382"/>
      <c r="G778" s="382"/>
      <c r="L778" s="381"/>
      <c r="M778" s="381"/>
      <c r="N778" s="381"/>
      <c r="O778" s="381"/>
      <c r="P778" s="381"/>
    </row>
    <row r="779" spans="3:16" ht="15.75" customHeight="1" x14ac:dyDescent="0.45">
      <c r="C779" s="382"/>
      <c r="D779" s="382"/>
      <c r="E779" s="382"/>
      <c r="F779" s="382"/>
      <c r="G779" s="382"/>
      <c r="L779" s="381"/>
      <c r="M779" s="381"/>
      <c r="N779" s="381"/>
      <c r="O779" s="381"/>
      <c r="P779" s="381"/>
    </row>
    <row r="780" spans="3:16" ht="15.75" customHeight="1" x14ac:dyDescent="0.45">
      <c r="C780" s="382"/>
      <c r="D780" s="382"/>
      <c r="E780" s="382"/>
      <c r="F780" s="382"/>
      <c r="G780" s="382"/>
      <c r="L780" s="381"/>
      <c r="M780" s="381"/>
      <c r="N780" s="381"/>
      <c r="O780" s="381"/>
      <c r="P780" s="381"/>
    </row>
    <row r="781" spans="3:16" ht="15.75" customHeight="1" x14ac:dyDescent="0.45">
      <c r="C781" s="382"/>
      <c r="D781" s="382"/>
      <c r="E781" s="382"/>
      <c r="F781" s="382"/>
      <c r="G781" s="382"/>
      <c r="L781" s="381"/>
      <c r="M781" s="381"/>
      <c r="N781" s="381"/>
      <c r="O781" s="381"/>
      <c r="P781" s="381"/>
    </row>
    <row r="782" spans="3:16" ht="15.75" customHeight="1" x14ac:dyDescent="0.45">
      <c r="C782" s="382"/>
      <c r="D782" s="382"/>
      <c r="E782" s="382"/>
      <c r="F782" s="382"/>
      <c r="G782" s="382"/>
      <c r="L782" s="381"/>
      <c r="M782" s="381"/>
      <c r="N782" s="381"/>
      <c r="O782" s="381"/>
      <c r="P782" s="381"/>
    </row>
    <row r="783" spans="3:16" ht="15.75" customHeight="1" x14ac:dyDescent="0.45">
      <c r="C783" s="382"/>
      <c r="D783" s="382"/>
      <c r="E783" s="382"/>
      <c r="F783" s="382"/>
      <c r="G783" s="382"/>
      <c r="L783" s="381"/>
      <c r="M783" s="381"/>
      <c r="N783" s="381"/>
      <c r="O783" s="381"/>
      <c r="P783" s="381"/>
    </row>
    <row r="784" spans="3:16" ht="15.75" customHeight="1" x14ac:dyDescent="0.45">
      <c r="C784" s="382"/>
      <c r="D784" s="382"/>
      <c r="E784" s="382"/>
      <c r="F784" s="382"/>
      <c r="G784" s="382"/>
      <c r="L784" s="381"/>
      <c r="M784" s="381"/>
      <c r="N784" s="381"/>
      <c r="O784" s="381"/>
      <c r="P784" s="381"/>
    </row>
    <row r="785" spans="3:16" ht="15.75" customHeight="1" x14ac:dyDescent="0.45">
      <c r="C785" s="382"/>
      <c r="D785" s="382"/>
      <c r="E785" s="382"/>
      <c r="F785" s="382"/>
      <c r="G785" s="382"/>
      <c r="L785" s="381"/>
      <c r="M785" s="381"/>
      <c r="N785" s="381"/>
      <c r="O785" s="381"/>
      <c r="P785" s="381"/>
    </row>
    <row r="786" spans="3:16" ht="15.75" customHeight="1" x14ac:dyDescent="0.45">
      <c r="C786" s="382"/>
      <c r="D786" s="382"/>
      <c r="E786" s="382"/>
      <c r="F786" s="382"/>
      <c r="G786" s="382"/>
      <c r="L786" s="381"/>
      <c r="M786" s="381"/>
      <c r="N786" s="381"/>
      <c r="O786" s="381"/>
      <c r="P786" s="381"/>
    </row>
    <row r="787" spans="3:16" ht="15.75" customHeight="1" x14ac:dyDescent="0.45">
      <c r="C787" s="382"/>
      <c r="D787" s="382"/>
      <c r="E787" s="382"/>
      <c r="F787" s="382"/>
      <c r="G787" s="382"/>
      <c r="L787" s="381"/>
      <c r="M787" s="381"/>
      <c r="N787" s="381"/>
      <c r="O787" s="381"/>
      <c r="P787" s="381"/>
    </row>
    <row r="788" spans="3:16" ht="15.75" customHeight="1" x14ac:dyDescent="0.45">
      <c r="C788" s="382"/>
      <c r="D788" s="382"/>
      <c r="E788" s="382"/>
      <c r="F788" s="382"/>
      <c r="G788" s="382"/>
      <c r="L788" s="381"/>
      <c r="M788" s="381"/>
      <c r="N788" s="381"/>
      <c r="O788" s="381"/>
      <c r="P788" s="381"/>
    </row>
    <row r="789" spans="3:16" ht="15.75" customHeight="1" x14ac:dyDescent="0.45">
      <c r="C789" s="382"/>
      <c r="D789" s="382"/>
      <c r="E789" s="382"/>
      <c r="F789" s="382"/>
      <c r="G789" s="382"/>
      <c r="L789" s="381"/>
      <c r="M789" s="381"/>
      <c r="N789" s="381"/>
      <c r="O789" s="381"/>
      <c r="P789" s="381"/>
    </row>
    <row r="790" spans="3:16" ht="15.75" customHeight="1" x14ac:dyDescent="0.45">
      <c r="C790" s="382"/>
      <c r="D790" s="382"/>
      <c r="E790" s="382"/>
      <c r="F790" s="382"/>
      <c r="G790" s="382"/>
      <c r="L790" s="381"/>
      <c r="M790" s="381"/>
      <c r="N790" s="381"/>
      <c r="O790" s="381"/>
      <c r="P790" s="381"/>
    </row>
    <row r="791" spans="3:16" ht="15.75" customHeight="1" x14ac:dyDescent="0.45">
      <c r="C791" s="382"/>
      <c r="D791" s="382"/>
      <c r="E791" s="382"/>
      <c r="F791" s="382"/>
      <c r="G791" s="382"/>
      <c r="L791" s="381"/>
      <c r="M791" s="381"/>
      <c r="N791" s="381"/>
      <c r="O791" s="381"/>
      <c r="P791" s="381"/>
    </row>
    <row r="792" spans="3:16" ht="15.75" customHeight="1" x14ac:dyDescent="0.45">
      <c r="C792" s="382"/>
      <c r="D792" s="382"/>
      <c r="E792" s="382"/>
      <c r="F792" s="382"/>
      <c r="G792" s="382"/>
      <c r="L792" s="381"/>
      <c r="M792" s="381"/>
      <c r="N792" s="381"/>
      <c r="O792" s="381"/>
      <c r="P792" s="381"/>
    </row>
    <row r="793" spans="3:16" ht="15.75" customHeight="1" x14ac:dyDescent="0.45">
      <c r="C793" s="382"/>
      <c r="D793" s="382"/>
      <c r="E793" s="382"/>
      <c r="F793" s="382"/>
      <c r="G793" s="382"/>
      <c r="L793" s="381"/>
      <c r="M793" s="381"/>
      <c r="N793" s="381"/>
      <c r="O793" s="381"/>
      <c r="P793" s="381"/>
    </row>
    <row r="794" spans="3:16" ht="15.75" customHeight="1" x14ac:dyDescent="0.45">
      <c r="C794" s="382"/>
      <c r="D794" s="382"/>
      <c r="E794" s="382"/>
      <c r="F794" s="382"/>
      <c r="G794" s="382"/>
      <c r="L794" s="381"/>
      <c r="M794" s="381"/>
      <c r="N794" s="381"/>
      <c r="O794" s="381"/>
      <c r="P794" s="381"/>
    </row>
    <row r="795" spans="3:16" ht="15.75" customHeight="1" x14ac:dyDescent="0.45">
      <c r="C795" s="382"/>
      <c r="D795" s="382"/>
      <c r="E795" s="382"/>
      <c r="F795" s="382"/>
      <c r="G795" s="382"/>
      <c r="L795" s="381"/>
      <c r="M795" s="381"/>
      <c r="N795" s="381"/>
      <c r="O795" s="381"/>
      <c r="P795" s="381"/>
    </row>
    <row r="796" spans="3:16" ht="15.75" customHeight="1" x14ac:dyDescent="0.45">
      <c r="C796" s="382"/>
      <c r="D796" s="382"/>
      <c r="E796" s="382"/>
      <c r="F796" s="382"/>
      <c r="G796" s="382"/>
      <c r="L796" s="381"/>
      <c r="M796" s="381"/>
      <c r="N796" s="381"/>
      <c r="O796" s="381"/>
      <c r="P796" s="381"/>
    </row>
    <row r="797" spans="3:16" ht="15.75" customHeight="1" x14ac:dyDescent="0.45">
      <c r="C797" s="382"/>
      <c r="D797" s="382"/>
      <c r="E797" s="382"/>
      <c r="F797" s="382"/>
      <c r="G797" s="382"/>
      <c r="L797" s="381"/>
      <c r="M797" s="381"/>
      <c r="N797" s="381"/>
      <c r="O797" s="381"/>
      <c r="P797" s="381"/>
    </row>
    <row r="798" spans="3:16" ht="15.75" customHeight="1" x14ac:dyDescent="0.45">
      <c r="C798" s="382"/>
      <c r="D798" s="382"/>
      <c r="E798" s="382"/>
      <c r="F798" s="382"/>
      <c r="G798" s="382"/>
      <c r="L798" s="381"/>
      <c r="M798" s="381"/>
      <c r="N798" s="381"/>
      <c r="O798" s="381"/>
      <c r="P798" s="381"/>
    </row>
    <row r="799" spans="3:16" ht="15.75" customHeight="1" x14ac:dyDescent="0.45">
      <c r="C799" s="382"/>
      <c r="D799" s="382"/>
      <c r="E799" s="382"/>
      <c r="F799" s="382"/>
      <c r="G799" s="382"/>
      <c r="L799" s="381"/>
      <c r="M799" s="381"/>
      <c r="N799" s="381"/>
      <c r="O799" s="381"/>
      <c r="P799" s="381"/>
    </row>
    <row r="800" spans="3:16" ht="15.75" customHeight="1" x14ac:dyDescent="0.45">
      <c r="C800" s="382"/>
      <c r="D800" s="382"/>
      <c r="E800" s="382"/>
      <c r="F800" s="382"/>
      <c r="G800" s="382"/>
      <c r="L800" s="381"/>
      <c r="M800" s="381"/>
      <c r="N800" s="381"/>
      <c r="O800" s="381"/>
      <c r="P800" s="381"/>
    </row>
    <row r="801" spans="3:16" ht="15.75" customHeight="1" x14ac:dyDescent="0.45">
      <c r="C801" s="382"/>
      <c r="D801" s="382"/>
      <c r="E801" s="382"/>
      <c r="F801" s="382"/>
      <c r="G801" s="382"/>
      <c r="L801" s="381"/>
      <c r="M801" s="381"/>
      <c r="N801" s="381"/>
      <c r="O801" s="381"/>
      <c r="P801" s="381"/>
    </row>
    <row r="802" spans="3:16" ht="15.75" customHeight="1" x14ac:dyDescent="0.45">
      <c r="C802" s="382"/>
      <c r="D802" s="382"/>
      <c r="E802" s="382"/>
      <c r="F802" s="382"/>
      <c r="G802" s="382"/>
      <c r="L802" s="381"/>
      <c r="M802" s="381"/>
      <c r="N802" s="381"/>
      <c r="O802" s="381"/>
      <c r="P802" s="381"/>
    </row>
    <row r="803" spans="3:16" ht="15.75" customHeight="1" x14ac:dyDescent="0.45">
      <c r="C803" s="382"/>
      <c r="D803" s="382"/>
      <c r="E803" s="382"/>
      <c r="F803" s="382"/>
      <c r="G803" s="382"/>
      <c r="L803" s="381"/>
      <c r="M803" s="381"/>
      <c r="N803" s="381"/>
      <c r="O803" s="381"/>
      <c r="P803" s="381"/>
    </row>
    <row r="804" spans="3:16" ht="15.75" customHeight="1" x14ac:dyDescent="0.45">
      <c r="C804" s="382"/>
      <c r="D804" s="382"/>
      <c r="E804" s="382"/>
      <c r="F804" s="382"/>
      <c r="G804" s="382"/>
      <c r="L804" s="381"/>
      <c r="M804" s="381"/>
      <c r="N804" s="381"/>
      <c r="O804" s="381"/>
      <c r="P804" s="381"/>
    </row>
    <row r="805" spans="3:16" ht="15.75" customHeight="1" x14ac:dyDescent="0.45">
      <c r="C805" s="382"/>
      <c r="D805" s="382"/>
      <c r="E805" s="382"/>
      <c r="F805" s="382"/>
      <c r="G805" s="382"/>
      <c r="L805" s="381"/>
      <c r="M805" s="381"/>
      <c r="N805" s="381"/>
      <c r="O805" s="381"/>
      <c r="P805" s="381"/>
    </row>
    <row r="806" spans="3:16" ht="15.75" customHeight="1" x14ac:dyDescent="0.45">
      <c r="C806" s="382"/>
      <c r="D806" s="382"/>
      <c r="E806" s="382"/>
      <c r="F806" s="382"/>
      <c r="G806" s="382"/>
      <c r="L806" s="381"/>
      <c r="M806" s="381"/>
      <c r="N806" s="381"/>
      <c r="O806" s="381"/>
      <c r="P806" s="381"/>
    </row>
    <row r="807" spans="3:16" ht="15.75" customHeight="1" x14ac:dyDescent="0.45">
      <c r="C807" s="382"/>
      <c r="D807" s="382"/>
      <c r="E807" s="382"/>
      <c r="F807" s="382"/>
      <c r="G807" s="382"/>
      <c r="L807" s="381"/>
      <c r="M807" s="381"/>
      <c r="N807" s="381"/>
      <c r="O807" s="381"/>
      <c r="P807" s="381"/>
    </row>
    <row r="808" spans="3:16" ht="15.75" customHeight="1" x14ac:dyDescent="0.45">
      <c r="C808" s="382"/>
      <c r="D808" s="382"/>
      <c r="E808" s="382"/>
      <c r="F808" s="382"/>
      <c r="G808" s="382"/>
      <c r="L808" s="381"/>
      <c r="M808" s="381"/>
      <c r="N808" s="381"/>
      <c r="O808" s="381"/>
      <c r="P808" s="381"/>
    </row>
    <row r="809" spans="3:16" ht="15.75" customHeight="1" x14ac:dyDescent="0.45">
      <c r="C809" s="382"/>
      <c r="D809" s="382"/>
      <c r="E809" s="382"/>
      <c r="F809" s="382"/>
      <c r="G809" s="382"/>
      <c r="L809" s="381"/>
      <c r="M809" s="381"/>
      <c r="N809" s="381"/>
      <c r="O809" s="381"/>
      <c r="P809" s="381"/>
    </row>
    <row r="810" spans="3:16" ht="15.75" customHeight="1" x14ac:dyDescent="0.45">
      <c r="C810" s="382"/>
      <c r="D810" s="382"/>
      <c r="E810" s="382"/>
      <c r="F810" s="382"/>
      <c r="G810" s="382"/>
      <c r="L810" s="381"/>
      <c r="M810" s="381"/>
      <c r="N810" s="381"/>
      <c r="O810" s="381"/>
      <c r="P810" s="381"/>
    </row>
    <row r="811" spans="3:16" ht="15.75" customHeight="1" x14ac:dyDescent="0.45">
      <c r="C811" s="382"/>
      <c r="D811" s="382"/>
      <c r="E811" s="382"/>
      <c r="F811" s="382"/>
      <c r="G811" s="382"/>
      <c r="L811" s="381"/>
      <c r="M811" s="381"/>
      <c r="N811" s="381"/>
      <c r="O811" s="381"/>
      <c r="P811" s="381"/>
    </row>
    <row r="812" spans="3:16" ht="15.75" customHeight="1" x14ac:dyDescent="0.45">
      <c r="C812" s="382"/>
      <c r="D812" s="382"/>
      <c r="E812" s="382"/>
      <c r="F812" s="382"/>
      <c r="G812" s="382"/>
      <c r="L812" s="381"/>
      <c r="M812" s="381"/>
      <c r="N812" s="381"/>
      <c r="O812" s="381"/>
      <c r="P812" s="381"/>
    </row>
    <row r="813" spans="3:16" ht="15.75" customHeight="1" x14ac:dyDescent="0.45">
      <c r="C813" s="382"/>
      <c r="D813" s="382"/>
      <c r="E813" s="382"/>
      <c r="F813" s="382"/>
      <c r="G813" s="382"/>
      <c r="L813" s="381"/>
      <c r="M813" s="381"/>
      <c r="N813" s="381"/>
      <c r="O813" s="381"/>
      <c r="P813" s="381"/>
    </row>
    <row r="814" spans="3:16" ht="15.75" customHeight="1" x14ac:dyDescent="0.45">
      <c r="C814" s="382"/>
      <c r="D814" s="382"/>
      <c r="E814" s="382"/>
      <c r="F814" s="382"/>
      <c r="G814" s="382"/>
      <c r="L814" s="381"/>
      <c r="M814" s="381"/>
      <c r="N814" s="381"/>
      <c r="O814" s="381"/>
      <c r="P814" s="381"/>
    </row>
    <row r="815" spans="3:16" ht="15.75" customHeight="1" x14ac:dyDescent="0.45">
      <c r="C815" s="382"/>
      <c r="D815" s="382"/>
      <c r="E815" s="382"/>
      <c r="F815" s="382"/>
      <c r="G815" s="382"/>
      <c r="L815" s="381"/>
      <c r="M815" s="381"/>
      <c r="N815" s="381"/>
      <c r="O815" s="381"/>
      <c r="P815" s="381"/>
    </row>
    <row r="816" spans="3:16" ht="15.75" customHeight="1" x14ac:dyDescent="0.45">
      <c r="C816" s="382"/>
      <c r="D816" s="382"/>
      <c r="E816" s="382"/>
      <c r="F816" s="382"/>
      <c r="G816" s="382"/>
      <c r="L816" s="381"/>
      <c r="M816" s="381"/>
      <c r="N816" s="381"/>
      <c r="O816" s="381"/>
      <c r="P816" s="381"/>
    </row>
    <row r="817" spans="3:16" ht="15.75" customHeight="1" x14ac:dyDescent="0.45">
      <c r="C817" s="382"/>
      <c r="D817" s="382"/>
      <c r="E817" s="382"/>
      <c r="F817" s="382"/>
      <c r="G817" s="382"/>
      <c r="L817" s="381"/>
      <c r="M817" s="381"/>
      <c r="N817" s="381"/>
      <c r="O817" s="381"/>
      <c r="P817" s="381"/>
    </row>
    <row r="818" spans="3:16" ht="15.75" customHeight="1" x14ac:dyDescent="0.45">
      <c r="C818" s="382"/>
      <c r="D818" s="382"/>
      <c r="E818" s="382"/>
      <c r="F818" s="382"/>
      <c r="G818" s="382"/>
      <c r="L818" s="381"/>
      <c r="M818" s="381"/>
      <c r="N818" s="381"/>
      <c r="O818" s="381"/>
      <c r="P818" s="381"/>
    </row>
    <row r="819" spans="3:16" ht="15.75" customHeight="1" x14ac:dyDescent="0.45">
      <c r="C819" s="382"/>
      <c r="D819" s="382"/>
      <c r="E819" s="382"/>
      <c r="F819" s="382"/>
      <c r="G819" s="382"/>
      <c r="L819" s="381"/>
      <c r="M819" s="381"/>
      <c r="N819" s="381"/>
      <c r="O819" s="381"/>
      <c r="P819" s="381"/>
    </row>
    <row r="820" spans="3:16" ht="15.75" customHeight="1" x14ac:dyDescent="0.45">
      <c r="C820" s="382"/>
      <c r="D820" s="382"/>
      <c r="E820" s="382"/>
      <c r="F820" s="382"/>
      <c r="G820" s="382"/>
      <c r="L820" s="381"/>
      <c r="M820" s="381"/>
      <c r="N820" s="381"/>
      <c r="O820" s="381"/>
      <c r="P820" s="381"/>
    </row>
    <row r="821" spans="3:16" ht="15.75" customHeight="1" x14ac:dyDescent="0.45">
      <c r="C821" s="382"/>
      <c r="D821" s="382"/>
      <c r="E821" s="382"/>
      <c r="F821" s="382"/>
      <c r="G821" s="382"/>
      <c r="L821" s="381"/>
      <c r="M821" s="381"/>
      <c r="N821" s="381"/>
      <c r="O821" s="381"/>
      <c r="P821" s="381"/>
    </row>
    <row r="822" spans="3:16" ht="15.75" customHeight="1" x14ac:dyDescent="0.45">
      <c r="C822" s="382"/>
      <c r="D822" s="382"/>
      <c r="E822" s="382"/>
      <c r="F822" s="382"/>
      <c r="G822" s="382"/>
      <c r="L822" s="381"/>
      <c r="M822" s="381"/>
      <c r="N822" s="381"/>
      <c r="O822" s="381"/>
      <c r="P822" s="381"/>
    </row>
    <row r="823" spans="3:16" ht="15.75" customHeight="1" x14ac:dyDescent="0.45">
      <c r="C823" s="382"/>
      <c r="D823" s="382"/>
      <c r="E823" s="382"/>
      <c r="F823" s="382"/>
      <c r="G823" s="382"/>
      <c r="L823" s="381"/>
      <c r="M823" s="381"/>
      <c r="N823" s="381"/>
      <c r="O823" s="381"/>
      <c r="P823" s="381"/>
    </row>
    <row r="824" spans="3:16" ht="15.75" customHeight="1" x14ac:dyDescent="0.45">
      <c r="C824" s="382"/>
      <c r="D824" s="382"/>
      <c r="E824" s="382"/>
      <c r="F824" s="382"/>
      <c r="G824" s="382"/>
      <c r="L824" s="381"/>
      <c r="M824" s="381"/>
      <c r="N824" s="381"/>
      <c r="O824" s="381"/>
      <c r="P824" s="381"/>
    </row>
    <row r="825" spans="3:16" ht="15.75" customHeight="1" x14ac:dyDescent="0.45">
      <c r="C825" s="382"/>
      <c r="D825" s="382"/>
      <c r="E825" s="382"/>
      <c r="F825" s="382"/>
      <c r="G825" s="382"/>
      <c r="L825" s="381"/>
      <c r="M825" s="381"/>
      <c r="N825" s="381"/>
      <c r="O825" s="381"/>
      <c r="P825" s="381"/>
    </row>
    <row r="826" spans="3:16" ht="15.75" customHeight="1" x14ac:dyDescent="0.45">
      <c r="C826" s="382"/>
      <c r="D826" s="382"/>
      <c r="E826" s="382"/>
      <c r="F826" s="382"/>
      <c r="G826" s="382"/>
      <c r="L826" s="381"/>
      <c r="M826" s="381"/>
      <c r="N826" s="381"/>
      <c r="O826" s="381"/>
      <c r="P826" s="381"/>
    </row>
    <row r="827" spans="3:16" ht="15.75" customHeight="1" x14ac:dyDescent="0.45">
      <c r="C827" s="382"/>
      <c r="D827" s="382"/>
      <c r="E827" s="382"/>
      <c r="F827" s="382"/>
      <c r="G827" s="382"/>
      <c r="L827" s="381"/>
      <c r="M827" s="381"/>
      <c r="N827" s="381"/>
      <c r="O827" s="381"/>
      <c r="P827" s="381"/>
    </row>
    <row r="828" spans="3:16" ht="15.75" customHeight="1" x14ac:dyDescent="0.45">
      <c r="C828" s="382"/>
      <c r="D828" s="382"/>
      <c r="E828" s="382"/>
      <c r="F828" s="382"/>
      <c r="G828" s="382"/>
      <c r="L828" s="381"/>
      <c r="M828" s="381"/>
      <c r="N828" s="381"/>
      <c r="O828" s="381"/>
      <c r="P828" s="381"/>
    </row>
    <row r="829" spans="3:16" ht="15.75" customHeight="1" x14ac:dyDescent="0.45">
      <c r="C829" s="382"/>
      <c r="D829" s="382"/>
      <c r="E829" s="382"/>
      <c r="F829" s="382"/>
      <c r="G829" s="382"/>
      <c r="L829" s="381"/>
      <c r="M829" s="381"/>
      <c r="N829" s="381"/>
      <c r="O829" s="381"/>
      <c r="P829" s="381"/>
    </row>
    <row r="830" spans="3:16" ht="15.75" customHeight="1" x14ac:dyDescent="0.45">
      <c r="C830" s="382"/>
      <c r="D830" s="382"/>
      <c r="E830" s="382"/>
      <c r="F830" s="382"/>
      <c r="G830" s="382"/>
      <c r="L830" s="381"/>
      <c r="M830" s="381"/>
      <c r="N830" s="381"/>
      <c r="O830" s="381"/>
      <c r="P830" s="381"/>
    </row>
    <row r="831" spans="3:16" ht="15.75" customHeight="1" x14ac:dyDescent="0.45">
      <c r="C831" s="382"/>
      <c r="D831" s="382"/>
      <c r="E831" s="382"/>
      <c r="F831" s="382"/>
      <c r="G831" s="382"/>
      <c r="L831" s="381"/>
      <c r="M831" s="381"/>
      <c r="N831" s="381"/>
      <c r="O831" s="381"/>
      <c r="P831" s="381"/>
    </row>
    <row r="832" spans="3:16" ht="15.75" customHeight="1" x14ac:dyDescent="0.45">
      <c r="C832" s="382"/>
      <c r="D832" s="382"/>
      <c r="E832" s="382"/>
      <c r="F832" s="382"/>
      <c r="G832" s="382"/>
      <c r="L832" s="381"/>
      <c r="M832" s="381"/>
      <c r="N832" s="381"/>
      <c r="O832" s="381"/>
      <c r="P832" s="381"/>
    </row>
    <row r="833" spans="3:16" ht="15.75" customHeight="1" x14ac:dyDescent="0.45">
      <c r="C833" s="382"/>
      <c r="D833" s="382"/>
      <c r="E833" s="382"/>
      <c r="F833" s="382"/>
      <c r="G833" s="382"/>
      <c r="L833" s="381"/>
      <c r="M833" s="381"/>
      <c r="N833" s="381"/>
      <c r="O833" s="381"/>
      <c r="P833" s="381"/>
    </row>
    <row r="834" spans="3:16" ht="15.75" customHeight="1" x14ac:dyDescent="0.45">
      <c r="C834" s="382"/>
      <c r="D834" s="382"/>
      <c r="E834" s="382"/>
      <c r="F834" s="382"/>
      <c r="G834" s="382"/>
      <c r="L834" s="381"/>
      <c r="M834" s="381"/>
      <c r="N834" s="381"/>
      <c r="O834" s="381"/>
      <c r="P834" s="381"/>
    </row>
    <row r="835" spans="3:16" ht="15.75" customHeight="1" x14ac:dyDescent="0.45">
      <c r="C835" s="382"/>
      <c r="D835" s="382"/>
      <c r="E835" s="382"/>
      <c r="F835" s="382"/>
      <c r="G835" s="382"/>
      <c r="L835" s="381"/>
      <c r="M835" s="381"/>
      <c r="N835" s="381"/>
      <c r="O835" s="381"/>
      <c r="P835" s="381"/>
    </row>
    <row r="836" spans="3:16" ht="15.75" customHeight="1" x14ac:dyDescent="0.45">
      <c r="C836" s="382"/>
      <c r="D836" s="382"/>
      <c r="E836" s="382"/>
      <c r="F836" s="382"/>
      <c r="G836" s="382"/>
      <c r="L836" s="381"/>
      <c r="M836" s="381"/>
      <c r="N836" s="381"/>
      <c r="O836" s="381"/>
      <c r="P836" s="381"/>
    </row>
    <row r="837" spans="3:16" ht="15.75" customHeight="1" x14ac:dyDescent="0.45">
      <c r="C837" s="382"/>
      <c r="D837" s="382"/>
      <c r="E837" s="382"/>
      <c r="F837" s="382"/>
      <c r="G837" s="382"/>
      <c r="L837" s="381"/>
      <c r="M837" s="381"/>
      <c r="N837" s="381"/>
      <c r="O837" s="381"/>
      <c r="P837" s="381"/>
    </row>
    <row r="838" spans="3:16" ht="15.75" customHeight="1" x14ac:dyDescent="0.45">
      <c r="C838" s="382"/>
      <c r="D838" s="382"/>
      <c r="E838" s="382"/>
      <c r="F838" s="382"/>
      <c r="G838" s="382"/>
      <c r="L838" s="381"/>
      <c r="M838" s="381"/>
      <c r="N838" s="381"/>
      <c r="O838" s="381"/>
      <c r="P838" s="381"/>
    </row>
    <row r="839" spans="3:16" ht="15.75" customHeight="1" x14ac:dyDescent="0.45">
      <c r="C839" s="382"/>
      <c r="D839" s="382"/>
      <c r="E839" s="382"/>
      <c r="F839" s="382"/>
      <c r="G839" s="382"/>
      <c r="L839" s="381"/>
      <c r="M839" s="381"/>
      <c r="N839" s="381"/>
      <c r="O839" s="381"/>
      <c r="P839" s="381"/>
    </row>
    <row r="840" spans="3:16" ht="15.75" customHeight="1" x14ac:dyDescent="0.45">
      <c r="C840" s="382"/>
      <c r="D840" s="382"/>
      <c r="E840" s="382"/>
      <c r="F840" s="382"/>
      <c r="G840" s="382"/>
      <c r="L840" s="381"/>
      <c r="M840" s="381"/>
      <c r="N840" s="381"/>
      <c r="O840" s="381"/>
      <c r="P840" s="381"/>
    </row>
    <row r="841" spans="3:16" ht="15.75" customHeight="1" x14ac:dyDescent="0.45">
      <c r="C841" s="382"/>
      <c r="D841" s="382"/>
      <c r="E841" s="382"/>
      <c r="F841" s="382"/>
      <c r="G841" s="382"/>
      <c r="L841" s="381"/>
      <c r="M841" s="381"/>
      <c r="N841" s="381"/>
      <c r="O841" s="381"/>
      <c r="P841" s="381"/>
    </row>
    <row r="842" spans="3:16" ht="15.75" customHeight="1" x14ac:dyDescent="0.45">
      <c r="C842" s="382"/>
      <c r="D842" s="382"/>
      <c r="E842" s="382"/>
      <c r="F842" s="382"/>
      <c r="G842" s="382"/>
      <c r="L842" s="381"/>
      <c r="M842" s="381"/>
      <c r="N842" s="381"/>
      <c r="O842" s="381"/>
      <c r="P842" s="381"/>
    </row>
    <row r="843" spans="3:16" ht="15.75" customHeight="1" x14ac:dyDescent="0.45">
      <c r="C843" s="382"/>
      <c r="D843" s="382"/>
      <c r="E843" s="382"/>
      <c r="F843" s="382"/>
      <c r="G843" s="382"/>
      <c r="L843" s="381"/>
      <c r="M843" s="381"/>
      <c r="N843" s="381"/>
      <c r="O843" s="381"/>
      <c r="P843" s="381"/>
    </row>
    <row r="844" spans="3:16" ht="15.75" customHeight="1" x14ac:dyDescent="0.45">
      <c r="C844" s="382"/>
      <c r="D844" s="382"/>
      <c r="E844" s="382"/>
      <c r="F844" s="382"/>
      <c r="G844" s="382"/>
      <c r="L844" s="381"/>
      <c r="M844" s="381"/>
      <c r="N844" s="381"/>
      <c r="O844" s="381"/>
      <c r="P844" s="381"/>
    </row>
    <row r="845" spans="3:16" ht="15.75" customHeight="1" x14ac:dyDescent="0.45">
      <c r="C845" s="382"/>
      <c r="D845" s="382"/>
      <c r="E845" s="382"/>
      <c r="F845" s="382"/>
      <c r="G845" s="382"/>
      <c r="L845" s="381"/>
      <c r="M845" s="381"/>
      <c r="N845" s="381"/>
      <c r="O845" s="381"/>
      <c r="P845" s="381"/>
    </row>
    <row r="846" spans="3:16" ht="15.75" customHeight="1" x14ac:dyDescent="0.45">
      <c r="C846" s="382"/>
      <c r="D846" s="382"/>
      <c r="E846" s="382"/>
      <c r="F846" s="382"/>
      <c r="G846" s="382"/>
      <c r="L846" s="381"/>
      <c r="M846" s="381"/>
      <c r="N846" s="381"/>
      <c r="O846" s="381"/>
      <c r="P846" s="381"/>
    </row>
    <row r="847" spans="3:16" ht="15.75" customHeight="1" x14ac:dyDescent="0.45">
      <c r="C847" s="382"/>
      <c r="D847" s="382"/>
      <c r="E847" s="382"/>
      <c r="F847" s="382"/>
      <c r="G847" s="382"/>
      <c r="L847" s="381"/>
      <c r="M847" s="381"/>
      <c r="N847" s="381"/>
      <c r="O847" s="381"/>
      <c r="P847" s="381"/>
    </row>
    <row r="848" spans="3:16" ht="15.75" customHeight="1" x14ac:dyDescent="0.45">
      <c r="C848" s="382"/>
      <c r="D848" s="382"/>
      <c r="E848" s="382"/>
      <c r="F848" s="382"/>
      <c r="G848" s="382"/>
      <c r="L848" s="381"/>
      <c r="M848" s="381"/>
      <c r="N848" s="381"/>
      <c r="O848" s="381"/>
      <c r="P848" s="381"/>
    </row>
    <row r="849" spans="3:16" ht="15.75" customHeight="1" x14ac:dyDescent="0.45">
      <c r="C849" s="382"/>
      <c r="D849" s="382"/>
      <c r="E849" s="382"/>
      <c r="F849" s="382"/>
      <c r="G849" s="382"/>
      <c r="L849" s="381"/>
      <c r="M849" s="381"/>
      <c r="N849" s="381"/>
      <c r="O849" s="381"/>
      <c r="P849" s="381"/>
    </row>
    <row r="850" spans="3:16" ht="15.75" customHeight="1" x14ac:dyDescent="0.45">
      <c r="C850" s="382"/>
      <c r="D850" s="382"/>
      <c r="E850" s="382"/>
      <c r="F850" s="382"/>
      <c r="G850" s="382"/>
      <c r="L850" s="381"/>
      <c r="M850" s="381"/>
      <c r="N850" s="381"/>
      <c r="O850" s="381"/>
      <c r="P850" s="381"/>
    </row>
    <row r="851" spans="3:16" ht="15.75" customHeight="1" x14ac:dyDescent="0.45">
      <c r="C851" s="382"/>
      <c r="D851" s="382"/>
      <c r="E851" s="382"/>
      <c r="F851" s="382"/>
      <c r="G851" s="382"/>
      <c r="L851" s="381"/>
      <c r="M851" s="381"/>
      <c r="N851" s="381"/>
      <c r="O851" s="381"/>
      <c r="P851" s="381"/>
    </row>
    <row r="852" spans="3:16" ht="15.75" customHeight="1" x14ac:dyDescent="0.45">
      <c r="C852" s="382"/>
      <c r="D852" s="382"/>
      <c r="E852" s="382"/>
      <c r="F852" s="382"/>
      <c r="G852" s="382"/>
      <c r="L852" s="381"/>
      <c r="M852" s="381"/>
      <c r="N852" s="381"/>
      <c r="O852" s="381"/>
      <c r="P852" s="381"/>
    </row>
    <row r="853" spans="3:16" ht="15.75" customHeight="1" x14ac:dyDescent="0.45">
      <c r="C853" s="382"/>
      <c r="D853" s="382"/>
      <c r="E853" s="382"/>
      <c r="F853" s="382"/>
      <c r="G853" s="382"/>
      <c r="L853" s="381"/>
      <c r="M853" s="381"/>
      <c r="N853" s="381"/>
      <c r="O853" s="381"/>
      <c r="P853" s="381"/>
    </row>
    <row r="854" spans="3:16" ht="15.75" customHeight="1" x14ac:dyDescent="0.45">
      <c r="C854" s="382"/>
      <c r="D854" s="382"/>
      <c r="E854" s="382"/>
      <c r="F854" s="382"/>
      <c r="G854" s="382"/>
      <c r="L854" s="381"/>
      <c r="M854" s="381"/>
      <c r="N854" s="381"/>
      <c r="O854" s="381"/>
      <c r="P854" s="381"/>
    </row>
    <row r="855" spans="3:16" ht="15.75" customHeight="1" x14ac:dyDescent="0.45">
      <c r="C855" s="382"/>
      <c r="D855" s="382"/>
      <c r="E855" s="382"/>
      <c r="F855" s="382"/>
      <c r="G855" s="382"/>
      <c r="L855" s="381"/>
      <c r="M855" s="381"/>
      <c r="N855" s="381"/>
      <c r="O855" s="381"/>
      <c r="P855" s="381"/>
    </row>
    <row r="856" spans="3:16" ht="15.75" customHeight="1" x14ac:dyDescent="0.45">
      <c r="C856" s="382"/>
      <c r="D856" s="382"/>
      <c r="E856" s="382"/>
      <c r="F856" s="382"/>
      <c r="G856" s="382"/>
      <c r="L856" s="381"/>
      <c r="M856" s="381"/>
      <c r="N856" s="381"/>
      <c r="O856" s="381"/>
      <c r="P856" s="381"/>
    </row>
    <row r="857" spans="3:16" ht="15.75" customHeight="1" x14ac:dyDescent="0.45">
      <c r="C857" s="382"/>
      <c r="D857" s="382"/>
      <c r="E857" s="382"/>
      <c r="F857" s="382"/>
      <c r="G857" s="382"/>
      <c r="L857" s="381"/>
      <c r="M857" s="381"/>
      <c r="N857" s="381"/>
      <c r="O857" s="381"/>
      <c r="P857" s="381"/>
    </row>
    <row r="858" spans="3:16" ht="15.75" customHeight="1" x14ac:dyDescent="0.45">
      <c r="C858" s="382"/>
      <c r="D858" s="382"/>
      <c r="E858" s="382"/>
      <c r="F858" s="382"/>
      <c r="G858" s="382"/>
      <c r="L858" s="381"/>
      <c r="M858" s="381"/>
      <c r="N858" s="381"/>
      <c r="O858" s="381"/>
      <c r="P858" s="381"/>
    </row>
    <row r="859" spans="3:16" ht="15.75" customHeight="1" x14ac:dyDescent="0.45">
      <c r="C859" s="382"/>
      <c r="D859" s="382"/>
      <c r="E859" s="382"/>
      <c r="F859" s="382"/>
      <c r="G859" s="382"/>
      <c r="L859" s="381"/>
      <c r="M859" s="381"/>
      <c r="N859" s="381"/>
      <c r="O859" s="381"/>
      <c r="P859" s="381"/>
    </row>
    <row r="860" spans="3:16" ht="15.75" customHeight="1" x14ac:dyDescent="0.45">
      <c r="C860" s="382"/>
      <c r="D860" s="382"/>
      <c r="E860" s="382"/>
      <c r="F860" s="382"/>
      <c r="G860" s="382"/>
      <c r="L860" s="381"/>
      <c r="M860" s="381"/>
      <c r="N860" s="381"/>
      <c r="O860" s="381"/>
      <c r="P860" s="381"/>
    </row>
    <row r="861" spans="3:16" ht="15.75" customHeight="1" x14ac:dyDescent="0.45">
      <c r="C861" s="382"/>
      <c r="D861" s="382"/>
      <c r="E861" s="382"/>
      <c r="F861" s="382"/>
      <c r="G861" s="382"/>
      <c r="L861" s="381"/>
      <c r="M861" s="381"/>
      <c r="N861" s="381"/>
      <c r="O861" s="381"/>
      <c r="P861" s="381"/>
    </row>
    <row r="862" spans="3:16" ht="15.75" customHeight="1" x14ac:dyDescent="0.45">
      <c r="C862" s="382"/>
      <c r="D862" s="382"/>
      <c r="E862" s="382"/>
      <c r="F862" s="382"/>
      <c r="G862" s="382"/>
      <c r="L862" s="381"/>
      <c r="M862" s="381"/>
      <c r="N862" s="381"/>
      <c r="O862" s="381"/>
      <c r="P862" s="381"/>
    </row>
    <row r="863" spans="3:16" ht="15.75" customHeight="1" x14ac:dyDescent="0.45">
      <c r="C863" s="382"/>
      <c r="D863" s="382"/>
      <c r="E863" s="382"/>
      <c r="F863" s="382"/>
      <c r="G863" s="382"/>
      <c r="L863" s="381"/>
      <c r="M863" s="381"/>
      <c r="N863" s="381"/>
      <c r="O863" s="381"/>
      <c r="P863" s="381"/>
    </row>
    <row r="864" spans="3:16" ht="15.75" customHeight="1" x14ac:dyDescent="0.45">
      <c r="C864" s="382"/>
      <c r="D864" s="382"/>
      <c r="E864" s="382"/>
      <c r="F864" s="382"/>
      <c r="G864" s="382"/>
      <c r="L864" s="381"/>
      <c r="M864" s="381"/>
      <c r="N864" s="381"/>
      <c r="O864" s="381"/>
      <c r="P864" s="381"/>
    </row>
    <row r="865" spans="3:16" ht="15.75" customHeight="1" x14ac:dyDescent="0.45">
      <c r="C865" s="382"/>
      <c r="D865" s="382"/>
      <c r="E865" s="382"/>
      <c r="F865" s="382"/>
      <c r="G865" s="382"/>
      <c r="L865" s="381"/>
      <c r="M865" s="381"/>
      <c r="N865" s="381"/>
      <c r="O865" s="381"/>
      <c r="P865" s="381"/>
    </row>
    <row r="866" spans="3:16" ht="15.75" customHeight="1" x14ac:dyDescent="0.45">
      <c r="C866" s="382"/>
      <c r="D866" s="382"/>
      <c r="E866" s="382"/>
      <c r="F866" s="382"/>
      <c r="G866" s="382"/>
      <c r="L866" s="381"/>
      <c r="M866" s="381"/>
      <c r="N866" s="381"/>
      <c r="O866" s="381"/>
      <c r="P866" s="381"/>
    </row>
    <row r="867" spans="3:16" ht="15.75" customHeight="1" x14ac:dyDescent="0.45">
      <c r="C867" s="382"/>
      <c r="D867" s="382"/>
      <c r="E867" s="382"/>
      <c r="F867" s="382"/>
      <c r="G867" s="382"/>
      <c r="L867" s="381"/>
      <c r="M867" s="381"/>
      <c r="N867" s="381"/>
      <c r="O867" s="381"/>
      <c r="P867" s="381"/>
    </row>
    <row r="868" spans="3:16" ht="15.75" customHeight="1" x14ac:dyDescent="0.45">
      <c r="C868" s="382"/>
      <c r="D868" s="382"/>
      <c r="E868" s="382"/>
      <c r="F868" s="382"/>
      <c r="G868" s="382"/>
      <c r="L868" s="381"/>
      <c r="M868" s="381"/>
      <c r="N868" s="381"/>
      <c r="O868" s="381"/>
      <c r="P868" s="381"/>
    </row>
    <row r="869" spans="3:16" ht="15.75" customHeight="1" x14ac:dyDescent="0.45">
      <c r="C869" s="382"/>
      <c r="D869" s="382"/>
      <c r="E869" s="382"/>
      <c r="F869" s="382"/>
      <c r="G869" s="382"/>
      <c r="L869" s="381"/>
      <c r="M869" s="381"/>
      <c r="N869" s="381"/>
      <c r="O869" s="381"/>
      <c r="P869" s="381"/>
    </row>
    <row r="870" spans="3:16" ht="15.75" customHeight="1" x14ac:dyDescent="0.45">
      <c r="C870" s="382"/>
      <c r="D870" s="382"/>
      <c r="E870" s="382"/>
      <c r="F870" s="382"/>
      <c r="G870" s="382"/>
      <c r="L870" s="381"/>
      <c r="M870" s="381"/>
      <c r="N870" s="381"/>
      <c r="O870" s="381"/>
      <c r="P870" s="381"/>
    </row>
    <row r="871" spans="3:16" ht="15.75" customHeight="1" x14ac:dyDescent="0.45">
      <c r="C871" s="382"/>
      <c r="D871" s="382"/>
      <c r="E871" s="382"/>
      <c r="F871" s="382"/>
      <c r="G871" s="382"/>
      <c r="L871" s="381"/>
      <c r="M871" s="381"/>
      <c r="N871" s="381"/>
      <c r="O871" s="381"/>
      <c r="P871" s="381"/>
    </row>
    <row r="872" spans="3:16" ht="15.75" customHeight="1" x14ac:dyDescent="0.45">
      <c r="C872" s="382"/>
      <c r="D872" s="382"/>
      <c r="E872" s="382"/>
      <c r="F872" s="382"/>
      <c r="G872" s="382"/>
      <c r="L872" s="381"/>
      <c r="M872" s="381"/>
      <c r="N872" s="381"/>
      <c r="O872" s="381"/>
      <c r="P872" s="381"/>
    </row>
    <row r="873" spans="3:16" ht="15.75" customHeight="1" x14ac:dyDescent="0.45">
      <c r="C873" s="382"/>
      <c r="D873" s="382"/>
      <c r="E873" s="382"/>
      <c r="F873" s="382"/>
      <c r="G873" s="382"/>
      <c r="L873" s="381"/>
      <c r="M873" s="381"/>
      <c r="N873" s="381"/>
      <c r="O873" s="381"/>
      <c r="P873" s="381"/>
    </row>
    <row r="874" spans="3:16" ht="15.75" customHeight="1" x14ac:dyDescent="0.45">
      <c r="C874" s="382"/>
      <c r="D874" s="382"/>
      <c r="E874" s="382"/>
      <c r="F874" s="382"/>
      <c r="G874" s="382"/>
      <c r="L874" s="381"/>
      <c r="M874" s="381"/>
      <c r="N874" s="381"/>
      <c r="O874" s="381"/>
      <c r="P874" s="381"/>
    </row>
    <row r="875" spans="3:16" ht="15.75" customHeight="1" x14ac:dyDescent="0.45">
      <c r="C875" s="382"/>
      <c r="D875" s="382"/>
      <c r="E875" s="382"/>
      <c r="F875" s="382"/>
      <c r="G875" s="382"/>
      <c r="L875" s="381"/>
      <c r="M875" s="381"/>
      <c r="N875" s="381"/>
      <c r="O875" s="381"/>
      <c r="P875" s="381"/>
    </row>
    <row r="876" spans="3:16" ht="15.75" customHeight="1" x14ac:dyDescent="0.45">
      <c r="C876" s="382"/>
      <c r="D876" s="382"/>
      <c r="E876" s="382"/>
      <c r="F876" s="382"/>
      <c r="G876" s="382"/>
      <c r="L876" s="381"/>
      <c r="M876" s="381"/>
      <c r="N876" s="381"/>
      <c r="O876" s="381"/>
      <c r="P876" s="381"/>
    </row>
    <row r="877" spans="3:16" ht="15.75" customHeight="1" x14ac:dyDescent="0.45">
      <c r="C877" s="382"/>
      <c r="D877" s="382"/>
      <c r="E877" s="382"/>
      <c r="F877" s="382"/>
      <c r="G877" s="382"/>
      <c r="L877" s="381"/>
      <c r="M877" s="381"/>
      <c r="N877" s="381"/>
      <c r="O877" s="381"/>
      <c r="P877" s="381"/>
    </row>
    <row r="878" spans="3:16" ht="15.75" customHeight="1" x14ac:dyDescent="0.45">
      <c r="C878" s="382"/>
      <c r="D878" s="382"/>
      <c r="E878" s="382"/>
      <c r="F878" s="382"/>
      <c r="G878" s="382"/>
      <c r="L878" s="381"/>
      <c r="M878" s="381"/>
      <c r="N878" s="381"/>
      <c r="O878" s="381"/>
      <c r="P878" s="381"/>
    </row>
    <row r="879" spans="3:16" ht="15.75" customHeight="1" x14ac:dyDescent="0.45">
      <c r="C879" s="382"/>
      <c r="D879" s="382"/>
      <c r="E879" s="382"/>
      <c r="F879" s="382"/>
      <c r="G879" s="382"/>
      <c r="L879" s="381"/>
      <c r="M879" s="381"/>
      <c r="N879" s="381"/>
      <c r="O879" s="381"/>
      <c r="P879" s="381"/>
    </row>
    <row r="880" spans="3:16" ht="15.75" customHeight="1" x14ac:dyDescent="0.45">
      <c r="C880" s="382"/>
      <c r="D880" s="382"/>
      <c r="E880" s="382"/>
      <c r="F880" s="382"/>
      <c r="G880" s="382"/>
      <c r="L880" s="381"/>
      <c r="M880" s="381"/>
      <c r="N880" s="381"/>
      <c r="O880" s="381"/>
      <c r="P880" s="381"/>
    </row>
    <row r="881" spans="3:16" ht="15.75" customHeight="1" x14ac:dyDescent="0.45">
      <c r="C881" s="382"/>
      <c r="D881" s="382"/>
      <c r="E881" s="382"/>
      <c r="F881" s="382"/>
      <c r="G881" s="382"/>
      <c r="L881" s="381"/>
      <c r="M881" s="381"/>
      <c r="N881" s="381"/>
      <c r="O881" s="381"/>
      <c r="P881" s="381"/>
    </row>
    <row r="882" spans="3:16" ht="15.75" customHeight="1" x14ac:dyDescent="0.45">
      <c r="C882" s="382"/>
      <c r="D882" s="382"/>
      <c r="E882" s="382"/>
      <c r="F882" s="382"/>
      <c r="G882" s="382"/>
      <c r="L882" s="381"/>
      <c r="M882" s="381"/>
      <c r="N882" s="381"/>
      <c r="O882" s="381"/>
      <c r="P882" s="381"/>
    </row>
    <row r="883" spans="3:16" ht="15.75" customHeight="1" x14ac:dyDescent="0.45">
      <c r="C883" s="382"/>
      <c r="D883" s="382"/>
      <c r="E883" s="382"/>
      <c r="F883" s="382"/>
      <c r="G883" s="382"/>
      <c r="L883" s="381"/>
      <c r="M883" s="381"/>
      <c r="N883" s="381"/>
      <c r="O883" s="381"/>
      <c r="P883" s="381"/>
    </row>
    <row r="884" spans="3:16" ht="15.75" customHeight="1" x14ac:dyDescent="0.45">
      <c r="C884" s="382"/>
      <c r="D884" s="382"/>
      <c r="E884" s="382"/>
      <c r="F884" s="382"/>
      <c r="G884" s="382"/>
      <c r="L884" s="381"/>
      <c r="M884" s="381"/>
      <c r="N884" s="381"/>
      <c r="O884" s="381"/>
      <c r="P884" s="381"/>
    </row>
    <row r="885" spans="3:16" ht="15.75" customHeight="1" x14ac:dyDescent="0.45">
      <c r="C885" s="382"/>
      <c r="D885" s="382"/>
      <c r="E885" s="382"/>
      <c r="F885" s="382"/>
      <c r="G885" s="382"/>
      <c r="L885" s="381"/>
      <c r="M885" s="381"/>
      <c r="N885" s="381"/>
      <c r="O885" s="381"/>
      <c r="P885" s="381"/>
    </row>
    <row r="886" spans="3:16" ht="15.75" customHeight="1" x14ac:dyDescent="0.45">
      <c r="C886" s="382"/>
      <c r="D886" s="382"/>
      <c r="E886" s="382"/>
      <c r="F886" s="382"/>
      <c r="G886" s="382"/>
      <c r="L886" s="381"/>
      <c r="M886" s="381"/>
      <c r="N886" s="381"/>
      <c r="O886" s="381"/>
      <c r="P886" s="381"/>
    </row>
    <row r="887" spans="3:16" ht="15.75" customHeight="1" x14ac:dyDescent="0.45">
      <c r="C887" s="382"/>
      <c r="D887" s="382"/>
      <c r="E887" s="382"/>
      <c r="F887" s="382"/>
      <c r="G887" s="382"/>
      <c r="L887" s="381"/>
      <c r="M887" s="381"/>
      <c r="N887" s="381"/>
      <c r="O887" s="381"/>
      <c r="P887" s="381"/>
    </row>
    <row r="888" spans="3:16" ht="15.75" customHeight="1" x14ac:dyDescent="0.45">
      <c r="C888" s="382"/>
      <c r="D888" s="382"/>
      <c r="E888" s="382"/>
      <c r="F888" s="382"/>
      <c r="G888" s="382"/>
      <c r="L888" s="381"/>
      <c r="M888" s="381"/>
      <c r="N888" s="381"/>
      <c r="O888" s="381"/>
      <c r="P888" s="381"/>
    </row>
    <row r="889" spans="3:16" ht="15.75" customHeight="1" x14ac:dyDescent="0.45">
      <c r="C889" s="382"/>
      <c r="D889" s="382"/>
      <c r="E889" s="382"/>
      <c r="F889" s="382"/>
      <c r="G889" s="382"/>
      <c r="L889" s="381"/>
      <c r="M889" s="381"/>
      <c r="N889" s="381"/>
      <c r="O889" s="381"/>
      <c r="P889" s="381"/>
    </row>
    <row r="890" spans="3:16" ht="15.75" customHeight="1" x14ac:dyDescent="0.45">
      <c r="C890" s="382"/>
      <c r="D890" s="382"/>
      <c r="E890" s="382"/>
      <c r="F890" s="382"/>
      <c r="G890" s="382"/>
      <c r="L890" s="381"/>
      <c r="M890" s="381"/>
      <c r="N890" s="381"/>
      <c r="O890" s="381"/>
      <c r="P890" s="381"/>
    </row>
    <row r="891" spans="3:16" ht="15.75" customHeight="1" x14ac:dyDescent="0.45">
      <c r="C891" s="382"/>
      <c r="D891" s="382"/>
      <c r="E891" s="382"/>
      <c r="F891" s="382"/>
      <c r="G891" s="382"/>
      <c r="L891" s="381"/>
      <c r="M891" s="381"/>
      <c r="N891" s="381"/>
      <c r="O891" s="381"/>
      <c r="P891" s="381"/>
    </row>
    <row r="892" spans="3:16" ht="15.75" customHeight="1" x14ac:dyDescent="0.45">
      <c r="C892" s="382"/>
      <c r="D892" s="382"/>
      <c r="E892" s="382"/>
      <c r="F892" s="382"/>
      <c r="G892" s="382"/>
      <c r="L892" s="381"/>
      <c r="M892" s="381"/>
      <c r="N892" s="381"/>
      <c r="O892" s="381"/>
      <c r="P892" s="381"/>
    </row>
    <row r="893" spans="3:16" ht="15.75" customHeight="1" x14ac:dyDescent="0.45">
      <c r="C893" s="382"/>
      <c r="D893" s="382"/>
      <c r="E893" s="382"/>
      <c r="F893" s="382"/>
      <c r="G893" s="382"/>
      <c r="L893" s="381"/>
      <c r="M893" s="381"/>
      <c r="N893" s="381"/>
      <c r="O893" s="381"/>
      <c r="P893" s="381"/>
    </row>
    <row r="894" spans="3:16" ht="15.75" customHeight="1" x14ac:dyDescent="0.45">
      <c r="C894" s="382"/>
      <c r="D894" s="382"/>
      <c r="E894" s="382"/>
      <c r="F894" s="382"/>
      <c r="G894" s="382"/>
      <c r="L894" s="381"/>
      <c r="M894" s="381"/>
      <c r="N894" s="381"/>
      <c r="O894" s="381"/>
      <c r="P894" s="381"/>
    </row>
    <row r="895" spans="3:16" ht="15.75" customHeight="1" x14ac:dyDescent="0.45">
      <c r="C895" s="382"/>
      <c r="D895" s="382"/>
      <c r="E895" s="382"/>
      <c r="F895" s="382"/>
      <c r="G895" s="382"/>
      <c r="L895" s="381"/>
      <c r="M895" s="381"/>
      <c r="N895" s="381"/>
      <c r="O895" s="381"/>
      <c r="P895" s="381"/>
    </row>
    <row r="896" spans="3:16" ht="15.75" customHeight="1" x14ac:dyDescent="0.45">
      <c r="C896" s="382"/>
      <c r="D896" s="382"/>
      <c r="E896" s="382"/>
      <c r="F896" s="382"/>
      <c r="G896" s="382"/>
      <c r="L896" s="381"/>
      <c r="M896" s="381"/>
      <c r="N896" s="381"/>
      <c r="O896" s="381"/>
      <c r="P896" s="381"/>
    </row>
    <row r="897" spans="3:16" ht="15.75" customHeight="1" x14ac:dyDescent="0.45">
      <c r="C897" s="382"/>
      <c r="D897" s="382"/>
      <c r="E897" s="382"/>
      <c r="F897" s="382"/>
      <c r="G897" s="382"/>
      <c r="L897" s="381"/>
      <c r="M897" s="381"/>
      <c r="N897" s="381"/>
      <c r="O897" s="381"/>
      <c r="P897" s="381"/>
    </row>
    <row r="898" spans="3:16" ht="15.75" customHeight="1" x14ac:dyDescent="0.45">
      <c r="C898" s="382"/>
      <c r="D898" s="382"/>
      <c r="E898" s="382"/>
      <c r="F898" s="382"/>
      <c r="G898" s="382"/>
      <c r="L898" s="381"/>
      <c r="M898" s="381"/>
      <c r="N898" s="381"/>
      <c r="O898" s="381"/>
      <c r="P898" s="381"/>
    </row>
    <row r="899" spans="3:16" ht="15.75" customHeight="1" x14ac:dyDescent="0.45">
      <c r="C899" s="382"/>
      <c r="D899" s="382"/>
      <c r="E899" s="382"/>
      <c r="F899" s="382"/>
      <c r="G899" s="382"/>
      <c r="L899" s="381"/>
      <c r="M899" s="381"/>
      <c r="N899" s="381"/>
      <c r="O899" s="381"/>
      <c r="P899" s="381"/>
    </row>
    <row r="900" spans="3:16" ht="15.75" customHeight="1" x14ac:dyDescent="0.45">
      <c r="C900" s="382"/>
      <c r="D900" s="382"/>
      <c r="E900" s="382"/>
      <c r="F900" s="382"/>
      <c r="G900" s="382"/>
      <c r="L900" s="381"/>
      <c r="M900" s="381"/>
      <c r="N900" s="381"/>
      <c r="O900" s="381"/>
      <c r="P900" s="381"/>
    </row>
    <row r="901" spans="3:16" ht="15.75" customHeight="1" x14ac:dyDescent="0.45">
      <c r="C901" s="382"/>
      <c r="D901" s="382"/>
      <c r="E901" s="382"/>
      <c r="F901" s="382"/>
      <c r="G901" s="382"/>
      <c r="L901" s="381"/>
      <c r="M901" s="381"/>
      <c r="N901" s="381"/>
      <c r="O901" s="381"/>
      <c r="P901" s="381"/>
    </row>
    <row r="902" spans="3:16" ht="15.75" customHeight="1" x14ac:dyDescent="0.45">
      <c r="C902" s="382"/>
      <c r="D902" s="382"/>
      <c r="E902" s="382"/>
      <c r="F902" s="382"/>
      <c r="G902" s="382"/>
      <c r="L902" s="381"/>
      <c r="M902" s="381"/>
      <c r="N902" s="381"/>
      <c r="O902" s="381"/>
      <c r="P902" s="381"/>
    </row>
    <row r="903" spans="3:16" ht="15.75" customHeight="1" x14ac:dyDescent="0.45">
      <c r="C903" s="382"/>
      <c r="D903" s="382"/>
      <c r="E903" s="382"/>
      <c r="F903" s="382"/>
      <c r="G903" s="382"/>
      <c r="L903" s="381"/>
      <c r="M903" s="381"/>
      <c r="N903" s="381"/>
      <c r="O903" s="381"/>
      <c r="P903" s="381"/>
    </row>
    <row r="904" spans="3:16" ht="15.75" customHeight="1" x14ac:dyDescent="0.45">
      <c r="C904" s="382"/>
      <c r="D904" s="382"/>
      <c r="E904" s="382"/>
      <c r="F904" s="382"/>
      <c r="G904" s="382"/>
      <c r="L904" s="381"/>
      <c r="M904" s="381"/>
      <c r="N904" s="381"/>
      <c r="O904" s="381"/>
      <c r="P904" s="381"/>
    </row>
    <row r="905" spans="3:16" ht="15.75" customHeight="1" x14ac:dyDescent="0.45">
      <c r="C905" s="382"/>
      <c r="D905" s="382"/>
      <c r="E905" s="382"/>
      <c r="F905" s="382"/>
      <c r="G905" s="382"/>
      <c r="L905" s="381"/>
      <c r="M905" s="381"/>
      <c r="N905" s="381"/>
      <c r="O905" s="381"/>
      <c r="P905" s="381"/>
    </row>
    <row r="906" spans="3:16" ht="15.75" customHeight="1" x14ac:dyDescent="0.45">
      <c r="C906" s="382"/>
      <c r="D906" s="382"/>
      <c r="E906" s="382"/>
      <c r="F906" s="382"/>
      <c r="G906" s="382"/>
      <c r="L906" s="381"/>
      <c r="M906" s="381"/>
      <c r="N906" s="381"/>
      <c r="O906" s="381"/>
      <c r="P906" s="381"/>
    </row>
    <row r="907" spans="3:16" ht="15.75" customHeight="1" x14ac:dyDescent="0.45">
      <c r="C907" s="382"/>
      <c r="D907" s="382"/>
      <c r="E907" s="382"/>
      <c r="F907" s="382"/>
      <c r="G907" s="382"/>
      <c r="L907" s="381"/>
      <c r="M907" s="381"/>
      <c r="N907" s="381"/>
      <c r="O907" s="381"/>
      <c r="P907" s="381"/>
    </row>
    <row r="908" spans="3:16" ht="15.75" customHeight="1" x14ac:dyDescent="0.45">
      <c r="C908" s="382"/>
      <c r="D908" s="382"/>
      <c r="E908" s="382"/>
      <c r="F908" s="382"/>
      <c r="G908" s="382"/>
      <c r="L908" s="381"/>
      <c r="M908" s="381"/>
      <c r="N908" s="381"/>
      <c r="O908" s="381"/>
      <c r="P908" s="381"/>
    </row>
    <row r="909" spans="3:16" ht="15.75" customHeight="1" x14ac:dyDescent="0.45">
      <c r="C909" s="382"/>
      <c r="D909" s="382"/>
      <c r="E909" s="382"/>
      <c r="F909" s="382"/>
      <c r="G909" s="382"/>
      <c r="L909" s="381"/>
      <c r="M909" s="381"/>
      <c r="N909" s="381"/>
      <c r="O909" s="381"/>
      <c r="P909" s="381"/>
    </row>
    <row r="910" spans="3:16" ht="15.75" customHeight="1" x14ac:dyDescent="0.45">
      <c r="C910" s="382"/>
      <c r="D910" s="382"/>
      <c r="E910" s="382"/>
      <c r="F910" s="382"/>
      <c r="G910" s="382"/>
      <c r="L910" s="381"/>
      <c r="M910" s="381"/>
      <c r="N910" s="381"/>
      <c r="O910" s="381"/>
      <c r="P910" s="381"/>
    </row>
    <row r="911" spans="3:16" ht="15.75" customHeight="1" x14ac:dyDescent="0.45">
      <c r="C911" s="382"/>
      <c r="D911" s="382"/>
      <c r="E911" s="382"/>
      <c r="F911" s="382"/>
      <c r="G911" s="382"/>
      <c r="L911" s="381"/>
      <c r="M911" s="381"/>
      <c r="N911" s="381"/>
      <c r="O911" s="381"/>
      <c r="P911" s="381"/>
    </row>
    <row r="912" spans="3:16" ht="15.75" customHeight="1" x14ac:dyDescent="0.45">
      <c r="C912" s="382"/>
      <c r="D912" s="382"/>
      <c r="E912" s="382"/>
      <c r="F912" s="382"/>
      <c r="G912" s="382"/>
      <c r="L912" s="381"/>
      <c r="M912" s="381"/>
      <c r="N912" s="381"/>
      <c r="O912" s="381"/>
      <c r="P912" s="381"/>
    </row>
    <row r="913" spans="3:16" ht="15.75" customHeight="1" x14ac:dyDescent="0.45">
      <c r="C913" s="382"/>
      <c r="D913" s="382"/>
      <c r="E913" s="382"/>
      <c r="F913" s="382"/>
      <c r="G913" s="382"/>
      <c r="L913" s="381"/>
      <c r="M913" s="381"/>
      <c r="N913" s="381"/>
      <c r="O913" s="381"/>
      <c r="P913" s="381"/>
    </row>
    <row r="914" spans="3:16" ht="15.75" customHeight="1" x14ac:dyDescent="0.45">
      <c r="C914" s="382"/>
      <c r="D914" s="382"/>
      <c r="E914" s="382"/>
      <c r="F914" s="382"/>
      <c r="G914" s="382"/>
      <c r="L914" s="381"/>
      <c r="M914" s="381"/>
      <c r="N914" s="381"/>
      <c r="O914" s="381"/>
      <c r="P914" s="381"/>
    </row>
    <row r="915" spans="3:16" ht="15.75" customHeight="1" x14ac:dyDescent="0.45">
      <c r="C915" s="382"/>
      <c r="D915" s="382"/>
      <c r="E915" s="382"/>
      <c r="F915" s="382"/>
      <c r="G915" s="382"/>
      <c r="L915" s="381"/>
      <c r="M915" s="381"/>
      <c r="N915" s="381"/>
      <c r="O915" s="381"/>
      <c r="P915" s="381"/>
    </row>
    <row r="916" spans="3:16" ht="15.75" customHeight="1" x14ac:dyDescent="0.45">
      <c r="C916" s="382"/>
      <c r="D916" s="382"/>
      <c r="E916" s="382"/>
      <c r="F916" s="382"/>
      <c r="G916" s="382"/>
      <c r="L916" s="381"/>
      <c r="M916" s="381"/>
      <c r="N916" s="381"/>
      <c r="O916" s="381"/>
      <c r="P916" s="381"/>
    </row>
    <row r="917" spans="3:16" ht="15.75" customHeight="1" x14ac:dyDescent="0.45">
      <c r="C917" s="382"/>
      <c r="D917" s="382"/>
      <c r="E917" s="382"/>
      <c r="F917" s="382"/>
      <c r="G917" s="382"/>
      <c r="L917" s="381"/>
      <c r="M917" s="381"/>
      <c r="N917" s="381"/>
      <c r="O917" s="381"/>
      <c r="P917" s="381"/>
    </row>
    <row r="918" spans="3:16" ht="15.75" customHeight="1" x14ac:dyDescent="0.45">
      <c r="C918" s="382"/>
      <c r="D918" s="382"/>
      <c r="E918" s="382"/>
      <c r="F918" s="382"/>
      <c r="G918" s="382"/>
      <c r="L918" s="381"/>
      <c r="M918" s="381"/>
      <c r="N918" s="381"/>
      <c r="O918" s="381"/>
      <c r="P918" s="381"/>
    </row>
    <row r="919" spans="3:16" ht="15.75" customHeight="1" x14ac:dyDescent="0.45">
      <c r="C919" s="382"/>
      <c r="D919" s="382"/>
      <c r="E919" s="382"/>
      <c r="F919" s="382"/>
      <c r="G919" s="382"/>
      <c r="L919" s="381"/>
      <c r="M919" s="381"/>
      <c r="N919" s="381"/>
      <c r="O919" s="381"/>
      <c r="P919" s="381"/>
    </row>
    <row r="920" spans="3:16" ht="15.75" customHeight="1" x14ac:dyDescent="0.45">
      <c r="C920" s="382"/>
      <c r="D920" s="382"/>
      <c r="E920" s="382"/>
      <c r="F920" s="382"/>
      <c r="G920" s="382"/>
      <c r="L920" s="381"/>
      <c r="M920" s="381"/>
      <c r="N920" s="381"/>
      <c r="O920" s="381"/>
      <c r="P920" s="381"/>
    </row>
    <row r="921" spans="3:16" ht="15.75" customHeight="1" x14ac:dyDescent="0.45">
      <c r="C921" s="382"/>
      <c r="D921" s="382"/>
      <c r="E921" s="382"/>
      <c r="F921" s="382"/>
      <c r="G921" s="382"/>
      <c r="L921" s="381"/>
      <c r="M921" s="381"/>
      <c r="N921" s="381"/>
      <c r="O921" s="381"/>
      <c r="P921" s="381"/>
    </row>
    <row r="922" spans="3:16" ht="15.75" customHeight="1" x14ac:dyDescent="0.45">
      <c r="C922" s="382"/>
      <c r="D922" s="382"/>
      <c r="E922" s="382"/>
      <c r="F922" s="382"/>
      <c r="G922" s="382"/>
      <c r="L922" s="381"/>
      <c r="M922" s="381"/>
      <c r="N922" s="381"/>
      <c r="O922" s="381"/>
      <c r="P922" s="381"/>
    </row>
    <row r="923" spans="3:16" ht="15.75" customHeight="1" x14ac:dyDescent="0.45">
      <c r="C923" s="382"/>
      <c r="D923" s="382"/>
      <c r="E923" s="382"/>
      <c r="F923" s="382"/>
      <c r="G923" s="382"/>
      <c r="L923" s="381"/>
      <c r="M923" s="381"/>
      <c r="N923" s="381"/>
      <c r="O923" s="381"/>
      <c r="P923" s="381"/>
    </row>
    <row r="924" spans="3:16" ht="15.75" customHeight="1" x14ac:dyDescent="0.45">
      <c r="C924" s="382"/>
      <c r="D924" s="382"/>
      <c r="E924" s="382"/>
      <c r="F924" s="382"/>
      <c r="G924" s="382"/>
      <c r="L924" s="381"/>
      <c r="M924" s="381"/>
      <c r="N924" s="381"/>
      <c r="O924" s="381"/>
      <c r="P924" s="381"/>
    </row>
    <row r="925" spans="3:16" ht="15.75" customHeight="1" x14ac:dyDescent="0.45">
      <c r="C925" s="382"/>
      <c r="D925" s="382"/>
      <c r="E925" s="382"/>
      <c r="F925" s="382"/>
      <c r="G925" s="382"/>
      <c r="L925" s="381"/>
      <c r="M925" s="381"/>
      <c r="N925" s="381"/>
      <c r="O925" s="381"/>
      <c r="P925" s="381"/>
    </row>
    <row r="926" spans="3:16" ht="15.75" customHeight="1" x14ac:dyDescent="0.45">
      <c r="C926" s="382"/>
      <c r="D926" s="382"/>
      <c r="E926" s="382"/>
      <c r="F926" s="382"/>
      <c r="G926" s="382"/>
      <c r="L926" s="381"/>
      <c r="M926" s="381"/>
      <c r="N926" s="381"/>
      <c r="O926" s="381"/>
      <c r="P926" s="381"/>
    </row>
    <row r="927" spans="3:16" ht="15.75" customHeight="1" x14ac:dyDescent="0.45">
      <c r="C927" s="382"/>
      <c r="D927" s="382"/>
      <c r="E927" s="382"/>
      <c r="F927" s="382"/>
      <c r="G927" s="382"/>
      <c r="L927" s="381"/>
      <c r="M927" s="381"/>
      <c r="N927" s="381"/>
      <c r="O927" s="381"/>
      <c r="P927" s="381"/>
    </row>
    <row r="928" spans="3:16" ht="15.75" customHeight="1" x14ac:dyDescent="0.45">
      <c r="C928" s="382"/>
      <c r="D928" s="382"/>
      <c r="E928" s="382"/>
      <c r="F928" s="382"/>
      <c r="G928" s="382"/>
      <c r="L928" s="381"/>
      <c r="M928" s="381"/>
      <c r="N928" s="381"/>
      <c r="O928" s="381"/>
      <c r="P928" s="381"/>
    </row>
    <row r="929" spans="3:16" ht="15.75" customHeight="1" x14ac:dyDescent="0.45">
      <c r="C929" s="382"/>
      <c r="D929" s="382"/>
      <c r="E929" s="382"/>
      <c r="F929" s="382"/>
      <c r="G929" s="382"/>
      <c r="L929" s="381"/>
      <c r="M929" s="381"/>
      <c r="N929" s="381"/>
      <c r="O929" s="381"/>
      <c r="P929" s="381"/>
    </row>
    <row r="930" spans="3:16" ht="15.75" customHeight="1" x14ac:dyDescent="0.45">
      <c r="C930" s="382"/>
      <c r="D930" s="382"/>
      <c r="E930" s="382"/>
      <c r="F930" s="382"/>
      <c r="G930" s="382"/>
      <c r="L930" s="381"/>
      <c r="M930" s="381"/>
      <c r="N930" s="381"/>
      <c r="O930" s="381"/>
      <c r="P930" s="381"/>
    </row>
    <row r="931" spans="3:16" ht="15.75" customHeight="1" x14ac:dyDescent="0.45">
      <c r="C931" s="382"/>
      <c r="D931" s="382"/>
      <c r="E931" s="382"/>
      <c r="F931" s="382"/>
      <c r="G931" s="382"/>
      <c r="L931" s="381"/>
      <c r="M931" s="381"/>
      <c r="N931" s="381"/>
      <c r="O931" s="381"/>
      <c r="P931" s="381"/>
    </row>
    <row r="932" spans="3:16" ht="15.75" customHeight="1" x14ac:dyDescent="0.45">
      <c r="C932" s="382"/>
      <c r="D932" s="382"/>
      <c r="E932" s="382"/>
      <c r="F932" s="382"/>
      <c r="G932" s="382"/>
      <c r="L932" s="381"/>
      <c r="M932" s="381"/>
      <c r="N932" s="381"/>
      <c r="O932" s="381"/>
      <c r="P932" s="381"/>
    </row>
    <row r="933" spans="3:16" ht="15.75" customHeight="1" x14ac:dyDescent="0.45">
      <c r="C933" s="382"/>
      <c r="D933" s="382"/>
      <c r="E933" s="382"/>
      <c r="F933" s="382"/>
      <c r="G933" s="382"/>
      <c r="L933" s="381"/>
      <c r="M933" s="381"/>
      <c r="N933" s="381"/>
      <c r="O933" s="381"/>
      <c r="P933" s="381"/>
    </row>
    <row r="934" spans="3:16" ht="15.75" customHeight="1" x14ac:dyDescent="0.45">
      <c r="C934" s="382"/>
      <c r="D934" s="382"/>
      <c r="E934" s="382"/>
      <c r="F934" s="382"/>
      <c r="G934" s="382"/>
      <c r="L934" s="381"/>
      <c r="M934" s="381"/>
      <c r="N934" s="381"/>
      <c r="O934" s="381"/>
      <c r="P934" s="381"/>
    </row>
    <row r="935" spans="3:16" ht="15.75" customHeight="1" x14ac:dyDescent="0.45">
      <c r="C935" s="382"/>
      <c r="D935" s="382"/>
      <c r="E935" s="382"/>
      <c r="F935" s="382"/>
      <c r="G935" s="382"/>
      <c r="L935" s="381"/>
      <c r="M935" s="381"/>
      <c r="N935" s="381"/>
      <c r="O935" s="381"/>
      <c r="P935" s="381"/>
    </row>
    <row r="936" spans="3:16" ht="15.75" customHeight="1" x14ac:dyDescent="0.45">
      <c r="C936" s="382"/>
      <c r="D936" s="382"/>
      <c r="E936" s="382"/>
      <c r="F936" s="382"/>
      <c r="G936" s="382"/>
      <c r="L936" s="381"/>
      <c r="M936" s="381"/>
      <c r="N936" s="381"/>
      <c r="O936" s="381"/>
      <c r="P936" s="381"/>
    </row>
    <row r="937" spans="3:16" ht="15.75" customHeight="1" x14ac:dyDescent="0.45">
      <c r="C937" s="382"/>
      <c r="D937" s="382"/>
      <c r="E937" s="382"/>
      <c r="F937" s="382"/>
      <c r="G937" s="382"/>
      <c r="L937" s="381"/>
      <c r="M937" s="381"/>
      <c r="N937" s="381"/>
      <c r="O937" s="381"/>
      <c r="P937" s="381"/>
    </row>
    <row r="938" spans="3:16" ht="15.75" customHeight="1" x14ac:dyDescent="0.45">
      <c r="C938" s="382"/>
      <c r="D938" s="382"/>
      <c r="E938" s="382"/>
      <c r="F938" s="382"/>
      <c r="G938" s="382"/>
      <c r="L938" s="381"/>
      <c r="M938" s="381"/>
      <c r="N938" s="381"/>
      <c r="O938" s="381"/>
      <c r="P938" s="381"/>
    </row>
    <row r="939" spans="3:16" ht="15.75" customHeight="1" x14ac:dyDescent="0.45">
      <c r="C939" s="382"/>
      <c r="D939" s="382"/>
      <c r="E939" s="382"/>
      <c r="F939" s="382"/>
      <c r="G939" s="382"/>
      <c r="L939" s="381"/>
      <c r="M939" s="381"/>
      <c r="N939" s="381"/>
      <c r="O939" s="381"/>
      <c r="P939" s="381"/>
    </row>
    <row r="940" spans="3:16" ht="15.75" customHeight="1" x14ac:dyDescent="0.45">
      <c r="C940" s="382"/>
      <c r="D940" s="382"/>
      <c r="E940" s="382"/>
      <c r="F940" s="382"/>
      <c r="G940" s="382"/>
      <c r="L940" s="381"/>
      <c r="M940" s="381"/>
      <c r="N940" s="381"/>
      <c r="O940" s="381"/>
      <c r="P940" s="381"/>
    </row>
    <row r="941" spans="3:16" ht="15.75" customHeight="1" x14ac:dyDescent="0.45">
      <c r="C941" s="382"/>
      <c r="D941" s="382"/>
      <c r="E941" s="382"/>
      <c r="F941" s="382"/>
      <c r="G941" s="382"/>
      <c r="L941" s="381"/>
      <c r="M941" s="381"/>
      <c r="N941" s="381"/>
      <c r="O941" s="381"/>
      <c r="P941" s="381"/>
    </row>
    <row r="942" spans="3:16" ht="15.75" customHeight="1" x14ac:dyDescent="0.45">
      <c r="C942" s="382"/>
      <c r="D942" s="382"/>
      <c r="E942" s="382"/>
      <c r="F942" s="382"/>
      <c r="G942" s="382"/>
      <c r="L942" s="381"/>
      <c r="M942" s="381"/>
      <c r="N942" s="381"/>
      <c r="O942" s="381"/>
      <c r="P942" s="381"/>
    </row>
    <row r="943" spans="3:16" ht="15.75" customHeight="1" x14ac:dyDescent="0.45">
      <c r="C943" s="382"/>
      <c r="D943" s="382"/>
      <c r="E943" s="382"/>
      <c r="F943" s="382"/>
      <c r="G943" s="382"/>
      <c r="L943" s="381"/>
      <c r="M943" s="381"/>
      <c r="N943" s="381"/>
      <c r="O943" s="381"/>
      <c r="P943" s="381"/>
    </row>
    <row r="944" spans="3:16" ht="15.75" customHeight="1" x14ac:dyDescent="0.45">
      <c r="C944" s="382"/>
      <c r="D944" s="382"/>
      <c r="E944" s="382"/>
      <c r="F944" s="382"/>
      <c r="G944" s="382"/>
      <c r="L944" s="381"/>
      <c r="M944" s="381"/>
      <c r="N944" s="381"/>
      <c r="O944" s="381"/>
      <c r="P944" s="381"/>
    </row>
    <row r="945" spans="3:16" ht="15.75" customHeight="1" x14ac:dyDescent="0.45">
      <c r="C945" s="382"/>
      <c r="D945" s="382"/>
      <c r="E945" s="382"/>
      <c r="F945" s="382"/>
      <c r="G945" s="382"/>
      <c r="L945" s="381"/>
      <c r="M945" s="381"/>
      <c r="N945" s="381"/>
      <c r="O945" s="381"/>
      <c r="P945" s="381"/>
    </row>
    <row r="946" spans="3:16" ht="15.75" customHeight="1" x14ac:dyDescent="0.45">
      <c r="C946" s="382"/>
      <c r="D946" s="382"/>
      <c r="E946" s="382"/>
      <c r="F946" s="382"/>
      <c r="G946" s="382"/>
      <c r="L946" s="381"/>
      <c r="M946" s="381"/>
      <c r="N946" s="381"/>
      <c r="O946" s="381"/>
      <c r="P946" s="381"/>
    </row>
    <row r="947" spans="3:16" ht="15.75" customHeight="1" x14ac:dyDescent="0.45">
      <c r="C947" s="382"/>
      <c r="D947" s="382"/>
      <c r="E947" s="382"/>
      <c r="F947" s="382"/>
      <c r="G947" s="382"/>
      <c r="L947" s="381"/>
      <c r="M947" s="381"/>
      <c r="N947" s="381"/>
      <c r="O947" s="381"/>
      <c r="P947" s="381"/>
    </row>
    <row r="948" spans="3:16" ht="15.75" customHeight="1" x14ac:dyDescent="0.45">
      <c r="C948" s="382"/>
      <c r="D948" s="382"/>
      <c r="E948" s="382"/>
      <c r="F948" s="382"/>
      <c r="G948" s="382"/>
      <c r="L948" s="381"/>
      <c r="M948" s="381"/>
      <c r="N948" s="381"/>
      <c r="O948" s="381"/>
      <c r="P948" s="381"/>
    </row>
    <row r="949" spans="3:16" ht="15.75" customHeight="1" x14ac:dyDescent="0.45">
      <c r="C949" s="382"/>
      <c r="D949" s="382"/>
      <c r="E949" s="382"/>
      <c r="F949" s="382"/>
      <c r="G949" s="382"/>
      <c r="L949" s="381"/>
      <c r="M949" s="381"/>
      <c r="N949" s="381"/>
      <c r="O949" s="381"/>
      <c r="P949" s="381"/>
    </row>
    <row r="950" spans="3:16" ht="15.75" customHeight="1" x14ac:dyDescent="0.45">
      <c r="C950" s="382"/>
      <c r="D950" s="382"/>
      <c r="E950" s="382"/>
      <c r="F950" s="382"/>
      <c r="G950" s="382"/>
      <c r="L950" s="381"/>
      <c r="M950" s="381"/>
      <c r="N950" s="381"/>
      <c r="O950" s="381"/>
      <c r="P950" s="381"/>
    </row>
    <row r="951" spans="3:16" ht="15.75" customHeight="1" x14ac:dyDescent="0.45">
      <c r="C951" s="382"/>
      <c r="D951" s="382"/>
      <c r="E951" s="382"/>
      <c r="F951" s="382"/>
      <c r="G951" s="382"/>
      <c r="L951" s="381"/>
      <c r="M951" s="381"/>
      <c r="N951" s="381"/>
      <c r="O951" s="381"/>
      <c r="P951" s="381"/>
    </row>
    <row r="952" spans="3:16" ht="15.75" customHeight="1" x14ac:dyDescent="0.45">
      <c r="C952" s="382"/>
      <c r="D952" s="382"/>
      <c r="E952" s="382"/>
      <c r="F952" s="382"/>
      <c r="G952" s="382"/>
      <c r="L952" s="381"/>
      <c r="M952" s="381"/>
      <c r="N952" s="381"/>
      <c r="O952" s="381"/>
      <c r="P952" s="381"/>
    </row>
    <row r="953" spans="3:16" ht="15.75" customHeight="1" x14ac:dyDescent="0.45">
      <c r="C953" s="382"/>
      <c r="D953" s="382"/>
      <c r="E953" s="382"/>
      <c r="F953" s="382"/>
      <c r="G953" s="382"/>
      <c r="L953" s="381"/>
      <c r="M953" s="381"/>
      <c r="N953" s="381"/>
      <c r="O953" s="381"/>
      <c r="P953" s="381"/>
    </row>
    <row r="954" spans="3:16" ht="15.75" customHeight="1" x14ac:dyDescent="0.45">
      <c r="C954" s="382"/>
      <c r="D954" s="382"/>
      <c r="E954" s="382"/>
      <c r="F954" s="382"/>
      <c r="G954" s="382"/>
      <c r="L954" s="381"/>
      <c r="M954" s="381"/>
      <c r="N954" s="381"/>
      <c r="O954" s="381"/>
      <c r="P954" s="381"/>
    </row>
    <row r="955" spans="3:16" ht="15.75" customHeight="1" x14ac:dyDescent="0.45">
      <c r="C955" s="382"/>
      <c r="D955" s="382"/>
      <c r="E955" s="382"/>
      <c r="F955" s="382"/>
      <c r="G955" s="382"/>
      <c r="L955" s="381"/>
      <c r="M955" s="381"/>
      <c r="N955" s="381"/>
      <c r="O955" s="381"/>
      <c r="P955" s="381"/>
    </row>
    <row r="956" spans="3:16" ht="15.75" customHeight="1" x14ac:dyDescent="0.45">
      <c r="C956" s="382"/>
      <c r="D956" s="382"/>
      <c r="E956" s="382"/>
      <c r="F956" s="382"/>
      <c r="G956" s="382"/>
      <c r="L956" s="381"/>
      <c r="M956" s="381"/>
      <c r="N956" s="381"/>
      <c r="O956" s="381"/>
      <c r="P956" s="381"/>
    </row>
    <row r="957" spans="3:16" ht="15.75" customHeight="1" x14ac:dyDescent="0.45">
      <c r="C957" s="382"/>
      <c r="D957" s="382"/>
      <c r="E957" s="382"/>
      <c r="F957" s="382"/>
      <c r="G957" s="382"/>
      <c r="L957" s="381"/>
      <c r="M957" s="381"/>
      <c r="N957" s="381"/>
      <c r="O957" s="381"/>
      <c r="P957" s="381"/>
    </row>
    <row r="958" spans="3:16" ht="15.75" customHeight="1" x14ac:dyDescent="0.45">
      <c r="C958" s="382"/>
      <c r="D958" s="382"/>
      <c r="E958" s="382"/>
      <c r="F958" s="382"/>
      <c r="G958" s="382"/>
      <c r="L958" s="381"/>
      <c r="M958" s="381"/>
      <c r="N958" s="381"/>
      <c r="O958" s="381"/>
      <c r="P958" s="381"/>
    </row>
    <row r="959" spans="3:16" ht="15.75" customHeight="1" x14ac:dyDescent="0.45">
      <c r="C959" s="382"/>
      <c r="D959" s="382"/>
      <c r="E959" s="382"/>
      <c r="F959" s="382"/>
      <c r="G959" s="382"/>
      <c r="L959" s="381"/>
      <c r="M959" s="381"/>
      <c r="N959" s="381"/>
      <c r="O959" s="381"/>
      <c r="P959" s="381"/>
    </row>
    <row r="960" spans="3:16" ht="15.75" customHeight="1" x14ac:dyDescent="0.45">
      <c r="C960" s="382"/>
      <c r="D960" s="382"/>
      <c r="E960" s="382"/>
      <c r="F960" s="382"/>
      <c r="G960" s="382"/>
      <c r="L960" s="381"/>
      <c r="M960" s="381"/>
      <c r="N960" s="381"/>
      <c r="O960" s="381"/>
      <c r="P960" s="381"/>
    </row>
    <row r="961" spans="3:16" ht="15.75" customHeight="1" x14ac:dyDescent="0.45">
      <c r="C961" s="382"/>
      <c r="D961" s="382"/>
      <c r="E961" s="382"/>
      <c r="F961" s="382"/>
      <c r="G961" s="382"/>
      <c r="L961" s="381"/>
      <c r="M961" s="381"/>
      <c r="N961" s="381"/>
      <c r="O961" s="381"/>
      <c r="P961" s="381"/>
    </row>
    <row r="962" spans="3:16" ht="15.75" customHeight="1" x14ac:dyDescent="0.45">
      <c r="C962" s="382"/>
      <c r="D962" s="382"/>
      <c r="E962" s="382"/>
      <c r="F962" s="382"/>
      <c r="G962" s="382"/>
      <c r="L962" s="381"/>
      <c r="M962" s="381"/>
      <c r="N962" s="381"/>
      <c r="O962" s="381"/>
      <c r="P962" s="381"/>
    </row>
    <row r="963" spans="3:16" ht="15.75" customHeight="1" x14ac:dyDescent="0.45">
      <c r="C963" s="382"/>
      <c r="D963" s="382"/>
      <c r="E963" s="382"/>
      <c r="F963" s="382"/>
      <c r="G963" s="382"/>
      <c r="L963" s="381"/>
      <c r="M963" s="381"/>
      <c r="N963" s="381"/>
      <c r="O963" s="381"/>
      <c r="P963" s="381"/>
    </row>
    <row r="964" spans="3:16" ht="15.75" customHeight="1" x14ac:dyDescent="0.45">
      <c r="C964" s="382"/>
      <c r="D964" s="382"/>
      <c r="E964" s="382"/>
      <c r="F964" s="382"/>
      <c r="G964" s="382"/>
      <c r="L964" s="381"/>
      <c r="M964" s="381"/>
      <c r="N964" s="381"/>
      <c r="O964" s="381"/>
      <c r="P964" s="381"/>
    </row>
    <row r="965" spans="3:16" ht="15.75" customHeight="1" x14ac:dyDescent="0.45">
      <c r="C965" s="382"/>
      <c r="D965" s="382"/>
      <c r="E965" s="382"/>
      <c r="F965" s="382"/>
      <c r="G965" s="382"/>
      <c r="L965" s="381"/>
      <c r="M965" s="381"/>
      <c r="N965" s="381"/>
      <c r="O965" s="381"/>
      <c r="P965" s="381"/>
    </row>
    <row r="966" spans="3:16" ht="15.75" customHeight="1" x14ac:dyDescent="0.45">
      <c r="C966" s="382"/>
      <c r="D966" s="382"/>
      <c r="E966" s="382"/>
      <c r="F966" s="382"/>
      <c r="G966" s="382"/>
      <c r="L966" s="381"/>
      <c r="M966" s="381"/>
      <c r="N966" s="381"/>
      <c r="O966" s="381"/>
      <c r="P966" s="381"/>
    </row>
    <row r="967" spans="3:16" ht="15.75" customHeight="1" x14ac:dyDescent="0.45">
      <c r="C967" s="382"/>
      <c r="D967" s="382"/>
      <c r="E967" s="382"/>
      <c r="F967" s="382"/>
      <c r="G967" s="382"/>
      <c r="L967" s="381"/>
      <c r="M967" s="381"/>
      <c r="N967" s="381"/>
      <c r="O967" s="381"/>
      <c r="P967" s="381"/>
    </row>
    <row r="968" spans="3:16" ht="15.75" customHeight="1" x14ac:dyDescent="0.45">
      <c r="C968" s="382"/>
      <c r="D968" s="382"/>
      <c r="E968" s="382"/>
      <c r="F968" s="382"/>
      <c r="G968" s="382"/>
      <c r="L968" s="381"/>
      <c r="M968" s="381"/>
      <c r="N968" s="381"/>
      <c r="O968" s="381"/>
      <c r="P968" s="381"/>
    </row>
    <row r="969" spans="3:16" ht="15.75" customHeight="1" x14ac:dyDescent="0.45">
      <c r="C969" s="382"/>
      <c r="D969" s="382"/>
      <c r="E969" s="382"/>
      <c r="F969" s="382"/>
      <c r="G969" s="382"/>
      <c r="L969" s="381"/>
      <c r="M969" s="381"/>
      <c r="N969" s="381"/>
      <c r="O969" s="381"/>
      <c r="P969" s="381"/>
    </row>
    <row r="970" spans="3:16" ht="15.75" customHeight="1" x14ac:dyDescent="0.45">
      <c r="C970" s="382"/>
      <c r="D970" s="382"/>
      <c r="E970" s="382"/>
      <c r="F970" s="382"/>
      <c r="G970" s="382"/>
      <c r="L970" s="381"/>
      <c r="M970" s="381"/>
      <c r="N970" s="381"/>
      <c r="O970" s="381"/>
      <c r="P970" s="381"/>
    </row>
    <row r="971" spans="3:16" ht="15.75" customHeight="1" x14ac:dyDescent="0.45">
      <c r="C971" s="382"/>
      <c r="D971" s="382"/>
      <c r="E971" s="382"/>
      <c r="F971" s="382"/>
      <c r="G971" s="382"/>
      <c r="L971" s="381"/>
      <c r="M971" s="381"/>
      <c r="N971" s="381"/>
      <c r="O971" s="381"/>
      <c r="P971" s="381"/>
    </row>
    <row r="972" spans="3:16" ht="15.75" customHeight="1" x14ac:dyDescent="0.45">
      <c r="C972" s="382"/>
      <c r="D972" s="382"/>
      <c r="E972" s="382"/>
      <c r="F972" s="382"/>
      <c r="G972" s="382"/>
      <c r="L972" s="381"/>
      <c r="M972" s="381"/>
      <c r="N972" s="381"/>
      <c r="O972" s="381"/>
      <c r="P972" s="381"/>
    </row>
    <row r="973" spans="3:16" ht="15.75" customHeight="1" x14ac:dyDescent="0.45">
      <c r="C973" s="382"/>
      <c r="D973" s="382"/>
      <c r="E973" s="382"/>
      <c r="F973" s="382"/>
      <c r="G973" s="382"/>
      <c r="L973" s="381"/>
      <c r="M973" s="381"/>
      <c r="N973" s="381"/>
      <c r="O973" s="381"/>
      <c r="P973" s="381"/>
    </row>
    <row r="974" spans="3:16" ht="15.75" customHeight="1" x14ac:dyDescent="0.45">
      <c r="C974" s="382"/>
      <c r="D974" s="382"/>
      <c r="E974" s="382"/>
      <c r="F974" s="382"/>
      <c r="G974" s="382"/>
      <c r="L974" s="381"/>
      <c r="M974" s="381"/>
      <c r="N974" s="381"/>
      <c r="O974" s="381"/>
      <c r="P974" s="381"/>
    </row>
    <row r="975" spans="3:16" ht="15.75" customHeight="1" x14ac:dyDescent="0.45">
      <c r="C975" s="382"/>
      <c r="D975" s="382"/>
      <c r="E975" s="382"/>
      <c r="F975" s="382"/>
      <c r="G975" s="382"/>
      <c r="L975" s="381"/>
      <c r="M975" s="381"/>
      <c r="N975" s="381"/>
      <c r="O975" s="381"/>
      <c r="P975" s="381"/>
    </row>
    <row r="976" spans="3:16" ht="15.75" customHeight="1" x14ac:dyDescent="0.45">
      <c r="C976" s="382"/>
      <c r="D976" s="382"/>
      <c r="E976" s="382"/>
      <c r="F976" s="382"/>
      <c r="G976" s="382"/>
      <c r="L976" s="381"/>
      <c r="M976" s="381"/>
      <c r="N976" s="381"/>
      <c r="O976" s="381"/>
      <c r="P976" s="381"/>
    </row>
    <row r="977" spans="3:16" ht="15.75" customHeight="1" x14ac:dyDescent="0.45">
      <c r="C977" s="382"/>
      <c r="D977" s="382"/>
      <c r="E977" s="382"/>
      <c r="F977" s="382"/>
      <c r="G977" s="382"/>
      <c r="L977" s="381"/>
      <c r="M977" s="381"/>
      <c r="N977" s="381"/>
      <c r="O977" s="381"/>
      <c r="P977" s="381"/>
    </row>
    <row r="978" spans="3:16" ht="15.75" customHeight="1" x14ac:dyDescent="0.45">
      <c r="C978" s="382"/>
      <c r="D978" s="382"/>
      <c r="E978" s="382"/>
      <c r="F978" s="382"/>
      <c r="G978" s="382"/>
      <c r="L978" s="381"/>
      <c r="M978" s="381"/>
      <c r="N978" s="381"/>
      <c r="O978" s="381"/>
      <c r="P978" s="381"/>
    </row>
    <row r="979" spans="3:16" ht="15.75" customHeight="1" x14ac:dyDescent="0.45">
      <c r="C979" s="382"/>
      <c r="D979" s="382"/>
      <c r="E979" s="382"/>
      <c r="F979" s="382"/>
      <c r="G979" s="382"/>
      <c r="L979" s="381"/>
      <c r="M979" s="381"/>
      <c r="N979" s="381"/>
      <c r="O979" s="381"/>
      <c r="P979" s="381"/>
    </row>
    <row r="980" spans="3:16" ht="15.75" customHeight="1" x14ac:dyDescent="0.45">
      <c r="C980" s="382"/>
      <c r="D980" s="382"/>
      <c r="E980" s="382"/>
      <c r="F980" s="382"/>
      <c r="G980" s="382"/>
      <c r="L980" s="381"/>
      <c r="M980" s="381"/>
      <c r="N980" s="381"/>
      <c r="O980" s="381"/>
      <c r="P980" s="381"/>
    </row>
    <row r="981" spans="3:16" ht="15.75" customHeight="1" x14ac:dyDescent="0.45">
      <c r="C981" s="382"/>
      <c r="D981" s="382"/>
      <c r="E981" s="382"/>
      <c r="F981" s="382"/>
      <c r="G981" s="382"/>
      <c r="L981" s="381"/>
      <c r="M981" s="381"/>
      <c r="N981" s="381"/>
      <c r="O981" s="381"/>
      <c r="P981" s="381"/>
    </row>
    <row r="982" spans="3:16" ht="15.75" customHeight="1" x14ac:dyDescent="0.45">
      <c r="C982" s="382"/>
      <c r="D982" s="382"/>
      <c r="E982" s="382"/>
      <c r="F982" s="382"/>
      <c r="G982" s="382"/>
      <c r="L982" s="381"/>
      <c r="M982" s="381"/>
      <c r="N982" s="381"/>
      <c r="O982" s="381"/>
      <c r="P982" s="381"/>
    </row>
    <row r="983" spans="3:16" ht="15.75" customHeight="1" x14ac:dyDescent="0.45">
      <c r="C983" s="382"/>
      <c r="D983" s="382"/>
      <c r="E983" s="382"/>
      <c r="F983" s="382"/>
      <c r="G983" s="382"/>
      <c r="L983" s="381"/>
      <c r="M983" s="381"/>
      <c r="N983" s="381"/>
      <c r="O983" s="381"/>
      <c r="P983" s="381"/>
    </row>
    <row r="984" spans="3:16" ht="15.75" customHeight="1" x14ac:dyDescent="0.45">
      <c r="C984" s="382"/>
      <c r="D984" s="382"/>
      <c r="E984" s="382"/>
      <c r="F984" s="382"/>
      <c r="G984" s="382"/>
      <c r="L984" s="381"/>
      <c r="M984" s="381"/>
      <c r="N984" s="381"/>
      <c r="O984" s="381"/>
      <c r="P984" s="381"/>
    </row>
    <row r="985" spans="3:16" ht="15.75" customHeight="1" x14ac:dyDescent="0.45">
      <c r="C985" s="382"/>
      <c r="D985" s="382"/>
      <c r="E985" s="382"/>
      <c r="F985" s="382"/>
      <c r="G985" s="382"/>
      <c r="L985" s="381"/>
      <c r="M985" s="381"/>
      <c r="N985" s="381"/>
      <c r="O985" s="381"/>
      <c r="P985" s="381"/>
    </row>
    <row r="986" spans="3:16" ht="15.75" customHeight="1" x14ac:dyDescent="0.45">
      <c r="C986" s="382"/>
      <c r="D986" s="382"/>
      <c r="E986" s="382"/>
      <c r="F986" s="382"/>
      <c r="G986" s="382"/>
      <c r="L986" s="381"/>
      <c r="M986" s="381"/>
      <c r="N986" s="381"/>
      <c r="O986" s="381"/>
      <c r="P986" s="381"/>
    </row>
    <row r="987" spans="3:16" ht="15.75" customHeight="1" x14ac:dyDescent="0.45">
      <c r="C987" s="382"/>
      <c r="D987" s="382"/>
      <c r="E987" s="382"/>
      <c r="F987" s="382"/>
      <c r="G987" s="382"/>
      <c r="L987" s="381"/>
      <c r="M987" s="381"/>
      <c r="N987" s="381"/>
      <c r="O987" s="381"/>
      <c r="P987" s="381"/>
    </row>
    <row r="988" spans="3:16" ht="15.75" customHeight="1" x14ac:dyDescent="0.45">
      <c r="C988" s="382"/>
      <c r="D988" s="382"/>
      <c r="E988" s="382"/>
      <c r="F988" s="382"/>
      <c r="G988" s="382"/>
      <c r="L988" s="381"/>
      <c r="M988" s="381"/>
      <c r="N988" s="381"/>
      <c r="O988" s="381"/>
      <c r="P988" s="381"/>
    </row>
    <row r="989" spans="3:16" ht="15.75" customHeight="1" x14ac:dyDescent="0.45">
      <c r="C989" s="382"/>
      <c r="D989" s="382"/>
      <c r="E989" s="382"/>
      <c r="F989" s="382"/>
      <c r="G989" s="382"/>
      <c r="L989" s="381"/>
      <c r="M989" s="381"/>
      <c r="N989" s="381"/>
      <c r="O989" s="381"/>
      <c r="P989" s="381"/>
    </row>
    <row r="990" spans="3:16" ht="15.75" customHeight="1" x14ac:dyDescent="0.45">
      <c r="C990" s="382"/>
      <c r="D990" s="382"/>
      <c r="E990" s="382"/>
      <c r="F990" s="382"/>
      <c r="G990" s="382"/>
      <c r="L990" s="381"/>
      <c r="M990" s="381"/>
      <c r="N990" s="381"/>
      <c r="O990" s="381"/>
      <c r="P990" s="381"/>
    </row>
    <row r="991" spans="3:16" ht="15.75" customHeight="1" x14ac:dyDescent="0.45">
      <c r="C991" s="382"/>
      <c r="D991" s="382"/>
      <c r="E991" s="382"/>
      <c r="F991" s="382"/>
      <c r="G991" s="382"/>
      <c r="L991" s="381"/>
      <c r="M991" s="381"/>
      <c r="N991" s="381"/>
      <c r="O991" s="381"/>
      <c r="P991" s="381"/>
    </row>
    <row r="992" spans="3:16" ht="15.75" customHeight="1" x14ac:dyDescent="0.45">
      <c r="C992" s="382"/>
      <c r="D992" s="382"/>
      <c r="E992" s="382"/>
      <c r="F992" s="382"/>
      <c r="G992" s="382"/>
      <c r="L992" s="381"/>
      <c r="M992" s="381"/>
      <c r="N992" s="381"/>
      <c r="O992" s="381"/>
      <c r="P992" s="381"/>
    </row>
    <row r="993" spans="3:16" ht="15.75" customHeight="1" x14ac:dyDescent="0.45">
      <c r="C993" s="382"/>
      <c r="D993" s="382"/>
      <c r="E993" s="382"/>
      <c r="F993" s="382"/>
      <c r="G993" s="382"/>
      <c r="L993" s="381"/>
      <c r="M993" s="381"/>
      <c r="N993" s="381"/>
      <c r="O993" s="381"/>
      <c r="P993" s="381"/>
    </row>
    <row r="994" spans="3:16" ht="15.75" customHeight="1" x14ac:dyDescent="0.45">
      <c r="C994" s="382"/>
      <c r="D994" s="382"/>
      <c r="E994" s="382"/>
      <c r="F994" s="382"/>
      <c r="G994" s="382"/>
      <c r="L994" s="381"/>
      <c r="M994" s="381"/>
      <c r="N994" s="381"/>
      <c r="O994" s="381"/>
      <c r="P994" s="381"/>
    </row>
    <row r="995" spans="3:16" ht="15.75" customHeight="1" x14ac:dyDescent="0.45">
      <c r="C995" s="382"/>
      <c r="D995" s="382"/>
      <c r="E995" s="382"/>
      <c r="F995" s="382"/>
      <c r="G995" s="382"/>
      <c r="L995" s="381"/>
      <c r="M995" s="381"/>
      <c r="N995" s="381"/>
      <c r="O995" s="381"/>
      <c r="P995" s="381"/>
    </row>
    <row r="996" spans="3:16" ht="15.75" customHeight="1" x14ac:dyDescent="0.45">
      <c r="C996" s="382"/>
      <c r="D996" s="382"/>
      <c r="E996" s="382"/>
      <c r="F996" s="382"/>
      <c r="G996" s="382"/>
      <c r="L996" s="381"/>
      <c r="M996" s="381"/>
      <c r="N996" s="381"/>
      <c r="O996" s="381"/>
      <c r="P996" s="381"/>
    </row>
    <row r="997" spans="3:16" ht="15.75" customHeight="1" x14ac:dyDescent="0.45">
      <c r="C997" s="382"/>
      <c r="D997" s="382"/>
      <c r="E997" s="382"/>
      <c r="F997" s="382"/>
      <c r="G997" s="382"/>
      <c r="L997" s="381"/>
      <c r="M997" s="381"/>
      <c r="N997" s="381"/>
      <c r="O997" s="381"/>
      <c r="P997" s="381"/>
    </row>
    <row r="998" spans="3:16" ht="15.75" customHeight="1" x14ac:dyDescent="0.45">
      <c r="C998" s="382"/>
      <c r="D998" s="382"/>
      <c r="E998" s="382"/>
      <c r="F998" s="382"/>
      <c r="G998" s="382"/>
      <c r="L998" s="381"/>
      <c r="M998" s="381"/>
      <c r="N998" s="381"/>
      <c r="O998" s="381"/>
      <c r="P998" s="381"/>
    </row>
    <row r="999" spans="3:16" ht="15.75" customHeight="1" x14ac:dyDescent="0.45">
      <c r="C999" s="382"/>
      <c r="D999" s="382"/>
      <c r="E999" s="382"/>
      <c r="F999" s="382"/>
      <c r="G999" s="382"/>
      <c r="L999" s="381"/>
      <c r="M999" s="381"/>
      <c r="N999" s="381"/>
      <c r="O999" s="381"/>
      <c r="P999" s="381"/>
    </row>
    <row r="1000" spans="3:16" ht="15.75" customHeight="1" x14ac:dyDescent="0.45">
      <c r="C1000" s="382"/>
      <c r="D1000" s="382"/>
      <c r="E1000" s="382"/>
      <c r="F1000" s="382"/>
      <c r="G1000" s="382"/>
      <c r="L1000" s="381"/>
      <c r="M1000" s="381"/>
      <c r="N1000" s="381"/>
      <c r="O1000" s="381"/>
      <c r="P1000" s="381"/>
    </row>
  </sheetData>
  <mergeCells count="1">
    <mergeCell ref="B9:F9"/>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92D050"/>
  </sheetPr>
  <dimension ref="A1:I43"/>
  <sheetViews>
    <sheetView rightToLeft="1" zoomScale="70" zoomScaleNormal="70" workbookViewId="0">
      <selection activeCell="G14" sqref="G14"/>
    </sheetView>
  </sheetViews>
  <sheetFormatPr defaultColWidth="8.85546875" defaultRowHeight="15" x14ac:dyDescent="0.25"/>
  <cols>
    <col min="1" max="1" width="97.28515625" style="6" customWidth="1"/>
    <col min="2" max="2" width="7.28515625" style="6" customWidth="1"/>
    <col min="3" max="3" width="17.7109375" style="6" customWidth="1"/>
    <col min="4" max="4" width="13.42578125" style="6" customWidth="1"/>
    <col min="5" max="6" width="8.85546875" style="6"/>
    <col min="7" max="7" width="6.7109375" style="6" customWidth="1"/>
    <col min="8" max="9" width="10.28515625" style="6" customWidth="1"/>
    <col min="10" max="16384" width="8.85546875" style="6"/>
  </cols>
  <sheetData>
    <row r="1" spans="1:9" ht="45" customHeight="1" x14ac:dyDescent="0.25">
      <c r="A1" s="170"/>
      <c r="B1" s="170"/>
      <c r="C1" s="170"/>
      <c r="D1" s="170"/>
      <c r="E1" s="170"/>
      <c r="F1" s="170"/>
      <c r="G1" s="170"/>
      <c r="H1" s="170"/>
      <c r="I1" s="170"/>
    </row>
    <row r="2" spans="1:9" ht="38.450000000000003" customHeight="1" x14ac:dyDescent="0.5">
      <c r="A2" s="171"/>
      <c r="B2" s="34"/>
      <c r="C2" s="34"/>
      <c r="D2" s="34"/>
      <c r="E2" s="34"/>
      <c r="F2" s="34"/>
      <c r="G2" s="170"/>
      <c r="H2" s="170"/>
      <c r="I2" s="170"/>
    </row>
    <row r="3" spans="1:9" ht="28.5" customHeight="1" thickBot="1" x14ac:dyDescent="0.5">
      <c r="A3" s="170"/>
      <c r="B3" s="1555"/>
      <c r="C3" s="1555"/>
      <c r="D3" s="1555"/>
      <c r="E3" s="1555"/>
      <c r="F3" s="1555"/>
      <c r="G3" s="1555"/>
      <c r="H3" s="1555"/>
      <c r="I3" s="1555"/>
    </row>
    <row r="4" spans="1:9" ht="19.149999999999999" customHeight="1" x14ac:dyDescent="0.25">
      <c r="A4" s="172"/>
      <c r="B4" s="1556" t="s">
        <v>38</v>
      </c>
      <c r="C4" s="74" t="s">
        <v>304</v>
      </c>
      <c r="D4" s="74" t="s">
        <v>305</v>
      </c>
      <c r="E4" s="74" t="s">
        <v>306</v>
      </c>
      <c r="F4" s="74" t="s">
        <v>307</v>
      </c>
      <c r="G4" s="75" t="s">
        <v>308</v>
      </c>
      <c r="H4" s="74" t="s">
        <v>309</v>
      </c>
      <c r="I4" s="76">
        <v>154</v>
      </c>
    </row>
    <row r="5" spans="1:9" ht="19.149999999999999" customHeight="1" thickBot="1" x14ac:dyDescent="0.3">
      <c r="A5" s="170"/>
      <c r="B5" s="1557"/>
      <c r="C5" s="77" t="s">
        <v>311</v>
      </c>
      <c r="D5" s="78">
        <v>1</v>
      </c>
      <c r="E5" s="78">
        <v>0.5</v>
      </c>
      <c r="F5" s="78">
        <v>0.25</v>
      </c>
      <c r="G5" s="79" t="s">
        <v>312</v>
      </c>
      <c r="H5" s="77" t="s">
        <v>310</v>
      </c>
      <c r="I5" s="80">
        <v>200</v>
      </c>
    </row>
    <row r="6" spans="1:9" s="7" customFormat="1" ht="19.149999999999999" customHeight="1" x14ac:dyDescent="0.25">
      <c r="A6" s="173"/>
      <c r="B6" s="68">
        <v>1</v>
      </c>
      <c r="C6" s="69" t="s">
        <v>314</v>
      </c>
      <c r="D6" s="69">
        <v>154</v>
      </c>
      <c r="E6" s="69"/>
      <c r="F6" s="69"/>
      <c r="G6" s="70">
        <f>SUMPRODUCT(D6:F6,D5:F5)</f>
        <v>154</v>
      </c>
      <c r="H6" s="1558" t="s">
        <v>315</v>
      </c>
      <c r="I6" s="1559">
        <f>G8/I5</f>
        <v>0.77</v>
      </c>
    </row>
    <row r="7" spans="1:9" s="7" customFormat="1" ht="19.149999999999999" customHeight="1" thickBot="1" x14ac:dyDescent="0.3">
      <c r="A7" s="174"/>
      <c r="B7" s="68">
        <v>2</v>
      </c>
      <c r="C7" s="69" t="s">
        <v>316</v>
      </c>
      <c r="D7" s="69"/>
      <c r="E7" s="69"/>
      <c r="F7" s="69"/>
      <c r="G7" s="70">
        <f>SUMPRODUCT(D7:F7,D5:F5)</f>
        <v>0</v>
      </c>
      <c r="H7" s="1558"/>
      <c r="I7" s="1559"/>
    </row>
    <row r="8" spans="1:9" s="7" customFormat="1" ht="19.149999999999999" customHeight="1" thickBot="1" x14ac:dyDescent="0.3">
      <c r="A8" s="173"/>
      <c r="B8" s="1560" t="s">
        <v>62</v>
      </c>
      <c r="C8" s="1561"/>
      <c r="D8" s="71">
        <f>SUM(D6:D7)</f>
        <v>154</v>
      </c>
      <c r="E8" s="71">
        <f>SUM(E6:E7)</f>
        <v>0</v>
      </c>
      <c r="F8" s="71">
        <f>SUM(F6:F7)</f>
        <v>0</v>
      </c>
      <c r="G8" s="72">
        <f>SUM(G6:G7)</f>
        <v>154</v>
      </c>
      <c r="H8" s="72" t="s">
        <v>257</v>
      </c>
      <c r="I8" s="73">
        <f>G8/I5</f>
        <v>0.77</v>
      </c>
    </row>
    <row r="9" spans="1:9" s="7" customFormat="1" ht="19.149999999999999" customHeight="1" thickBot="1" x14ac:dyDescent="0.5">
      <c r="A9" s="173"/>
      <c r="B9" s="29"/>
      <c r="C9" s="30"/>
      <c r="D9" s="30"/>
      <c r="E9" s="30"/>
      <c r="F9" s="30"/>
      <c r="G9" s="30"/>
      <c r="H9" s="30"/>
      <c r="I9" s="73">
        <v>1</v>
      </c>
    </row>
    <row r="10" spans="1:9" s="7" customFormat="1" ht="19.149999999999999" customHeight="1" thickBot="1" x14ac:dyDescent="0.5">
      <c r="A10" s="173"/>
      <c r="B10" s="29"/>
      <c r="C10" s="30"/>
      <c r="D10" s="30"/>
      <c r="E10" s="30"/>
      <c r="F10" s="30"/>
      <c r="G10" s="30"/>
      <c r="H10" s="30"/>
      <c r="I10" s="30"/>
    </row>
    <row r="11" spans="1:9" s="7" customFormat="1" ht="19.149999999999999" customHeight="1" thickBot="1" x14ac:dyDescent="0.55000000000000004">
      <c r="A11" s="173"/>
      <c r="B11" s="1562" t="s">
        <v>310</v>
      </c>
      <c r="C11" s="1563"/>
      <c r="D11" s="30"/>
      <c r="E11" s="30"/>
      <c r="F11" s="30"/>
      <c r="G11" s="30"/>
      <c r="H11" s="30"/>
      <c r="I11" s="30"/>
    </row>
    <row r="12" spans="1:9" s="7" customFormat="1" ht="19.149999999999999" customHeight="1" x14ac:dyDescent="0.45">
      <c r="A12" s="173"/>
      <c r="B12" s="200" t="s">
        <v>313</v>
      </c>
      <c r="C12" s="254">
        <v>500</v>
      </c>
      <c r="D12" s="30"/>
      <c r="E12" s="30"/>
      <c r="F12" s="30"/>
      <c r="G12" s="30"/>
      <c r="H12" s="30"/>
      <c r="I12" s="30"/>
    </row>
    <row r="13" spans="1:9" s="7" customFormat="1" ht="19.149999999999999" customHeight="1" x14ac:dyDescent="0.45">
      <c r="A13" s="173"/>
      <c r="B13" s="200" t="s">
        <v>72</v>
      </c>
      <c r="C13" s="254">
        <v>200</v>
      </c>
      <c r="D13" s="30"/>
      <c r="E13" s="30"/>
      <c r="F13" s="30"/>
      <c r="G13" s="30"/>
      <c r="H13" s="30"/>
      <c r="I13" s="30"/>
    </row>
    <row r="14" spans="1:9" s="7" customFormat="1" ht="19.149999999999999" customHeight="1" thickBot="1" x14ac:dyDescent="0.5">
      <c r="A14" s="173"/>
      <c r="B14" s="201" t="s">
        <v>317</v>
      </c>
      <c r="C14" s="255">
        <v>50</v>
      </c>
      <c r="D14" s="30"/>
      <c r="E14" s="30"/>
      <c r="F14" s="30"/>
      <c r="G14" s="30"/>
      <c r="H14" s="30"/>
      <c r="I14" s="30"/>
    </row>
    <row r="15" spans="1:9" s="7" customFormat="1" ht="19.149999999999999" customHeight="1" x14ac:dyDescent="0.45">
      <c r="A15" s="173"/>
      <c r="B15" s="29"/>
      <c r="C15" s="183"/>
      <c r="D15" s="183"/>
      <c r="E15" s="183"/>
      <c r="F15" s="183"/>
      <c r="G15" s="183"/>
      <c r="H15" s="183"/>
      <c r="I15" s="183"/>
    </row>
    <row r="16" spans="1:9" s="7" customFormat="1" ht="19.149999999999999" customHeight="1" x14ac:dyDescent="0.45">
      <c r="A16" s="173"/>
      <c r="B16" s="29"/>
      <c r="C16" s="183"/>
      <c r="D16" s="183"/>
      <c r="E16" s="183"/>
      <c r="F16" s="183"/>
      <c r="G16" s="183"/>
      <c r="H16" s="183"/>
      <c r="I16" s="183"/>
    </row>
    <row r="17" spans="1:9" s="7" customFormat="1" ht="19.149999999999999" customHeight="1" x14ac:dyDescent="0.45">
      <c r="A17" s="173"/>
      <c r="B17" s="29"/>
      <c r="C17" s="183"/>
      <c r="D17" s="183"/>
      <c r="E17" s="183"/>
      <c r="F17" s="183"/>
      <c r="G17" s="183"/>
      <c r="H17" s="183"/>
      <c r="I17" s="183"/>
    </row>
    <row r="18" spans="1:9" s="7" customFormat="1" ht="19.149999999999999" customHeight="1" x14ac:dyDescent="0.45">
      <c r="A18" s="173"/>
      <c r="B18" s="29"/>
      <c r="C18" s="183"/>
      <c r="D18" s="183"/>
      <c r="E18" s="183"/>
      <c r="F18" s="183"/>
      <c r="G18" s="183"/>
      <c r="H18" s="183"/>
      <c r="I18" s="183"/>
    </row>
    <row r="19" spans="1:9" s="7" customFormat="1" ht="15" customHeight="1" x14ac:dyDescent="0.25">
      <c r="A19" s="173"/>
      <c r="B19" s="173"/>
      <c r="C19" s="173"/>
      <c r="D19" s="33"/>
      <c r="E19" s="33"/>
      <c r="F19" s="33"/>
      <c r="G19" s="33"/>
      <c r="H19" s="33"/>
      <c r="I19" s="33"/>
    </row>
    <row r="20" spans="1:9" s="7" customFormat="1" ht="15" customHeight="1" x14ac:dyDescent="0.45">
      <c r="A20" s="173"/>
      <c r="B20" s="173"/>
      <c r="C20" s="173"/>
      <c r="D20" s="1554"/>
      <c r="E20" s="1554"/>
      <c r="F20" s="1554"/>
      <c r="G20" s="1554"/>
      <c r="H20" s="1554"/>
      <c r="I20" s="1554"/>
    </row>
    <row r="21" spans="1:9" s="7" customFormat="1" ht="21" customHeight="1" x14ac:dyDescent="0.25">
      <c r="A21" s="173"/>
      <c r="B21" s="173"/>
      <c r="C21" s="173"/>
      <c r="D21" s="175"/>
      <c r="E21" s="175"/>
      <c r="F21" s="175"/>
      <c r="G21" s="175"/>
      <c r="H21" s="175"/>
      <c r="I21" s="175"/>
    </row>
    <row r="22" spans="1:9" s="7" customFormat="1" ht="19.149999999999999" customHeight="1" x14ac:dyDescent="0.45">
      <c r="A22" s="173"/>
      <c r="B22" s="173"/>
      <c r="C22" s="173"/>
      <c r="D22" s="176"/>
      <c r="E22" s="176"/>
      <c r="F22" s="176"/>
      <c r="G22" s="176"/>
      <c r="H22" s="176"/>
      <c r="I22" s="176"/>
    </row>
    <row r="23" spans="1:9" s="7" customFormat="1" ht="21" customHeight="1" x14ac:dyDescent="0.25">
      <c r="A23" s="173"/>
      <c r="B23" s="173"/>
      <c r="C23" s="173"/>
      <c r="D23" s="33"/>
      <c r="E23" s="33"/>
      <c r="F23" s="33"/>
      <c r="G23" s="33"/>
      <c r="H23" s="33"/>
      <c r="I23" s="33"/>
    </row>
    <row r="24" spans="1:9" ht="15" customHeight="1" x14ac:dyDescent="0.25">
      <c r="A24" s="170"/>
      <c r="B24" s="177"/>
      <c r="C24" s="177"/>
      <c r="D24" s="177"/>
      <c r="E24" s="177"/>
      <c r="F24" s="177"/>
      <c r="G24" s="170"/>
      <c r="H24" s="170"/>
      <c r="I24" s="170"/>
    </row>
    <row r="25" spans="1:9" ht="15" customHeight="1" x14ac:dyDescent="0.25">
      <c r="A25" s="170"/>
      <c r="B25" s="177"/>
      <c r="C25" s="177"/>
      <c r="D25" s="177"/>
      <c r="E25" s="177"/>
      <c r="F25" s="177"/>
      <c r="G25" s="170"/>
      <c r="H25" s="170"/>
      <c r="I25" s="170"/>
    </row>
    <row r="26" spans="1:9" ht="15" customHeight="1" x14ac:dyDescent="0.25">
      <c r="A26" s="170"/>
      <c r="B26" s="177"/>
      <c r="C26" s="177"/>
      <c r="D26" s="177"/>
      <c r="E26" s="177"/>
      <c r="F26" s="177"/>
      <c r="G26" s="170"/>
      <c r="H26" s="170"/>
      <c r="I26" s="170"/>
    </row>
    <row r="27" spans="1:9" ht="15" customHeight="1" x14ac:dyDescent="0.25">
      <c r="A27" s="170"/>
      <c r="B27" s="177"/>
      <c r="C27" s="177"/>
      <c r="D27" s="177"/>
      <c r="E27" s="177"/>
      <c r="F27" s="177"/>
      <c r="G27" s="170"/>
      <c r="H27" s="170"/>
      <c r="I27" s="170"/>
    </row>
    <row r="28" spans="1:9" ht="15" customHeight="1" x14ac:dyDescent="0.25">
      <c r="A28" s="170"/>
      <c r="B28" s="177"/>
      <c r="C28" s="177"/>
      <c r="D28" s="177"/>
      <c r="E28" s="177"/>
      <c r="F28" s="177"/>
      <c r="G28" s="170"/>
      <c r="H28" s="170"/>
      <c r="I28" s="170"/>
    </row>
    <row r="29" spans="1:9" ht="15" customHeight="1" x14ac:dyDescent="0.25">
      <c r="A29" s="170"/>
      <c r="B29" s="177"/>
      <c r="C29" s="177"/>
      <c r="D29" s="177"/>
      <c r="E29" s="177"/>
      <c r="F29" s="177"/>
      <c r="G29" s="170"/>
      <c r="H29" s="170"/>
      <c r="I29" s="170"/>
    </row>
    <row r="30" spans="1:9" x14ac:dyDescent="0.25">
      <c r="A30" s="170"/>
      <c r="B30" s="170"/>
      <c r="C30" s="170"/>
      <c r="D30" s="170"/>
      <c r="E30" s="170"/>
      <c r="F30" s="170"/>
      <c r="G30" s="170"/>
      <c r="H30" s="170"/>
      <c r="I30" s="170"/>
    </row>
    <row r="31" spans="1:9" x14ac:dyDescent="0.25">
      <c r="A31" s="170"/>
      <c r="B31" s="170"/>
      <c r="C31" s="170"/>
      <c r="D31" s="170"/>
      <c r="E31" s="170"/>
      <c r="F31" s="170"/>
      <c r="G31" s="170"/>
      <c r="H31" s="170"/>
      <c r="I31" s="170"/>
    </row>
    <row r="32" spans="1:9" x14ac:dyDescent="0.25">
      <c r="A32" s="170"/>
      <c r="B32" s="170"/>
      <c r="C32" s="170"/>
      <c r="D32" s="170"/>
      <c r="E32" s="170"/>
      <c r="F32" s="170"/>
      <c r="G32" s="170"/>
      <c r="H32" s="170"/>
      <c r="I32" s="170"/>
    </row>
    <row r="33" spans="1:9" x14ac:dyDescent="0.25">
      <c r="A33" s="170"/>
      <c r="B33" s="170"/>
      <c r="C33" s="170"/>
      <c r="D33" s="170"/>
      <c r="E33" s="170"/>
      <c r="F33" s="170"/>
      <c r="G33" s="170"/>
      <c r="H33" s="170"/>
      <c r="I33" s="170"/>
    </row>
    <row r="34" spans="1:9" x14ac:dyDescent="0.25">
      <c r="A34" s="170"/>
      <c r="B34" s="170"/>
      <c r="C34" s="170"/>
      <c r="D34" s="170"/>
      <c r="E34" s="170"/>
      <c r="F34" s="170"/>
      <c r="G34" s="170"/>
      <c r="H34" s="170"/>
      <c r="I34" s="170"/>
    </row>
    <row r="35" spans="1:9" x14ac:dyDescent="0.25">
      <c r="A35" s="170"/>
      <c r="B35" s="170"/>
      <c r="C35" s="170"/>
      <c r="D35" s="170"/>
      <c r="E35" s="170"/>
      <c r="F35" s="170"/>
      <c r="G35" s="170"/>
      <c r="H35" s="170"/>
      <c r="I35" s="170"/>
    </row>
    <row r="38" spans="1:9" ht="15" customHeight="1" x14ac:dyDescent="0.45">
      <c r="B38" s="13"/>
      <c r="C38" s="25"/>
      <c r="D38" s="25"/>
      <c r="E38" s="25"/>
      <c r="F38" s="25"/>
      <c r="G38" s="25"/>
      <c r="H38" s="25"/>
      <c r="I38" s="25"/>
    </row>
    <row r="39" spans="1:9" ht="15" customHeight="1" x14ac:dyDescent="0.45">
      <c r="B39" s="13"/>
      <c r="C39" s="25"/>
      <c r="D39" s="25"/>
      <c r="E39" s="25"/>
      <c r="F39" s="25"/>
      <c r="G39" s="25"/>
      <c r="H39" s="25"/>
      <c r="I39" s="25"/>
    </row>
    <row r="40" spans="1:9" ht="15" customHeight="1" x14ac:dyDescent="0.45">
      <c r="B40" s="13"/>
      <c r="C40" s="25"/>
      <c r="D40" s="25"/>
      <c r="E40" s="25"/>
      <c r="F40" s="25"/>
      <c r="G40" s="25"/>
      <c r="H40" s="25"/>
      <c r="I40" s="25"/>
    </row>
    <row r="41" spans="1:9" ht="15" customHeight="1" x14ac:dyDescent="0.45">
      <c r="B41" s="13"/>
      <c r="C41" s="25"/>
      <c r="D41" s="25"/>
      <c r="E41" s="25"/>
      <c r="F41" s="25"/>
      <c r="G41" s="25"/>
      <c r="H41" s="25"/>
      <c r="I41" s="25"/>
    </row>
    <row r="42" spans="1:9" ht="15" customHeight="1" x14ac:dyDescent="0.45">
      <c r="B42" s="13"/>
      <c r="C42" s="25"/>
      <c r="D42" s="25"/>
      <c r="E42" s="25"/>
      <c r="F42" s="25"/>
      <c r="G42" s="25"/>
      <c r="H42" s="25"/>
      <c r="I42" s="25"/>
    </row>
    <row r="43" spans="1:9" ht="15" customHeight="1" x14ac:dyDescent="0.45">
      <c r="B43" s="13"/>
      <c r="C43" s="25"/>
      <c r="D43" s="25"/>
      <c r="E43" s="25"/>
      <c r="F43" s="25"/>
      <c r="G43" s="25"/>
      <c r="H43" s="25"/>
      <c r="I43" s="25"/>
    </row>
  </sheetData>
  <mergeCells count="7">
    <mergeCell ref="D20:I20"/>
    <mergeCell ref="B3:I3"/>
    <mergeCell ref="B4:B5"/>
    <mergeCell ref="H6:H7"/>
    <mergeCell ref="I6:I7"/>
    <mergeCell ref="B8:C8"/>
    <mergeCell ref="B11:C11"/>
  </mergeCells>
  <dataValidations count="2">
    <dataValidation type="list" allowBlank="1" showInputMessage="1" showErrorMessage="1" sqref="E11">
      <formula1>$E$21:$I$21</formula1>
    </dataValidation>
    <dataValidation type="list" allowBlank="1" showInputMessage="1" showErrorMessage="1" sqref="E9:E10 E12:E15">
      <formula1>$D$21:$I$21</formula1>
    </dataValidation>
  </dataValidations>
  <pageMargins left="0.7" right="0.7" top="0.75" bottom="0.75" header="0.3" footer="0.3"/>
  <pageSetup orientation="portrait" r:id="rId1"/>
  <ignoredErrors>
    <ignoredError sqref="F8" formulaRange="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92D050"/>
  </sheetPr>
  <dimension ref="A1:M62"/>
  <sheetViews>
    <sheetView rightToLeft="1" topLeftCell="B1" zoomScale="70" zoomScaleNormal="70" workbookViewId="0">
      <selection activeCell="F16" sqref="F16"/>
    </sheetView>
  </sheetViews>
  <sheetFormatPr defaultColWidth="8.85546875" defaultRowHeight="15" x14ac:dyDescent="0.25"/>
  <cols>
    <col min="1" max="1" width="97.28515625" style="6" customWidth="1"/>
    <col min="2" max="2" width="5.7109375" style="6" customWidth="1"/>
    <col min="3" max="3" width="9.85546875" style="6" customWidth="1"/>
    <col min="4" max="4" width="17.7109375" style="6" customWidth="1"/>
    <col min="5" max="8" width="12.7109375" style="6" customWidth="1"/>
    <col min="9" max="9" width="10.28515625" style="194" customWidth="1"/>
    <col min="10" max="10" width="8.85546875" style="194"/>
    <col min="11" max="11" width="6.7109375" style="194" customWidth="1"/>
    <col min="12" max="13" width="8.85546875" style="194"/>
    <col min="14" max="16384" width="8.85546875" style="6"/>
  </cols>
  <sheetData>
    <row r="1" spans="1:13" ht="45" customHeight="1" x14ac:dyDescent="0.25">
      <c r="A1" s="170"/>
      <c r="B1" s="170"/>
      <c r="C1" s="170"/>
      <c r="D1" s="170"/>
      <c r="E1" s="170"/>
      <c r="F1" s="170"/>
      <c r="G1" s="170"/>
      <c r="H1" s="170"/>
    </row>
    <row r="2" spans="1:13" ht="38.450000000000003" customHeight="1" x14ac:dyDescent="0.5">
      <c r="A2" s="171"/>
      <c r="B2" s="34"/>
      <c r="C2" s="34"/>
      <c r="D2" s="34"/>
      <c r="E2" s="34"/>
      <c r="F2" s="170"/>
      <c r="G2" s="170"/>
      <c r="H2" s="170"/>
    </row>
    <row r="3" spans="1:13" ht="28.5" customHeight="1" thickBot="1" x14ac:dyDescent="0.65">
      <c r="A3" s="170"/>
      <c r="B3" s="36"/>
      <c r="C3" s="36"/>
      <c r="D3" s="36"/>
      <c r="E3" s="36"/>
      <c r="F3" s="36"/>
      <c r="G3" s="36"/>
      <c r="H3" s="36"/>
      <c r="I3" s="238"/>
      <c r="J3" s="238"/>
      <c r="K3" s="234"/>
      <c r="L3" s="234"/>
    </row>
    <row r="4" spans="1:13" ht="19.149999999999999" customHeight="1" thickBot="1" x14ac:dyDescent="0.55000000000000004">
      <c r="A4" s="172"/>
      <c r="B4" s="30"/>
      <c r="C4" s="89" t="s">
        <v>38</v>
      </c>
      <c r="D4" s="82" t="s">
        <v>318</v>
      </c>
      <c r="E4" s="82" t="s">
        <v>47</v>
      </c>
      <c r="F4" s="82" t="s">
        <v>319</v>
      </c>
      <c r="G4" s="82" t="s">
        <v>320</v>
      </c>
      <c r="H4" s="83" t="s">
        <v>321</v>
      </c>
      <c r="I4" s="218"/>
      <c r="J4" s="218"/>
      <c r="K4" s="234"/>
      <c r="L4" s="234"/>
    </row>
    <row r="5" spans="1:13" ht="19.149999999999999" customHeight="1" x14ac:dyDescent="0.5">
      <c r="A5" s="170"/>
      <c r="B5" s="30"/>
      <c r="C5" s="53">
        <v>1</v>
      </c>
      <c r="D5" s="85" t="s">
        <v>27</v>
      </c>
      <c r="E5" s="323">
        <v>1</v>
      </c>
      <c r="F5" s="87">
        <f>E5/SUM($E$5:$E$10)</f>
        <v>6.6666666666666671E-3</v>
      </c>
      <c r="G5" s="420">
        <v>0.02</v>
      </c>
      <c r="H5" s="88">
        <f t="shared" ref="H5:H10" si="0">ABS(G5-F5)</f>
        <v>1.3333333333333332E-2</v>
      </c>
      <c r="I5" s="239"/>
      <c r="J5" s="239"/>
      <c r="K5" s="235"/>
      <c r="L5" s="235"/>
    </row>
    <row r="6" spans="1:13" s="7" customFormat="1" ht="19.149999999999999" customHeight="1" x14ac:dyDescent="0.5">
      <c r="A6" s="173"/>
      <c r="B6" s="30"/>
      <c r="C6" s="53">
        <v>2</v>
      </c>
      <c r="D6" s="85" t="s">
        <v>322</v>
      </c>
      <c r="E6" s="323">
        <v>14</v>
      </c>
      <c r="F6" s="87">
        <f t="shared" ref="F6:F10" si="1">E6/SUM($E$5:$E$10)</f>
        <v>9.3333333333333338E-2</v>
      </c>
      <c r="G6" s="420">
        <v>0.18</v>
      </c>
      <c r="H6" s="88">
        <f t="shared" si="0"/>
        <v>8.6666666666666656E-2</v>
      </c>
      <c r="I6" s="239"/>
      <c r="J6" s="239"/>
      <c r="K6" s="235"/>
      <c r="L6" s="235"/>
      <c r="M6" s="236"/>
    </row>
    <row r="7" spans="1:13" s="7" customFormat="1" ht="19.149999999999999" customHeight="1" x14ac:dyDescent="0.5">
      <c r="A7" s="174"/>
      <c r="B7" s="30"/>
      <c r="C7" s="53">
        <v>3</v>
      </c>
      <c r="D7" s="85" t="s">
        <v>323</v>
      </c>
      <c r="E7" s="323">
        <v>53</v>
      </c>
      <c r="F7" s="87">
        <f t="shared" si="1"/>
        <v>0.35333333333333333</v>
      </c>
      <c r="G7" s="420">
        <v>0.5</v>
      </c>
      <c r="H7" s="88">
        <f t="shared" si="0"/>
        <v>0.14666666666666667</v>
      </c>
      <c r="I7" s="239"/>
      <c r="J7" s="239"/>
      <c r="K7" s="235"/>
      <c r="L7" s="235"/>
      <c r="M7" s="236"/>
    </row>
    <row r="8" spans="1:13" s="7" customFormat="1" ht="19.149999999999999" customHeight="1" x14ac:dyDescent="0.5">
      <c r="A8" s="173"/>
      <c r="B8" s="30"/>
      <c r="C8" s="53">
        <v>4</v>
      </c>
      <c r="D8" s="85" t="s">
        <v>29</v>
      </c>
      <c r="E8" s="323">
        <v>18</v>
      </c>
      <c r="F8" s="87">
        <f>E8/SUM($E$5:$E$10)</f>
        <v>0.12</v>
      </c>
      <c r="G8" s="420">
        <v>0.1</v>
      </c>
      <c r="H8" s="88">
        <f t="shared" si="0"/>
        <v>1.999999999999999E-2</v>
      </c>
      <c r="I8" s="239"/>
      <c r="J8" s="239"/>
      <c r="K8" s="235"/>
      <c r="L8" s="235"/>
      <c r="M8" s="236"/>
    </row>
    <row r="9" spans="1:13" s="7" customFormat="1" ht="19.149999999999999" customHeight="1" x14ac:dyDescent="0.5">
      <c r="A9" s="173"/>
      <c r="B9" s="30"/>
      <c r="C9" s="53">
        <v>5</v>
      </c>
      <c r="D9" s="85" t="s">
        <v>324</v>
      </c>
      <c r="E9" s="323">
        <v>32</v>
      </c>
      <c r="F9" s="87">
        <f>E9/SUM($E$5:$E$10)</f>
        <v>0.21333333333333335</v>
      </c>
      <c r="G9" s="420">
        <v>0.1</v>
      </c>
      <c r="H9" s="88">
        <f t="shared" si="0"/>
        <v>0.11333333333333334</v>
      </c>
      <c r="I9" s="239"/>
      <c r="J9" s="239"/>
      <c r="K9" s="235"/>
      <c r="L9" s="235"/>
      <c r="M9" s="236"/>
    </row>
    <row r="10" spans="1:13" s="7" customFormat="1" ht="19.149999999999999" customHeight="1" thickBot="1" x14ac:dyDescent="0.55000000000000004">
      <c r="A10" s="173"/>
      <c r="B10" s="30"/>
      <c r="C10" s="53">
        <v>6</v>
      </c>
      <c r="D10" s="85" t="s">
        <v>325</v>
      </c>
      <c r="E10" s="323">
        <v>32</v>
      </c>
      <c r="F10" s="87">
        <f t="shared" si="1"/>
        <v>0.21333333333333335</v>
      </c>
      <c r="G10" s="420">
        <v>0.1</v>
      </c>
      <c r="H10" s="88">
        <f t="shared" si="0"/>
        <v>0.11333333333333334</v>
      </c>
      <c r="I10" s="239"/>
      <c r="J10" s="239"/>
      <c r="K10" s="235"/>
      <c r="L10" s="235"/>
      <c r="M10" s="236"/>
    </row>
    <row r="11" spans="1:13" s="7" customFormat="1" ht="19.149999999999999" customHeight="1" thickBot="1" x14ac:dyDescent="0.55000000000000004">
      <c r="A11" s="173"/>
      <c r="B11" s="30"/>
      <c r="C11" s="90"/>
      <c r="D11" s="91" t="s">
        <v>62</v>
      </c>
      <c r="E11" s="92">
        <f>SUM(E5:E10)</f>
        <v>150</v>
      </c>
      <c r="F11" s="93">
        <f>SUM(F5:F10)</f>
        <v>1</v>
      </c>
      <c r="G11" s="93">
        <f>SUM(G5:G10)</f>
        <v>0.99999999999999989</v>
      </c>
      <c r="H11" s="81">
        <f>SUM(H5:H10)</f>
        <v>0.49333333333333329</v>
      </c>
      <c r="I11" s="239"/>
      <c r="J11" s="239"/>
      <c r="K11" s="235"/>
      <c r="L11" s="235"/>
      <c r="M11" s="236"/>
    </row>
    <row r="12" spans="1:13" s="7" customFormat="1" ht="19.149999999999999" customHeight="1" thickBot="1" x14ac:dyDescent="0.55000000000000004">
      <c r="A12" s="173"/>
      <c r="B12" s="30"/>
      <c r="C12" s="90"/>
      <c r="D12" s="1564" t="s">
        <v>326</v>
      </c>
      <c r="E12" s="1564"/>
      <c r="F12" s="1565">
        <v>0.3</v>
      </c>
      <c r="G12" s="1565"/>
      <c r="H12" s="1566"/>
      <c r="I12" s="239"/>
      <c r="J12" s="239"/>
      <c r="K12" s="235"/>
      <c r="L12" s="235"/>
      <c r="M12" s="236"/>
    </row>
    <row r="13" spans="1:13" s="7" customFormat="1" ht="19.149999999999999" customHeight="1" thickBot="1" x14ac:dyDescent="0.6">
      <c r="A13" s="173"/>
      <c r="B13" s="30"/>
      <c r="C13" s="84"/>
      <c r="D13" s="94" t="s">
        <v>257</v>
      </c>
      <c r="E13" s="94"/>
      <c r="F13" s="94"/>
      <c r="G13" s="94"/>
      <c r="H13" s="95">
        <f>1-MAX(H11-F12,0)</f>
        <v>0.80666666666666664</v>
      </c>
      <c r="I13" s="239"/>
      <c r="J13" s="239"/>
      <c r="K13" s="235"/>
      <c r="L13" s="235"/>
      <c r="M13" s="236"/>
    </row>
    <row r="14" spans="1:13" s="7" customFormat="1" ht="19.149999999999999" customHeight="1" x14ac:dyDescent="0.45">
      <c r="A14" s="173"/>
      <c r="B14" s="183"/>
      <c r="C14" s="183"/>
      <c r="D14" s="183"/>
      <c r="E14" s="183"/>
      <c r="F14" s="183"/>
      <c r="G14" s="183"/>
      <c r="H14" s="183"/>
      <c r="I14" s="239"/>
      <c r="J14" s="239"/>
      <c r="K14" s="235"/>
      <c r="L14" s="235"/>
      <c r="M14" s="236"/>
    </row>
    <row r="15" spans="1:13" s="7" customFormat="1" ht="19.149999999999999" customHeight="1" x14ac:dyDescent="0.45">
      <c r="A15" s="173"/>
      <c r="B15" s="183"/>
      <c r="C15" s="183"/>
      <c r="D15" s="183"/>
      <c r="E15" s="183"/>
      <c r="F15" s="183"/>
      <c r="G15" s="183"/>
      <c r="H15" s="183"/>
      <c r="I15" s="239"/>
      <c r="J15" s="239"/>
      <c r="K15" s="235"/>
      <c r="L15" s="235"/>
      <c r="M15" s="236"/>
    </row>
    <row r="16" spans="1:13" s="7" customFormat="1" ht="19.149999999999999" customHeight="1" x14ac:dyDescent="0.45">
      <c r="A16" s="173"/>
      <c r="B16" s="183"/>
      <c r="C16" s="183"/>
      <c r="D16" s="183"/>
      <c r="E16" s="183"/>
      <c r="F16" s="183"/>
      <c r="G16" s="183"/>
      <c r="H16" s="183"/>
      <c r="I16" s="239"/>
      <c r="J16" s="239"/>
      <c r="K16" s="235"/>
      <c r="L16" s="235"/>
      <c r="M16" s="236"/>
    </row>
    <row r="17" spans="1:13" s="7" customFormat="1" ht="19.149999999999999" customHeight="1" x14ac:dyDescent="0.45">
      <c r="A17" s="173"/>
      <c r="B17" s="183"/>
      <c r="C17" s="183"/>
      <c r="D17" s="183"/>
      <c r="E17" s="183"/>
      <c r="F17" s="183"/>
      <c r="G17" s="183"/>
      <c r="H17" s="183"/>
      <c r="I17" s="239"/>
      <c r="J17" s="239"/>
      <c r="K17" s="235"/>
      <c r="L17" s="235"/>
      <c r="M17" s="236"/>
    </row>
    <row r="18" spans="1:13" s="7" customFormat="1" ht="19.149999999999999" customHeight="1" x14ac:dyDescent="0.45">
      <c r="A18" s="173"/>
      <c r="B18" s="183"/>
      <c r="C18" s="183"/>
      <c r="D18" s="183"/>
      <c r="E18" s="183"/>
      <c r="F18" s="183"/>
      <c r="G18" s="183"/>
      <c r="H18" s="183"/>
      <c r="I18" s="239"/>
      <c r="J18" s="239"/>
      <c r="K18" s="235"/>
      <c r="L18" s="235"/>
      <c r="M18" s="236"/>
    </row>
    <row r="19" spans="1:13" s="7" customFormat="1" ht="15" customHeight="1" x14ac:dyDescent="0.25">
      <c r="A19" s="173"/>
      <c r="B19" s="173"/>
      <c r="C19" s="33"/>
      <c r="D19" s="33"/>
      <c r="E19" s="33"/>
      <c r="F19" s="33"/>
      <c r="G19" s="33"/>
      <c r="H19" s="33"/>
      <c r="I19" s="22"/>
      <c r="J19" s="236"/>
      <c r="K19" s="236"/>
      <c r="L19" s="236"/>
      <c r="M19" s="236"/>
    </row>
    <row r="20" spans="1:13" s="7" customFormat="1" ht="15" customHeight="1" x14ac:dyDescent="0.45">
      <c r="A20" s="173"/>
      <c r="B20" s="173"/>
      <c r="C20" s="256"/>
      <c r="D20" s="256"/>
      <c r="E20" s="256"/>
      <c r="F20" s="256"/>
      <c r="G20" s="256"/>
      <c r="H20" s="256"/>
      <c r="I20" s="22"/>
      <c r="J20" s="236"/>
      <c r="K20" s="236"/>
      <c r="L20" s="236"/>
      <c r="M20" s="236"/>
    </row>
    <row r="21" spans="1:13" s="7" customFormat="1" ht="21" customHeight="1" x14ac:dyDescent="0.25">
      <c r="A21" s="173"/>
      <c r="B21" s="173"/>
      <c r="C21" s="175"/>
      <c r="D21" s="175"/>
      <c r="E21" s="175"/>
      <c r="F21" s="175"/>
      <c r="G21" s="175"/>
      <c r="H21" s="175"/>
      <c r="I21" s="22"/>
      <c r="J21" s="236"/>
      <c r="K21" s="236"/>
      <c r="L21" s="236"/>
      <c r="M21" s="236"/>
    </row>
    <row r="22" spans="1:13" s="7" customFormat="1" ht="19.149999999999999" customHeight="1" x14ac:dyDescent="0.45">
      <c r="A22" s="173"/>
      <c r="B22" s="173"/>
      <c r="C22" s="176"/>
      <c r="D22" s="176"/>
      <c r="E22" s="176"/>
      <c r="F22" s="176"/>
      <c r="G22" s="176"/>
      <c r="H22" s="176"/>
      <c r="I22" s="22"/>
      <c r="J22" s="236"/>
      <c r="K22" s="236"/>
      <c r="L22" s="236"/>
      <c r="M22" s="236"/>
    </row>
    <row r="23" spans="1:13" s="7" customFormat="1" ht="21" customHeight="1" x14ac:dyDescent="0.25">
      <c r="A23" s="173"/>
      <c r="B23" s="173"/>
      <c r="C23" s="33"/>
      <c r="D23" s="33"/>
      <c r="E23" s="33"/>
      <c r="F23" s="33"/>
      <c r="G23" s="33"/>
      <c r="H23" s="33"/>
      <c r="I23" s="22"/>
      <c r="J23" s="236"/>
      <c r="K23" s="236"/>
      <c r="L23" s="236"/>
      <c r="M23" s="236"/>
    </row>
    <row r="24" spans="1:13" ht="15" customHeight="1" x14ac:dyDescent="0.25">
      <c r="A24" s="170"/>
      <c r="B24" s="177"/>
      <c r="C24" s="177"/>
      <c r="D24" s="177"/>
      <c r="E24" s="177"/>
      <c r="F24" s="170"/>
      <c r="G24" s="170"/>
      <c r="H24" s="170"/>
    </row>
    <row r="25" spans="1:13" ht="15" customHeight="1" x14ac:dyDescent="0.25">
      <c r="A25" s="170"/>
      <c r="B25" s="177"/>
      <c r="C25" s="177"/>
      <c r="D25" s="177"/>
      <c r="E25" s="177"/>
      <c r="F25" s="170"/>
      <c r="G25" s="170"/>
      <c r="H25" s="170"/>
    </row>
    <row r="26" spans="1:13" ht="15" customHeight="1" x14ac:dyDescent="0.25">
      <c r="A26" s="170"/>
      <c r="B26" s="177"/>
      <c r="C26" s="177"/>
      <c r="D26" s="177"/>
      <c r="E26" s="177"/>
      <c r="F26" s="170"/>
      <c r="G26" s="170"/>
      <c r="H26" s="170"/>
    </row>
    <row r="27" spans="1:13" ht="15" customHeight="1" x14ac:dyDescent="0.25">
      <c r="A27" s="170"/>
      <c r="B27" s="177"/>
      <c r="C27" s="177"/>
      <c r="D27" s="177"/>
      <c r="E27" s="177"/>
      <c r="F27" s="170"/>
      <c r="G27" s="170"/>
      <c r="H27" s="170"/>
    </row>
    <row r="28" spans="1:13" ht="15" customHeight="1" x14ac:dyDescent="0.25">
      <c r="A28" s="170"/>
      <c r="B28" s="177"/>
      <c r="C28" s="177"/>
      <c r="D28" s="177"/>
      <c r="E28" s="177"/>
      <c r="F28" s="170"/>
      <c r="G28" s="170"/>
      <c r="H28" s="170"/>
    </row>
    <row r="29" spans="1:13" ht="15" customHeight="1" x14ac:dyDescent="0.25">
      <c r="A29" s="170"/>
      <c r="B29" s="177"/>
      <c r="C29" s="177"/>
      <c r="D29" s="177"/>
      <c r="E29" s="177"/>
      <c r="F29" s="170"/>
      <c r="G29" s="170"/>
      <c r="H29" s="170"/>
    </row>
    <row r="30" spans="1:13" x14ac:dyDescent="0.25">
      <c r="A30" s="170"/>
      <c r="B30" s="170"/>
      <c r="C30" s="170"/>
      <c r="D30" s="170"/>
      <c r="E30" s="170"/>
      <c r="F30" s="170"/>
      <c r="G30" s="170"/>
      <c r="H30" s="170"/>
    </row>
    <row r="31" spans="1:13" x14ac:dyDescent="0.25">
      <c r="A31" s="170"/>
      <c r="B31" s="170"/>
      <c r="C31" s="170"/>
      <c r="D31" s="170"/>
      <c r="E31" s="170"/>
      <c r="F31" s="170"/>
      <c r="G31" s="170"/>
      <c r="H31" s="170"/>
    </row>
    <row r="32" spans="1:13" ht="19.5" x14ac:dyDescent="0.25">
      <c r="A32" s="170"/>
      <c r="B32" s="170"/>
      <c r="C32" s="178"/>
      <c r="D32" s="257"/>
      <c r="E32" s="257"/>
      <c r="F32" s="257"/>
      <c r="G32" s="257"/>
      <c r="H32" s="257"/>
    </row>
    <row r="33" spans="1:12" ht="19.5" x14ac:dyDescent="0.25">
      <c r="A33" s="170"/>
      <c r="B33" s="170"/>
      <c r="C33" s="178"/>
      <c r="D33" s="257"/>
      <c r="E33" s="257"/>
      <c r="F33" s="257"/>
      <c r="G33" s="257"/>
      <c r="H33" s="257"/>
    </row>
    <row r="34" spans="1:12" x14ac:dyDescent="0.25">
      <c r="A34" s="170"/>
      <c r="B34" s="170"/>
      <c r="C34" s="170"/>
      <c r="D34" s="170"/>
      <c r="E34" s="170"/>
      <c r="F34" s="170"/>
      <c r="G34" s="170"/>
      <c r="H34" s="170"/>
    </row>
    <row r="35" spans="1:12" x14ac:dyDescent="0.25">
      <c r="A35" s="170"/>
      <c r="B35" s="170"/>
      <c r="C35" s="170"/>
      <c r="D35" s="170"/>
      <c r="E35" s="170"/>
      <c r="F35" s="170"/>
      <c r="G35" s="170"/>
      <c r="H35" s="170"/>
    </row>
    <row r="39" spans="1:12" ht="15" customHeight="1" x14ac:dyDescent="0.25">
      <c r="C39" s="17"/>
      <c r="D39" s="237"/>
      <c r="E39" s="237"/>
      <c r="F39" s="237"/>
      <c r="G39" s="237"/>
      <c r="H39" s="237"/>
    </row>
    <row r="40" spans="1:12" ht="15" customHeight="1" x14ac:dyDescent="0.25">
      <c r="C40" s="17"/>
      <c r="D40" s="237"/>
      <c r="E40" s="237"/>
      <c r="F40" s="237"/>
      <c r="G40" s="237"/>
      <c r="H40" s="237"/>
    </row>
    <row r="43" spans="1:12" ht="15" customHeight="1" x14ac:dyDescent="0.55000000000000004">
      <c r="B43" s="105"/>
      <c r="C43" s="180"/>
      <c r="D43" s="180"/>
      <c r="E43" s="180"/>
      <c r="F43" s="180"/>
      <c r="G43" s="180"/>
      <c r="H43" s="180"/>
      <c r="I43" s="195"/>
      <c r="J43" s="180"/>
      <c r="K43" s="195"/>
      <c r="L43" s="195"/>
    </row>
    <row r="44" spans="1:12" ht="15" customHeight="1" x14ac:dyDescent="0.5">
      <c r="B44" s="24"/>
      <c r="C44" s="24"/>
      <c r="D44" s="24"/>
      <c r="E44" s="24"/>
      <c r="F44" s="24"/>
      <c r="G44" s="24"/>
      <c r="H44" s="24"/>
      <c r="I44" s="197"/>
      <c r="J44" s="197"/>
      <c r="K44" s="195"/>
      <c r="L44" s="195"/>
    </row>
    <row r="45" spans="1:12" ht="15" customHeight="1" x14ac:dyDescent="0.45">
      <c r="B45" s="25"/>
      <c r="C45" s="25"/>
      <c r="D45" s="25"/>
      <c r="E45" s="25"/>
      <c r="F45" s="25"/>
      <c r="G45" s="25"/>
      <c r="H45" s="25"/>
      <c r="I45" s="199"/>
      <c r="J45" s="199"/>
      <c r="K45" s="196"/>
      <c r="L45" s="196"/>
    </row>
    <row r="46" spans="1:12" ht="15" customHeight="1" x14ac:dyDescent="0.45">
      <c r="B46" s="25"/>
      <c r="C46" s="25"/>
      <c r="D46" s="25"/>
      <c r="E46" s="25"/>
      <c r="F46" s="25"/>
      <c r="G46" s="25"/>
      <c r="H46" s="25"/>
      <c r="I46" s="199"/>
      <c r="J46" s="199"/>
      <c r="K46" s="196"/>
      <c r="L46" s="196"/>
    </row>
    <row r="47" spans="1:12" ht="15" customHeight="1" x14ac:dyDescent="0.45">
      <c r="B47" s="25"/>
      <c r="C47" s="25"/>
      <c r="D47" s="25"/>
      <c r="E47" s="25"/>
      <c r="F47" s="25"/>
      <c r="G47" s="25"/>
      <c r="H47" s="25"/>
      <c r="I47" s="199"/>
      <c r="J47" s="199"/>
      <c r="K47" s="196"/>
      <c r="L47" s="196"/>
    </row>
    <row r="48" spans="1:12" ht="15" customHeight="1" x14ac:dyDescent="0.45">
      <c r="B48" s="25"/>
      <c r="C48" s="25"/>
      <c r="D48" s="25"/>
      <c r="E48" s="25"/>
      <c r="F48" s="25"/>
      <c r="G48" s="25"/>
      <c r="H48" s="25"/>
      <c r="I48" s="199"/>
      <c r="J48" s="199"/>
      <c r="K48" s="196"/>
      <c r="L48" s="196"/>
    </row>
    <row r="49" spans="2:12" ht="15" customHeight="1" x14ac:dyDescent="0.45">
      <c r="B49" s="25"/>
      <c r="C49" s="25"/>
      <c r="D49" s="25"/>
      <c r="E49" s="25"/>
      <c r="F49" s="25"/>
      <c r="G49" s="25"/>
      <c r="H49" s="25"/>
      <c r="I49" s="199"/>
      <c r="J49" s="199"/>
      <c r="K49" s="196"/>
      <c r="L49" s="196"/>
    </row>
    <row r="50" spans="2:12" ht="15" customHeight="1" x14ac:dyDescent="0.45">
      <c r="B50" s="25"/>
      <c r="C50" s="25"/>
      <c r="D50" s="25"/>
      <c r="E50" s="25"/>
      <c r="F50" s="25"/>
      <c r="G50" s="25"/>
      <c r="H50" s="25"/>
      <c r="I50" s="199"/>
      <c r="J50" s="199"/>
      <c r="K50" s="196"/>
      <c r="L50" s="196"/>
    </row>
    <row r="51" spans="2:12" ht="15" customHeight="1" x14ac:dyDescent="0.45">
      <c r="B51" s="25"/>
      <c r="C51" s="25"/>
      <c r="D51" s="25"/>
      <c r="E51" s="25"/>
      <c r="F51" s="25"/>
      <c r="G51" s="25"/>
      <c r="H51" s="25"/>
      <c r="I51" s="199"/>
      <c r="J51" s="199"/>
      <c r="K51" s="196"/>
      <c r="L51" s="196"/>
    </row>
    <row r="52" spans="2:12" ht="15" customHeight="1" x14ac:dyDescent="0.45">
      <c r="B52" s="25"/>
      <c r="C52" s="25"/>
      <c r="D52" s="25"/>
      <c r="E52" s="25"/>
      <c r="F52" s="25"/>
      <c r="G52" s="25"/>
      <c r="H52" s="25"/>
      <c r="I52" s="199"/>
      <c r="J52" s="199"/>
      <c r="K52" s="196"/>
      <c r="L52" s="196"/>
    </row>
    <row r="53" spans="2:12" ht="15" customHeight="1" x14ac:dyDescent="0.45">
      <c r="B53" s="25"/>
      <c r="C53" s="25"/>
      <c r="D53" s="25"/>
      <c r="E53" s="25"/>
      <c r="F53" s="25"/>
      <c r="G53" s="25"/>
      <c r="H53" s="25"/>
      <c r="I53" s="199"/>
      <c r="J53" s="199"/>
      <c r="K53" s="196"/>
      <c r="L53" s="196"/>
    </row>
    <row r="54" spans="2:12" ht="15" customHeight="1" x14ac:dyDescent="0.45">
      <c r="B54" s="25"/>
      <c r="C54" s="25"/>
      <c r="D54" s="25"/>
      <c r="E54" s="25"/>
      <c r="F54" s="25"/>
      <c r="G54" s="25"/>
      <c r="H54" s="25"/>
      <c r="I54" s="199"/>
      <c r="J54" s="199"/>
      <c r="K54" s="196"/>
      <c r="L54" s="196"/>
    </row>
    <row r="55" spans="2:12" ht="15" customHeight="1" x14ac:dyDescent="0.45">
      <c r="B55" s="25"/>
      <c r="C55" s="25"/>
      <c r="D55" s="25"/>
      <c r="E55" s="25"/>
      <c r="F55" s="25"/>
      <c r="G55" s="25"/>
      <c r="H55" s="25"/>
      <c r="I55" s="199"/>
      <c r="J55" s="199"/>
      <c r="K55" s="196"/>
      <c r="L55" s="196"/>
    </row>
    <row r="56" spans="2:12" ht="15" customHeight="1" x14ac:dyDescent="0.45">
      <c r="B56" s="25"/>
      <c r="C56" s="25"/>
      <c r="D56" s="25"/>
      <c r="E56" s="25"/>
      <c r="F56" s="25"/>
      <c r="G56" s="25"/>
      <c r="H56" s="25"/>
      <c r="I56" s="199"/>
      <c r="J56" s="199"/>
      <c r="K56" s="196"/>
      <c r="L56" s="196"/>
    </row>
    <row r="57" spans="2:12" ht="15" customHeight="1" x14ac:dyDescent="0.45">
      <c r="B57" s="25"/>
      <c r="C57" s="25"/>
      <c r="D57" s="25"/>
      <c r="E57" s="25"/>
      <c r="F57" s="25"/>
      <c r="G57" s="25"/>
      <c r="H57" s="25"/>
      <c r="I57" s="199"/>
      <c r="J57" s="199"/>
      <c r="K57" s="196"/>
      <c r="L57" s="196"/>
    </row>
    <row r="58" spans="2:12" ht="15" customHeight="1" x14ac:dyDescent="0.45">
      <c r="B58" s="25"/>
      <c r="C58" s="25"/>
      <c r="D58" s="25"/>
      <c r="E58" s="25"/>
      <c r="F58" s="25"/>
      <c r="G58" s="25"/>
      <c r="H58" s="25"/>
      <c r="I58" s="199"/>
      <c r="J58" s="199"/>
      <c r="K58" s="196"/>
      <c r="L58" s="196"/>
    </row>
    <row r="59" spans="2:12" ht="15" customHeight="1" x14ac:dyDescent="0.45">
      <c r="B59" s="25"/>
      <c r="C59" s="25"/>
      <c r="D59" s="25"/>
      <c r="E59" s="25"/>
      <c r="F59" s="25"/>
      <c r="G59" s="25"/>
      <c r="H59" s="25"/>
      <c r="I59" s="199"/>
      <c r="J59" s="199"/>
      <c r="K59" s="196"/>
      <c r="L59" s="196"/>
    </row>
    <row r="60" spans="2:12" ht="15" customHeight="1" x14ac:dyDescent="0.45">
      <c r="B60" s="25"/>
      <c r="C60" s="25"/>
      <c r="D60" s="25"/>
      <c r="E60" s="25"/>
      <c r="F60" s="25"/>
      <c r="G60" s="25"/>
      <c r="H60" s="25"/>
      <c r="I60" s="199"/>
      <c r="J60" s="199"/>
      <c r="K60" s="196"/>
      <c r="L60" s="196"/>
    </row>
    <row r="61" spans="2:12" ht="15" customHeight="1" x14ac:dyDescent="0.45">
      <c r="B61" s="25"/>
      <c r="C61" s="25"/>
      <c r="D61" s="25"/>
      <c r="E61" s="25"/>
      <c r="F61" s="25"/>
      <c r="G61" s="25"/>
      <c r="H61" s="25"/>
      <c r="I61" s="199"/>
      <c r="J61" s="199"/>
      <c r="K61" s="196"/>
      <c r="L61" s="196"/>
    </row>
    <row r="62" spans="2:12" ht="15" customHeight="1" x14ac:dyDescent="0.45">
      <c r="B62" s="25"/>
      <c r="C62" s="25"/>
      <c r="D62" s="25"/>
      <c r="E62" s="25"/>
      <c r="F62" s="25"/>
      <c r="G62" s="25"/>
      <c r="H62" s="25"/>
      <c r="I62" s="199"/>
      <c r="J62" s="199"/>
      <c r="K62" s="196"/>
      <c r="L62" s="196"/>
    </row>
  </sheetData>
  <mergeCells count="2">
    <mergeCell ref="D12:E12"/>
    <mergeCell ref="F12:H12"/>
  </mergeCells>
  <dataValidations count="2">
    <dataValidation type="list" allowBlank="1" showInputMessage="1" showErrorMessage="1" sqref="D9:D10 D12">
      <formula1>$C$21:$H$21</formula1>
    </dataValidation>
    <dataValidation type="list" allowBlank="1" showInputMessage="1" showErrorMessage="1" sqref="D6:D8 D11">
      <formula1>$D$21:$H$21</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92D050"/>
  </sheetPr>
  <dimension ref="A1:M62"/>
  <sheetViews>
    <sheetView rightToLeft="1" zoomScale="90" zoomScaleNormal="90" workbookViewId="0">
      <selection activeCell="E7" sqref="E7"/>
    </sheetView>
  </sheetViews>
  <sheetFormatPr defaultColWidth="8.85546875" defaultRowHeight="15" x14ac:dyDescent="0.25"/>
  <cols>
    <col min="1" max="1" width="97.28515625" style="6" customWidth="1"/>
    <col min="2" max="2" width="5.7109375" style="6" customWidth="1"/>
    <col min="3" max="3" width="9.85546875" style="6" customWidth="1"/>
    <col min="4" max="4" width="17.7109375" style="6" customWidth="1"/>
    <col min="5" max="8" width="12.7109375" style="6" customWidth="1"/>
    <col min="9" max="9" width="10.28515625" style="194" customWidth="1"/>
    <col min="10" max="10" width="8.85546875" style="194"/>
    <col min="11" max="11" width="6.7109375" style="194" customWidth="1"/>
    <col min="12" max="13" width="8.85546875" style="194"/>
    <col min="14" max="16384" width="8.85546875" style="6"/>
  </cols>
  <sheetData>
    <row r="1" spans="1:13" ht="45" customHeight="1" x14ac:dyDescent="0.25">
      <c r="A1" s="170"/>
      <c r="B1" s="170"/>
      <c r="C1" s="170"/>
      <c r="D1" s="170"/>
      <c r="E1" s="170"/>
      <c r="F1" s="170"/>
      <c r="G1" s="170"/>
      <c r="H1" s="170"/>
    </row>
    <row r="2" spans="1:13" ht="38.450000000000003" customHeight="1" x14ac:dyDescent="0.5">
      <c r="A2" s="171"/>
      <c r="B2" s="34"/>
      <c r="C2" s="34"/>
      <c r="D2" s="34"/>
      <c r="E2" s="34"/>
      <c r="F2" s="170"/>
      <c r="G2" s="170"/>
      <c r="H2" s="170"/>
    </row>
    <row r="3" spans="1:13" ht="28.5" customHeight="1" thickBot="1" x14ac:dyDescent="0.65">
      <c r="A3" s="170"/>
      <c r="B3" s="36"/>
      <c r="C3" s="36"/>
      <c r="D3" s="36"/>
      <c r="E3" s="36"/>
      <c r="F3" s="36"/>
      <c r="G3" s="36"/>
      <c r="H3" s="36"/>
      <c r="I3" s="238"/>
      <c r="J3" s="238"/>
      <c r="K3" s="234"/>
      <c r="L3" s="234"/>
    </row>
    <row r="4" spans="1:13" ht="19.149999999999999" customHeight="1" thickBot="1" x14ac:dyDescent="0.55000000000000004">
      <c r="A4" s="172"/>
      <c r="B4" s="183"/>
      <c r="C4" s="324" t="s">
        <v>38</v>
      </c>
      <c r="D4" s="325" t="s">
        <v>318</v>
      </c>
      <c r="E4" s="325" t="s">
        <v>47</v>
      </c>
      <c r="F4" s="325" t="s">
        <v>319</v>
      </c>
      <c r="G4" s="325" t="s">
        <v>320</v>
      </c>
      <c r="H4" s="326" t="s">
        <v>321</v>
      </c>
      <c r="I4" s="218"/>
      <c r="J4" s="218"/>
      <c r="K4" s="234"/>
      <c r="L4" s="234"/>
    </row>
    <row r="5" spans="1:13" ht="19.149999999999999" customHeight="1" x14ac:dyDescent="0.45">
      <c r="A5" s="170"/>
      <c r="B5" s="183"/>
      <c r="C5" s="327">
        <v>1</v>
      </c>
      <c r="D5" s="328" t="s">
        <v>327</v>
      </c>
      <c r="E5" s="329"/>
      <c r="F5" s="330">
        <f>E5/SUM($E$5:$E$10)</f>
        <v>0</v>
      </c>
      <c r="G5" s="421">
        <v>0.02</v>
      </c>
      <c r="H5" s="331">
        <f>ABS(G5-F5)</f>
        <v>0.02</v>
      </c>
      <c r="I5" s="239"/>
      <c r="J5" s="239"/>
      <c r="K5" s="235"/>
      <c r="L5" s="235"/>
    </row>
    <row r="6" spans="1:13" s="7" customFormat="1" ht="19.149999999999999" customHeight="1" x14ac:dyDescent="0.45">
      <c r="A6" s="173"/>
      <c r="B6" s="183"/>
      <c r="C6" s="332">
        <v>2</v>
      </c>
      <c r="D6" s="333" t="s">
        <v>328</v>
      </c>
      <c r="E6" s="334"/>
      <c r="F6" s="330">
        <f>E6/SUM($E$5:$E$10)</f>
        <v>0</v>
      </c>
      <c r="G6" s="422">
        <v>0.03</v>
      </c>
      <c r="H6" s="335">
        <f t="shared" ref="H6:H10" si="0">ABS(G6-F6)</f>
        <v>0.03</v>
      </c>
      <c r="I6" s="239"/>
      <c r="J6" s="239"/>
      <c r="K6" s="235"/>
      <c r="L6" s="235"/>
      <c r="M6" s="236"/>
    </row>
    <row r="7" spans="1:13" s="7" customFormat="1" ht="19.149999999999999" customHeight="1" x14ac:dyDescent="0.45">
      <c r="A7" s="174"/>
      <c r="B7" s="183"/>
      <c r="C7" s="332">
        <v>3</v>
      </c>
      <c r="D7" s="333" t="s">
        <v>329</v>
      </c>
      <c r="E7" s="334">
        <v>1</v>
      </c>
      <c r="F7" s="330">
        <f>E7/SUM($E$5:$E$10)</f>
        <v>6.8965517241379309E-3</v>
      </c>
      <c r="G7" s="422">
        <v>0.1</v>
      </c>
      <c r="H7" s="335">
        <f t="shared" si="0"/>
        <v>9.3103448275862075E-2</v>
      </c>
      <c r="I7" s="239"/>
      <c r="J7" s="239"/>
      <c r="K7" s="235"/>
      <c r="L7" s="235"/>
      <c r="M7" s="236"/>
    </row>
    <row r="8" spans="1:13" s="7" customFormat="1" ht="19.149999999999999" customHeight="1" x14ac:dyDescent="0.45">
      <c r="A8" s="173"/>
      <c r="B8" s="183"/>
      <c r="C8" s="332">
        <v>4</v>
      </c>
      <c r="D8" s="333" t="s">
        <v>330</v>
      </c>
      <c r="E8" s="334">
        <v>3</v>
      </c>
      <c r="F8" s="330">
        <f t="shared" ref="F8:F10" si="1">E8/SUM($E$5:$E$10)</f>
        <v>2.0689655172413793E-2</v>
      </c>
      <c r="G8" s="422">
        <v>0.35</v>
      </c>
      <c r="H8" s="335">
        <f t="shared" si="0"/>
        <v>0.3293103448275862</v>
      </c>
      <c r="I8" s="239"/>
      <c r="J8" s="239"/>
      <c r="K8" s="235"/>
      <c r="L8" s="235"/>
      <c r="M8" s="236"/>
    </row>
    <row r="9" spans="1:13" s="7" customFormat="1" ht="19.149999999999999" customHeight="1" x14ac:dyDescent="0.45">
      <c r="A9" s="173"/>
      <c r="B9" s="183"/>
      <c r="C9" s="332">
        <v>5</v>
      </c>
      <c r="D9" s="333" t="s">
        <v>331</v>
      </c>
      <c r="E9" s="334">
        <v>29</v>
      </c>
      <c r="F9" s="330">
        <f t="shared" si="1"/>
        <v>0.2</v>
      </c>
      <c r="G9" s="422">
        <v>0.3</v>
      </c>
      <c r="H9" s="335">
        <f t="shared" si="0"/>
        <v>9.9999999999999978E-2</v>
      </c>
      <c r="I9" s="239"/>
      <c r="J9" s="239"/>
      <c r="K9" s="235"/>
      <c r="L9" s="235"/>
      <c r="M9" s="236"/>
    </row>
    <row r="10" spans="1:13" s="7" customFormat="1" ht="19.149999999999999" customHeight="1" thickBot="1" x14ac:dyDescent="0.5">
      <c r="A10" s="173"/>
      <c r="B10" s="183"/>
      <c r="C10" s="336">
        <v>6</v>
      </c>
      <c r="D10" s="337" t="s">
        <v>332</v>
      </c>
      <c r="E10" s="338">
        <v>112</v>
      </c>
      <c r="F10" s="330">
        <f t="shared" si="1"/>
        <v>0.77241379310344827</v>
      </c>
      <c r="G10" s="423">
        <v>0.2</v>
      </c>
      <c r="H10" s="339">
        <f t="shared" si="0"/>
        <v>0.57241379310344831</v>
      </c>
      <c r="I10" s="239"/>
      <c r="J10" s="239"/>
      <c r="K10" s="235"/>
      <c r="L10" s="235"/>
      <c r="M10" s="236"/>
    </row>
    <row r="11" spans="1:13" s="7" customFormat="1" ht="19.149999999999999" customHeight="1" thickBot="1" x14ac:dyDescent="0.55000000000000004">
      <c r="A11" s="173"/>
      <c r="B11" s="183"/>
      <c r="C11" s="340"/>
      <c r="D11" s="341" t="s">
        <v>62</v>
      </c>
      <c r="E11" s="342">
        <f>SUM(E5:E10)</f>
        <v>145</v>
      </c>
      <c r="F11" s="343">
        <f t="shared" ref="F11:G11" si="2">SUM(F5:F10)</f>
        <v>1</v>
      </c>
      <c r="G11" s="343">
        <f t="shared" si="2"/>
        <v>1</v>
      </c>
      <c r="H11" s="344">
        <f>SUM(H5:H10)</f>
        <v>1.1448275862068966</v>
      </c>
      <c r="I11" s="239"/>
      <c r="J11" s="239"/>
      <c r="K11" s="235"/>
      <c r="L11" s="235"/>
      <c r="M11" s="236"/>
    </row>
    <row r="12" spans="1:13" s="7" customFormat="1" ht="19.149999999999999" customHeight="1" thickBot="1" x14ac:dyDescent="0.55000000000000004">
      <c r="A12" s="173"/>
      <c r="B12" s="183"/>
      <c r="C12" s="340"/>
      <c r="D12" s="341" t="s">
        <v>326</v>
      </c>
      <c r="E12" s="341"/>
      <c r="F12" s="1567">
        <v>0.3</v>
      </c>
      <c r="G12" s="1568"/>
      <c r="H12" s="1569"/>
      <c r="I12" s="239"/>
      <c r="J12" s="239"/>
      <c r="K12" s="235"/>
      <c r="L12" s="235"/>
      <c r="M12" s="236"/>
    </row>
    <row r="13" spans="1:13" s="7" customFormat="1" ht="19.149999999999999" customHeight="1" thickBot="1" x14ac:dyDescent="0.65">
      <c r="A13" s="173"/>
      <c r="B13" s="183"/>
      <c r="C13" s="345"/>
      <c r="D13" s="346" t="s">
        <v>257</v>
      </c>
      <c r="E13" s="346"/>
      <c r="F13" s="346"/>
      <c r="G13" s="346"/>
      <c r="H13" s="347">
        <f>1-MAX(H11-F12,0)</f>
        <v>0.15517241379310343</v>
      </c>
      <c r="I13" s="239"/>
      <c r="J13" s="239"/>
      <c r="K13" s="235"/>
      <c r="L13" s="235"/>
      <c r="M13" s="236"/>
    </row>
    <row r="14" spans="1:13" s="7" customFormat="1" ht="19.149999999999999" customHeight="1" x14ac:dyDescent="0.6">
      <c r="A14" s="173"/>
      <c r="B14" s="183"/>
      <c r="C14" s="36"/>
      <c r="D14" s="36"/>
      <c r="E14" s="36"/>
      <c r="F14" s="36"/>
      <c r="G14" s="36"/>
      <c r="H14" s="36"/>
      <c r="I14" s="239"/>
      <c r="J14" s="239"/>
      <c r="K14" s="235"/>
      <c r="L14" s="235"/>
      <c r="M14" s="236"/>
    </row>
    <row r="15" spans="1:13" s="7" customFormat="1" ht="19.149999999999999" customHeight="1" x14ac:dyDescent="0.45">
      <c r="A15" s="173"/>
      <c r="B15" s="183"/>
      <c r="C15" s="183"/>
      <c r="D15" s="183"/>
      <c r="E15" s="183"/>
      <c r="F15" s="183"/>
      <c r="G15" s="183"/>
      <c r="H15" s="183"/>
      <c r="I15" s="239"/>
      <c r="J15" s="239"/>
      <c r="K15" s="235"/>
      <c r="L15" s="235"/>
      <c r="M15" s="236"/>
    </row>
    <row r="16" spans="1:13" s="7" customFormat="1" ht="19.149999999999999" customHeight="1" x14ac:dyDescent="0.45">
      <c r="A16" s="173"/>
      <c r="B16" s="183"/>
      <c r="C16" s="183"/>
      <c r="D16" s="183"/>
      <c r="E16" s="183"/>
      <c r="F16" s="183"/>
      <c r="G16" s="183"/>
      <c r="H16" s="183"/>
      <c r="I16" s="239"/>
      <c r="J16" s="239"/>
      <c r="K16" s="235"/>
      <c r="L16" s="235"/>
      <c r="M16" s="236"/>
    </row>
    <row r="17" spans="1:13" s="7" customFormat="1" ht="19.149999999999999" customHeight="1" x14ac:dyDescent="0.45">
      <c r="A17" s="173"/>
      <c r="B17" s="183"/>
      <c r="C17" s="183"/>
      <c r="D17" s="183"/>
      <c r="E17" s="183"/>
      <c r="F17" s="183"/>
      <c r="G17" s="183"/>
      <c r="H17" s="183"/>
      <c r="I17" s="239"/>
      <c r="J17" s="239"/>
      <c r="K17" s="235"/>
      <c r="L17" s="235"/>
      <c r="M17" s="236"/>
    </row>
    <row r="18" spans="1:13" s="7" customFormat="1" ht="19.149999999999999" customHeight="1" x14ac:dyDescent="0.45">
      <c r="A18" s="173"/>
      <c r="B18" s="183"/>
      <c r="C18" s="183"/>
      <c r="D18" s="183"/>
      <c r="E18" s="183"/>
      <c r="F18" s="183"/>
      <c r="G18" s="183"/>
      <c r="H18" s="183"/>
      <c r="I18" s="239"/>
      <c r="J18" s="239"/>
      <c r="K18" s="235"/>
      <c r="L18" s="235"/>
      <c r="M18" s="236"/>
    </row>
    <row r="19" spans="1:13" s="7" customFormat="1" ht="15" customHeight="1" x14ac:dyDescent="0.25">
      <c r="A19" s="173"/>
      <c r="B19" s="173"/>
      <c r="C19" s="33"/>
      <c r="D19" s="33"/>
      <c r="E19" s="33"/>
      <c r="F19" s="33"/>
      <c r="G19" s="33"/>
      <c r="H19" s="33"/>
      <c r="I19" s="22"/>
      <c r="J19" s="236"/>
      <c r="K19" s="236"/>
      <c r="L19" s="236"/>
      <c r="M19" s="236"/>
    </row>
    <row r="20" spans="1:13" s="7" customFormat="1" ht="15" customHeight="1" x14ac:dyDescent="0.45">
      <c r="A20" s="173"/>
      <c r="B20" s="173"/>
      <c r="C20" s="256"/>
      <c r="D20" s="256"/>
      <c r="E20" s="256"/>
      <c r="F20" s="256"/>
      <c r="G20" s="256"/>
      <c r="H20" s="256"/>
      <c r="I20" s="22"/>
      <c r="J20" s="236"/>
      <c r="K20" s="236"/>
      <c r="L20" s="236"/>
      <c r="M20" s="236"/>
    </row>
    <row r="21" spans="1:13" s="7" customFormat="1" ht="21" customHeight="1" x14ac:dyDescent="0.25">
      <c r="A21" s="173"/>
      <c r="B21" s="173"/>
      <c r="C21" s="175"/>
      <c r="D21" s="175"/>
      <c r="E21" s="175"/>
      <c r="F21" s="175"/>
      <c r="G21" s="175"/>
      <c r="H21" s="175"/>
      <c r="I21" s="22"/>
      <c r="J21" s="236"/>
      <c r="K21" s="236"/>
      <c r="L21" s="236"/>
      <c r="M21" s="236"/>
    </row>
    <row r="22" spans="1:13" s="7" customFormat="1" ht="19.149999999999999" customHeight="1" x14ac:dyDescent="0.45">
      <c r="A22" s="173"/>
      <c r="B22" s="173"/>
      <c r="C22" s="176"/>
      <c r="D22" s="176"/>
      <c r="E22" s="176"/>
      <c r="F22" s="176"/>
      <c r="G22" s="176"/>
      <c r="H22" s="176"/>
      <c r="I22" s="22"/>
      <c r="J22" s="236"/>
      <c r="K22" s="236"/>
      <c r="L22" s="236"/>
      <c r="M22" s="236"/>
    </row>
    <row r="23" spans="1:13" s="7" customFormat="1" ht="21" customHeight="1" x14ac:dyDescent="0.25">
      <c r="A23" s="173"/>
      <c r="B23" s="173"/>
      <c r="C23" s="33"/>
      <c r="D23" s="33"/>
      <c r="E23" s="33"/>
      <c r="F23" s="33"/>
      <c r="G23" s="33"/>
      <c r="H23" s="33"/>
      <c r="I23" s="22"/>
      <c r="J23" s="236"/>
      <c r="K23" s="236"/>
      <c r="L23" s="236"/>
      <c r="M23" s="236"/>
    </row>
    <row r="24" spans="1:13" ht="15" customHeight="1" x14ac:dyDescent="0.25">
      <c r="A24" s="170"/>
      <c r="B24" s="177"/>
      <c r="C24" s="177"/>
      <c r="D24" s="177"/>
      <c r="E24" s="177"/>
      <c r="F24" s="170"/>
      <c r="G24" s="170"/>
      <c r="H24" s="170"/>
    </row>
    <row r="25" spans="1:13" ht="15" customHeight="1" x14ac:dyDescent="0.25">
      <c r="A25" s="170"/>
      <c r="B25" s="177"/>
      <c r="C25" s="177"/>
      <c r="D25" s="177"/>
      <c r="E25" s="177"/>
      <c r="F25" s="170"/>
      <c r="G25" s="170"/>
      <c r="H25" s="170"/>
    </row>
    <row r="26" spans="1:13" ht="15" customHeight="1" x14ac:dyDescent="0.25">
      <c r="A26" s="170"/>
      <c r="B26" s="177"/>
      <c r="C26" s="177"/>
      <c r="D26" s="177"/>
      <c r="E26" s="177"/>
      <c r="F26" s="170"/>
      <c r="G26" s="170"/>
      <c r="H26" s="170"/>
    </row>
    <row r="27" spans="1:13" ht="15" customHeight="1" x14ac:dyDescent="0.25">
      <c r="A27" s="170"/>
      <c r="B27" s="177"/>
      <c r="C27" s="177"/>
      <c r="D27" s="177"/>
      <c r="E27" s="177"/>
      <c r="F27" s="170"/>
      <c r="G27" s="170"/>
      <c r="H27" s="170"/>
    </row>
    <row r="28" spans="1:13" ht="15" customHeight="1" x14ac:dyDescent="0.25">
      <c r="A28" s="170"/>
      <c r="B28" s="177"/>
      <c r="C28" s="177"/>
      <c r="D28" s="177"/>
      <c r="E28" s="177"/>
      <c r="F28" s="170"/>
      <c r="G28" s="170"/>
      <c r="H28" s="170"/>
    </row>
    <row r="29" spans="1:13" ht="15" customHeight="1" x14ac:dyDescent="0.25">
      <c r="A29" s="170"/>
      <c r="B29" s="177"/>
      <c r="C29" s="177"/>
      <c r="D29" s="177"/>
      <c r="E29" s="177"/>
      <c r="F29" s="170"/>
      <c r="G29" s="170"/>
      <c r="H29" s="170"/>
    </row>
    <row r="30" spans="1:13" x14ac:dyDescent="0.25">
      <c r="A30" s="170"/>
      <c r="B30" s="170"/>
      <c r="C30" s="170"/>
      <c r="D30" s="170"/>
      <c r="E30" s="170"/>
      <c r="F30" s="170"/>
      <c r="G30" s="170"/>
      <c r="H30" s="170"/>
    </row>
    <row r="31" spans="1:13" x14ac:dyDescent="0.25">
      <c r="A31" s="170"/>
      <c r="B31" s="170"/>
      <c r="C31" s="170"/>
      <c r="D31" s="170"/>
      <c r="E31" s="170"/>
      <c r="F31" s="170"/>
      <c r="G31" s="170"/>
      <c r="H31" s="170"/>
    </row>
    <row r="32" spans="1:13" ht="19.5" x14ac:dyDescent="0.25">
      <c r="A32" s="170"/>
      <c r="B32" s="170"/>
      <c r="C32" s="178"/>
      <c r="D32" s="257"/>
      <c r="E32" s="257"/>
      <c r="F32" s="257"/>
      <c r="G32" s="257"/>
      <c r="H32" s="257"/>
    </row>
    <row r="33" spans="1:12" ht="19.5" x14ac:dyDescent="0.25">
      <c r="A33" s="170"/>
      <c r="B33" s="170"/>
      <c r="C33" s="178"/>
      <c r="D33" s="257"/>
      <c r="E33" s="257"/>
      <c r="F33" s="257"/>
      <c r="G33" s="257"/>
      <c r="H33" s="257"/>
    </row>
    <row r="34" spans="1:12" x14ac:dyDescent="0.25">
      <c r="A34" s="170"/>
      <c r="B34" s="170"/>
      <c r="C34" s="170"/>
      <c r="D34" s="170"/>
      <c r="E34" s="170"/>
      <c r="F34" s="170"/>
      <c r="G34" s="170"/>
      <c r="H34" s="170"/>
    </row>
    <row r="35" spans="1:12" x14ac:dyDescent="0.25">
      <c r="A35" s="170"/>
      <c r="B35" s="170"/>
      <c r="C35" s="170"/>
      <c r="D35" s="170"/>
      <c r="E35" s="170"/>
      <c r="F35" s="170"/>
      <c r="G35" s="170"/>
      <c r="H35" s="170"/>
    </row>
    <row r="39" spans="1:12" ht="15" customHeight="1" x14ac:dyDescent="0.25">
      <c r="C39" s="17"/>
      <c r="D39" s="237"/>
      <c r="E39" s="237"/>
      <c r="F39" s="237"/>
      <c r="G39" s="237"/>
      <c r="H39" s="237"/>
    </row>
    <row r="40" spans="1:12" ht="15" customHeight="1" x14ac:dyDescent="0.25">
      <c r="C40" s="17"/>
      <c r="D40" s="237"/>
      <c r="E40" s="237"/>
      <c r="F40" s="237"/>
      <c r="G40" s="237"/>
      <c r="H40" s="237"/>
    </row>
    <row r="43" spans="1:12" ht="15" customHeight="1" x14ac:dyDescent="0.55000000000000004">
      <c r="B43" s="105"/>
      <c r="C43" s="180"/>
      <c r="D43" s="180"/>
      <c r="E43" s="180"/>
      <c r="F43" s="180"/>
      <c r="G43" s="180"/>
      <c r="H43" s="180"/>
      <c r="I43" s="195"/>
      <c r="J43" s="180"/>
      <c r="K43" s="195"/>
      <c r="L43" s="195"/>
    </row>
    <row r="44" spans="1:12" ht="15" customHeight="1" x14ac:dyDescent="0.5">
      <c r="B44" s="24"/>
      <c r="C44" s="24"/>
      <c r="D44" s="24"/>
      <c r="E44" s="24"/>
      <c r="F44" s="24"/>
      <c r="G44" s="24"/>
      <c r="H44" s="24"/>
      <c r="I44" s="197"/>
      <c r="J44" s="197"/>
      <c r="K44" s="195"/>
      <c r="L44" s="195"/>
    </row>
    <row r="45" spans="1:12" ht="15" customHeight="1" x14ac:dyDescent="0.45">
      <c r="B45" s="25"/>
      <c r="C45" s="25"/>
      <c r="D45" s="25"/>
      <c r="E45" s="25"/>
      <c r="F45" s="25"/>
      <c r="G45" s="25"/>
      <c r="H45" s="25"/>
      <c r="I45" s="199"/>
      <c r="J45" s="199"/>
      <c r="K45" s="196"/>
      <c r="L45" s="196"/>
    </row>
    <row r="46" spans="1:12" ht="15" customHeight="1" x14ac:dyDescent="0.45">
      <c r="B46" s="25"/>
      <c r="C46" s="25"/>
      <c r="D46" s="25"/>
      <c r="E46" s="25"/>
      <c r="F46" s="25"/>
      <c r="G46" s="25"/>
      <c r="H46" s="25"/>
      <c r="I46" s="199"/>
      <c r="J46" s="199"/>
      <c r="K46" s="196"/>
      <c r="L46" s="196"/>
    </row>
    <row r="47" spans="1:12" ht="15" customHeight="1" x14ac:dyDescent="0.45">
      <c r="B47" s="25"/>
      <c r="C47" s="25"/>
      <c r="D47" s="25"/>
      <c r="E47" s="25"/>
      <c r="F47" s="25"/>
      <c r="G47" s="25"/>
      <c r="H47" s="25"/>
      <c r="I47" s="199"/>
      <c r="J47" s="199"/>
      <c r="K47" s="196"/>
      <c r="L47" s="196"/>
    </row>
    <row r="48" spans="1:12" ht="15" customHeight="1" x14ac:dyDescent="0.45">
      <c r="B48" s="25"/>
      <c r="C48" s="25"/>
      <c r="D48" s="25"/>
      <c r="E48" s="25"/>
      <c r="F48" s="25"/>
      <c r="G48" s="25"/>
      <c r="H48" s="25"/>
      <c r="I48" s="199"/>
      <c r="J48" s="199"/>
      <c r="K48" s="196"/>
      <c r="L48" s="196"/>
    </row>
    <row r="49" spans="2:12" ht="15" customHeight="1" x14ac:dyDescent="0.45">
      <c r="B49" s="25"/>
      <c r="C49" s="25"/>
      <c r="D49" s="25"/>
      <c r="E49" s="25"/>
      <c r="F49" s="25"/>
      <c r="G49" s="25"/>
      <c r="H49" s="25"/>
      <c r="I49" s="199"/>
      <c r="J49" s="199"/>
      <c r="K49" s="196"/>
      <c r="L49" s="196"/>
    </row>
    <row r="50" spans="2:12" ht="15" customHeight="1" x14ac:dyDescent="0.45">
      <c r="B50" s="25"/>
      <c r="C50" s="25"/>
      <c r="D50" s="25"/>
      <c r="E50" s="25"/>
      <c r="F50" s="25"/>
      <c r="G50" s="25"/>
      <c r="H50" s="25"/>
      <c r="I50" s="199"/>
      <c r="J50" s="199"/>
      <c r="K50" s="196"/>
      <c r="L50" s="196"/>
    </row>
    <row r="51" spans="2:12" ht="15" customHeight="1" x14ac:dyDescent="0.45">
      <c r="B51" s="25"/>
      <c r="C51" s="25"/>
      <c r="D51" s="25"/>
      <c r="E51" s="25"/>
      <c r="F51" s="25"/>
      <c r="G51" s="25"/>
      <c r="H51" s="25"/>
      <c r="I51" s="199"/>
      <c r="J51" s="199"/>
      <c r="K51" s="196"/>
      <c r="L51" s="196"/>
    </row>
    <row r="52" spans="2:12" ht="15" customHeight="1" x14ac:dyDescent="0.45">
      <c r="B52" s="25"/>
      <c r="C52" s="25"/>
      <c r="D52" s="25"/>
      <c r="E52" s="25"/>
      <c r="F52" s="25"/>
      <c r="G52" s="25"/>
      <c r="H52" s="25"/>
      <c r="I52" s="199"/>
      <c r="J52" s="199"/>
      <c r="K52" s="196"/>
      <c r="L52" s="196"/>
    </row>
    <row r="53" spans="2:12" ht="15" customHeight="1" x14ac:dyDescent="0.45">
      <c r="B53" s="25"/>
      <c r="C53" s="25"/>
      <c r="D53" s="25"/>
      <c r="E53" s="25"/>
      <c r="F53" s="25"/>
      <c r="G53" s="25"/>
      <c r="H53" s="25"/>
      <c r="I53" s="199"/>
      <c r="J53" s="199"/>
      <c r="K53" s="196"/>
      <c r="L53" s="196"/>
    </row>
    <row r="54" spans="2:12" ht="15" customHeight="1" x14ac:dyDescent="0.45">
      <c r="B54" s="25"/>
      <c r="C54" s="25"/>
      <c r="D54" s="25"/>
      <c r="E54" s="25"/>
      <c r="F54" s="25"/>
      <c r="G54" s="25"/>
      <c r="H54" s="25"/>
      <c r="I54" s="199"/>
      <c r="J54" s="199"/>
      <c r="K54" s="196"/>
      <c r="L54" s="196"/>
    </row>
    <row r="55" spans="2:12" ht="15" customHeight="1" x14ac:dyDescent="0.45">
      <c r="B55" s="25"/>
      <c r="C55" s="25"/>
      <c r="D55" s="25"/>
      <c r="E55" s="25"/>
      <c r="F55" s="25"/>
      <c r="G55" s="25"/>
      <c r="H55" s="25"/>
      <c r="I55" s="199"/>
      <c r="J55" s="199"/>
      <c r="K55" s="196"/>
      <c r="L55" s="196"/>
    </row>
    <row r="56" spans="2:12" ht="15" customHeight="1" x14ac:dyDescent="0.45">
      <c r="B56" s="25"/>
      <c r="C56" s="25"/>
      <c r="D56" s="25"/>
      <c r="E56" s="25"/>
      <c r="F56" s="25"/>
      <c r="G56" s="25"/>
      <c r="H56" s="25"/>
      <c r="I56" s="199"/>
      <c r="J56" s="199"/>
      <c r="K56" s="196"/>
      <c r="L56" s="196"/>
    </row>
    <row r="57" spans="2:12" ht="15" customHeight="1" x14ac:dyDescent="0.45">
      <c r="B57" s="25"/>
      <c r="C57" s="25"/>
      <c r="D57" s="25"/>
      <c r="E57" s="25"/>
      <c r="F57" s="25"/>
      <c r="G57" s="25"/>
      <c r="H57" s="25"/>
      <c r="I57" s="199"/>
      <c r="J57" s="199"/>
      <c r="K57" s="196"/>
      <c r="L57" s="196"/>
    </row>
    <row r="58" spans="2:12" ht="15" customHeight="1" x14ac:dyDescent="0.45">
      <c r="B58" s="25"/>
      <c r="C58" s="25"/>
      <c r="D58" s="25"/>
      <c r="E58" s="25"/>
      <c r="F58" s="25"/>
      <c r="G58" s="25"/>
      <c r="H58" s="25"/>
      <c r="I58" s="199"/>
      <c r="J58" s="199"/>
      <c r="K58" s="196"/>
      <c r="L58" s="196"/>
    </row>
    <row r="59" spans="2:12" ht="15" customHeight="1" x14ac:dyDescent="0.45">
      <c r="B59" s="25"/>
      <c r="C59" s="25"/>
      <c r="D59" s="25"/>
      <c r="E59" s="25"/>
      <c r="F59" s="25"/>
      <c r="G59" s="25"/>
      <c r="H59" s="25"/>
      <c r="I59" s="199"/>
      <c r="J59" s="199"/>
      <c r="K59" s="196"/>
      <c r="L59" s="196"/>
    </row>
    <row r="60" spans="2:12" ht="15" customHeight="1" x14ac:dyDescent="0.45">
      <c r="B60" s="25"/>
      <c r="C60" s="25"/>
      <c r="D60" s="25"/>
      <c r="E60" s="25"/>
      <c r="F60" s="25"/>
      <c r="G60" s="25"/>
      <c r="H60" s="25"/>
      <c r="I60" s="199"/>
      <c r="J60" s="199"/>
      <c r="K60" s="196"/>
      <c r="L60" s="196"/>
    </row>
    <row r="61" spans="2:12" ht="15" customHeight="1" x14ac:dyDescent="0.45">
      <c r="B61" s="25"/>
      <c r="C61" s="25"/>
      <c r="D61" s="25"/>
      <c r="E61" s="25"/>
      <c r="F61" s="25"/>
      <c r="G61" s="25"/>
      <c r="H61" s="25"/>
      <c r="I61" s="199"/>
      <c r="J61" s="199"/>
      <c r="K61" s="196"/>
      <c r="L61" s="196"/>
    </row>
    <row r="62" spans="2:12" ht="15" customHeight="1" x14ac:dyDescent="0.45">
      <c r="B62" s="25"/>
      <c r="C62" s="25"/>
      <c r="D62" s="25"/>
      <c r="E62" s="25"/>
      <c r="F62" s="25"/>
      <c r="G62" s="25"/>
      <c r="H62" s="25"/>
      <c r="I62" s="199"/>
      <c r="J62" s="199"/>
      <c r="K62" s="196"/>
      <c r="L62" s="196"/>
    </row>
  </sheetData>
  <mergeCells count="1">
    <mergeCell ref="F12:H12"/>
  </mergeCells>
  <dataValidations count="2">
    <dataValidation type="list" allowBlank="1" showInputMessage="1" showErrorMessage="1" sqref="D15">
      <formula1>$C$21:$H$21</formula1>
    </dataValidation>
    <dataValidation type="list" allowBlank="1" showInputMessage="1" showErrorMessage="1" sqref="D4:D6">
      <formula1>$D$11:$I$11</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76"/>
  <sheetViews>
    <sheetView rightToLeft="1" topLeftCell="A22" zoomScale="70" zoomScaleNormal="70" workbookViewId="0">
      <selection activeCell="G28" sqref="G28"/>
    </sheetView>
  </sheetViews>
  <sheetFormatPr defaultColWidth="8.85546875" defaultRowHeight="15" x14ac:dyDescent="0.25"/>
  <cols>
    <col min="1" max="1" width="97.28515625" style="6" customWidth="1"/>
    <col min="2" max="2" width="5.7109375" style="6" customWidth="1"/>
    <col min="3" max="3" width="9.85546875" style="6" customWidth="1"/>
    <col min="4" max="4" width="17.7109375" style="6" customWidth="1"/>
    <col min="5" max="8" width="12.7109375" style="6" customWidth="1"/>
    <col min="9" max="9" width="10.28515625" style="194" customWidth="1"/>
    <col min="10" max="10" width="8.85546875" style="194"/>
    <col min="11" max="11" width="8.85546875" style="194" customWidth="1"/>
    <col min="12" max="13" width="8.85546875" style="194"/>
    <col min="14" max="16384" width="8.85546875" style="6"/>
  </cols>
  <sheetData>
    <row r="1" spans="1:12" ht="45" customHeight="1" x14ac:dyDescent="0.25">
      <c r="A1" s="170"/>
      <c r="B1" s="170"/>
      <c r="C1" s="170"/>
      <c r="D1" s="170"/>
      <c r="E1" s="170"/>
      <c r="F1" s="170"/>
      <c r="G1" s="170"/>
      <c r="H1" s="170"/>
    </row>
    <row r="2" spans="1:12" ht="38.450000000000003" customHeight="1" x14ac:dyDescent="0.5">
      <c r="A2" s="171"/>
      <c r="B2" s="34"/>
      <c r="C2" s="34"/>
      <c r="D2" s="34"/>
      <c r="E2" s="34"/>
      <c r="F2" s="170"/>
      <c r="G2" s="170"/>
      <c r="H2" s="170"/>
    </row>
    <row r="3" spans="1:12" ht="28.5" customHeight="1" thickBot="1" x14ac:dyDescent="0.65">
      <c r="A3" s="170"/>
      <c r="B3" s="36"/>
      <c r="C3" s="36"/>
      <c r="D3" s="36"/>
      <c r="E3" s="36"/>
      <c r="F3" s="36"/>
      <c r="G3" s="36"/>
      <c r="H3" s="36"/>
      <c r="I3" s="238"/>
      <c r="J3" s="238"/>
      <c r="K3" s="234"/>
      <c r="L3" s="234"/>
    </row>
    <row r="4" spans="1:12" ht="19.149999999999999" customHeight="1" thickBot="1" x14ac:dyDescent="0.3">
      <c r="A4" s="172"/>
      <c r="B4" s="97" t="s">
        <v>38</v>
      </c>
      <c r="C4" s="98" t="s">
        <v>34</v>
      </c>
      <c r="D4" s="98" t="s">
        <v>36</v>
      </c>
      <c r="E4" s="98" t="s">
        <v>35</v>
      </c>
      <c r="F4" s="98" t="s">
        <v>39</v>
      </c>
      <c r="G4" s="98" t="s">
        <v>333</v>
      </c>
      <c r="H4" s="258" t="s">
        <v>334</v>
      </c>
    </row>
    <row r="5" spans="1:12" ht="19.149999999999999" customHeight="1" x14ac:dyDescent="0.25">
      <c r="A5" s="170"/>
      <c r="B5" s="48">
        <v>1</v>
      </c>
      <c r="C5" s="46" t="s">
        <v>836</v>
      </c>
      <c r="D5" s="46" t="s">
        <v>837</v>
      </c>
      <c r="E5" s="46" t="s">
        <v>838</v>
      </c>
      <c r="F5" s="46">
        <v>48</v>
      </c>
      <c r="G5" s="46">
        <v>1</v>
      </c>
      <c r="H5" s="46">
        <f>G5*F5</f>
        <v>48</v>
      </c>
      <c r="I5" s="259"/>
      <c r="J5" s="99"/>
    </row>
    <row r="6" spans="1:12" s="7" customFormat="1" ht="19.149999999999999" customHeight="1" x14ac:dyDescent="0.25">
      <c r="A6" s="173"/>
      <c r="B6" s="48">
        <v>2</v>
      </c>
      <c r="C6" s="46" t="s">
        <v>836</v>
      </c>
      <c r="D6" s="46" t="s">
        <v>837</v>
      </c>
      <c r="E6" s="46" t="s">
        <v>839</v>
      </c>
      <c r="F6" s="46">
        <v>36</v>
      </c>
      <c r="G6" s="46">
        <v>1</v>
      </c>
      <c r="H6" s="46">
        <f>G6*F6</f>
        <v>36</v>
      </c>
      <c r="I6" s="259"/>
      <c r="J6" s="99"/>
    </row>
    <row r="7" spans="1:12" s="7" customFormat="1" ht="19.149999999999999" customHeight="1" x14ac:dyDescent="0.25">
      <c r="A7" s="173"/>
      <c r="B7" s="48">
        <v>3</v>
      </c>
      <c r="C7" s="46" t="s">
        <v>836</v>
      </c>
      <c r="D7" s="46" t="s">
        <v>837</v>
      </c>
      <c r="E7" s="46" t="s">
        <v>840</v>
      </c>
      <c r="F7" s="46">
        <v>104</v>
      </c>
      <c r="G7" s="46">
        <v>1</v>
      </c>
      <c r="H7" s="46">
        <f t="shared" ref="H7" si="0">G7*F7</f>
        <v>104</v>
      </c>
      <c r="I7" s="259"/>
      <c r="J7" s="99"/>
    </row>
    <row r="8" spans="1:12" s="7" customFormat="1" ht="19.149999999999999" customHeight="1" x14ac:dyDescent="0.25">
      <c r="A8" s="173"/>
      <c r="B8" s="48">
        <v>4</v>
      </c>
      <c r="C8" s="46"/>
      <c r="D8" s="46"/>
      <c r="E8" s="46" t="s">
        <v>841</v>
      </c>
      <c r="F8" s="46">
        <v>8</v>
      </c>
      <c r="G8" s="46">
        <v>6</v>
      </c>
      <c r="H8" s="46">
        <f t="shared" ref="H8:H10" si="1">G8*F8</f>
        <v>48</v>
      </c>
      <c r="I8" s="259"/>
      <c r="J8" s="99"/>
    </row>
    <row r="9" spans="1:12" s="7" customFormat="1" ht="19.149999999999999" customHeight="1" x14ac:dyDescent="0.25">
      <c r="A9" s="173"/>
      <c r="B9" s="48">
        <v>5</v>
      </c>
      <c r="C9" s="46"/>
      <c r="D9" s="46"/>
      <c r="E9" s="46" t="s">
        <v>842</v>
      </c>
      <c r="F9" s="46">
        <v>15</v>
      </c>
      <c r="G9" s="46">
        <v>5</v>
      </c>
      <c r="H9" s="46">
        <f t="shared" si="1"/>
        <v>75</v>
      </c>
      <c r="I9" s="259"/>
      <c r="J9" s="99"/>
    </row>
    <row r="10" spans="1:12" s="7" customFormat="1" ht="19.149999999999999" customHeight="1" x14ac:dyDescent="0.25">
      <c r="A10" s="173"/>
      <c r="B10" s="48">
        <v>6</v>
      </c>
      <c r="C10" s="46" t="s">
        <v>843</v>
      </c>
      <c r="D10" s="46" t="s">
        <v>844</v>
      </c>
      <c r="E10" s="46" t="s">
        <v>845</v>
      </c>
      <c r="F10" s="46">
        <v>8</v>
      </c>
      <c r="G10" s="46">
        <v>1</v>
      </c>
      <c r="H10" s="46">
        <f t="shared" si="1"/>
        <v>8</v>
      </c>
      <c r="I10" s="259"/>
      <c r="J10" s="99"/>
    </row>
    <row r="11" spans="1:12" s="7" customFormat="1" ht="19.149999999999999" customHeight="1" x14ac:dyDescent="0.25">
      <c r="A11" s="174"/>
      <c r="B11" s="48">
        <v>8</v>
      </c>
      <c r="C11" s="46" t="s">
        <v>846</v>
      </c>
      <c r="D11" s="46" t="s">
        <v>847</v>
      </c>
      <c r="E11" s="46" t="s">
        <v>848</v>
      </c>
      <c r="F11" s="46">
        <v>8</v>
      </c>
      <c r="G11" s="46">
        <v>1</v>
      </c>
      <c r="H11" s="46">
        <v>8</v>
      </c>
      <c r="I11" s="259"/>
      <c r="J11" s="99"/>
    </row>
    <row r="12" spans="1:12" s="7" customFormat="1" ht="19.149999999999999" customHeight="1" x14ac:dyDescent="0.25">
      <c r="A12" s="174"/>
      <c r="B12" s="48">
        <v>9</v>
      </c>
      <c r="C12" s="46" t="s">
        <v>849</v>
      </c>
      <c r="D12" s="46" t="s">
        <v>850</v>
      </c>
      <c r="E12" s="46" t="s">
        <v>851</v>
      </c>
      <c r="F12" s="46">
        <v>30</v>
      </c>
      <c r="G12" s="46">
        <v>1</v>
      </c>
      <c r="H12" s="46">
        <v>30</v>
      </c>
      <c r="I12" s="259"/>
      <c r="J12" s="99"/>
    </row>
    <row r="13" spans="1:12" s="7" customFormat="1" ht="19.149999999999999" customHeight="1" x14ac:dyDescent="0.25">
      <c r="A13" s="174"/>
      <c r="B13" s="48">
        <v>10</v>
      </c>
      <c r="C13" s="46" t="s">
        <v>849</v>
      </c>
      <c r="D13" s="46" t="s">
        <v>850</v>
      </c>
      <c r="E13" s="46" t="s">
        <v>852</v>
      </c>
      <c r="F13" s="46">
        <v>8</v>
      </c>
      <c r="G13" s="46">
        <v>1</v>
      </c>
      <c r="H13" s="46">
        <v>8</v>
      </c>
      <c r="I13" s="259"/>
      <c r="J13" s="99"/>
    </row>
    <row r="14" spans="1:12" s="7" customFormat="1" ht="19.149999999999999" customHeight="1" x14ac:dyDescent="0.25">
      <c r="A14" s="174"/>
      <c r="B14" s="48">
        <v>12</v>
      </c>
      <c r="C14" s="46" t="s">
        <v>853</v>
      </c>
      <c r="D14" s="46" t="s">
        <v>854</v>
      </c>
      <c r="E14" s="46" t="s">
        <v>855</v>
      </c>
      <c r="F14" s="46">
        <v>120</v>
      </c>
      <c r="G14" s="46">
        <v>1</v>
      </c>
      <c r="H14" s="49">
        <f t="shared" ref="H14:H23" si="2">G14*F14</f>
        <v>120</v>
      </c>
      <c r="I14" s="259"/>
      <c r="J14" s="99"/>
    </row>
    <row r="15" spans="1:12" s="7" customFormat="1" ht="19.149999999999999" customHeight="1" x14ac:dyDescent="0.25">
      <c r="A15" s="174"/>
      <c r="B15" s="48">
        <v>13</v>
      </c>
      <c r="C15" s="46" t="s">
        <v>856</v>
      </c>
      <c r="D15" s="46" t="s">
        <v>857</v>
      </c>
      <c r="E15" s="46" t="s">
        <v>858</v>
      </c>
      <c r="F15" s="46">
        <v>16</v>
      </c>
      <c r="G15" s="46">
        <v>1</v>
      </c>
      <c r="H15" s="49">
        <f t="shared" si="2"/>
        <v>16</v>
      </c>
      <c r="I15" s="259"/>
      <c r="J15" s="99"/>
    </row>
    <row r="16" spans="1:12" s="7" customFormat="1" ht="34.5" customHeight="1" x14ac:dyDescent="0.25">
      <c r="A16" s="174"/>
      <c r="B16" s="102">
        <v>14</v>
      </c>
      <c r="C16" s="46"/>
      <c r="D16" s="86"/>
      <c r="E16" s="86" t="s">
        <v>859</v>
      </c>
      <c r="F16" s="46">
        <v>24</v>
      </c>
      <c r="G16" s="46">
        <v>9</v>
      </c>
      <c r="H16" s="49">
        <f t="shared" si="2"/>
        <v>216</v>
      </c>
      <c r="I16" s="259"/>
      <c r="J16" s="99"/>
    </row>
    <row r="17" spans="1:13" s="7" customFormat="1" ht="36" x14ac:dyDescent="0.25">
      <c r="A17" s="174"/>
      <c r="B17" s="102">
        <v>15</v>
      </c>
      <c r="C17" s="46"/>
      <c r="D17" s="86"/>
      <c r="E17" s="86" t="s">
        <v>860</v>
      </c>
      <c r="F17" s="46">
        <v>80</v>
      </c>
      <c r="G17" s="46">
        <v>30</v>
      </c>
      <c r="H17" s="49">
        <f t="shared" si="2"/>
        <v>2400</v>
      </c>
      <c r="I17" s="259"/>
      <c r="J17" s="99"/>
    </row>
    <row r="18" spans="1:13" s="7" customFormat="1" ht="39.75" customHeight="1" x14ac:dyDescent="0.25">
      <c r="A18" s="174"/>
      <c r="B18" s="102">
        <v>16</v>
      </c>
      <c r="C18" s="46"/>
      <c r="D18" s="86"/>
      <c r="E18" s="86" t="s">
        <v>861</v>
      </c>
      <c r="F18" s="46">
        <v>20</v>
      </c>
      <c r="G18" s="46">
        <v>30</v>
      </c>
      <c r="H18" s="49">
        <f t="shared" si="2"/>
        <v>600</v>
      </c>
      <c r="I18" s="259"/>
      <c r="J18" s="99"/>
    </row>
    <row r="19" spans="1:13" s="7" customFormat="1" ht="36" x14ac:dyDescent="0.25">
      <c r="A19" s="174"/>
      <c r="B19" s="102">
        <v>17</v>
      </c>
      <c r="C19" s="46"/>
      <c r="D19" s="86"/>
      <c r="E19" s="86" t="s">
        <v>862</v>
      </c>
      <c r="F19" s="46">
        <v>24</v>
      </c>
      <c r="G19" s="46">
        <v>9</v>
      </c>
      <c r="H19" s="49">
        <f t="shared" si="2"/>
        <v>216</v>
      </c>
      <c r="I19" s="259"/>
      <c r="J19" s="99"/>
    </row>
    <row r="20" spans="1:13" s="7" customFormat="1" ht="36" x14ac:dyDescent="0.25">
      <c r="A20" s="174"/>
      <c r="B20" s="102">
        <v>18</v>
      </c>
      <c r="C20" s="46"/>
      <c r="D20" s="86"/>
      <c r="E20" s="86" t="s">
        <v>863</v>
      </c>
      <c r="F20" s="46">
        <v>24</v>
      </c>
      <c r="G20" s="46">
        <v>3</v>
      </c>
      <c r="H20" s="49">
        <f t="shared" si="2"/>
        <v>72</v>
      </c>
      <c r="I20" s="259"/>
      <c r="J20" s="99"/>
    </row>
    <row r="21" spans="1:13" s="7" customFormat="1" ht="18.75" customHeight="1" x14ac:dyDescent="0.25">
      <c r="A21" s="174"/>
      <c r="B21" s="102">
        <v>19</v>
      </c>
      <c r="C21" s="46"/>
      <c r="D21" s="86"/>
      <c r="E21" s="86" t="s">
        <v>864</v>
      </c>
      <c r="F21" s="46">
        <v>24</v>
      </c>
      <c r="G21" s="46">
        <v>2</v>
      </c>
      <c r="H21" s="49">
        <f t="shared" si="2"/>
        <v>48</v>
      </c>
      <c r="I21" s="259"/>
      <c r="J21" s="99"/>
    </row>
    <row r="22" spans="1:13" s="7" customFormat="1" ht="18.75" customHeight="1" x14ac:dyDescent="0.25">
      <c r="A22" s="173"/>
      <c r="B22" s="102">
        <v>20</v>
      </c>
      <c r="C22" s="46"/>
      <c r="D22" s="86"/>
      <c r="E22" s="86" t="s">
        <v>865</v>
      </c>
      <c r="F22" s="46">
        <v>24</v>
      </c>
      <c r="G22" s="46">
        <v>2</v>
      </c>
      <c r="H22" s="49">
        <f t="shared" si="2"/>
        <v>48</v>
      </c>
      <c r="I22" s="259"/>
      <c r="J22" s="99"/>
    </row>
    <row r="23" spans="1:13" s="7" customFormat="1" ht="43.5" customHeight="1" thickBot="1" x14ac:dyDescent="0.3">
      <c r="A23" s="173"/>
      <c r="B23" s="102">
        <v>21</v>
      </c>
      <c r="C23" s="46" t="s">
        <v>866</v>
      </c>
      <c r="D23" s="86" t="s">
        <v>867</v>
      </c>
      <c r="E23" s="86" t="s">
        <v>868</v>
      </c>
      <c r="F23" s="46">
        <v>24</v>
      </c>
      <c r="G23" s="46">
        <v>1</v>
      </c>
      <c r="H23" s="49">
        <f t="shared" si="2"/>
        <v>24</v>
      </c>
      <c r="I23" s="1137"/>
      <c r="J23" s="1138"/>
    </row>
    <row r="24" spans="1:13" s="7" customFormat="1" ht="43.5" customHeight="1" thickBot="1" x14ac:dyDescent="0.5">
      <c r="A24" s="173"/>
      <c r="B24" s="183"/>
      <c r="C24" s="52"/>
      <c r="D24" s="97" t="s">
        <v>335</v>
      </c>
      <c r="E24" s="98" t="s">
        <v>37</v>
      </c>
      <c r="F24" s="55" t="s">
        <v>336</v>
      </c>
      <c r="G24" s="40" t="s">
        <v>47</v>
      </c>
      <c r="H24" s="39" t="s">
        <v>337</v>
      </c>
      <c r="J24" s="239"/>
      <c r="K24" s="235"/>
      <c r="L24" s="235"/>
      <c r="M24" s="236"/>
    </row>
    <row r="25" spans="1:13" s="7" customFormat="1" ht="19.149999999999999" customHeight="1" thickBot="1" x14ac:dyDescent="0.5">
      <c r="A25" s="173"/>
      <c r="B25" s="183"/>
      <c r="C25" s="263"/>
      <c r="D25" s="259">
        <v>0.4</v>
      </c>
      <c r="E25" s="99">
        <v>0.5</v>
      </c>
      <c r="F25" s="252" t="s">
        <v>400</v>
      </c>
      <c r="G25" s="202">
        <f>'17.تعداد'!D6</f>
        <v>154</v>
      </c>
      <c r="H25" s="203">
        <v>10</v>
      </c>
      <c r="J25" s="239"/>
      <c r="K25" s="235"/>
      <c r="L25" s="235"/>
      <c r="M25" s="236"/>
    </row>
    <row r="26" spans="1:13" s="7" customFormat="1" ht="19.149999999999999" customHeight="1" x14ac:dyDescent="0.45">
      <c r="A26" s="173"/>
      <c r="B26" s="183"/>
      <c r="C26" s="263"/>
      <c r="D26" s="259">
        <v>0.4</v>
      </c>
      <c r="E26" s="99">
        <v>0.5</v>
      </c>
      <c r="F26" s="260" t="s">
        <v>15</v>
      </c>
      <c r="G26" s="186">
        <f>SUMPRODUCT(H5:H23,(D25:D43+E25:E43)/2)/(H25*G25)</f>
        <v>1.8698376623376625</v>
      </c>
      <c r="H26" s="187"/>
      <c r="J26" s="239"/>
      <c r="K26" s="235"/>
      <c r="L26" s="235"/>
      <c r="M26" s="236"/>
    </row>
    <row r="27" spans="1:13" s="7" customFormat="1" ht="19.149999999999999" customHeight="1" x14ac:dyDescent="0.45">
      <c r="A27" s="173"/>
      <c r="B27" s="183"/>
      <c r="C27" s="263"/>
      <c r="D27" s="259">
        <v>1</v>
      </c>
      <c r="E27" s="99">
        <v>0.65</v>
      </c>
      <c r="F27" s="261"/>
      <c r="G27" s="188"/>
      <c r="H27" s="189"/>
      <c r="J27" s="239"/>
      <c r="K27" s="235"/>
      <c r="L27" s="235"/>
      <c r="M27" s="236"/>
    </row>
    <row r="28" spans="1:13" s="7" customFormat="1" ht="19.149999999999999" customHeight="1" x14ac:dyDescent="0.6">
      <c r="A28" s="173"/>
      <c r="B28" s="183"/>
      <c r="C28" s="36"/>
      <c r="D28" s="259">
        <v>0.7</v>
      </c>
      <c r="E28" s="99">
        <v>0.2</v>
      </c>
      <c r="F28" s="261" t="s">
        <v>53</v>
      </c>
      <c r="G28" s="188">
        <f>MIN(1,(G26)*1)</f>
        <v>1</v>
      </c>
      <c r="H28" s="189"/>
      <c r="J28" s="239"/>
      <c r="K28" s="235"/>
      <c r="L28" s="235"/>
      <c r="M28" s="236"/>
    </row>
    <row r="29" spans="1:13" s="7" customFormat="1" ht="19.149999999999999" customHeight="1" thickBot="1" x14ac:dyDescent="0.5">
      <c r="A29" s="173"/>
      <c r="B29" s="183"/>
      <c r="C29" s="183"/>
      <c r="D29" s="259">
        <v>0.5</v>
      </c>
      <c r="E29" s="99">
        <v>0.3</v>
      </c>
      <c r="F29" s="262"/>
      <c r="G29" s="190"/>
      <c r="H29" s="191"/>
      <c r="J29" s="239"/>
      <c r="K29" s="235"/>
      <c r="L29" s="235"/>
      <c r="M29" s="236"/>
    </row>
    <row r="30" spans="1:13" s="7" customFormat="1" ht="19.149999999999999" customHeight="1" x14ac:dyDescent="0.45">
      <c r="A30" s="173"/>
      <c r="B30" s="183"/>
      <c r="C30" s="183"/>
      <c r="D30" s="259">
        <v>1</v>
      </c>
      <c r="E30" s="99">
        <v>0.3</v>
      </c>
      <c r="F30" s="183"/>
      <c r="G30" s="183"/>
      <c r="H30" s="183"/>
      <c r="I30" s="239"/>
      <c r="J30" s="239"/>
      <c r="K30" s="235"/>
      <c r="L30" s="235"/>
      <c r="M30" s="236"/>
    </row>
    <row r="31" spans="1:13" s="7" customFormat="1" ht="19.149999999999999" customHeight="1" x14ac:dyDescent="0.45">
      <c r="A31" s="173"/>
      <c r="B31" s="183"/>
      <c r="C31" s="183"/>
      <c r="D31" s="259">
        <v>0.4</v>
      </c>
      <c r="E31" s="99">
        <v>0.3</v>
      </c>
      <c r="F31" s="183"/>
      <c r="G31" s="183"/>
      <c r="H31" s="183"/>
      <c r="I31" s="239"/>
      <c r="J31" s="239"/>
      <c r="K31" s="235"/>
      <c r="L31" s="235"/>
      <c r="M31" s="236"/>
    </row>
    <row r="32" spans="1:13" s="7" customFormat="1" ht="19.149999999999999" customHeight="1" x14ac:dyDescent="0.45">
      <c r="A32" s="173"/>
      <c r="B32" s="183"/>
      <c r="C32" s="183"/>
      <c r="D32" s="259">
        <v>0.95</v>
      </c>
      <c r="E32" s="99">
        <v>0.3</v>
      </c>
      <c r="F32" s="183"/>
      <c r="G32" s="183"/>
      <c r="H32" s="183"/>
      <c r="I32" s="239"/>
      <c r="J32" s="239"/>
      <c r="K32" s="235"/>
      <c r="L32" s="235"/>
      <c r="M32" s="236"/>
    </row>
    <row r="33" spans="1:13" s="7" customFormat="1" ht="15" customHeight="1" x14ac:dyDescent="0.25">
      <c r="A33" s="173"/>
      <c r="B33" s="173"/>
      <c r="C33" s="33"/>
      <c r="D33" s="259">
        <v>0.95</v>
      </c>
      <c r="E33" s="99">
        <v>0.3</v>
      </c>
      <c r="F33" s="33"/>
      <c r="G33" s="33"/>
      <c r="H33" s="33"/>
      <c r="I33" s="22"/>
      <c r="J33" s="236"/>
      <c r="K33" s="236"/>
      <c r="L33" s="236"/>
      <c r="M33" s="236"/>
    </row>
    <row r="34" spans="1:13" s="7" customFormat="1" ht="15" customHeight="1" x14ac:dyDescent="0.45">
      <c r="A34" s="173"/>
      <c r="B34" s="173"/>
      <c r="C34" s="256"/>
      <c r="D34" s="259">
        <v>0.85</v>
      </c>
      <c r="E34" s="99">
        <v>0.65</v>
      </c>
      <c r="F34" s="256"/>
      <c r="G34" s="256"/>
      <c r="H34" s="256"/>
      <c r="I34" s="22"/>
      <c r="J34" s="236"/>
      <c r="K34" s="236"/>
      <c r="L34" s="236"/>
      <c r="M34" s="236"/>
    </row>
    <row r="35" spans="1:13" s="7" customFormat="1" ht="21" customHeight="1" x14ac:dyDescent="0.25">
      <c r="A35" s="173"/>
      <c r="B35" s="173"/>
      <c r="C35" s="175"/>
      <c r="D35" s="259">
        <v>0.8</v>
      </c>
      <c r="E35" s="99">
        <v>0.65</v>
      </c>
      <c r="F35" s="175"/>
      <c r="G35" s="175"/>
      <c r="H35" s="175"/>
      <c r="I35" s="22"/>
      <c r="J35" s="236"/>
      <c r="K35" s="236"/>
      <c r="L35" s="236"/>
      <c r="M35" s="236"/>
    </row>
    <row r="36" spans="1:13" s="7" customFormat="1" ht="19.149999999999999" customHeight="1" x14ac:dyDescent="0.45">
      <c r="A36" s="173"/>
      <c r="B36" s="173"/>
      <c r="C36" s="176"/>
      <c r="D36" s="259">
        <v>0.8</v>
      </c>
      <c r="E36" s="99">
        <v>0.65</v>
      </c>
      <c r="F36" s="176"/>
      <c r="G36" s="176"/>
      <c r="H36" s="176"/>
      <c r="I36" s="22"/>
      <c r="J36" s="236"/>
      <c r="K36" s="236"/>
      <c r="L36" s="236"/>
      <c r="M36" s="236"/>
    </row>
    <row r="37" spans="1:13" s="7" customFormat="1" ht="21" customHeight="1" x14ac:dyDescent="0.25">
      <c r="A37" s="173"/>
      <c r="B37" s="173"/>
      <c r="C37" s="33"/>
      <c r="D37" s="259">
        <v>0.75</v>
      </c>
      <c r="E37" s="99">
        <v>0.65</v>
      </c>
      <c r="F37" s="33"/>
      <c r="G37" s="33"/>
      <c r="H37" s="33"/>
      <c r="I37" s="22"/>
      <c r="J37" s="236"/>
      <c r="K37" s="236"/>
      <c r="L37" s="236"/>
      <c r="M37" s="236"/>
    </row>
    <row r="38" spans="1:13" ht="15" customHeight="1" x14ac:dyDescent="0.25">
      <c r="A38" s="170"/>
      <c r="B38" s="177"/>
      <c r="C38" s="177"/>
      <c r="D38" s="259">
        <v>0.8</v>
      </c>
      <c r="E38" s="99">
        <v>0.65</v>
      </c>
      <c r="F38" s="170"/>
      <c r="G38" s="170"/>
      <c r="H38" s="170"/>
    </row>
    <row r="39" spans="1:13" ht="15" customHeight="1" x14ac:dyDescent="0.25">
      <c r="A39" s="170"/>
      <c r="B39" s="177"/>
      <c r="C39" s="177"/>
      <c r="D39" s="259">
        <v>0.8</v>
      </c>
      <c r="E39" s="99">
        <v>0.65</v>
      </c>
      <c r="F39" s="170"/>
      <c r="G39" s="170"/>
      <c r="H39" s="170"/>
    </row>
    <row r="40" spans="1:13" ht="15" customHeight="1" x14ac:dyDescent="0.25">
      <c r="A40" s="170"/>
      <c r="B40" s="177"/>
      <c r="C40" s="177"/>
      <c r="D40" s="259">
        <v>0.8</v>
      </c>
      <c r="E40" s="99">
        <v>0.65</v>
      </c>
      <c r="F40" s="170"/>
      <c r="G40" s="170"/>
      <c r="H40" s="170"/>
    </row>
    <row r="41" spans="1:13" ht="15" customHeight="1" x14ac:dyDescent="0.25">
      <c r="A41" s="170"/>
      <c r="B41" s="177"/>
      <c r="C41" s="177"/>
      <c r="D41" s="259">
        <v>0.85</v>
      </c>
      <c r="E41" s="99">
        <v>0.65</v>
      </c>
      <c r="F41" s="170"/>
      <c r="G41" s="170"/>
      <c r="H41" s="170"/>
    </row>
    <row r="42" spans="1:13" ht="15" customHeight="1" x14ac:dyDescent="0.25">
      <c r="A42" s="170"/>
      <c r="B42" s="177"/>
      <c r="C42" s="177"/>
      <c r="D42" s="259">
        <v>0.8</v>
      </c>
      <c r="E42" s="99">
        <v>0.65</v>
      </c>
      <c r="F42" s="170"/>
      <c r="G42" s="170"/>
      <c r="H42" s="170"/>
    </row>
    <row r="43" spans="1:13" ht="15" customHeight="1" x14ac:dyDescent="0.25">
      <c r="A43" s="170"/>
      <c r="B43" s="177"/>
      <c r="C43" s="177"/>
      <c r="D43" s="1137">
        <v>1</v>
      </c>
      <c r="E43" s="1138">
        <v>0.65</v>
      </c>
      <c r="F43" s="170"/>
      <c r="G43" s="170"/>
      <c r="H43" s="170"/>
    </row>
    <row r="44" spans="1:13" x14ac:dyDescent="0.25">
      <c r="A44" s="170"/>
      <c r="B44" s="170"/>
      <c r="C44" s="170"/>
      <c r="D44" s="170"/>
      <c r="E44" s="170"/>
      <c r="F44" s="170"/>
      <c r="G44" s="170"/>
      <c r="H44" s="170"/>
    </row>
    <row r="45" spans="1:13" x14ac:dyDescent="0.25">
      <c r="A45" s="170"/>
      <c r="B45" s="170"/>
      <c r="C45" s="170"/>
      <c r="D45" s="170"/>
      <c r="E45" s="170"/>
      <c r="F45" s="170"/>
      <c r="G45" s="170"/>
      <c r="H45" s="170"/>
    </row>
    <row r="46" spans="1:13" ht="19.5" x14ac:dyDescent="0.25">
      <c r="A46" s="170"/>
      <c r="B46" s="170"/>
      <c r="C46" s="178"/>
      <c r="D46" s="257"/>
      <c r="E46" s="257"/>
      <c r="F46" s="257"/>
      <c r="G46" s="257"/>
      <c r="H46" s="257"/>
    </row>
    <row r="47" spans="1:13" ht="19.5" x14ac:dyDescent="0.25">
      <c r="A47" s="170"/>
      <c r="B47" s="170"/>
      <c r="C47" s="178"/>
      <c r="D47" s="257"/>
      <c r="E47" s="257"/>
      <c r="F47" s="257"/>
      <c r="G47" s="257"/>
      <c r="H47" s="257"/>
    </row>
    <row r="48" spans="1:13" x14ac:dyDescent="0.25">
      <c r="A48" s="170"/>
      <c r="B48" s="170"/>
      <c r="C48" s="170"/>
      <c r="D48" s="170"/>
      <c r="E48" s="170"/>
      <c r="F48" s="170"/>
      <c r="G48" s="170"/>
      <c r="H48" s="170"/>
    </row>
    <row r="49" spans="1:12" x14ac:dyDescent="0.25">
      <c r="A49" s="170"/>
      <c r="B49" s="170"/>
      <c r="C49" s="170"/>
      <c r="D49" s="170"/>
      <c r="E49" s="170"/>
      <c r="F49" s="170"/>
      <c r="G49" s="170"/>
      <c r="H49" s="170"/>
    </row>
    <row r="53" spans="1:12" ht="15" customHeight="1" x14ac:dyDescent="0.25">
      <c r="C53" s="17"/>
      <c r="D53" s="237"/>
      <c r="E53" s="237"/>
      <c r="F53" s="237"/>
      <c r="G53" s="237"/>
      <c r="H53" s="237"/>
    </row>
    <row r="54" spans="1:12" ht="15" customHeight="1" x14ac:dyDescent="0.25">
      <c r="C54" s="17"/>
      <c r="D54" s="237"/>
      <c r="E54" s="237"/>
      <c r="F54" s="237"/>
      <c r="G54" s="237"/>
      <c r="H54" s="237"/>
    </row>
    <row r="57" spans="1:12" ht="15" customHeight="1" x14ac:dyDescent="0.55000000000000004">
      <c r="B57" s="105"/>
      <c r="C57" s="180"/>
      <c r="D57" s="180"/>
      <c r="E57" s="180"/>
      <c r="F57" s="180"/>
      <c r="G57" s="180"/>
      <c r="H57" s="180"/>
      <c r="I57" s="195"/>
      <c r="J57" s="180"/>
      <c r="K57" s="195"/>
      <c r="L57" s="195"/>
    </row>
    <row r="58" spans="1:12" ht="15" customHeight="1" x14ac:dyDescent="0.5">
      <c r="B58" s="24"/>
      <c r="C58" s="24"/>
      <c r="D58" s="24"/>
      <c r="E58" s="24"/>
      <c r="F58" s="24"/>
      <c r="G58" s="24"/>
      <c r="H58" s="24"/>
      <c r="I58" s="197"/>
      <c r="J58" s="197"/>
      <c r="K58" s="195"/>
      <c r="L58" s="195"/>
    </row>
    <row r="59" spans="1:12" ht="15" customHeight="1" x14ac:dyDescent="0.45">
      <c r="B59" s="25"/>
      <c r="C59" s="25"/>
      <c r="D59" s="25"/>
      <c r="E59" s="25"/>
      <c r="F59" s="25"/>
      <c r="G59" s="25"/>
      <c r="H59" s="25"/>
      <c r="I59" s="199"/>
      <c r="J59" s="199"/>
      <c r="K59" s="196"/>
      <c r="L59" s="196"/>
    </row>
    <row r="60" spans="1:12" ht="15" customHeight="1" x14ac:dyDescent="0.45">
      <c r="B60" s="25"/>
      <c r="C60" s="25"/>
      <c r="D60" s="25"/>
      <c r="E60" s="25"/>
      <c r="F60" s="25"/>
      <c r="G60" s="25"/>
      <c r="H60" s="25"/>
      <c r="I60" s="199"/>
      <c r="J60" s="199"/>
      <c r="K60" s="196"/>
      <c r="L60" s="196"/>
    </row>
    <row r="61" spans="1:12" ht="15" customHeight="1" x14ac:dyDescent="0.45">
      <c r="B61" s="25"/>
      <c r="C61" s="25"/>
      <c r="D61" s="25"/>
      <c r="E61" s="25"/>
      <c r="F61" s="25"/>
      <c r="G61" s="25"/>
      <c r="H61" s="25"/>
      <c r="I61" s="199"/>
      <c r="J61" s="199"/>
      <c r="K61" s="196"/>
      <c r="L61" s="196"/>
    </row>
    <row r="62" spans="1:12" ht="15" customHeight="1" x14ac:dyDescent="0.45">
      <c r="B62" s="25"/>
      <c r="C62" s="25"/>
      <c r="D62" s="25"/>
      <c r="E62" s="25"/>
      <c r="F62" s="25"/>
      <c r="G62" s="25"/>
      <c r="H62" s="25"/>
      <c r="I62" s="199"/>
      <c r="J62" s="199"/>
      <c r="K62" s="196"/>
      <c r="L62" s="196"/>
    </row>
    <row r="63" spans="1:12" ht="15" customHeight="1" x14ac:dyDescent="0.45">
      <c r="B63" s="25"/>
      <c r="C63" s="25"/>
      <c r="D63" s="25"/>
      <c r="E63" s="25"/>
      <c r="F63" s="25"/>
      <c r="G63" s="25"/>
      <c r="H63" s="25"/>
      <c r="I63" s="199"/>
      <c r="J63" s="199"/>
      <c r="K63" s="196"/>
      <c r="L63" s="196"/>
    </row>
    <row r="64" spans="1:12" ht="15" customHeight="1" x14ac:dyDescent="0.45">
      <c r="B64" s="25"/>
      <c r="C64" s="25"/>
      <c r="D64" s="25"/>
      <c r="E64" s="25"/>
      <c r="F64" s="25"/>
      <c r="G64" s="25"/>
      <c r="H64" s="25"/>
      <c r="I64" s="199"/>
      <c r="J64" s="199"/>
      <c r="K64" s="196"/>
      <c r="L64" s="196"/>
    </row>
    <row r="65" spans="2:12" ht="15" customHeight="1" x14ac:dyDescent="0.45">
      <c r="B65" s="25"/>
      <c r="C65" s="25"/>
      <c r="D65" s="25"/>
      <c r="E65" s="25"/>
      <c r="F65" s="25"/>
      <c r="G65" s="25"/>
      <c r="H65" s="25"/>
      <c r="I65" s="199"/>
      <c r="J65" s="199"/>
      <c r="K65" s="196"/>
      <c r="L65" s="196"/>
    </row>
    <row r="66" spans="2:12" ht="15" customHeight="1" x14ac:dyDescent="0.45">
      <c r="B66" s="25"/>
      <c r="C66" s="25"/>
      <c r="D66" s="25"/>
      <c r="E66" s="25"/>
      <c r="F66" s="25"/>
      <c r="G66" s="25"/>
      <c r="H66" s="25"/>
      <c r="I66" s="199"/>
      <c r="J66" s="199"/>
      <c r="K66" s="196"/>
      <c r="L66" s="196"/>
    </row>
    <row r="67" spans="2:12" ht="15" customHeight="1" x14ac:dyDescent="0.45">
      <c r="B67" s="25"/>
      <c r="C67" s="25"/>
      <c r="D67" s="25"/>
      <c r="E67" s="25"/>
      <c r="F67" s="25"/>
      <c r="G67" s="25"/>
      <c r="H67" s="25"/>
      <c r="I67" s="199"/>
      <c r="J67" s="199"/>
      <c r="K67" s="196"/>
      <c r="L67" s="196"/>
    </row>
    <row r="68" spans="2:12" ht="15" customHeight="1" x14ac:dyDescent="0.45">
      <c r="B68" s="25"/>
      <c r="C68" s="25"/>
      <c r="D68" s="25"/>
      <c r="E68" s="25"/>
      <c r="F68" s="25"/>
      <c r="G68" s="25"/>
      <c r="H68" s="25"/>
      <c r="I68" s="199"/>
      <c r="J68" s="199"/>
      <c r="K68" s="196"/>
      <c r="L68" s="196"/>
    </row>
    <row r="69" spans="2:12" ht="15" customHeight="1" x14ac:dyDescent="0.45">
      <c r="B69" s="25"/>
      <c r="C69" s="25"/>
      <c r="D69" s="25"/>
      <c r="E69" s="25"/>
      <c r="F69" s="25"/>
      <c r="G69" s="25"/>
      <c r="H69" s="25"/>
      <c r="I69" s="199"/>
      <c r="J69" s="199"/>
      <c r="K69" s="196"/>
      <c r="L69" s="196"/>
    </row>
    <row r="70" spans="2:12" ht="15" customHeight="1" x14ac:dyDescent="0.45">
      <c r="B70" s="25"/>
      <c r="C70" s="25"/>
      <c r="D70" s="25"/>
      <c r="E70" s="25"/>
      <c r="F70" s="25"/>
      <c r="G70" s="25"/>
      <c r="H70" s="25"/>
      <c r="I70" s="199"/>
      <c r="J70" s="199"/>
      <c r="K70" s="196"/>
      <c r="L70" s="196"/>
    </row>
    <row r="71" spans="2:12" ht="15" customHeight="1" x14ac:dyDescent="0.45">
      <c r="B71" s="25"/>
      <c r="C71" s="25"/>
      <c r="D71" s="25"/>
      <c r="E71" s="25"/>
      <c r="F71" s="25"/>
      <c r="G71" s="25"/>
      <c r="H71" s="25"/>
      <c r="I71" s="199"/>
      <c r="J71" s="199"/>
      <c r="K71" s="196"/>
      <c r="L71" s="196"/>
    </row>
    <row r="72" spans="2:12" ht="15" customHeight="1" x14ac:dyDescent="0.45">
      <c r="B72" s="25"/>
      <c r="C72" s="25"/>
      <c r="D72" s="25"/>
      <c r="E72" s="25"/>
      <c r="F72" s="25"/>
      <c r="G72" s="25"/>
      <c r="H72" s="25"/>
      <c r="I72" s="199"/>
      <c r="J72" s="199"/>
      <c r="K72" s="196"/>
      <c r="L72" s="196"/>
    </row>
    <row r="73" spans="2:12" ht="15" customHeight="1" x14ac:dyDescent="0.45">
      <c r="B73" s="25"/>
      <c r="C73" s="25"/>
      <c r="D73" s="25"/>
      <c r="E73" s="25"/>
      <c r="F73" s="25"/>
      <c r="G73" s="25"/>
      <c r="H73" s="25"/>
      <c r="I73" s="199"/>
      <c r="J73" s="199"/>
      <c r="K73" s="196"/>
      <c r="L73" s="196"/>
    </row>
    <row r="74" spans="2:12" ht="15" customHeight="1" x14ac:dyDescent="0.45">
      <c r="B74" s="25"/>
      <c r="C74" s="25"/>
      <c r="D74" s="25"/>
      <c r="E74" s="25"/>
      <c r="F74" s="25"/>
      <c r="G74" s="25"/>
      <c r="H74" s="25"/>
      <c r="I74" s="199"/>
      <c r="J74" s="199"/>
      <c r="K74" s="196"/>
      <c r="L74" s="196"/>
    </row>
    <row r="75" spans="2:12" ht="15" customHeight="1" x14ac:dyDescent="0.45">
      <c r="B75" s="25"/>
      <c r="C75" s="25"/>
      <c r="D75" s="25"/>
      <c r="E75" s="25"/>
      <c r="F75" s="25"/>
      <c r="G75" s="25"/>
      <c r="H75" s="25"/>
      <c r="I75" s="199"/>
      <c r="J75" s="199"/>
      <c r="K75" s="196"/>
      <c r="L75" s="196"/>
    </row>
    <row r="76" spans="2:12" ht="15" customHeight="1" x14ac:dyDescent="0.45">
      <c r="B76" s="25"/>
      <c r="C76" s="25"/>
      <c r="D76" s="25"/>
      <c r="E76" s="25"/>
      <c r="F76" s="25"/>
      <c r="G76" s="25"/>
      <c r="H76" s="25"/>
      <c r="I76" s="199"/>
      <c r="J76" s="199"/>
      <c r="K76" s="196"/>
      <c r="L76" s="196"/>
    </row>
  </sheetData>
  <pageMargins left="0.7" right="0.7" top="0.75" bottom="0.75" header="0.3" footer="0.3"/>
  <pageSetup orientation="portrait" r:id="rId1"/>
  <ignoredErrors>
    <ignoredError sqref="G27:G28" evalError="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92D050"/>
  </sheetPr>
  <dimension ref="A1:M60"/>
  <sheetViews>
    <sheetView rightToLeft="1" topLeftCell="A7" zoomScale="85" zoomScaleNormal="85" workbookViewId="0">
      <selection activeCell="D18" sqref="D18"/>
    </sheetView>
  </sheetViews>
  <sheetFormatPr defaultColWidth="8.85546875" defaultRowHeight="15" x14ac:dyDescent="0.25"/>
  <cols>
    <col min="1" max="1" width="97.28515625" style="6" customWidth="1"/>
    <col min="2" max="2" width="5.7109375" style="6" customWidth="1"/>
    <col min="3" max="3" width="16.28515625" style="6" customWidth="1"/>
    <col min="4" max="4" width="17.7109375" style="6" customWidth="1"/>
    <col min="5" max="5" width="12.7109375" style="6" customWidth="1"/>
    <col min="6" max="7" width="14.5703125" style="6" customWidth="1"/>
    <col min="8" max="8" width="12.7109375" style="194" customWidth="1"/>
    <col min="9" max="9" width="10.28515625" style="194" customWidth="1"/>
    <col min="10" max="10" width="8.85546875" style="194"/>
    <col min="11" max="11" width="8.85546875" style="194" customWidth="1"/>
    <col min="12" max="13" width="8.85546875" style="194"/>
    <col min="14" max="16384" width="8.85546875" style="6"/>
  </cols>
  <sheetData>
    <row r="1" spans="1:13" ht="45" customHeight="1" x14ac:dyDescent="0.25">
      <c r="A1" s="170"/>
      <c r="B1" s="170"/>
      <c r="C1" s="170"/>
      <c r="D1" s="170"/>
      <c r="E1" s="170"/>
      <c r="F1" s="170"/>
      <c r="G1" s="170"/>
    </row>
    <row r="2" spans="1:13" ht="38.450000000000003" customHeight="1" thickBot="1" x14ac:dyDescent="0.55000000000000004">
      <c r="A2" s="171"/>
      <c r="B2" s="34"/>
      <c r="C2" s="34"/>
      <c r="D2" s="34"/>
      <c r="E2" s="34"/>
      <c r="F2" s="170"/>
      <c r="G2" s="170"/>
    </row>
    <row r="3" spans="1:13" ht="28.5" customHeight="1" thickBot="1" x14ac:dyDescent="0.65">
      <c r="A3" s="170"/>
      <c r="B3" s="36"/>
      <c r="C3" s="1574" t="s">
        <v>338</v>
      </c>
      <c r="D3" s="1575"/>
      <c r="E3" s="1575"/>
      <c r="F3" s="1575"/>
      <c r="G3" s="1576"/>
      <c r="H3" s="238"/>
      <c r="I3" s="238"/>
      <c r="J3" s="238"/>
      <c r="K3" s="234"/>
      <c r="L3" s="234"/>
    </row>
    <row r="4" spans="1:13" ht="33.6" customHeight="1" thickBot="1" x14ac:dyDescent="0.3">
      <c r="A4" s="172"/>
      <c r="B4" s="268"/>
      <c r="C4" s="698" t="s">
        <v>38</v>
      </c>
      <c r="D4" s="699" t="s">
        <v>339</v>
      </c>
      <c r="E4" s="699" t="s">
        <v>340</v>
      </c>
      <c r="F4" s="699" t="s">
        <v>341</v>
      </c>
      <c r="G4" s="700" t="s">
        <v>342</v>
      </c>
      <c r="H4" s="266"/>
    </row>
    <row r="5" spans="1:13" ht="19.149999999999999" customHeight="1" x14ac:dyDescent="0.45">
      <c r="A5" s="170"/>
      <c r="B5" s="46"/>
      <c r="C5" s="102">
        <v>1</v>
      </c>
      <c r="D5" s="86" t="s">
        <v>27</v>
      </c>
      <c r="E5" s="96">
        <f>'18.تحصیلات'!F5</f>
        <v>6.6666666666666671E-3</v>
      </c>
      <c r="F5" s="100">
        <v>62</v>
      </c>
      <c r="G5" s="701">
        <v>140</v>
      </c>
      <c r="H5" s="264">
        <v>160</v>
      </c>
    </row>
    <row r="6" spans="1:13" s="7" customFormat="1" ht="19.149999999999999" customHeight="1" x14ac:dyDescent="0.45">
      <c r="A6" s="173"/>
      <c r="B6" s="46"/>
      <c r="C6" s="102">
        <v>2</v>
      </c>
      <c r="D6" s="86" t="s">
        <v>322</v>
      </c>
      <c r="E6" s="96">
        <f>'18.تحصیلات'!F6</f>
        <v>9.3333333333333338E-2</v>
      </c>
      <c r="F6" s="100">
        <v>90</v>
      </c>
      <c r="G6" s="701">
        <v>85</v>
      </c>
      <c r="H6" s="264">
        <f t="shared" ref="H6:H9" si="0">G6*1.4</f>
        <v>118.99999999999999</v>
      </c>
    </row>
    <row r="7" spans="1:13" s="7" customFormat="1" ht="19.149999999999999" customHeight="1" x14ac:dyDescent="0.45">
      <c r="A7" s="174"/>
      <c r="B7" s="46"/>
      <c r="C7" s="102">
        <v>3</v>
      </c>
      <c r="D7" s="86" t="s">
        <v>323</v>
      </c>
      <c r="E7" s="96">
        <f>'18.تحصیلات'!F7</f>
        <v>0.35333333333333333</v>
      </c>
      <c r="F7" s="101">
        <v>84</v>
      </c>
      <c r="G7" s="701">
        <v>65</v>
      </c>
      <c r="H7" s="264">
        <f t="shared" si="0"/>
        <v>91</v>
      </c>
    </row>
    <row r="8" spans="1:13" s="7" customFormat="1" ht="19.149999999999999" customHeight="1" x14ac:dyDescent="0.45">
      <c r="A8" s="173"/>
      <c r="B8" s="46"/>
      <c r="C8" s="102">
        <v>4</v>
      </c>
      <c r="D8" s="86" t="s">
        <v>29</v>
      </c>
      <c r="E8" s="96">
        <f>'18.تحصیلات'!F8</f>
        <v>0.12</v>
      </c>
      <c r="F8" s="101">
        <v>82</v>
      </c>
      <c r="G8" s="701">
        <v>55</v>
      </c>
      <c r="H8" s="264">
        <f t="shared" si="0"/>
        <v>77</v>
      </c>
    </row>
    <row r="9" spans="1:13" s="7" customFormat="1" ht="19.149999999999999" customHeight="1" x14ac:dyDescent="0.45">
      <c r="A9" s="173"/>
      <c r="B9" s="46"/>
      <c r="C9" s="102">
        <v>5</v>
      </c>
      <c r="D9" s="86" t="s">
        <v>324</v>
      </c>
      <c r="E9" s="96">
        <f>'18.تحصیلات'!F9</f>
        <v>0.21333333333333335</v>
      </c>
      <c r="F9" s="101">
        <v>80</v>
      </c>
      <c r="G9" s="701">
        <v>45</v>
      </c>
      <c r="H9" s="264">
        <f t="shared" si="0"/>
        <v>62.999999999999993</v>
      </c>
    </row>
    <row r="10" spans="1:13" s="7" customFormat="1" ht="19.149999999999999" customHeight="1" thickBot="1" x14ac:dyDescent="0.5">
      <c r="A10" s="173"/>
      <c r="B10" s="183"/>
      <c r="C10" s="274">
        <v>6</v>
      </c>
      <c r="D10" s="275" t="s">
        <v>325</v>
      </c>
      <c r="E10" s="702">
        <f>'18.تحصیلات'!F10</f>
        <v>0.21333333333333335</v>
      </c>
      <c r="F10" s="703">
        <v>82</v>
      </c>
      <c r="G10" s="701">
        <v>35</v>
      </c>
      <c r="H10" s="264">
        <v>56</v>
      </c>
      <c r="J10" s="239"/>
      <c r="K10" s="235"/>
      <c r="L10" s="235"/>
      <c r="M10" s="236"/>
    </row>
    <row r="11" spans="1:13" s="7" customFormat="1" ht="19.149999999999999" customHeight="1" thickBot="1" x14ac:dyDescent="0.5">
      <c r="A11" s="173"/>
      <c r="B11" s="183"/>
      <c r="C11" s="1577" t="s">
        <v>343</v>
      </c>
      <c r="D11" s="1578"/>
      <c r="E11" s="103">
        <v>1</v>
      </c>
      <c r="F11" s="192">
        <f>SUMPRODUCT(F5:F10,E5:E10)</f>
        <v>82.893333333333331</v>
      </c>
      <c r="G11" s="104">
        <f>SUMPRODUCT(G5:G10,E5:E10)</f>
        <v>55.5</v>
      </c>
      <c r="H11" s="267"/>
      <c r="J11" s="239"/>
      <c r="K11" s="235"/>
      <c r="L11" s="235"/>
      <c r="M11" s="236"/>
    </row>
    <row r="12" spans="1:13" s="7" customFormat="1" ht="19.149999999999999" customHeight="1" thickBot="1" x14ac:dyDescent="0.6">
      <c r="A12" s="173"/>
      <c r="B12" s="183"/>
      <c r="C12" s="269" t="s">
        <v>344</v>
      </c>
      <c r="D12" s="270" t="s">
        <v>19</v>
      </c>
      <c r="E12" s="270">
        <v>0.5</v>
      </c>
      <c r="F12" s="270" t="s">
        <v>345</v>
      </c>
      <c r="G12" s="271">
        <f>F11/G11</f>
        <v>1.4935735735735736</v>
      </c>
      <c r="H12" s="265"/>
      <c r="J12" s="239"/>
      <c r="K12" s="235"/>
      <c r="L12" s="235"/>
      <c r="M12" s="236"/>
    </row>
    <row r="13" spans="1:13" s="7" customFormat="1" ht="19.149999999999999" customHeight="1" x14ac:dyDescent="0.5">
      <c r="A13" s="173"/>
      <c r="B13" s="183"/>
      <c r="C13" s="1579" t="s">
        <v>346</v>
      </c>
      <c r="D13" s="1580"/>
      <c r="E13" s="1580"/>
      <c r="F13" s="1580"/>
      <c r="G13" s="1581"/>
      <c r="H13" s="265"/>
      <c r="J13" s="239"/>
      <c r="K13" s="235"/>
      <c r="L13" s="235"/>
      <c r="M13" s="236"/>
    </row>
    <row r="14" spans="1:13" s="7" customFormat="1" ht="31.15" customHeight="1" thickBot="1" x14ac:dyDescent="0.5">
      <c r="A14" s="173"/>
      <c r="B14" s="183"/>
      <c r="C14" s="710" t="s">
        <v>38</v>
      </c>
      <c r="D14" s="711" t="s">
        <v>347</v>
      </c>
      <c r="E14" s="711" t="s">
        <v>340</v>
      </c>
      <c r="F14" s="711" t="s">
        <v>341</v>
      </c>
      <c r="G14" s="696" t="s">
        <v>342</v>
      </c>
      <c r="H14" s="265"/>
      <c r="J14" s="239"/>
      <c r="K14" s="235"/>
      <c r="L14" s="235"/>
      <c r="M14" s="236"/>
    </row>
    <row r="15" spans="1:13" s="7" customFormat="1" ht="19.149999999999999" customHeight="1" x14ac:dyDescent="0.45">
      <c r="A15" s="173"/>
      <c r="B15" s="183"/>
      <c r="C15" s="704">
        <v>1</v>
      </c>
      <c r="D15" s="705" t="s">
        <v>327</v>
      </c>
      <c r="E15" s="706">
        <f>'19.تجربه'!F5</f>
        <v>0</v>
      </c>
      <c r="F15" s="707"/>
      <c r="G15" s="708">
        <v>200</v>
      </c>
      <c r="H15" s="218">
        <f>G15*1.4</f>
        <v>280</v>
      </c>
      <c r="I15" s="239"/>
      <c r="J15" s="239"/>
      <c r="K15" s="235"/>
      <c r="L15" s="235"/>
      <c r="M15" s="236"/>
    </row>
    <row r="16" spans="1:13" s="7" customFormat="1" ht="19.149999999999999" customHeight="1" x14ac:dyDescent="0.45">
      <c r="A16" s="173"/>
      <c r="B16" s="183"/>
      <c r="C16" s="102">
        <v>2</v>
      </c>
      <c r="D16" s="86" t="s">
        <v>328</v>
      </c>
      <c r="E16" s="96">
        <f>'19.تجربه'!F6</f>
        <v>0</v>
      </c>
      <c r="F16" s="101"/>
      <c r="G16" s="709">
        <v>150</v>
      </c>
      <c r="H16" s="218">
        <f t="shared" ref="H16:H20" si="1">G16*1.4</f>
        <v>210</v>
      </c>
      <c r="I16" s="239"/>
      <c r="J16" s="239"/>
      <c r="K16" s="235"/>
      <c r="L16" s="235"/>
      <c r="M16" s="236"/>
    </row>
    <row r="17" spans="1:13" s="7" customFormat="1" ht="19.149999999999999" customHeight="1" x14ac:dyDescent="0.45">
      <c r="A17" s="173"/>
      <c r="B17" s="183"/>
      <c r="C17" s="102">
        <v>3</v>
      </c>
      <c r="D17" s="86" t="s">
        <v>329</v>
      </c>
      <c r="E17" s="96">
        <f>'19.تجربه'!F7</f>
        <v>6.8965517241379309E-3</v>
      </c>
      <c r="F17" s="101">
        <v>182</v>
      </c>
      <c r="G17" s="709">
        <v>120</v>
      </c>
      <c r="H17" s="218">
        <f t="shared" si="1"/>
        <v>168</v>
      </c>
      <c r="I17" s="239"/>
      <c r="J17" s="239"/>
      <c r="K17" s="235"/>
      <c r="L17" s="235"/>
      <c r="M17" s="236"/>
    </row>
    <row r="18" spans="1:13" s="7" customFormat="1" ht="15" customHeight="1" x14ac:dyDescent="0.45">
      <c r="A18" s="173"/>
      <c r="B18" s="173"/>
      <c r="C18" s="102">
        <v>4</v>
      </c>
      <c r="D18" s="86" t="s">
        <v>330</v>
      </c>
      <c r="E18" s="96">
        <f>'19.تجربه'!F8</f>
        <v>2.0689655172413793E-2</v>
      </c>
      <c r="F18" s="101">
        <v>139</v>
      </c>
      <c r="G18" s="709">
        <v>100</v>
      </c>
      <c r="H18" s="218">
        <f t="shared" si="1"/>
        <v>140</v>
      </c>
      <c r="I18" s="22"/>
      <c r="J18" s="236"/>
      <c r="K18" s="236"/>
      <c r="L18" s="236"/>
      <c r="M18" s="236"/>
    </row>
    <row r="19" spans="1:13" s="7" customFormat="1" ht="15" customHeight="1" x14ac:dyDescent="0.45">
      <c r="A19" s="173"/>
      <c r="B19" s="173"/>
      <c r="C19" s="102">
        <v>5</v>
      </c>
      <c r="D19" s="86" t="s">
        <v>331</v>
      </c>
      <c r="E19" s="96">
        <f>'19.تجربه'!F9</f>
        <v>0.2</v>
      </c>
      <c r="F19" s="101">
        <v>97</v>
      </c>
      <c r="G19" s="709">
        <v>80</v>
      </c>
      <c r="H19" s="218">
        <f t="shared" si="1"/>
        <v>112</v>
      </c>
      <c r="I19" s="22"/>
      <c r="J19" s="236"/>
      <c r="K19" s="236"/>
      <c r="L19" s="236"/>
      <c r="M19" s="236"/>
    </row>
    <row r="20" spans="1:13" s="7" customFormat="1" ht="21" customHeight="1" thickBot="1" x14ac:dyDescent="0.5">
      <c r="A20" s="173"/>
      <c r="B20" s="173"/>
      <c r="C20" s="274">
        <v>6</v>
      </c>
      <c r="D20" s="275" t="s">
        <v>332</v>
      </c>
      <c r="E20" s="702">
        <f>'19.تجربه'!F10</f>
        <v>0.77241379310344827</v>
      </c>
      <c r="F20" s="703">
        <v>74</v>
      </c>
      <c r="G20" s="714">
        <v>40</v>
      </c>
      <c r="H20" s="218">
        <f t="shared" si="1"/>
        <v>56</v>
      </c>
      <c r="I20" s="22"/>
      <c r="J20" s="236"/>
      <c r="K20" s="236"/>
      <c r="L20" s="236"/>
      <c r="M20" s="236"/>
    </row>
    <row r="21" spans="1:13" s="7" customFormat="1" ht="19.149999999999999" customHeight="1" thickBot="1" x14ac:dyDescent="0.5">
      <c r="A21" s="173"/>
      <c r="B21" s="173"/>
      <c r="C21" s="1582" t="s">
        <v>343</v>
      </c>
      <c r="D21" s="1583"/>
      <c r="E21" s="712">
        <v>1</v>
      </c>
      <c r="F21" s="713">
        <f>SUMPRODUCT(F15:F20,E15:E20)</f>
        <v>80.689655172413794</v>
      </c>
      <c r="G21" s="697">
        <f>SUMPRODUCT(G15:G20,E15:E20)</f>
        <v>49.793103448275858</v>
      </c>
      <c r="H21" s="179"/>
      <c r="I21" s="22"/>
      <c r="J21" s="236"/>
      <c r="K21" s="236"/>
      <c r="L21" s="236"/>
      <c r="M21" s="236"/>
    </row>
    <row r="22" spans="1:13" s="7" customFormat="1" ht="21" customHeight="1" thickBot="1" x14ac:dyDescent="0.6">
      <c r="A22" s="173"/>
      <c r="B22" s="173"/>
      <c r="C22" s="269" t="s">
        <v>344</v>
      </c>
      <c r="D22" s="270" t="s">
        <v>19</v>
      </c>
      <c r="E22" s="270">
        <v>0.5</v>
      </c>
      <c r="F22" s="270" t="s">
        <v>345</v>
      </c>
      <c r="G22" s="271">
        <f>F21/G21</f>
        <v>1.6204986149584488</v>
      </c>
      <c r="H22" s="22"/>
      <c r="I22" s="22"/>
      <c r="J22" s="236"/>
      <c r="K22" s="236"/>
      <c r="L22" s="236"/>
      <c r="M22" s="236"/>
    </row>
    <row r="23" spans="1:13" ht="15" customHeight="1" thickBot="1" x14ac:dyDescent="0.5">
      <c r="A23" s="170"/>
      <c r="B23" s="177"/>
      <c r="C23" s="52"/>
      <c r="D23" s="52"/>
      <c r="E23" s="52"/>
      <c r="F23" s="52"/>
      <c r="G23" s="52"/>
    </row>
    <row r="24" spans="1:13" ht="15" customHeight="1" thickBot="1" x14ac:dyDescent="0.3">
      <c r="A24" s="170"/>
      <c r="B24" s="177"/>
      <c r="C24" s="1570" t="s">
        <v>348</v>
      </c>
      <c r="D24" s="1571"/>
      <c r="E24" s="1571"/>
      <c r="F24" s="1572">
        <f>G22*E22+G12*E12</f>
        <v>1.5570360942660111</v>
      </c>
      <c r="G24" s="1573"/>
    </row>
    <row r="25" spans="1:13" ht="15" customHeight="1" x14ac:dyDescent="0.45">
      <c r="A25" s="170"/>
      <c r="B25" s="177"/>
      <c r="C25" s="29"/>
      <c r="D25" s="29"/>
      <c r="E25" s="35"/>
      <c r="F25" s="35"/>
      <c r="G25" s="35"/>
    </row>
    <row r="26" spans="1:13" ht="15" customHeight="1" x14ac:dyDescent="0.45">
      <c r="A26" s="170"/>
      <c r="B26" s="177"/>
      <c r="C26" s="35"/>
      <c r="D26" s="194"/>
      <c r="E26" s="194"/>
      <c r="F26" s="194"/>
      <c r="G26" s="194"/>
      <c r="J26" s="6"/>
      <c r="K26" s="6"/>
      <c r="L26" s="6"/>
      <c r="M26" s="6"/>
    </row>
    <row r="27" spans="1:13" ht="15" customHeight="1" x14ac:dyDescent="0.45">
      <c r="A27" s="170"/>
      <c r="B27" s="177"/>
      <c r="C27" s="35"/>
      <c r="D27" s="194"/>
      <c r="E27" s="194"/>
      <c r="F27" s="194"/>
      <c r="G27" s="194"/>
      <c r="J27" s="6"/>
      <c r="K27" s="6"/>
      <c r="L27" s="6"/>
      <c r="M27" s="6"/>
    </row>
    <row r="28" spans="1:13" ht="18" x14ac:dyDescent="0.45">
      <c r="A28" s="170"/>
      <c r="B28" s="170"/>
      <c r="C28" s="35"/>
      <c r="D28" s="194"/>
      <c r="E28" s="194"/>
      <c r="F28" s="194"/>
      <c r="G28" s="194"/>
      <c r="J28" s="6"/>
      <c r="K28" s="6"/>
      <c r="L28" s="6"/>
      <c r="M28" s="6"/>
    </row>
    <row r="29" spans="1:13" ht="18" x14ac:dyDescent="0.45">
      <c r="A29" s="170"/>
      <c r="B29" s="170"/>
      <c r="C29" s="35"/>
      <c r="D29" s="194"/>
      <c r="E29" s="194"/>
      <c r="F29" s="194"/>
      <c r="G29" s="194"/>
      <c r="J29" s="6"/>
      <c r="K29" s="6"/>
      <c r="L29" s="6"/>
      <c r="M29" s="6"/>
    </row>
    <row r="30" spans="1:13" ht="19.5" x14ac:dyDescent="0.45">
      <c r="A30" s="170"/>
      <c r="B30" s="170"/>
      <c r="C30" s="35"/>
      <c r="D30" s="237"/>
      <c r="E30" s="194"/>
      <c r="F30" s="194"/>
      <c r="G30" s="194"/>
      <c r="J30" s="6"/>
      <c r="K30" s="6"/>
      <c r="L30" s="6"/>
      <c r="M30" s="6"/>
    </row>
    <row r="31" spans="1:13" s="194" customFormat="1" ht="19.5" x14ac:dyDescent="0.45">
      <c r="A31" s="170"/>
      <c r="B31" s="170"/>
      <c r="C31" s="35"/>
      <c r="D31" s="237"/>
    </row>
    <row r="32" spans="1:13" s="194" customFormat="1" ht="18" x14ac:dyDescent="0.45">
      <c r="A32" s="170"/>
      <c r="B32" s="170"/>
      <c r="C32" s="35"/>
    </row>
    <row r="33" spans="1:13" s="194" customFormat="1" ht="18" x14ac:dyDescent="0.45">
      <c r="A33" s="170"/>
      <c r="B33" s="170"/>
      <c r="C33" s="35"/>
    </row>
    <row r="34" spans="1:13" x14ac:dyDescent="0.25">
      <c r="D34" s="194"/>
      <c r="E34" s="194"/>
      <c r="F34" s="194"/>
      <c r="G34" s="194"/>
      <c r="J34" s="6"/>
      <c r="K34" s="6"/>
      <c r="L34" s="6"/>
      <c r="M34" s="6"/>
    </row>
    <row r="37" spans="1:13" s="194" customFormat="1" ht="15" customHeight="1" x14ac:dyDescent="0.25">
      <c r="A37" s="6"/>
      <c r="B37" s="6"/>
      <c r="C37" s="17"/>
      <c r="D37" s="237"/>
      <c r="E37" s="237"/>
      <c r="F37" s="237"/>
      <c r="G37" s="237"/>
      <c r="H37" s="237"/>
    </row>
    <row r="38" spans="1:13" s="194" customFormat="1" ht="15" customHeight="1" x14ac:dyDescent="0.25">
      <c r="A38" s="6"/>
      <c r="B38" s="6"/>
      <c r="C38" s="17"/>
      <c r="D38" s="237"/>
      <c r="E38" s="237"/>
      <c r="F38" s="237"/>
      <c r="G38" s="237"/>
      <c r="H38" s="237"/>
    </row>
    <row r="41" spans="1:13" s="194" customFormat="1" ht="15" customHeight="1" x14ac:dyDescent="0.55000000000000004">
      <c r="A41" s="6"/>
      <c r="B41" s="105"/>
      <c r="C41" s="180"/>
      <c r="D41" s="180"/>
      <c r="E41" s="180"/>
      <c r="F41" s="180"/>
      <c r="G41" s="180"/>
      <c r="H41" s="195"/>
      <c r="I41" s="195"/>
      <c r="J41" s="180"/>
      <c r="K41" s="195"/>
      <c r="L41" s="195"/>
    </row>
    <row r="42" spans="1:13" s="194" customFormat="1" ht="15" customHeight="1" x14ac:dyDescent="0.5">
      <c r="A42" s="6"/>
      <c r="B42" s="24"/>
      <c r="C42" s="24"/>
      <c r="D42" s="24"/>
      <c r="E42" s="24"/>
      <c r="F42" s="24"/>
      <c r="G42" s="24"/>
      <c r="H42" s="197"/>
      <c r="I42" s="197"/>
      <c r="J42" s="197"/>
      <c r="K42" s="195"/>
      <c r="L42" s="195"/>
    </row>
    <row r="43" spans="1:13" s="194" customFormat="1" ht="15" customHeight="1" x14ac:dyDescent="0.45">
      <c r="A43" s="6"/>
      <c r="B43" s="25"/>
      <c r="C43" s="25"/>
      <c r="D43" s="25"/>
      <c r="E43" s="25"/>
      <c r="F43" s="25"/>
      <c r="G43" s="25"/>
      <c r="H43" s="198"/>
      <c r="I43" s="199"/>
      <c r="J43" s="199"/>
      <c r="K43" s="196"/>
      <c r="L43" s="196"/>
    </row>
    <row r="44" spans="1:13" s="194" customFormat="1" ht="15" customHeight="1" x14ac:dyDescent="0.45">
      <c r="A44" s="6"/>
      <c r="B44" s="25"/>
      <c r="C44" s="25"/>
      <c r="D44" s="25"/>
      <c r="E44" s="25"/>
      <c r="F44" s="25"/>
      <c r="G44" s="25"/>
      <c r="H44" s="198"/>
      <c r="I44" s="199"/>
      <c r="J44" s="199"/>
      <c r="K44" s="196"/>
      <c r="L44" s="196"/>
    </row>
    <row r="45" spans="1:13" s="194" customFormat="1" ht="15" customHeight="1" x14ac:dyDescent="0.45">
      <c r="A45" s="6"/>
      <c r="B45" s="25"/>
      <c r="C45" s="25"/>
      <c r="D45" s="25"/>
      <c r="E45" s="25"/>
      <c r="F45" s="25"/>
      <c r="G45" s="25"/>
      <c r="H45" s="198"/>
      <c r="I45" s="199"/>
      <c r="J45" s="199"/>
      <c r="K45" s="196"/>
      <c r="L45" s="196"/>
    </row>
    <row r="46" spans="1:13" s="194" customFormat="1" ht="15" customHeight="1" x14ac:dyDescent="0.45">
      <c r="A46" s="6"/>
      <c r="B46" s="25"/>
      <c r="C46" s="25"/>
      <c r="D46" s="25"/>
      <c r="E46" s="25"/>
      <c r="F46" s="25"/>
      <c r="G46" s="25"/>
      <c r="H46" s="198"/>
      <c r="I46" s="199"/>
      <c r="J46" s="199"/>
      <c r="K46" s="196"/>
      <c r="L46" s="196"/>
    </row>
    <row r="47" spans="1:13" s="194" customFormat="1" ht="15" customHeight="1" x14ac:dyDescent="0.45">
      <c r="A47" s="6"/>
      <c r="B47" s="25"/>
      <c r="C47" s="25"/>
      <c r="D47" s="25"/>
      <c r="E47" s="25"/>
      <c r="F47" s="25"/>
      <c r="G47" s="25"/>
      <c r="H47" s="198"/>
      <c r="I47" s="199"/>
      <c r="J47" s="199"/>
      <c r="K47" s="196"/>
      <c r="L47" s="196"/>
    </row>
    <row r="48" spans="1:13" s="194" customFormat="1" ht="15" customHeight="1" x14ac:dyDescent="0.45">
      <c r="A48" s="6"/>
      <c r="B48" s="25"/>
      <c r="C48" s="25"/>
      <c r="D48" s="25"/>
      <c r="E48" s="25"/>
      <c r="F48" s="25"/>
      <c r="G48" s="25"/>
      <c r="H48" s="198"/>
      <c r="I48" s="199"/>
      <c r="J48" s="199"/>
      <c r="K48" s="196"/>
      <c r="L48" s="196"/>
    </row>
    <row r="49" spans="1:12" s="194" customFormat="1" ht="15" customHeight="1" x14ac:dyDescent="0.45">
      <c r="A49" s="6"/>
      <c r="B49" s="25"/>
      <c r="C49" s="25"/>
      <c r="D49" s="25"/>
      <c r="E49" s="25"/>
      <c r="F49" s="25"/>
      <c r="G49" s="25"/>
      <c r="H49" s="198"/>
      <c r="I49" s="199"/>
      <c r="J49" s="199"/>
      <c r="K49" s="196"/>
      <c r="L49" s="196"/>
    </row>
    <row r="50" spans="1:12" s="194" customFormat="1" ht="15" customHeight="1" x14ac:dyDescent="0.45">
      <c r="A50" s="6"/>
      <c r="B50" s="25"/>
      <c r="C50" s="25"/>
      <c r="D50" s="25"/>
      <c r="E50" s="25"/>
      <c r="F50" s="25"/>
      <c r="G50" s="25"/>
      <c r="H50" s="198"/>
      <c r="I50" s="199"/>
      <c r="J50" s="199"/>
      <c r="K50" s="196"/>
      <c r="L50" s="196"/>
    </row>
    <row r="51" spans="1:12" s="194" customFormat="1" ht="15" customHeight="1" x14ac:dyDescent="0.45">
      <c r="A51" s="6"/>
      <c r="B51" s="25"/>
      <c r="C51" s="25"/>
      <c r="D51" s="25"/>
      <c r="E51" s="25"/>
      <c r="F51" s="25"/>
      <c r="G51" s="25"/>
      <c r="H51" s="198"/>
      <c r="I51" s="199"/>
      <c r="J51" s="199"/>
      <c r="K51" s="196"/>
      <c r="L51" s="196"/>
    </row>
    <row r="52" spans="1:12" s="194" customFormat="1" ht="15" customHeight="1" x14ac:dyDescent="0.45">
      <c r="A52" s="6"/>
      <c r="B52" s="25"/>
      <c r="C52" s="25"/>
      <c r="D52" s="25"/>
      <c r="E52" s="25"/>
      <c r="F52" s="25"/>
      <c r="G52" s="25"/>
      <c r="H52" s="198"/>
      <c r="I52" s="199"/>
      <c r="J52" s="199"/>
      <c r="K52" s="196"/>
      <c r="L52" s="196"/>
    </row>
    <row r="53" spans="1:12" s="194" customFormat="1" ht="15" customHeight="1" x14ac:dyDescent="0.45">
      <c r="A53" s="6"/>
      <c r="B53" s="25"/>
      <c r="C53" s="25"/>
      <c r="D53" s="25"/>
      <c r="E53" s="25"/>
      <c r="F53" s="25"/>
      <c r="G53" s="25"/>
      <c r="H53" s="198"/>
      <c r="I53" s="199"/>
      <c r="J53" s="199"/>
      <c r="K53" s="196"/>
      <c r="L53" s="196"/>
    </row>
    <row r="54" spans="1:12" s="194" customFormat="1" ht="15" customHeight="1" x14ac:dyDescent="0.45">
      <c r="A54" s="6"/>
      <c r="B54" s="25"/>
      <c r="C54" s="25"/>
      <c r="D54" s="25"/>
      <c r="E54" s="25"/>
      <c r="F54" s="25"/>
      <c r="G54" s="25"/>
      <c r="H54" s="198"/>
      <c r="I54" s="199"/>
      <c r="J54" s="199"/>
      <c r="K54" s="196"/>
      <c r="L54" s="196"/>
    </row>
    <row r="55" spans="1:12" s="194" customFormat="1" ht="15" customHeight="1" x14ac:dyDescent="0.45">
      <c r="A55" s="6"/>
      <c r="B55" s="25"/>
      <c r="C55" s="25"/>
      <c r="D55" s="25"/>
      <c r="E55" s="25"/>
      <c r="F55" s="25"/>
      <c r="G55" s="25"/>
      <c r="H55" s="198"/>
      <c r="I55" s="199"/>
      <c r="J55" s="199"/>
      <c r="K55" s="196"/>
      <c r="L55" s="196"/>
    </row>
    <row r="56" spans="1:12" s="194" customFormat="1" ht="15" customHeight="1" x14ac:dyDescent="0.45">
      <c r="A56" s="6"/>
      <c r="B56" s="25"/>
      <c r="C56" s="25"/>
      <c r="D56" s="25"/>
      <c r="E56" s="25"/>
      <c r="F56" s="25"/>
      <c r="G56" s="25"/>
      <c r="H56" s="198"/>
      <c r="I56" s="199"/>
      <c r="J56" s="199"/>
      <c r="K56" s="196"/>
      <c r="L56" s="196"/>
    </row>
    <row r="57" spans="1:12" s="194" customFormat="1" ht="15" customHeight="1" x14ac:dyDescent="0.45">
      <c r="A57" s="6"/>
      <c r="B57" s="25"/>
      <c r="C57" s="25"/>
      <c r="D57" s="25"/>
      <c r="E57" s="25"/>
      <c r="F57" s="25"/>
      <c r="G57" s="25"/>
      <c r="H57" s="198"/>
      <c r="I57" s="199"/>
      <c r="J57" s="199"/>
      <c r="K57" s="196"/>
      <c r="L57" s="196"/>
    </row>
    <row r="58" spans="1:12" s="194" customFormat="1" ht="15" customHeight="1" x14ac:dyDescent="0.45">
      <c r="A58" s="6"/>
      <c r="B58" s="25"/>
      <c r="C58" s="25"/>
      <c r="D58" s="25"/>
      <c r="E58" s="25"/>
      <c r="F58" s="25"/>
      <c r="G58" s="25"/>
      <c r="H58" s="198"/>
      <c r="I58" s="199"/>
      <c r="J58" s="199"/>
      <c r="K58" s="196"/>
      <c r="L58" s="196"/>
    </row>
    <row r="59" spans="1:12" s="194" customFormat="1" ht="15" customHeight="1" x14ac:dyDescent="0.45">
      <c r="A59" s="6"/>
      <c r="B59" s="25"/>
      <c r="C59" s="25"/>
      <c r="D59" s="25"/>
      <c r="E59" s="25"/>
      <c r="F59" s="25"/>
      <c r="G59" s="25"/>
      <c r="H59" s="198"/>
      <c r="I59" s="199"/>
      <c r="J59" s="199"/>
      <c r="K59" s="196"/>
      <c r="L59" s="196"/>
    </row>
    <row r="60" spans="1:12" s="194" customFormat="1" ht="15" customHeight="1" x14ac:dyDescent="0.45">
      <c r="A60" s="6"/>
      <c r="B60" s="25"/>
      <c r="C60" s="25"/>
      <c r="D60" s="25"/>
      <c r="E60" s="25"/>
      <c r="F60" s="25"/>
      <c r="G60" s="25"/>
      <c r="H60" s="198"/>
      <c r="I60" s="199"/>
      <c r="J60" s="199"/>
      <c r="K60" s="196"/>
      <c r="L60" s="196"/>
    </row>
  </sheetData>
  <mergeCells count="6">
    <mergeCell ref="C24:E24"/>
    <mergeCell ref="F24:G24"/>
    <mergeCell ref="C3:G3"/>
    <mergeCell ref="C11:D11"/>
    <mergeCell ref="C13:G13"/>
    <mergeCell ref="C21:D21"/>
  </mergeCells>
  <dataValidations count="2">
    <dataValidation type="list" allowBlank="1" showInputMessage="1" showErrorMessage="1" sqref="C6:C8 C11">
      <formula1>$E$20:$I$20</formula1>
    </dataValidation>
    <dataValidation type="list" allowBlank="1" showInputMessage="1" showErrorMessage="1" sqref="C9:C10 C12:C14">
      <formula1>$D$20:$I$20</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L54"/>
  <sheetViews>
    <sheetView rightToLeft="1" topLeftCell="A34" zoomScale="90" zoomScaleNormal="90" workbookViewId="0">
      <selection activeCell="F16" sqref="F16"/>
    </sheetView>
  </sheetViews>
  <sheetFormatPr defaultColWidth="8.85546875" defaultRowHeight="15" x14ac:dyDescent="0.25"/>
  <cols>
    <col min="1" max="1" width="6.7109375" style="6" customWidth="1"/>
    <col min="2" max="3" width="14.28515625" style="6" customWidth="1"/>
    <col min="4" max="8" width="10.28515625" style="6" customWidth="1"/>
    <col min="9" max="9" width="10.28515625" style="19" customWidth="1"/>
    <col min="10" max="10" width="8.85546875" style="19"/>
    <col min="11" max="11" width="6.7109375" style="19" customWidth="1"/>
    <col min="12" max="12" width="8.85546875" style="19"/>
    <col min="13" max="16384" width="8.85546875" style="6"/>
  </cols>
  <sheetData>
    <row r="1" spans="1:12" ht="45" customHeight="1" x14ac:dyDescent="0.25">
      <c r="A1" s="170"/>
      <c r="B1" s="170"/>
      <c r="C1" s="170"/>
      <c r="D1" s="170"/>
      <c r="E1" s="170"/>
      <c r="F1" s="170"/>
      <c r="G1" s="170"/>
      <c r="H1" s="170"/>
    </row>
    <row r="2" spans="1:12" ht="38.450000000000003" customHeight="1" thickBot="1" x14ac:dyDescent="0.3">
      <c r="A2" s="34"/>
      <c r="B2" s="34"/>
      <c r="C2" s="34"/>
      <c r="D2" s="34"/>
      <c r="E2" s="34"/>
      <c r="F2" s="170"/>
      <c r="G2" s="170"/>
      <c r="H2" s="170"/>
    </row>
    <row r="3" spans="1:12" ht="28.5" customHeight="1" x14ac:dyDescent="0.6">
      <c r="A3" s="1584" t="s">
        <v>338</v>
      </c>
      <c r="B3" s="1585"/>
      <c r="C3" s="1585"/>
      <c r="D3" s="1585"/>
      <c r="E3" s="1585"/>
      <c r="F3" s="1585"/>
      <c r="G3" s="1585"/>
      <c r="H3" s="1586"/>
      <c r="I3" s="238"/>
      <c r="J3" s="238"/>
      <c r="K3" s="234"/>
      <c r="L3" s="234"/>
    </row>
    <row r="4" spans="1:12" ht="47.45" customHeight="1" thickBot="1" x14ac:dyDescent="0.55000000000000004">
      <c r="A4" s="110" t="s">
        <v>38</v>
      </c>
      <c r="B4" s="111" t="s">
        <v>339</v>
      </c>
      <c r="C4" s="111" t="s">
        <v>349</v>
      </c>
      <c r="D4" s="111" t="s">
        <v>47</v>
      </c>
      <c r="E4" s="111" t="s">
        <v>340</v>
      </c>
      <c r="F4" s="111" t="s">
        <v>341</v>
      </c>
      <c r="G4" s="111" t="s">
        <v>342</v>
      </c>
      <c r="H4" s="112" t="s">
        <v>15</v>
      </c>
      <c r="I4" s="218"/>
      <c r="J4" s="218"/>
      <c r="K4" s="234"/>
      <c r="L4" s="234"/>
    </row>
    <row r="5" spans="1:12" ht="19.149999999999999" customHeight="1" x14ac:dyDescent="0.45">
      <c r="A5" s="102">
        <v>1</v>
      </c>
      <c r="B5" s="86" t="s">
        <v>27</v>
      </c>
      <c r="C5" s="86" t="s">
        <v>327</v>
      </c>
      <c r="D5" s="86"/>
      <c r="E5" s="106" t="e">
        <f t="shared" ref="E5:E33" si="0">D5/$D$43</f>
        <v>#DIV/0!</v>
      </c>
      <c r="F5" s="100"/>
      <c r="G5" s="100">
        <v>60</v>
      </c>
      <c r="H5" s="109" t="e">
        <f>MIN((F5/G5)*E5,E5)</f>
        <v>#DIV/0!</v>
      </c>
      <c r="I5" s="239"/>
      <c r="J5" s="239"/>
      <c r="K5" s="235"/>
      <c r="L5" s="235"/>
    </row>
    <row r="6" spans="1:12" s="7" customFormat="1" ht="19.149999999999999" customHeight="1" x14ac:dyDescent="0.45">
      <c r="A6" s="102">
        <f>A5+1</f>
        <v>2</v>
      </c>
      <c r="B6" s="86" t="s">
        <v>27</v>
      </c>
      <c r="C6" s="86" t="s">
        <v>328</v>
      </c>
      <c r="D6" s="86"/>
      <c r="E6" s="106" t="e">
        <f t="shared" si="0"/>
        <v>#DIV/0!</v>
      </c>
      <c r="F6" s="100"/>
      <c r="G6" s="100">
        <v>60</v>
      </c>
      <c r="H6" s="109" t="e">
        <f t="shared" ref="H6:H42" si="1">MIN((F6/G6)*E6,E6)</f>
        <v>#DIV/0!</v>
      </c>
      <c r="I6" s="239"/>
      <c r="J6" s="239"/>
      <c r="K6" s="235"/>
      <c r="L6" s="235"/>
    </row>
    <row r="7" spans="1:12" s="7" customFormat="1" ht="19.149999999999999" customHeight="1" x14ac:dyDescent="0.45">
      <c r="A7" s="102">
        <f t="shared" ref="A7:A42" si="2">A6+1</f>
        <v>3</v>
      </c>
      <c r="B7" s="86" t="s">
        <v>27</v>
      </c>
      <c r="C7" s="86" t="s">
        <v>329</v>
      </c>
      <c r="D7" s="86"/>
      <c r="E7" s="106" t="e">
        <f t="shared" si="0"/>
        <v>#DIV/0!</v>
      </c>
      <c r="F7" s="100"/>
      <c r="G7" s="100">
        <v>60</v>
      </c>
      <c r="H7" s="109" t="e">
        <f t="shared" si="1"/>
        <v>#DIV/0!</v>
      </c>
      <c r="I7" s="239"/>
      <c r="J7" s="239"/>
      <c r="K7" s="235"/>
      <c r="L7" s="235"/>
    </row>
    <row r="8" spans="1:12" s="7" customFormat="1" ht="19.149999999999999" customHeight="1" x14ac:dyDescent="0.45">
      <c r="A8" s="102">
        <f t="shared" si="2"/>
        <v>4</v>
      </c>
      <c r="B8" s="86" t="s">
        <v>27</v>
      </c>
      <c r="C8" s="86" t="s">
        <v>330</v>
      </c>
      <c r="D8" s="86"/>
      <c r="E8" s="106" t="e">
        <f t="shared" si="0"/>
        <v>#DIV/0!</v>
      </c>
      <c r="F8" s="100"/>
      <c r="G8" s="100">
        <v>60</v>
      </c>
      <c r="H8" s="109" t="e">
        <f t="shared" si="1"/>
        <v>#DIV/0!</v>
      </c>
      <c r="I8" s="239"/>
      <c r="J8" s="239"/>
      <c r="K8" s="235"/>
      <c r="L8" s="235"/>
    </row>
    <row r="9" spans="1:12" s="7" customFormat="1" ht="19.149999999999999" customHeight="1" x14ac:dyDescent="0.45">
      <c r="A9" s="102">
        <f t="shared" si="2"/>
        <v>5</v>
      </c>
      <c r="B9" s="86" t="s">
        <v>27</v>
      </c>
      <c r="C9" s="86" t="s">
        <v>331</v>
      </c>
      <c r="D9" s="86"/>
      <c r="E9" s="106" t="e">
        <f t="shared" si="0"/>
        <v>#DIV/0!</v>
      </c>
      <c r="F9" s="100"/>
      <c r="G9" s="100">
        <v>60</v>
      </c>
      <c r="H9" s="109" t="e">
        <f t="shared" si="1"/>
        <v>#DIV/0!</v>
      </c>
      <c r="I9" s="239"/>
      <c r="J9" s="239"/>
      <c r="K9" s="235"/>
      <c r="L9" s="235"/>
    </row>
    <row r="10" spans="1:12" s="7" customFormat="1" ht="18" x14ac:dyDescent="0.45">
      <c r="A10" s="102">
        <f t="shared" si="2"/>
        <v>6</v>
      </c>
      <c r="B10" s="86" t="s">
        <v>27</v>
      </c>
      <c r="C10" s="86" t="s">
        <v>332</v>
      </c>
      <c r="D10" s="86"/>
      <c r="E10" s="106" t="e">
        <f t="shared" si="0"/>
        <v>#DIV/0!</v>
      </c>
      <c r="F10" s="100"/>
      <c r="G10" s="100">
        <v>60</v>
      </c>
      <c r="H10" s="109" t="e">
        <f t="shared" si="1"/>
        <v>#DIV/0!</v>
      </c>
      <c r="I10" s="239"/>
      <c r="J10" s="239"/>
      <c r="K10" s="235"/>
      <c r="L10" s="235"/>
    </row>
    <row r="11" spans="1:12" s="7" customFormat="1" ht="18" x14ac:dyDescent="0.45">
      <c r="A11" s="102">
        <f t="shared" si="2"/>
        <v>7</v>
      </c>
      <c r="B11" s="86" t="s">
        <v>28</v>
      </c>
      <c r="C11" s="86" t="str">
        <f t="shared" ref="C11:C33" si="3">C5</f>
        <v>بالاتر از 25 سال</v>
      </c>
      <c r="D11" s="86"/>
      <c r="E11" s="106" t="e">
        <f t="shared" si="0"/>
        <v>#DIV/0!</v>
      </c>
      <c r="F11" s="100"/>
      <c r="G11" s="100">
        <v>60</v>
      </c>
      <c r="H11" s="109" t="e">
        <f t="shared" si="1"/>
        <v>#DIV/0!</v>
      </c>
      <c r="I11" s="239"/>
      <c r="J11" s="239"/>
      <c r="K11" s="235"/>
      <c r="L11" s="235"/>
    </row>
    <row r="12" spans="1:12" s="7" customFormat="1" ht="18" x14ac:dyDescent="0.45">
      <c r="A12" s="102">
        <f t="shared" si="2"/>
        <v>8</v>
      </c>
      <c r="B12" s="86" t="s">
        <v>28</v>
      </c>
      <c r="C12" s="86" t="str">
        <f t="shared" si="3"/>
        <v>بین 20 تا 25 سال</v>
      </c>
      <c r="D12" s="86"/>
      <c r="E12" s="106" t="e">
        <f t="shared" si="0"/>
        <v>#DIV/0!</v>
      </c>
      <c r="F12" s="100"/>
      <c r="G12" s="100">
        <v>60</v>
      </c>
      <c r="H12" s="109" t="e">
        <f t="shared" si="1"/>
        <v>#DIV/0!</v>
      </c>
      <c r="I12" s="239"/>
      <c r="J12" s="239"/>
      <c r="K12" s="235"/>
      <c r="L12" s="235"/>
    </row>
    <row r="13" spans="1:12" s="7" customFormat="1" ht="18" x14ac:dyDescent="0.45">
      <c r="A13" s="102">
        <f t="shared" si="2"/>
        <v>9</v>
      </c>
      <c r="B13" s="86" t="s">
        <v>28</v>
      </c>
      <c r="C13" s="86" t="str">
        <f t="shared" si="3"/>
        <v>بین 15 تا 20 سال</v>
      </c>
      <c r="D13" s="86"/>
      <c r="E13" s="106" t="e">
        <f t="shared" si="0"/>
        <v>#DIV/0!</v>
      </c>
      <c r="F13" s="100"/>
      <c r="G13" s="100">
        <v>60</v>
      </c>
      <c r="H13" s="109" t="e">
        <f t="shared" si="1"/>
        <v>#DIV/0!</v>
      </c>
      <c r="I13" s="239"/>
      <c r="J13" s="239"/>
      <c r="K13" s="235"/>
      <c r="L13" s="235"/>
    </row>
    <row r="14" spans="1:12" s="7" customFormat="1" ht="18" x14ac:dyDescent="0.45">
      <c r="A14" s="102">
        <f t="shared" si="2"/>
        <v>10</v>
      </c>
      <c r="B14" s="86" t="s">
        <v>28</v>
      </c>
      <c r="C14" s="86" t="str">
        <f t="shared" si="3"/>
        <v>بین 10 تا 15 سال</v>
      </c>
      <c r="D14" s="86"/>
      <c r="E14" s="106" t="e">
        <f t="shared" si="0"/>
        <v>#DIV/0!</v>
      </c>
      <c r="F14" s="100"/>
      <c r="G14" s="100">
        <v>60</v>
      </c>
      <c r="H14" s="109" t="e">
        <f t="shared" si="1"/>
        <v>#DIV/0!</v>
      </c>
      <c r="I14" s="239"/>
      <c r="J14" s="239"/>
      <c r="K14" s="235"/>
      <c r="L14" s="235"/>
    </row>
    <row r="15" spans="1:12" s="7" customFormat="1" ht="18" x14ac:dyDescent="0.45">
      <c r="A15" s="102">
        <f t="shared" si="2"/>
        <v>11</v>
      </c>
      <c r="B15" s="86" t="s">
        <v>28</v>
      </c>
      <c r="C15" s="86" t="str">
        <f t="shared" si="3"/>
        <v>بین 5 تا 10 سال</v>
      </c>
      <c r="D15" s="86"/>
      <c r="E15" s="106" t="e">
        <f t="shared" si="0"/>
        <v>#DIV/0!</v>
      </c>
      <c r="F15" s="100"/>
      <c r="G15" s="100">
        <v>60</v>
      </c>
      <c r="H15" s="109" t="e">
        <f t="shared" si="1"/>
        <v>#DIV/0!</v>
      </c>
      <c r="I15" s="239"/>
      <c r="J15" s="239"/>
      <c r="K15" s="235"/>
      <c r="L15" s="235"/>
    </row>
    <row r="16" spans="1:12" s="7" customFormat="1" ht="18" x14ac:dyDescent="0.45">
      <c r="A16" s="102">
        <f t="shared" si="2"/>
        <v>12</v>
      </c>
      <c r="B16" s="86" t="s">
        <v>28</v>
      </c>
      <c r="C16" s="86" t="str">
        <f t="shared" si="3"/>
        <v>زیر 5 سال</v>
      </c>
      <c r="D16" s="86"/>
      <c r="E16" s="106" t="e">
        <f t="shared" si="0"/>
        <v>#DIV/0!</v>
      </c>
      <c r="F16" s="107"/>
      <c r="G16" s="100">
        <v>60</v>
      </c>
      <c r="H16" s="109" t="e">
        <f t="shared" si="1"/>
        <v>#DIV/0!</v>
      </c>
      <c r="I16" s="239"/>
      <c r="J16" s="239"/>
      <c r="K16" s="235"/>
      <c r="L16" s="235"/>
    </row>
    <row r="17" spans="1:12" s="7" customFormat="1" ht="19.149999999999999" customHeight="1" x14ac:dyDescent="0.45">
      <c r="A17" s="102">
        <f t="shared" si="2"/>
        <v>13</v>
      </c>
      <c r="B17" s="86" t="s">
        <v>22</v>
      </c>
      <c r="C17" s="86" t="str">
        <f t="shared" si="3"/>
        <v>بالاتر از 25 سال</v>
      </c>
      <c r="D17" s="86"/>
      <c r="E17" s="106" t="e">
        <f t="shared" si="0"/>
        <v>#DIV/0!</v>
      </c>
      <c r="F17" s="100"/>
      <c r="G17" s="100">
        <v>60</v>
      </c>
      <c r="H17" s="109" t="e">
        <f t="shared" si="1"/>
        <v>#DIV/0!</v>
      </c>
      <c r="I17" s="239"/>
      <c r="J17" s="239"/>
      <c r="K17" s="235"/>
      <c r="L17" s="235"/>
    </row>
    <row r="18" spans="1:12" s="7" customFormat="1" ht="19.149999999999999" customHeight="1" x14ac:dyDescent="0.45">
      <c r="A18" s="102">
        <f t="shared" si="2"/>
        <v>14</v>
      </c>
      <c r="B18" s="86" t="s">
        <v>22</v>
      </c>
      <c r="C18" s="86" t="str">
        <f t="shared" si="3"/>
        <v>بین 20 تا 25 سال</v>
      </c>
      <c r="D18" s="86"/>
      <c r="E18" s="106" t="e">
        <f t="shared" si="0"/>
        <v>#DIV/0!</v>
      </c>
      <c r="F18" s="100"/>
      <c r="G18" s="100">
        <v>60</v>
      </c>
      <c r="H18" s="109" t="e">
        <f t="shared" si="1"/>
        <v>#DIV/0!</v>
      </c>
      <c r="I18" s="239"/>
      <c r="J18" s="239"/>
      <c r="K18" s="235"/>
      <c r="L18" s="235"/>
    </row>
    <row r="19" spans="1:12" s="7" customFormat="1" ht="18" x14ac:dyDescent="0.45">
      <c r="A19" s="102">
        <f t="shared" si="2"/>
        <v>15</v>
      </c>
      <c r="B19" s="86" t="s">
        <v>22</v>
      </c>
      <c r="C19" s="86" t="str">
        <f t="shared" si="3"/>
        <v>بین 15 تا 20 سال</v>
      </c>
      <c r="D19" s="86"/>
      <c r="E19" s="106" t="e">
        <f t="shared" si="0"/>
        <v>#DIV/0!</v>
      </c>
      <c r="F19" s="107"/>
      <c r="G19" s="100">
        <v>60</v>
      </c>
      <c r="H19" s="109" t="e">
        <f t="shared" si="1"/>
        <v>#DIV/0!</v>
      </c>
      <c r="I19" s="22"/>
      <c r="J19" s="22"/>
      <c r="K19" s="22"/>
      <c r="L19" s="22"/>
    </row>
    <row r="20" spans="1:12" s="7" customFormat="1" ht="15" customHeight="1" x14ac:dyDescent="0.45">
      <c r="A20" s="102">
        <f t="shared" si="2"/>
        <v>16</v>
      </c>
      <c r="B20" s="86" t="s">
        <v>22</v>
      </c>
      <c r="C20" s="86" t="str">
        <f t="shared" si="3"/>
        <v>بین 10 تا 15 سال</v>
      </c>
      <c r="D20" s="86"/>
      <c r="E20" s="106" t="e">
        <f t="shared" si="0"/>
        <v>#DIV/0!</v>
      </c>
      <c r="F20" s="107"/>
      <c r="G20" s="100">
        <v>60</v>
      </c>
      <c r="H20" s="109" t="e">
        <f t="shared" si="1"/>
        <v>#DIV/0!</v>
      </c>
      <c r="I20" s="22"/>
      <c r="J20" s="22"/>
      <c r="K20" s="22"/>
      <c r="L20" s="22"/>
    </row>
    <row r="21" spans="1:12" s="7" customFormat="1" ht="21" customHeight="1" x14ac:dyDescent="0.45">
      <c r="A21" s="102">
        <f t="shared" si="2"/>
        <v>17</v>
      </c>
      <c r="B21" s="86" t="s">
        <v>22</v>
      </c>
      <c r="C21" s="86" t="str">
        <f t="shared" si="3"/>
        <v>بین 5 تا 10 سال</v>
      </c>
      <c r="D21" s="86"/>
      <c r="E21" s="106" t="e">
        <f t="shared" si="0"/>
        <v>#DIV/0!</v>
      </c>
      <c r="F21" s="107"/>
      <c r="G21" s="100">
        <v>60</v>
      </c>
      <c r="H21" s="109" t="e">
        <f t="shared" si="1"/>
        <v>#DIV/0!</v>
      </c>
      <c r="I21" s="22"/>
      <c r="J21" s="22"/>
      <c r="K21" s="22"/>
      <c r="L21" s="22"/>
    </row>
    <row r="22" spans="1:12" s="7" customFormat="1" ht="19.149999999999999" customHeight="1" x14ac:dyDescent="0.45">
      <c r="A22" s="102">
        <f t="shared" si="2"/>
        <v>18</v>
      </c>
      <c r="B22" s="86" t="s">
        <v>22</v>
      </c>
      <c r="C22" s="86" t="str">
        <f t="shared" si="3"/>
        <v>زیر 5 سال</v>
      </c>
      <c r="D22" s="86"/>
      <c r="E22" s="106" t="e">
        <f t="shared" si="0"/>
        <v>#DIV/0!</v>
      </c>
      <c r="F22" s="107"/>
      <c r="G22" s="100">
        <v>60</v>
      </c>
      <c r="H22" s="109" t="e">
        <f t="shared" si="1"/>
        <v>#DIV/0!</v>
      </c>
      <c r="I22" s="22"/>
      <c r="J22" s="22"/>
      <c r="K22" s="22"/>
      <c r="L22" s="22"/>
    </row>
    <row r="23" spans="1:12" s="7" customFormat="1" ht="21" customHeight="1" x14ac:dyDescent="0.45">
      <c r="A23" s="102">
        <f t="shared" si="2"/>
        <v>19</v>
      </c>
      <c r="B23" s="86" t="s">
        <v>29</v>
      </c>
      <c r="C23" s="86" t="str">
        <f t="shared" si="3"/>
        <v>بالاتر از 25 سال</v>
      </c>
      <c r="D23" s="86"/>
      <c r="E23" s="106" t="e">
        <f t="shared" si="0"/>
        <v>#DIV/0!</v>
      </c>
      <c r="F23" s="100"/>
      <c r="G23" s="100">
        <v>60</v>
      </c>
      <c r="H23" s="109" t="e">
        <f t="shared" si="1"/>
        <v>#DIV/0!</v>
      </c>
      <c r="I23" s="22"/>
      <c r="J23" s="22"/>
      <c r="K23" s="22"/>
      <c r="L23" s="22"/>
    </row>
    <row r="24" spans="1:12" ht="15" customHeight="1" x14ac:dyDescent="0.45">
      <c r="A24" s="102">
        <f t="shared" si="2"/>
        <v>20</v>
      </c>
      <c r="B24" s="86" t="s">
        <v>29</v>
      </c>
      <c r="C24" s="86" t="str">
        <f t="shared" si="3"/>
        <v>بین 20 تا 25 سال</v>
      </c>
      <c r="D24" s="86"/>
      <c r="E24" s="106" t="e">
        <f t="shared" si="0"/>
        <v>#DIV/0!</v>
      </c>
      <c r="F24" s="100"/>
      <c r="G24" s="100">
        <v>60</v>
      </c>
      <c r="H24" s="109" t="e">
        <f t="shared" si="1"/>
        <v>#DIV/0!</v>
      </c>
    </row>
    <row r="25" spans="1:12" ht="15" customHeight="1" x14ac:dyDescent="0.45">
      <c r="A25" s="102">
        <f t="shared" si="2"/>
        <v>21</v>
      </c>
      <c r="B25" s="86" t="s">
        <v>29</v>
      </c>
      <c r="C25" s="86" t="str">
        <f t="shared" si="3"/>
        <v>بین 15 تا 20 سال</v>
      </c>
      <c r="D25" s="86"/>
      <c r="E25" s="106" t="e">
        <f t="shared" si="0"/>
        <v>#DIV/0!</v>
      </c>
      <c r="F25" s="100"/>
      <c r="G25" s="100">
        <v>60</v>
      </c>
      <c r="H25" s="109" t="e">
        <f t="shared" si="1"/>
        <v>#DIV/0!</v>
      </c>
    </row>
    <row r="26" spans="1:12" ht="15" customHeight="1" x14ac:dyDescent="0.45">
      <c r="A26" s="102">
        <f t="shared" si="2"/>
        <v>22</v>
      </c>
      <c r="B26" s="86" t="s">
        <v>29</v>
      </c>
      <c r="C26" s="86" t="str">
        <f t="shared" si="3"/>
        <v>بین 10 تا 15 سال</v>
      </c>
      <c r="D26" s="86"/>
      <c r="E26" s="106" t="e">
        <f t="shared" si="0"/>
        <v>#DIV/0!</v>
      </c>
      <c r="F26" s="107"/>
      <c r="G26" s="100">
        <v>60</v>
      </c>
      <c r="H26" s="109" t="e">
        <f t="shared" si="1"/>
        <v>#DIV/0!</v>
      </c>
    </row>
    <row r="27" spans="1:12" ht="15" customHeight="1" x14ac:dyDescent="0.45">
      <c r="A27" s="102">
        <f t="shared" si="2"/>
        <v>23</v>
      </c>
      <c r="B27" s="86" t="s">
        <v>29</v>
      </c>
      <c r="C27" s="86" t="str">
        <f t="shared" si="3"/>
        <v>بین 5 تا 10 سال</v>
      </c>
      <c r="D27" s="86"/>
      <c r="E27" s="106" t="e">
        <f t="shared" si="0"/>
        <v>#DIV/0!</v>
      </c>
      <c r="F27" s="107"/>
      <c r="G27" s="100">
        <v>60</v>
      </c>
      <c r="H27" s="109" t="e">
        <f t="shared" si="1"/>
        <v>#DIV/0!</v>
      </c>
    </row>
    <row r="28" spans="1:12" ht="15" customHeight="1" x14ac:dyDescent="0.45">
      <c r="A28" s="102">
        <f t="shared" si="2"/>
        <v>24</v>
      </c>
      <c r="B28" s="86" t="s">
        <v>29</v>
      </c>
      <c r="C28" s="86" t="str">
        <f t="shared" si="3"/>
        <v>زیر 5 سال</v>
      </c>
      <c r="D28" s="86"/>
      <c r="E28" s="106" t="e">
        <f t="shared" si="0"/>
        <v>#DIV/0!</v>
      </c>
      <c r="F28" s="107"/>
      <c r="G28" s="100">
        <v>60</v>
      </c>
      <c r="H28" s="109" t="e">
        <f t="shared" si="1"/>
        <v>#DIV/0!</v>
      </c>
    </row>
    <row r="29" spans="1:12" ht="15" customHeight="1" x14ac:dyDescent="0.45">
      <c r="A29" s="102">
        <f t="shared" si="2"/>
        <v>25</v>
      </c>
      <c r="B29" s="86" t="s">
        <v>324</v>
      </c>
      <c r="C29" s="86" t="str">
        <f t="shared" si="3"/>
        <v>بالاتر از 25 سال</v>
      </c>
      <c r="D29" s="86"/>
      <c r="E29" s="106" t="e">
        <f t="shared" si="0"/>
        <v>#DIV/0!</v>
      </c>
      <c r="F29" s="100"/>
      <c r="G29" s="100">
        <v>60</v>
      </c>
      <c r="H29" s="109" t="e">
        <f t="shared" si="1"/>
        <v>#DIV/0!</v>
      </c>
    </row>
    <row r="30" spans="1:12" ht="18" x14ac:dyDescent="0.45">
      <c r="A30" s="102">
        <f t="shared" si="2"/>
        <v>26</v>
      </c>
      <c r="B30" s="86" t="s">
        <v>324</v>
      </c>
      <c r="C30" s="86" t="str">
        <f t="shared" si="3"/>
        <v>بین 20 تا 25 سال</v>
      </c>
      <c r="D30" s="86"/>
      <c r="E30" s="106" t="e">
        <f t="shared" si="0"/>
        <v>#DIV/0!</v>
      </c>
      <c r="F30" s="100"/>
      <c r="G30" s="100">
        <v>60</v>
      </c>
      <c r="H30" s="109" t="e">
        <f t="shared" si="1"/>
        <v>#DIV/0!</v>
      </c>
    </row>
    <row r="31" spans="1:12" ht="18" x14ac:dyDescent="0.45">
      <c r="A31" s="102">
        <f t="shared" si="2"/>
        <v>27</v>
      </c>
      <c r="B31" s="86" t="s">
        <v>324</v>
      </c>
      <c r="C31" s="86" t="str">
        <f t="shared" si="3"/>
        <v>بین 15 تا 20 سال</v>
      </c>
      <c r="D31" s="86"/>
      <c r="E31" s="106" t="e">
        <f t="shared" si="0"/>
        <v>#DIV/0!</v>
      </c>
      <c r="F31" s="108"/>
      <c r="G31" s="100">
        <v>60</v>
      </c>
      <c r="H31" s="109" t="e">
        <f t="shared" si="1"/>
        <v>#DIV/0!</v>
      </c>
    </row>
    <row r="32" spans="1:12" ht="18" x14ac:dyDescent="0.45">
      <c r="A32" s="102">
        <f t="shared" si="2"/>
        <v>28</v>
      </c>
      <c r="B32" s="86" t="s">
        <v>324</v>
      </c>
      <c r="C32" s="86" t="str">
        <f t="shared" si="3"/>
        <v>بین 10 تا 15 سال</v>
      </c>
      <c r="D32" s="86"/>
      <c r="E32" s="106" t="e">
        <f t="shared" si="0"/>
        <v>#DIV/0!</v>
      </c>
      <c r="F32" s="108"/>
      <c r="G32" s="100">
        <v>60</v>
      </c>
      <c r="H32" s="109" t="e">
        <f t="shared" si="1"/>
        <v>#DIV/0!</v>
      </c>
    </row>
    <row r="33" spans="1:12" ht="18.75" thickBot="1" x14ac:dyDescent="0.5">
      <c r="A33" s="274">
        <f t="shared" si="2"/>
        <v>29</v>
      </c>
      <c r="B33" s="275" t="s">
        <v>324</v>
      </c>
      <c r="C33" s="275" t="str">
        <f t="shared" si="3"/>
        <v>بین 5 تا 10 سال</v>
      </c>
      <c r="D33" s="275"/>
      <c r="E33" s="276" t="e">
        <f t="shared" si="0"/>
        <v>#DIV/0!</v>
      </c>
      <c r="F33" s="277"/>
      <c r="G33" s="100">
        <v>60</v>
      </c>
      <c r="H33" s="278" t="e">
        <f t="shared" si="1"/>
        <v>#DIV/0!</v>
      </c>
    </row>
    <row r="34" spans="1:12" ht="28.5" customHeight="1" x14ac:dyDescent="0.6">
      <c r="A34" s="1584" t="s">
        <v>338</v>
      </c>
      <c r="B34" s="1585"/>
      <c r="C34" s="1585"/>
      <c r="D34" s="1585"/>
      <c r="E34" s="1585"/>
      <c r="F34" s="1585"/>
      <c r="G34" s="1585"/>
      <c r="H34" s="1586"/>
      <c r="I34" s="238"/>
      <c r="J34" s="238"/>
      <c r="K34" s="234"/>
      <c r="L34" s="234"/>
    </row>
    <row r="35" spans="1:12" ht="47.45" customHeight="1" thickBot="1" x14ac:dyDescent="0.55000000000000004">
      <c r="A35" s="110" t="s">
        <v>38</v>
      </c>
      <c r="B35" s="111" t="s">
        <v>339</v>
      </c>
      <c r="C35" s="111" t="s">
        <v>349</v>
      </c>
      <c r="D35" s="111" t="s">
        <v>47</v>
      </c>
      <c r="E35" s="111" t="s">
        <v>340</v>
      </c>
      <c r="F35" s="111" t="s">
        <v>341</v>
      </c>
      <c r="G35" s="111" t="s">
        <v>342</v>
      </c>
      <c r="H35" s="112" t="s">
        <v>15</v>
      </c>
      <c r="I35" s="218"/>
      <c r="J35" s="218"/>
      <c r="K35" s="234"/>
      <c r="L35" s="234"/>
    </row>
    <row r="36" spans="1:12" ht="18" x14ac:dyDescent="0.45">
      <c r="A36" s="102">
        <f>A33+1</f>
        <v>30</v>
      </c>
      <c r="B36" s="86" t="s">
        <v>324</v>
      </c>
      <c r="C36" s="86" t="str">
        <f t="shared" ref="C36:C41" si="4">C28</f>
        <v>زیر 5 سال</v>
      </c>
      <c r="D36" s="86"/>
      <c r="E36" s="106" t="e">
        <f t="shared" ref="E36:E42" si="5">D36/$D$43</f>
        <v>#DIV/0!</v>
      </c>
      <c r="F36" s="108"/>
      <c r="G36" s="100">
        <v>60</v>
      </c>
      <c r="H36" s="109" t="e">
        <f t="shared" si="1"/>
        <v>#DIV/0!</v>
      </c>
    </row>
    <row r="37" spans="1:12" ht="18" x14ac:dyDescent="0.45">
      <c r="A37" s="102">
        <f>A36+1</f>
        <v>31</v>
      </c>
      <c r="B37" s="86" t="s">
        <v>350</v>
      </c>
      <c r="C37" s="86" t="str">
        <f t="shared" si="4"/>
        <v>بالاتر از 25 سال</v>
      </c>
      <c r="D37" s="86"/>
      <c r="E37" s="106" t="e">
        <f t="shared" si="5"/>
        <v>#DIV/0!</v>
      </c>
      <c r="F37" s="100"/>
      <c r="G37" s="100">
        <v>60</v>
      </c>
      <c r="H37" s="109" t="e">
        <f t="shared" si="1"/>
        <v>#DIV/0!</v>
      </c>
    </row>
    <row r="38" spans="1:12" ht="18" x14ac:dyDescent="0.45">
      <c r="A38" s="102">
        <f t="shared" si="2"/>
        <v>32</v>
      </c>
      <c r="B38" s="86" t="s">
        <v>350</v>
      </c>
      <c r="C38" s="86" t="str">
        <f t="shared" si="4"/>
        <v>بین 20 تا 25 سال</v>
      </c>
      <c r="D38" s="86"/>
      <c r="E38" s="106" t="e">
        <f t="shared" si="5"/>
        <v>#DIV/0!</v>
      </c>
      <c r="F38" s="100"/>
      <c r="G38" s="100">
        <v>60</v>
      </c>
      <c r="H38" s="109" t="e">
        <f t="shared" si="1"/>
        <v>#DIV/0!</v>
      </c>
    </row>
    <row r="39" spans="1:12" ht="18" x14ac:dyDescent="0.45">
      <c r="A39" s="102">
        <f t="shared" si="2"/>
        <v>33</v>
      </c>
      <c r="B39" s="86" t="s">
        <v>350</v>
      </c>
      <c r="C39" s="86" t="str">
        <f t="shared" si="4"/>
        <v>بین 15 تا 20 سال</v>
      </c>
      <c r="D39" s="86"/>
      <c r="E39" s="106" t="e">
        <f t="shared" si="5"/>
        <v>#DIV/0!</v>
      </c>
      <c r="F39" s="100"/>
      <c r="G39" s="100">
        <v>60</v>
      </c>
      <c r="H39" s="109" t="e">
        <f t="shared" si="1"/>
        <v>#DIV/0!</v>
      </c>
    </row>
    <row r="40" spans="1:12" ht="18" x14ac:dyDescent="0.45">
      <c r="A40" s="102">
        <f t="shared" si="2"/>
        <v>34</v>
      </c>
      <c r="B40" s="86" t="s">
        <v>350</v>
      </c>
      <c r="C40" s="86" t="str">
        <f t="shared" si="4"/>
        <v>بین 10 تا 15 سال</v>
      </c>
      <c r="D40" s="86"/>
      <c r="E40" s="106" t="e">
        <f t="shared" si="5"/>
        <v>#DIV/0!</v>
      </c>
      <c r="F40" s="100"/>
      <c r="G40" s="100">
        <v>60</v>
      </c>
      <c r="H40" s="109" t="e">
        <f t="shared" si="1"/>
        <v>#DIV/0!</v>
      </c>
    </row>
    <row r="41" spans="1:12" ht="15" customHeight="1" x14ac:dyDescent="0.45">
      <c r="A41" s="102">
        <f t="shared" si="2"/>
        <v>35</v>
      </c>
      <c r="B41" s="86" t="s">
        <v>350</v>
      </c>
      <c r="C41" s="86" t="str">
        <f t="shared" si="4"/>
        <v>بین 5 تا 10 سال</v>
      </c>
      <c r="D41" s="86"/>
      <c r="E41" s="106" t="e">
        <f t="shared" si="5"/>
        <v>#DIV/0!</v>
      </c>
      <c r="F41" s="108"/>
      <c r="G41" s="100">
        <v>60</v>
      </c>
      <c r="H41" s="109" t="e">
        <f t="shared" si="1"/>
        <v>#DIV/0!</v>
      </c>
    </row>
    <row r="42" spans="1:12" ht="15" customHeight="1" thickBot="1" x14ac:dyDescent="0.5">
      <c r="A42" s="102">
        <f t="shared" si="2"/>
        <v>36</v>
      </c>
      <c r="B42" s="86" t="s">
        <v>350</v>
      </c>
      <c r="C42" s="86" t="str">
        <f>C36</f>
        <v>زیر 5 سال</v>
      </c>
      <c r="D42" s="86"/>
      <c r="E42" s="106" t="e">
        <f t="shared" si="5"/>
        <v>#DIV/0!</v>
      </c>
      <c r="F42" s="108"/>
      <c r="G42" s="100">
        <v>60</v>
      </c>
      <c r="H42" s="109" t="e">
        <f t="shared" si="1"/>
        <v>#DIV/0!</v>
      </c>
    </row>
    <row r="43" spans="1:12" ht="34.15" customHeight="1" thickBot="1" x14ac:dyDescent="0.3">
      <c r="A43" s="1485" t="s">
        <v>343</v>
      </c>
      <c r="B43" s="1486"/>
      <c r="C43" s="1486"/>
      <c r="D43" s="181">
        <f>SUM(D5:D42)</f>
        <v>0</v>
      </c>
      <c r="E43" s="272" t="e">
        <f>SUM(E5:E42)</f>
        <v>#DIV/0!</v>
      </c>
      <c r="F43" s="1587" t="s">
        <v>257</v>
      </c>
      <c r="G43" s="1587"/>
      <c r="H43" s="273" t="e">
        <f>SUM(H5:H42)</f>
        <v>#DIV/0!</v>
      </c>
    </row>
    <row r="45" spans="1:12" ht="15" customHeight="1" x14ac:dyDescent="0.55000000000000004">
      <c r="A45" s="27"/>
      <c r="B45" s="105"/>
      <c r="C45" s="27"/>
      <c r="D45" s="27"/>
      <c r="E45" s="27"/>
      <c r="F45" s="27"/>
      <c r="G45" s="27"/>
      <c r="H45" s="27"/>
      <c r="I45" s="204"/>
      <c r="J45" s="204"/>
      <c r="K45" s="204"/>
      <c r="L45" s="204"/>
    </row>
    <row r="46" spans="1:12" ht="15" customHeight="1" x14ac:dyDescent="0.5">
      <c r="A46" s="13"/>
      <c r="B46" s="24"/>
      <c r="C46" s="24"/>
      <c r="D46" s="24"/>
      <c r="E46" s="24"/>
      <c r="F46" s="24"/>
      <c r="G46" s="24"/>
      <c r="H46" s="24"/>
      <c r="I46" s="223"/>
      <c r="J46" s="223"/>
      <c r="K46" s="204"/>
      <c r="L46" s="204"/>
    </row>
    <row r="47" spans="1:12" ht="15" customHeight="1" x14ac:dyDescent="0.45">
      <c r="A47" s="13"/>
      <c r="B47" s="25"/>
      <c r="C47" s="25"/>
      <c r="D47" s="25"/>
      <c r="E47" s="25"/>
      <c r="F47" s="25"/>
      <c r="G47" s="25"/>
      <c r="H47" s="25"/>
      <c r="I47" s="224"/>
      <c r="J47" s="224"/>
      <c r="K47" s="219"/>
      <c r="L47" s="219"/>
    </row>
    <row r="48" spans="1:12" ht="15" customHeight="1" x14ac:dyDescent="0.45">
      <c r="A48" s="13"/>
      <c r="B48" s="25"/>
      <c r="C48" s="25"/>
      <c r="D48" s="25"/>
      <c r="E48" s="25"/>
      <c r="F48" s="25"/>
      <c r="G48" s="25"/>
      <c r="H48" s="25"/>
      <c r="I48" s="224"/>
      <c r="J48" s="224"/>
      <c r="K48" s="219"/>
      <c r="L48" s="219"/>
    </row>
    <row r="49" spans="1:12" ht="15" customHeight="1" x14ac:dyDescent="0.45">
      <c r="A49" s="13"/>
      <c r="B49" s="25"/>
      <c r="C49" s="25"/>
      <c r="D49" s="25"/>
      <c r="E49" s="25"/>
      <c r="F49" s="25"/>
      <c r="G49" s="25"/>
      <c r="H49" s="25"/>
      <c r="I49" s="224"/>
      <c r="J49" s="224"/>
      <c r="K49" s="219"/>
      <c r="L49" s="219"/>
    </row>
    <row r="50" spans="1:12" ht="15" customHeight="1" x14ac:dyDescent="0.45">
      <c r="A50" s="13"/>
      <c r="B50" s="25"/>
      <c r="C50" s="25"/>
      <c r="D50" s="25"/>
      <c r="E50" s="25"/>
      <c r="F50" s="25"/>
      <c r="G50" s="25"/>
      <c r="H50" s="25"/>
      <c r="I50" s="224"/>
      <c r="J50" s="224"/>
      <c r="K50" s="219"/>
      <c r="L50" s="219"/>
    </row>
    <row r="51" spans="1:12" ht="15" customHeight="1" x14ac:dyDescent="0.45">
      <c r="A51" s="13"/>
      <c r="B51" s="25"/>
      <c r="C51" s="25"/>
      <c r="D51" s="25"/>
      <c r="E51" s="25"/>
      <c r="F51" s="25"/>
      <c r="G51" s="25"/>
      <c r="H51" s="25"/>
      <c r="I51" s="224"/>
      <c r="J51" s="224"/>
      <c r="K51" s="219"/>
      <c r="L51" s="219"/>
    </row>
    <row r="52" spans="1:12" ht="15" customHeight="1" x14ac:dyDescent="0.45">
      <c r="A52" s="13"/>
      <c r="B52" s="25"/>
      <c r="C52" s="25"/>
      <c r="D52" s="25"/>
      <c r="E52" s="25"/>
      <c r="F52" s="25"/>
      <c r="G52" s="25"/>
      <c r="H52" s="25"/>
      <c r="I52" s="224"/>
      <c r="J52" s="224"/>
      <c r="K52" s="219"/>
      <c r="L52" s="219"/>
    </row>
    <row r="53" spans="1:12" ht="15" customHeight="1" x14ac:dyDescent="0.45">
      <c r="A53" s="13"/>
      <c r="B53" s="25"/>
      <c r="C53" s="25"/>
      <c r="D53" s="25"/>
      <c r="E53" s="25"/>
      <c r="F53" s="25"/>
      <c r="G53" s="25"/>
      <c r="H53" s="25"/>
      <c r="I53" s="224"/>
      <c r="J53" s="224"/>
      <c r="K53" s="219"/>
      <c r="L53" s="219"/>
    </row>
    <row r="54" spans="1:12" ht="15" customHeight="1" x14ac:dyDescent="0.45">
      <c r="A54" s="13"/>
      <c r="B54" s="25"/>
      <c r="C54" s="25"/>
      <c r="D54" s="25"/>
      <c r="E54" s="25"/>
      <c r="F54" s="25"/>
      <c r="G54" s="25"/>
      <c r="H54" s="25"/>
      <c r="I54" s="224"/>
      <c r="J54" s="224"/>
      <c r="K54" s="219"/>
      <c r="L54" s="219"/>
    </row>
  </sheetData>
  <mergeCells count="4">
    <mergeCell ref="A3:H3"/>
    <mergeCell ref="A43:C43"/>
    <mergeCell ref="F43:G43"/>
    <mergeCell ref="A34:H34"/>
  </mergeCells>
  <dataValidations count="2">
    <dataValidation type="list" allowBlank="1" showInputMessage="1" showErrorMessage="1" sqref="D6:D8 D11">
      <formula1>$D$21:$H$21</formula1>
    </dataValidation>
    <dataValidation type="list" allowBlank="1" showInputMessage="1" showErrorMessage="1" sqref="D9:D10 D12:D15">
      <formula1>$C$21:$H$21</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92D050"/>
  </sheetPr>
  <dimension ref="A1:O49"/>
  <sheetViews>
    <sheetView rightToLeft="1" topLeftCell="B10" zoomScaleNormal="100" workbookViewId="0">
      <selection activeCell="B12" sqref="B12:J12"/>
    </sheetView>
  </sheetViews>
  <sheetFormatPr defaultColWidth="8.85546875" defaultRowHeight="15" x14ac:dyDescent="0.25"/>
  <cols>
    <col min="1" max="1" width="93.7109375" style="6" customWidth="1"/>
    <col min="2" max="2" width="7.28515625" style="6" customWidth="1"/>
    <col min="3" max="3" width="5.7109375" style="6" customWidth="1"/>
    <col min="4" max="4" width="13.42578125" style="6" customWidth="1"/>
    <col min="5" max="5" width="8.28515625" style="6" customWidth="1"/>
    <col min="6" max="9" width="10.140625" style="6" customWidth="1"/>
    <col min="10" max="10" width="14.28515625" style="6" bestFit="1" customWidth="1"/>
    <col min="11" max="11" width="33" style="194" customWidth="1"/>
    <col min="12" max="12" width="9" style="6" hidden="1" customWidth="1"/>
    <col min="13" max="16384" width="8.85546875" style="6"/>
  </cols>
  <sheetData>
    <row r="1" spans="1:15" ht="45" customHeight="1" x14ac:dyDescent="0.25">
      <c r="A1" s="170"/>
      <c r="B1" s="170"/>
      <c r="C1" s="170"/>
      <c r="D1" s="170"/>
      <c r="E1" s="170"/>
      <c r="F1" s="170"/>
      <c r="G1" s="170"/>
      <c r="H1" s="170"/>
      <c r="I1" s="170"/>
      <c r="J1" s="170"/>
    </row>
    <row r="2" spans="1:15" ht="38.450000000000003" customHeight="1" thickBot="1" x14ac:dyDescent="0.55000000000000004">
      <c r="A2" s="171"/>
      <c r="B2" s="34"/>
      <c r="C2" s="34"/>
      <c r="D2" s="34"/>
      <c r="E2" s="34"/>
      <c r="F2" s="170"/>
      <c r="G2" s="170"/>
      <c r="H2" s="170"/>
      <c r="I2" s="170"/>
      <c r="J2" s="170"/>
    </row>
    <row r="3" spans="1:15" ht="28.5" customHeight="1" x14ac:dyDescent="0.25">
      <c r="A3" s="170"/>
      <c r="B3" s="1545" t="s">
        <v>351</v>
      </c>
      <c r="C3" s="1546"/>
      <c r="D3" s="1546"/>
      <c r="E3" s="1546"/>
      <c r="F3" s="1546"/>
      <c r="G3" s="1546"/>
      <c r="H3" s="1546"/>
      <c r="I3" s="1546"/>
      <c r="J3" s="1547"/>
      <c r="K3" s="279"/>
      <c r="L3" s="65"/>
    </row>
    <row r="4" spans="1:15" ht="39" x14ac:dyDescent="0.25">
      <c r="A4" s="172"/>
      <c r="B4" s="127" t="s">
        <v>38</v>
      </c>
      <c r="C4" s="1590" t="s">
        <v>78</v>
      </c>
      <c r="D4" s="1590"/>
      <c r="E4" s="1590"/>
      <c r="F4" s="128" t="s">
        <v>262</v>
      </c>
      <c r="G4" s="128" t="s">
        <v>352</v>
      </c>
      <c r="H4" s="128" t="s">
        <v>15</v>
      </c>
      <c r="I4" s="128" t="s">
        <v>264</v>
      </c>
      <c r="J4" s="129" t="s">
        <v>265</v>
      </c>
      <c r="K4" s="279"/>
      <c r="L4" s="65"/>
    </row>
    <row r="5" spans="1:15" ht="19.149999999999999" customHeight="1" x14ac:dyDescent="0.25">
      <c r="A5" s="170"/>
      <c r="B5" s="113">
        <v>1</v>
      </c>
      <c r="C5" s="1592" t="s">
        <v>353</v>
      </c>
      <c r="D5" s="1592"/>
      <c r="E5" s="1592"/>
      <c r="F5" s="114">
        <f>'14.تولید'!G25</f>
        <v>0.3016673129119814</v>
      </c>
      <c r="G5" s="115">
        <f>'زمینه ها'!C12</f>
        <v>0.4</v>
      </c>
      <c r="H5" s="116">
        <f>IF(F5&lt;=G5,1,1-((F5-G5)/G5))</f>
        <v>1</v>
      </c>
      <c r="I5" s="115">
        <v>0.7</v>
      </c>
      <c r="J5" s="117">
        <f>I5*H5</f>
        <v>0.7</v>
      </c>
      <c r="K5" s="279"/>
      <c r="L5" s="65"/>
    </row>
    <row r="6" spans="1:15" s="7" customFormat="1" ht="19.149999999999999" customHeight="1" x14ac:dyDescent="0.25">
      <c r="A6" s="173"/>
      <c r="B6" s="113">
        <v>2</v>
      </c>
      <c r="C6" s="1592" t="s">
        <v>354</v>
      </c>
      <c r="D6" s="1592"/>
      <c r="E6" s="1592"/>
      <c r="F6" s="126">
        <f>'[23]هزینه ثابت و متغیر'!$C$2/'[23]بهره وری'!$D$11</f>
        <v>556.73394495412845</v>
      </c>
      <c r="G6" s="469">
        <f>26*20</f>
        <v>520</v>
      </c>
      <c r="H6" s="116">
        <f>IF(F6&lt;=G6,1,1-((F6-G6)/G6))</f>
        <v>0.92935779816513764</v>
      </c>
      <c r="I6" s="115">
        <v>0.3</v>
      </c>
      <c r="J6" s="117">
        <f>I6*H6</f>
        <v>0.27880733944954128</v>
      </c>
      <c r="K6" s="279"/>
      <c r="L6" s="65"/>
    </row>
    <row r="7" spans="1:15" s="7" customFormat="1" ht="19.149999999999999" customHeight="1" thickBot="1" x14ac:dyDescent="0.3">
      <c r="A7" s="174"/>
      <c r="B7" s="1593" t="s">
        <v>62</v>
      </c>
      <c r="C7" s="1594"/>
      <c r="D7" s="1594"/>
      <c r="E7" s="1594"/>
      <c r="F7" s="1594"/>
      <c r="G7" s="1594"/>
      <c r="H7" s="1594"/>
      <c r="I7" s="1594"/>
      <c r="J7" s="416">
        <f>MIN(SUMPRODUCT(H5:H6,I5:I6),1)</f>
        <v>0.97880733944954124</v>
      </c>
      <c r="K7" s="1595" t="s">
        <v>468</v>
      </c>
      <c r="L7" s="1595"/>
      <c r="M7" s="1595"/>
      <c r="N7" s="1595"/>
    </row>
    <row r="8" spans="1:15" s="7" customFormat="1" ht="19.149999999999999" customHeight="1" thickBot="1" x14ac:dyDescent="0.3">
      <c r="A8" s="173"/>
      <c r="B8" s="65"/>
      <c r="C8" s="65"/>
      <c r="D8" s="65"/>
      <c r="E8" s="65"/>
      <c r="F8" s="65"/>
      <c r="G8" s="65"/>
      <c r="H8" s="65"/>
      <c r="I8" s="65"/>
      <c r="J8" s="65"/>
      <c r="K8" s="1595"/>
      <c r="L8" s="1595"/>
      <c r="M8" s="1595"/>
      <c r="N8" s="1595"/>
    </row>
    <row r="9" spans="1:15" s="7" customFormat="1" ht="19.149999999999999" customHeight="1" thickBot="1" x14ac:dyDescent="0.55000000000000004">
      <c r="A9" s="173"/>
      <c r="B9" s="1525" t="s">
        <v>355</v>
      </c>
      <c r="C9" s="1526"/>
      <c r="D9" s="1526"/>
      <c r="E9" s="1526"/>
      <c r="F9" s="1526"/>
      <c r="G9" s="1526"/>
      <c r="H9" s="1526"/>
      <c r="I9" s="1526"/>
      <c r="J9" s="1527"/>
      <c r="K9" s="219"/>
      <c r="L9" s="65"/>
      <c r="M9" s="468">
        <v>1399</v>
      </c>
      <c r="N9" s="468">
        <v>1398</v>
      </c>
      <c r="O9" s="468">
        <v>1400</v>
      </c>
    </row>
    <row r="10" spans="1:15" s="7" customFormat="1" ht="39.6" customHeight="1" x14ac:dyDescent="0.45">
      <c r="A10" s="173"/>
      <c r="B10" s="127" t="s">
        <v>38</v>
      </c>
      <c r="C10" s="1590" t="s">
        <v>78</v>
      </c>
      <c r="D10" s="1590"/>
      <c r="E10" s="1590"/>
      <c r="F10" s="1590" t="s">
        <v>262</v>
      </c>
      <c r="G10" s="1590"/>
      <c r="H10" s="128" t="s">
        <v>15</v>
      </c>
      <c r="I10" s="128" t="s">
        <v>264</v>
      </c>
      <c r="J10" s="129" t="s">
        <v>265</v>
      </c>
      <c r="K10" s="279"/>
      <c r="L10" s="119" t="s">
        <v>336</v>
      </c>
      <c r="M10" s="468">
        <v>520</v>
      </c>
      <c r="N10" s="468">
        <v>360</v>
      </c>
      <c r="O10" s="468">
        <v>625</v>
      </c>
    </row>
    <row r="11" spans="1:15" s="7" customFormat="1" ht="19.149999999999999" customHeight="1" thickBot="1" x14ac:dyDescent="0.3">
      <c r="A11" s="173"/>
      <c r="B11" s="120">
        <v>1</v>
      </c>
      <c r="C11" s="1596" t="s">
        <v>356</v>
      </c>
      <c r="D11" s="1596"/>
      <c r="E11" s="1596"/>
      <c r="F11" s="1597">
        <f>[23]RATE1!$F$32</f>
        <v>3.0443396358969796E-2</v>
      </c>
      <c r="G11" s="1597"/>
      <c r="H11" s="121">
        <f>MIN(1,F11/L11)</f>
        <v>0.12177358543587918</v>
      </c>
      <c r="I11" s="121">
        <v>1</v>
      </c>
      <c r="J11" s="122">
        <f>I11*H11</f>
        <v>0.12177358543587918</v>
      </c>
      <c r="K11" s="279"/>
      <c r="L11" s="123">
        <v>0.25</v>
      </c>
    </row>
    <row r="12" spans="1:15" s="7" customFormat="1" ht="19.149999999999999" customHeight="1" thickBot="1" x14ac:dyDescent="0.3">
      <c r="A12" s="173"/>
      <c r="B12" s="1589"/>
      <c r="C12" s="1589"/>
      <c r="D12" s="1589"/>
      <c r="E12" s="1589"/>
      <c r="F12" s="1589"/>
      <c r="G12" s="1589"/>
      <c r="H12" s="1589"/>
      <c r="I12" s="1589"/>
      <c r="J12" s="1589"/>
      <c r="K12" s="279"/>
      <c r="L12" s="65"/>
    </row>
    <row r="13" spans="1:15" s="7" customFormat="1" ht="19.149999999999999" customHeight="1" thickBot="1" x14ac:dyDescent="0.3">
      <c r="A13" s="173"/>
      <c r="B13" s="1545" t="s">
        <v>357</v>
      </c>
      <c r="C13" s="1546"/>
      <c r="D13" s="1546"/>
      <c r="E13" s="1546"/>
      <c r="F13" s="1546"/>
      <c r="G13" s="1546"/>
      <c r="H13" s="1546"/>
      <c r="I13" s="1546"/>
      <c r="J13" s="1547"/>
      <c r="K13" s="279"/>
      <c r="L13" s="65"/>
    </row>
    <row r="14" spans="1:15" s="7" customFormat="1" ht="39" customHeight="1" x14ac:dyDescent="0.25">
      <c r="A14" s="173"/>
      <c r="B14" s="127" t="s">
        <v>38</v>
      </c>
      <c r="C14" s="1590" t="s">
        <v>78</v>
      </c>
      <c r="D14" s="1590"/>
      <c r="E14" s="1590"/>
      <c r="F14" s="1590" t="s">
        <v>262</v>
      </c>
      <c r="G14" s="1590"/>
      <c r="H14" s="128" t="s">
        <v>15</v>
      </c>
      <c r="I14" s="128" t="s">
        <v>264</v>
      </c>
      <c r="J14" s="129" t="s">
        <v>265</v>
      </c>
      <c r="K14" s="279"/>
      <c r="L14" s="119" t="s">
        <v>336</v>
      </c>
    </row>
    <row r="15" spans="1:15" s="7" customFormat="1" ht="19.149999999999999" customHeight="1" thickBot="1" x14ac:dyDescent="0.3">
      <c r="A15" s="173"/>
      <c r="B15" s="67">
        <v>1</v>
      </c>
      <c r="C15" s="1591" t="s">
        <v>358</v>
      </c>
      <c r="D15" s="1591"/>
      <c r="E15" s="1591"/>
      <c r="F15" s="1588">
        <v>1</v>
      </c>
      <c r="G15" s="1588"/>
      <c r="H15" s="124">
        <f>MIN(1,F15/L15)</f>
        <v>1</v>
      </c>
      <c r="I15" s="124">
        <v>1</v>
      </c>
      <c r="J15" s="125">
        <f>I15*H15</f>
        <v>1</v>
      </c>
      <c r="K15" s="279"/>
      <c r="L15" s="123">
        <v>0.7</v>
      </c>
    </row>
    <row r="16" spans="1:15" s="7" customFormat="1" ht="19.149999999999999" customHeight="1" x14ac:dyDescent="0.45">
      <c r="A16" s="173"/>
      <c r="B16" s="29"/>
      <c r="C16" s="183"/>
      <c r="D16" s="183"/>
      <c r="E16" s="183"/>
      <c r="F16" s="183"/>
      <c r="G16" s="183"/>
      <c r="H16" s="183"/>
      <c r="I16" s="31"/>
      <c r="J16" s="31"/>
      <c r="K16" s="235"/>
      <c r="L16" s="32"/>
    </row>
    <row r="17" spans="1:12" s="7" customFormat="1" ht="19.149999999999999" customHeight="1" x14ac:dyDescent="0.45">
      <c r="A17" s="173"/>
      <c r="B17" s="29"/>
      <c r="C17" s="183"/>
      <c r="D17" s="183"/>
      <c r="E17" s="183"/>
      <c r="F17" s="183"/>
      <c r="G17" s="183"/>
      <c r="H17" s="183"/>
      <c r="I17" s="31"/>
      <c r="J17" s="31"/>
      <c r="K17" s="235"/>
      <c r="L17" s="32"/>
    </row>
    <row r="18" spans="1:12" s="7" customFormat="1" ht="19.149999999999999" customHeight="1" x14ac:dyDescent="0.45">
      <c r="A18" s="173"/>
      <c r="B18" s="29"/>
      <c r="C18" s="183"/>
      <c r="D18" s="183"/>
      <c r="E18" s="183"/>
      <c r="F18" s="183"/>
      <c r="G18" s="183"/>
      <c r="H18" s="183"/>
      <c r="I18" s="31"/>
      <c r="J18" s="31"/>
      <c r="K18" s="235"/>
      <c r="L18" s="32"/>
    </row>
    <row r="19" spans="1:12" s="7" customFormat="1" ht="15" customHeight="1" x14ac:dyDescent="0.25">
      <c r="A19" s="173"/>
      <c r="B19" s="173"/>
      <c r="C19" s="173"/>
      <c r="D19" s="33"/>
      <c r="E19" s="33"/>
      <c r="F19" s="33"/>
      <c r="G19" s="33"/>
      <c r="H19" s="33"/>
      <c r="I19" s="33"/>
      <c r="J19" s="173"/>
      <c r="K19" s="236"/>
    </row>
    <row r="20" spans="1:12" s="7" customFormat="1" ht="15" customHeight="1" x14ac:dyDescent="0.45">
      <c r="A20" s="173"/>
      <c r="B20" s="173"/>
      <c r="C20" s="173"/>
      <c r="D20" s="256"/>
      <c r="E20" s="256"/>
      <c r="F20" s="256"/>
      <c r="G20" s="256"/>
      <c r="H20" s="256"/>
      <c r="I20" s="33"/>
      <c r="J20" s="173"/>
      <c r="K20" s="236"/>
    </row>
    <row r="21" spans="1:12" s="7" customFormat="1" ht="21" customHeight="1" x14ac:dyDescent="0.25">
      <c r="A21" s="173"/>
      <c r="B21" s="173"/>
      <c r="C21" s="173"/>
      <c r="D21" s="173"/>
      <c r="E21" s="173"/>
      <c r="F21" s="173"/>
      <c r="G21" s="173"/>
      <c r="H21" s="175"/>
      <c r="I21" s="33"/>
      <c r="J21" s="173"/>
      <c r="K21" s="236"/>
    </row>
    <row r="22" spans="1:12" s="7" customFormat="1" ht="19.149999999999999" customHeight="1" x14ac:dyDescent="0.45">
      <c r="A22" s="173"/>
      <c r="B22" s="173"/>
      <c r="C22" s="173"/>
      <c r="D22" s="173"/>
      <c r="E22" s="173"/>
      <c r="F22" s="173"/>
      <c r="G22" s="173"/>
      <c r="H22" s="176"/>
      <c r="I22" s="33"/>
      <c r="J22" s="173"/>
      <c r="K22" s="236"/>
    </row>
    <row r="23" spans="1:12" s="7" customFormat="1" ht="21" customHeight="1" x14ac:dyDescent="0.25">
      <c r="A23" s="173"/>
      <c r="B23" s="173"/>
      <c r="C23" s="173"/>
      <c r="D23" s="33"/>
      <c r="E23" s="33"/>
      <c r="F23" s="33"/>
      <c r="G23" s="33"/>
      <c r="H23" s="33"/>
      <c r="I23" s="33"/>
      <c r="J23" s="173"/>
      <c r="K23" s="236"/>
    </row>
    <row r="24" spans="1:12" ht="15" customHeight="1" x14ac:dyDescent="0.25">
      <c r="A24" s="170"/>
      <c r="B24" s="177"/>
      <c r="C24" s="177"/>
      <c r="D24" s="173"/>
      <c r="E24" s="257"/>
      <c r="F24" s="257"/>
      <c r="G24" s="257"/>
      <c r="H24" s="257"/>
      <c r="I24" s="257"/>
      <c r="J24" s="170"/>
    </row>
    <row r="25" spans="1:12" ht="15" customHeight="1" x14ac:dyDescent="0.25">
      <c r="A25" s="170"/>
      <c r="B25" s="177"/>
      <c r="C25" s="177"/>
      <c r="D25" s="173"/>
      <c r="E25" s="257"/>
      <c r="F25" s="257"/>
      <c r="G25" s="257"/>
      <c r="H25" s="257"/>
      <c r="I25" s="257"/>
      <c r="J25" s="170"/>
    </row>
    <row r="26" spans="1:12" ht="15" customHeight="1" x14ac:dyDescent="0.25">
      <c r="A26" s="170"/>
      <c r="B26" s="177"/>
      <c r="C26" s="177"/>
      <c r="D26" s="177"/>
      <c r="E26" s="177"/>
      <c r="F26" s="170"/>
      <c r="G26" s="170"/>
      <c r="H26" s="170"/>
      <c r="I26" s="170"/>
      <c r="J26" s="170"/>
    </row>
    <row r="27" spans="1:12" ht="15" customHeight="1" x14ac:dyDescent="0.25">
      <c r="A27" s="170"/>
      <c r="B27" s="177"/>
      <c r="C27" s="177"/>
      <c r="D27" s="177"/>
      <c r="E27" s="177"/>
      <c r="F27" s="170"/>
      <c r="G27" s="170"/>
      <c r="H27" s="170"/>
      <c r="I27" s="170"/>
      <c r="J27" s="170"/>
    </row>
    <row r="28" spans="1:12" ht="15" customHeight="1" x14ac:dyDescent="0.25">
      <c r="A28" s="170"/>
      <c r="B28" s="177"/>
      <c r="C28" s="177"/>
      <c r="D28" s="177"/>
      <c r="E28" s="177"/>
      <c r="F28" s="170"/>
      <c r="G28" s="170"/>
      <c r="H28" s="170"/>
      <c r="I28" s="170"/>
      <c r="J28" s="170"/>
    </row>
    <row r="29" spans="1:12" ht="15" customHeight="1" x14ac:dyDescent="0.25">
      <c r="A29" s="170"/>
      <c r="B29" s="177"/>
      <c r="C29" s="177"/>
      <c r="D29" s="177"/>
      <c r="E29" s="177"/>
      <c r="F29" s="170"/>
      <c r="G29" s="170"/>
      <c r="H29" s="170"/>
      <c r="I29" s="170"/>
      <c r="J29" s="170"/>
    </row>
    <row r="30" spans="1:12" x14ac:dyDescent="0.25">
      <c r="A30" s="170"/>
      <c r="B30" s="170"/>
      <c r="C30" s="170"/>
      <c r="D30" s="170"/>
      <c r="E30" s="170"/>
      <c r="F30" s="170"/>
      <c r="G30" s="170"/>
      <c r="H30" s="170"/>
      <c r="I30" s="170"/>
      <c r="J30" s="170"/>
    </row>
    <row r="31" spans="1:12" x14ac:dyDescent="0.25">
      <c r="A31" s="170"/>
      <c r="B31" s="170"/>
      <c r="C31" s="170"/>
      <c r="D31" s="170"/>
      <c r="E31" s="170"/>
      <c r="F31" s="170"/>
      <c r="G31" s="170"/>
      <c r="H31" s="170"/>
      <c r="I31" s="170"/>
      <c r="J31" s="170"/>
    </row>
    <row r="39" spans="2:12" ht="15" customHeight="1" x14ac:dyDescent="0.25"/>
    <row r="40" spans="2:12" ht="15" customHeight="1" x14ac:dyDescent="0.45">
      <c r="B40" s="13"/>
      <c r="C40" s="25"/>
      <c r="D40" s="25"/>
      <c r="E40" s="25"/>
      <c r="F40" s="25"/>
      <c r="G40" s="25"/>
      <c r="H40" s="25"/>
      <c r="I40" s="26"/>
      <c r="J40" s="26"/>
      <c r="K40" s="196"/>
      <c r="L40" s="13"/>
    </row>
    <row r="41" spans="2:12" ht="15" customHeight="1" x14ac:dyDescent="0.45">
      <c r="B41" s="13"/>
      <c r="C41" s="25"/>
      <c r="D41" s="25"/>
      <c r="E41" s="25"/>
      <c r="F41" s="25"/>
      <c r="G41" s="25"/>
      <c r="H41" s="25"/>
      <c r="I41" s="26"/>
      <c r="J41" s="26"/>
      <c r="K41" s="196"/>
      <c r="L41" s="13"/>
    </row>
    <row r="42" spans="2:12" ht="15" customHeight="1" x14ac:dyDescent="0.45">
      <c r="B42" s="13"/>
      <c r="C42" s="25"/>
      <c r="D42" s="25"/>
      <c r="E42" s="25"/>
      <c r="F42" s="25"/>
      <c r="G42" s="25"/>
      <c r="H42" s="25"/>
      <c r="I42" s="26"/>
      <c r="J42" s="26"/>
      <c r="K42" s="196"/>
      <c r="L42" s="13"/>
    </row>
    <row r="43" spans="2:12" ht="15" customHeight="1" x14ac:dyDescent="0.45">
      <c r="B43" s="13"/>
      <c r="C43" s="25"/>
      <c r="D43" s="25"/>
      <c r="E43" s="25"/>
      <c r="F43" s="25"/>
      <c r="G43" s="25"/>
      <c r="H43" s="25"/>
      <c r="I43" s="26"/>
      <c r="J43" s="26"/>
      <c r="K43" s="196"/>
      <c r="L43" s="13"/>
    </row>
    <row r="44" spans="2:12" ht="15" customHeight="1" x14ac:dyDescent="0.45">
      <c r="B44" s="13"/>
      <c r="C44" s="25"/>
      <c r="D44" s="25"/>
      <c r="E44" s="25"/>
      <c r="F44" s="25"/>
      <c r="G44" s="25"/>
      <c r="H44" s="25"/>
      <c r="I44" s="26"/>
      <c r="J44" s="26"/>
      <c r="K44" s="196"/>
      <c r="L44" s="13"/>
    </row>
    <row r="45" spans="2:12" ht="15" customHeight="1" x14ac:dyDescent="0.45">
      <c r="B45" s="13"/>
      <c r="C45" s="25"/>
      <c r="D45" s="25"/>
      <c r="E45" s="25"/>
      <c r="F45" s="25"/>
      <c r="G45" s="25"/>
      <c r="H45" s="25"/>
      <c r="I45" s="26"/>
      <c r="J45" s="26"/>
      <c r="K45" s="196"/>
      <c r="L45" s="13"/>
    </row>
    <row r="46" spans="2:12" ht="15" customHeight="1" x14ac:dyDescent="0.45">
      <c r="B46" s="13"/>
      <c r="C46" s="25"/>
      <c r="D46" s="25"/>
      <c r="E46" s="25"/>
      <c r="F46" s="25"/>
      <c r="G46" s="25"/>
      <c r="H46" s="25"/>
      <c r="I46" s="26"/>
      <c r="J46" s="26"/>
      <c r="K46" s="196"/>
      <c r="L46" s="13"/>
    </row>
    <row r="47" spans="2:12" ht="15" customHeight="1" x14ac:dyDescent="0.45">
      <c r="B47" s="13"/>
      <c r="C47" s="25"/>
      <c r="D47" s="25"/>
      <c r="E47" s="25"/>
      <c r="F47" s="25"/>
      <c r="G47" s="25"/>
      <c r="H47" s="25"/>
      <c r="I47" s="26"/>
      <c r="J47" s="26"/>
      <c r="K47" s="196"/>
      <c r="L47" s="13"/>
    </row>
    <row r="48" spans="2:12" ht="15" customHeight="1" x14ac:dyDescent="0.45">
      <c r="B48" s="13"/>
      <c r="C48" s="25"/>
      <c r="D48" s="25"/>
      <c r="E48" s="25"/>
      <c r="F48" s="25"/>
      <c r="G48" s="25"/>
      <c r="H48" s="25"/>
      <c r="I48" s="26"/>
      <c r="J48" s="26"/>
      <c r="K48" s="196"/>
      <c r="L48" s="13"/>
    </row>
    <row r="49" spans="2:12" ht="15" customHeight="1" x14ac:dyDescent="0.45">
      <c r="B49" s="13"/>
      <c r="C49" s="25"/>
      <c r="D49" s="25"/>
      <c r="E49" s="25"/>
      <c r="F49" s="25"/>
      <c r="G49" s="25"/>
      <c r="H49" s="25"/>
      <c r="I49" s="26"/>
      <c r="J49" s="26"/>
      <c r="K49" s="196"/>
      <c r="L49" s="13"/>
    </row>
  </sheetData>
  <mergeCells count="17">
    <mergeCell ref="K7:N8"/>
    <mergeCell ref="B9:J9"/>
    <mergeCell ref="C10:E10"/>
    <mergeCell ref="F10:G10"/>
    <mergeCell ref="C11:E11"/>
    <mergeCell ref="F11:G11"/>
    <mergeCell ref="B3:J3"/>
    <mergeCell ref="C4:E4"/>
    <mergeCell ref="C5:E5"/>
    <mergeCell ref="C6:E6"/>
    <mergeCell ref="B7:I7"/>
    <mergeCell ref="F15:G15"/>
    <mergeCell ref="B12:J12"/>
    <mergeCell ref="B13:J13"/>
    <mergeCell ref="C14:E14"/>
    <mergeCell ref="F14:G14"/>
    <mergeCell ref="C15:E15"/>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92D050"/>
  </sheetPr>
  <dimension ref="A1:R62"/>
  <sheetViews>
    <sheetView rightToLeft="1" topLeftCell="B1" zoomScale="85" zoomScaleNormal="85" workbookViewId="0">
      <selection activeCell="P3" sqref="P3:Q3"/>
    </sheetView>
  </sheetViews>
  <sheetFormatPr defaultColWidth="8.85546875" defaultRowHeight="15" x14ac:dyDescent="0.25"/>
  <cols>
    <col min="1" max="1" width="93.85546875" style="6" customWidth="1"/>
    <col min="2" max="2" width="5.7109375" style="6" customWidth="1"/>
    <col min="3" max="3" width="38.28515625" style="6" customWidth="1"/>
    <col min="4" max="12" width="5.140625" style="6" customWidth="1"/>
    <col min="13" max="13" width="4.28515625" style="194" bestFit="1" customWidth="1"/>
    <col min="14" max="14" width="5.7109375" style="6" customWidth="1"/>
    <col min="15" max="15" width="4.7109375" style="6" bestFit="1" customWidth="1"/>
    <col min="16" max="16" width="4.28515625" style="6" bestFit="1" customWidth="1"/>
    <col min="17" max="17" width="5.7109375" style="6" customWidth="1"/>
    <col min="18" max="18" width="7.140625" style="6" bestFit="1" customWidth="1"/>
    <col min="19" max="16384" width="8.85546875" style="6"/>
  </cols>
  <sheetData>
    <row r="1" spans="1:18" ht="45" customHeight="1" x14ac:dyDescent="0.25">
      <c r="A1" s="170"/>
      <c r="B1" s="170"/>
      <c r="C1" s="170"/>
      <c r="D1" s="170"/>
      <c r="E1" s="170"/>
      <c r="F1" s="170"/>
      <c r="G1" s="170"/>
      <c r="H1" s="170"/>
      <c r="I1" s="170"/>
      <c r="J1" s="170"/>
      <c r="K1" s="170"/>
      <c r="L1" s="170"/>
    </row>
    <row r="2" spans="1:18" ht="38.450000000000003" customHeight="1" thickBot="1" x14ac:dyDescent="0.55000000000000004">
      <c r="A2" s="171"/>
      <c r="B2" s="34"/>
      <c r="C2" s="34"/>
      <c r="D2" s="34"/>
      <c r="E2" s="34"/>
      <c r="F2" s="34"/>
      <c r="G2" s="170"/>
      <c r="H2" s="170"/>
      <c r="I2" s="170"/>
      <c r="J2" s="170"/>
      <c r="K2" s="170"/>
      <c r="L2" s="170"/>
    </row>
    <row r="3" spans="1:18" ht="28.5" customHeight="1" x14ac:dyDescent="0.5">
      <c r="A3" s="170"/>
      <c r="B3" s="805" t="s">
        <v>38</v>
      </c>
      <c r="C3" s="1129" t="s">
        <v>50</v>
      </c>
      <c r="D3" s="1619" t="s">
        <v>716</v>
      </c>
      <c r="E3" s="1619"/>
      <c r="F3" s="1130">
        <v>0.62</v>
      </c>
      <c r="G3" s="1619" t="s">
        <v>830</v>
      </c>
      <c r="H3" s="1619"/>
      <c r="I3" s="1130">
        <v>0.1</v>
      </c>
      <c r="J3" s="1619" t="s">
        <v>831</v>
      </c>
      <c r="K3" s="1619"/>
      <c r="L3" s="1130">
        <v>0.1</v>
      </c>
      <c r="M3" s="1598" t="s">
        <v>832</v>
      </c>
      <c r="N3" s="1598"/>
      <c r="O3" s="1130">
        <v>0.1</v>
      </c>
      <c r="P3" s="1599" t="s">
        <v>833</v>
      </c>
      <c r="Q3" s="1599"/>
      <c r="R3" s="1131">
        <v>0.1</v>
      </c>
    </row>
    <row r="4" spans="1:18" ht="19.149999999999999" customHeight="1" thickBot="1" x14ac:dyDescent="0.3">
      <c r="A4" s="172"/>
      <c r="B4" s="1530" t="s">
        <v>359</v>
      </c>
      <c r="C4" s="1520"/>
      <c r="D4" s="1123" t="s">
        <v>256</v>
      </c>
      <c r="E4" s="1124" t="s">
        <v>19</v>
      </c>
      <c r="F4" s="1125" t="s">
        <v>15</v>
      </c>
      <c r="G4" s="1123" t="s">
        <v>256</v>
      </c>
      <c r="H4" s="1124" t="s">
        <v>19</v>
      </c>
      <c r="I4" s="1125" t="s">
        <v>15</v>
      </c>
      <c r="J4" s="1123" t="s">
        <v>256</v>
      </c>
      <c r="K4" s="1124" t="s">
        <v>19</v>
      </c>
      <c r="L4" s="1125" t="s">
        <v>15</v>
      </c>
      <c r="M4" s="1123" t="s">
        <v>256</v>
      </c>
      <c r="N4" s="1124" t="s">
        <v>19</v>
      </c>
      <c r="O4" s="1125" t="s">
        <v>15</v>
      </c>
      <c r="P4" s="1123" t="s">
        <v>256</v>
      </c>
      <c r="Q4" s="1124" t="s">
        <v>19</v>
      </c>
      <c r="R4" s="1125" t="s">
        <v>15</v>
      </c>
    </row>
    <row r="5" spans="1:18" ht="19.149999999999999" customHeight="1" x14ac:dyDescent="0.45">
      <c r="A5" s="170"/>
      <c r="B5" s="43">
        <v>1</v>
      </c>
      <c r="C5" s="1132" t="s">
        <v>360</v>
      </c>
      <c r="D5" s="285">
        <v>1</v>
      </c>
      <c r="E5" s="286">
        <f>1/9</f>
        <v>0.1111111111111111</v>
      </c>
      <c r="F5" s="287">
        <f>E5*D5</f>
        <v>0.1111111111111111</v>
      </c>
      <c r="G5" s="285">
        <f>D5</f>
        <v>1</v>
      </c>
      <c r="H5" s="286">
        <f>1/9</f>
        <v>0.1111111111111111</v>
      </c>
      <c r="I5" s="287">
        <f>H5*G5</f>
        <v>0.1111111111111111</v>
      </c>
      <c r="J5" s="285">
        <f>G5</f>
        <v>1</v>
      </c>
      <c r="K5" s="286">
        <f>1/9</f>
        <v>0.1111111111111111</v>
      </c>
      <c r="L5" s="287">
        <f>K5*J5</f>
        <v>0.1111111111111111</v>
      </c>
      <c r="M5" s="285">
        <f>J5</f>
        <v>1</v>
      </c>
      <c r="N5" s="286">
        <f>1/9</f>
        <v>0.1111111111111111</v>
      </c>
      <c r="O5" s="287">
        <f>N5*M5</f>
        <v>0.1111111111111111</v>
      </c>
      <c r="P5" s="285">
        <f>M5</f>
        <v>1</v>
      </c>
      <c r="Q5" s="286">
        <f>1/9</f>
        <v>0.1111111111111111</v>
      </c>
      <c r="R5" s="287">
        <f>Q5*P5</f>
        <v>0.1111111111111111</v>
      </c>
    </row>
    <row r="6" spans="1:18" s="7" customFormat="1" ht="19.149999999999999" customHeight="1" x14ac:dyDescent="0.45">
      <c r="A6" s="173"/>
      <c r="B6" s="43">
        <v>2</v>
      </c>
      <c r="C6" s="1132" t="s">
        <v>361</v>
      </c>
      <c r="D6" s="285">
        <v>1</v>
      </c>
      <c r="E6" s="286">
        <f t="shared" ref="E6:E13" si="0">1/9</f>
        <v>0.1111111111111111</v>
      </c>
      <c r="F6" s="287">
        <f t="shared" ref="F6:F13" si="1">E6*D6</f>
        <v>0.1111111111111111</v>
      </c>
      <c r="G6" s="285">
        <f t="shared" ref="G6:G13" si="2">D6</f>
        <v>1</v>
      </c>
      <c r="H6" s="286">
        <f t="shared" ref="H6:H13" si="3">1/9</f>
        <v>0.1111111111111111</v>
      </c>
      <c r="I6" s="287">
        <f t="shared" ref="I6:I13" si="4">H6*G6</f>
        <v>0.1111111111111111</v>
      </c>
      <c r="J6" s="285">
        <f t="shared" ref="J6:J13" si="5">G6</f>
        <v>1</v>
      </c>
      <c r="K6" s="286">
        <f t="shared" ref="K6:K13" si="6">1/9</f>
        <v>0.1111111111111111</v>
      </c>
      <c r="L6" s="287">
        <f t="shared" ref="L6:L13" si="7">K6*J6</f>
        <v>0.1111111111111111</v>
      </c>
      <c r="M6" s="285">
        <f t="shared" ref="M6:M13" si="8">J6</f>
        <v>1</v>
      </c>
      <c r="N6" s="286">
        <f t="shared" ref="N6:N13" si="9">1/9</f>
        <v>0.1111111111111111</v>
      </c>
      <c r="O6" s="287">
        <f t="shared" ref="O6:O13" si="10">N6*M6</f>
        <v>0.1111111111111111</v>
      </c>
      <c r="P6" s="285">
        <f t="shared" ref="P6:P13" si="11">M6</f>
        <v>1</v>
      </c>
      <c r="Q6" s="286">
        <f t="shared" ref="Q6:Q13" si="12">1/9</f>
        <v>0.1111111111111111</v>
      </c>
      <c r="R6" s="287">
        <f t="shared" ref="R6:R13" si="13">Q6*P6</f>
        <v>0.1111111111111111</v>
      </c>
    </row>
    <row r="7" spans="1:18" s="7" customFormat="1" ht="19.149999999999999" customHeight="1" x14ac:dyDescent="0.45">
      <c r="A7" s="174"/>
      <c r="B7" s="43">
        <v>3</v>
      </c>
      <c r="C7" s="1132" t="s">
        <v>362</v>
      </c>
      <c r="D7" s="285">
        <v>1</v>
      </c>
      <c r="E7" s="286">
        <f t="shared" si="0"/>
        <v>0.1111111111111111</v>
      </c>
      <c r="F7" s="287">
        <f t="shared" si="1"/>
        <v>0.1111111111111111</v>
      </c>
      <c r="G7" s="285">
        <f t="shared" si="2"/>
        <v>1</v>
      </c>
      <c r="H7" s="286">
        <f t="shared" si="3"/>
        <v>0.1111111111111111</v>
      </c>
      <c r="I7" s="287">
        <f t="shared" si="4"/>
        <v>0.1111111111111111</v>
      </c>
      <c r="J7" s="285">
        <f t="shared" si="5"/>
        <v>1</v>
      </c>
      <c r="K7" s="286">
        <f t="shared" si="6"/>
        <v>0.1111111111111111</v>
      </c>
      <c r="L7" s="287">
        <f t="shared" si="7"/>
        <v>0.1111111111111111</v>
      </c>
      <c r="M7" s="285">
        <f t="shared" si="8"/>
        <v>1</v>
      </c>
      <c r="N7" s="286">
        <f t="shared" si="9"/>
        <v>0.1111111111111111</v>
      </c>
      <c r="O7" s="287">
        <f t="shared" si="10"/>
        <v>0.1111111111111111</v>
      </c>
      <c r="P7" s="285">
        <f t="shared" si="11"/>
        <v>1</v>
      </c>
      <c r="Q7" s="286">
        <f t="shared" si="12"/>
        <v>0.1111111111111111</v>
      </c>
      <c r="R7" s="287">
        <f t="shared" si="13"/>
        <v>0.1111111111111111</v>
      </c>
    </row>
    <row r="8" spans="1:18" s="7" customFormat="1" ht="19.149999999999999" customHeight="1" x14ac:dyDescent="0.45">
      <c r="A8" s="173"/>
      <c r="B8" s="43">
        <v>4</v>
      </c>
      <c r="C8" s="1132" t="s">
        <v>363</v>
      </c>
      <c r="D8" s="285">
        <v>1</v>
      </c>
      <c r="E8" s="286">
        <f t="shared" si="0"/>
        <v>0.1111111111111111</v>
      </c>
      <c r="F8" s="287">
        <f t="shared" si="1"/>
        <v>0.1111111111111111</v>
      </c>
      <c r="G8" s="285">
        <f t="shared" si="2"/>
        <v>1</v>
      </c>
      <c r="H8" s="286">
        <f t="shared" si="3"/>
        <v>0.1111111111111111</v>
      </c>
      <c r="I8" s="287">
        <f t="shared" si="4"/>
        <v>0.1111111111111111</v>
      </c>
      <c r="J8" s="285">
        <f t="shared" si="5"/>
        <v>1</v>
      </c>
      <c r="K8" s="286">
        <f t="shared" si="6"/>
        <v>0.1111111111111111</v>
      </c>
      <c r="L8" s="287">
        <f t="shared" si="7"/>
        <v>0.1111111111111111</v>
      </c>
      <c r="M8" s="285">
        <f t="shared" si="8"/>
        <v>1</v>
      </c>
      <c r="N8" s="286">
        <f t="shared" si="9"/>
        <v>0.1111111111111111</v>
      </c>
      <c r="O8" s="287">
        <f t="shared" si="10"/>
        <v>0.1111111111111111</v>
      </c>
      <c r="P8" s="285">
        <f t="shared" si="11"/>
        <v>1</v>
      </c>
      <c r="Q8" s="286">
        <f t="shared" si="12"/>
        <v>0.1111111111111111</v>
      </c>
      <c r="R8" s="287">
        <f t="shared" si="13"/>
        <v>0.1111111111111111</v>
      </c>
    </row>
    <row r="9" spans="1:18" s="7" customFormat="1" ht="19.149999999999999" customHeight="1" x14ac:dyDescent="0.45">
      <c r="A9" s="173"/>
      <c r="B9" s="43">
        <v>5</v>
      </c>
      <c r="C9" s="1132" t="s">
        <v>364</v>
      </c>
      <c r="D9" s="285">
        <v>1</v>
      </c>
      <c r="E9" s="286">
        <f t="shared" si="0"/>
        <v>0.1111111111111111</v>
      </c>
      <c r="F9" s="287">
        <f t="shared" si="1"/>
        <v>0.1111111111111111</v>
      </c>
      <c r="G9" s="285">
        <f t="shared" si="2"/>
        <v>1</v>
      </c>
      <c r="H9" s="286">
        <f t="shared" si="3"/>
        <v>0.1111111111111111</v>
      </c>
      <c r="I9" s="287">
        <f t="shared" si="4"/>
        <v>0.1111111111111111</v>
      </c>
      <c r="J9" s="285">
        <f t="shared" si="5"/>
        <v>1</v>
      </c>
      <c r="K9" s="286">
        <f t="shared" si="6"/>
        <v>0.1111111111111111</v>
      </c>
      <c r="L9" s="287">
        <f t="shared" si="7"/>
        <v>0.1111111111111111</v>
      </c>
      <c r="M9" s="285">
        <f t="shared" si="8"/>
        <v>1</v>
      </c>
      <c r="N9" s="286">
        <f t="shared" si="9"/>
        <v>0.1111111111111111</v>
      </c>
      <c r="O9" s="287">
        <f t="shared" si="10"/>
        <v>0.1111111111111111</v>
      </c>
      <c r="P9" s="285">
        <f t="shared" si="11"/>
        <v>1</v>
      </c>
      <c r="Q9" s="286">
        <f t="shared" si="12"/>
        <v>0.1111111111111111</v>
      </c>
      <c r="R9" s="287">
        <f t="shared" si="13"/>
        <v>0.1111111111111111</v>
      </c>
    </row>
    <row r="10" spans="1:18" s="7" customFormat="1" ht="19.149999999999999" customHeight="1" x14ac:dyDescent="0.45">
      <c r="A10" s="173"/>
      <c r="B10" s="43">
        <v>6</v>
      </c>
      <c r="C10" s="1133" t="s">
        <v>365</v>
      </c>
      <c r="D10" s="285">
        <v>1</v>
      </c>
      <c r="E10" s="286">
        <f t="shared" si="0"/>
        <v>0.1111111111111111</v>
      </c>
      <c r="F10" s="287">
        <f t="shared" si="1"/>
        <v>0.1111111111111111</v>
      </c>
      <c r="G10" s="285">
        <f t="shared" si="2"/>
        <v>1</v>
      </c>
      <c r="H10" s="286">
        <f t="shared" si="3"/>
        <v>0.1111111111111111</v>
      </c>
      <c r="I10" s="287">
        <f t="shared" si="4"/>
        <v>0.1111111111111111</v>
      </c>
      <c r="J10" s="285">
        <f t="shared" si="5"/>
        <v>1</v>
      </c>
      <c r="K10" s="286">
        <f t="shared" si="6"/>
        <v>0.1111111111111111</v>
      </c>
      <c r="L10" s="287">
        <f t="shared" si="7"/>
        <v>0.1111111111111111</v>
      </c>
      <c r="M10" s="285">
        <f t="shared" si="8"/>
        <v>1</v>
      </c>
      <c r="N10" s="286">
        <f t="shared" si="9"/>
        <v>0.1111111111111111</v>
      </c>
      <c r="O10" s="287">
        <f t="shared" si="10"/>
        <v>0.1111111111111111</v>
      </c>
      <c r="P10" s="285">
        <f t="shared" si="11"/>
        <v>1</v>
      </c>
      <c r="Q10" s="286">
        <f t="shared" si="12"/>
        <v>0.1111111111111111</v>
      </c>
      <c r="R10" s="287">
        <f t="shared" si="13"/>
        <v>0.1111111111111111</v>
      </c>
    </row>
    <row r="11" spans="1:18" s="7" customFormat="1" ht="19.149999999999999" customHeight="1" x14ac:dyDescent="0.45">
      <c r="A11" s="173"/>
      <c r="B11" s="43">
        <v>7</v>
      </c>
      <c r="C11" s="1132" t="s">
        <v>366</v>
      </c>
      <c r="D11" s="285">
        <v>1</v>
      </c>
      <c r="E11" s="286">
        <f t="shared" si="0"/>
        <v>0.1111111111111111</v>
      </c>
      <c r="F11" s="287">
        <f t="shared" si="1"/>
        <v>0.1111111111111111</v>
      </c>
      <c r="G11" s="285">
        <f t="shared" si="2"/>
        <v>1</v>
      </c>
      <c r="H11" s="286">
        <f t="shared" si="3"/>
        <v>0.1111111111111111</v>
      </c>
      <c r="I11" s="287">
        <f t="shared" si="4"/>
        <v>0.1111111111111111</v>
      </c>
      <c r="J11" s="285">
        <f t="shared" si="5"/>
        <v>1</v>
      </c>
      <c r="K11" s="286">
        <f t="shared" si="6"/>
        <v>0.1111111111111111</v>
      </c>
      <c r="L11" s="287">
        <f t="shared" si="7"/>
        <v>0.1111111111111111</v>
      </c>
      <c r="M11" s="285">
        <f t="shared" si="8"/>
        <v>1</v>
      </c>
      <c r="N11" s="286">
        <f t="shared" si="9"/>
        <v>0.1111111111111111</v>
      </c>
      <c r="O11" s="287">
        <f t="shared" si="10"/>
        <v>0.1111111111111111</v>
      </c>
      <c r="P11" s="285">
        <f t="shared" si="11"/>
        <v>1</v>
      </c>
      <c r="Q11" s="286">
        <f t="shared" si="12"/>
        <v>0.1111111111111111</v>
      </c>
      <c r="R11" s="287">
        <f t="shared" si="13"/>
        <v>0.1111111111111111</v>
      </c>
    </row>
    <row r="12" spans="1:18" s="7" customFormat="1" ht="19.149999999999999" customHeight="1" x14ac:dyDescent="0.45">
      <c r="A12" s="173"/>
      <c r="B12" s="43">
        <v>8</v>
      </c>
      <c r="C12" s="1132" t="s">
        <v>367</v>
      </c>
      <c r="D12" s="285">
        <v>1</v>
      </c>
      <c r="E12" s="286">
        <f t="shared" si="0"/>
        <v>0.1111111111111111</v>
      </c>
      <c r="F12" s="287">
        <f t="shared" si="1"/>
        <v>0.1111111111111111</v>
      </c>
      <c r="G12" s="285">
        <f t="shared" si="2"/>
        <v>1</v>
      </c>
      <c r="H12" s="286">
        <f t="shared" si="3"/>
        <v>0.1111111111111111</v>
      </c>
      <c r="I12" s="287">
        <f t="shared" si="4"/>
        <v>0.1111111111111111</v>
      </c>
      <c r="J12" s="285">
        <f t="shared" si="5"/>
        <v>1</v>
      </c>
      <c r="K12" s="286">
        <f t="shared" si="6"/>
        <v>0.1111111111111111</v>
      </c>
      <c r="L12" s="287">
        <f t="shared" si="7"/>
        <v>0.1111111111111111</v>
      </c>
      <c r="M12" s="285">
        <f t="shared" si="8"/>
        <v>1</v>
      </c>
      <c r="N12" s="286">
        <f t="shared" si="9"/>
        <v>0.1111111111111111</v>
      </c>
      <c r="O12" s="287">
        <f t="shared" si="10"/>
        <v>0.1111111111111111</v>
      </c>
      <c r="P12" s="285">
        <f t="shared" si="11"/>
        <v>1</v>
      </c>
      <c r="Q12" s="286">
        <f t="shared" si="12"/>
        <v>0.1111111111111111</v>
      </c>
      <c r="R12" s="287">
        <f t="shared" si="13"/>
        <v>0.1111111111111111</v>
      </c>
    </row>
    <row r="13" spans="1:18" s="7" customFormat="1" ht="19.149999999999999" customHeight="1" thickBot="1" x14ac:dyDescent="0.5">
      <c r="A13" s="173"/>
      <c r="B13" s="43">
        <v>9</v>
      </c>
      <c r="C13" s="1132" t="s">
        <v>368</v>
      </c>
      <c r="D13" s="285">
        <v>1</v>
      </c>
      <c r="E13" s="286">
        <f t="shared" si="0"/>
        <v>0.1111111111111111</v>
      </c>
      <c r="F13" s="287">
        <f t="shared" si="1"/>
        <v>0.1111111111111111</v>
      </c>
      <c r="G13" s="285">
        <f t="shared" si="2"/>
        <v>1</v>
      </c>
      <c r="H13" s="286">
        <f t="shared" si="3"/>
        <v>0.1111111111111111</v>
      </c>
      <c r="I13" s="287">
        <f t="shared" si="4"/>
        <v>0.1111111111111111</v>
      </c>
      <c r="J13" s="285">
        <f t="shared" si="5"/>
        <v>1</v>
      </c>
      <c r="K13" s="286">
        <f t="shared" si="6"/>
        <v>0.1111111111111111</v>
      </c>
      <c r="L13" s="287">
        <f t="shared" si="7"/>
        <v>0.1111111111111111</v>
      </c>
      <c r="M13" s="285">
        <f t="shared" si="8"/>
        <v>1</v>
      </c>
      <c r="N13" s="286">
        <f t="shared" si="9"/>
        <v>0.1111111111111111</v>
      </c>
      <c r="O13" s="287">
        <f t="shared" si="10"/>
        <v>0.1111111111111111</v>
      </c>
      <c r="P13" s="285">
        <f t="shared" si="11"/>
        <v>1</v>
      </c>
      <c r="Q13" s="286">
        <f t="shared" si="12"/>
        <v>0.1111111111111111</v>
      </c>
      <c r="R13" s="287">
        <f t="shared" si="13"/>
        <v>0.1111111111111111</v>
      </c>
    </row>
    <row r="14" spans="1:18" s="7" customFormat="1" ht="19.149999999999999" customHeight="1" thickBot="1" x14ac:dyDescent="0.5">
      <c r="A14" s="173"/>
      <c r="B14" s="1620" t="s">
        <v>62</v>
      </c>
      <c r="C14" s="1621"/>
      <c r="D14" s="1603">
        <f>SUM(F5:F13)</f>
        <v>1.0000000000000002</v>
      </c>
      <c r="E14" s="1604"/>
      <c r="F14" s="1605"/>
      <c r="G14" s="1603">
        <f>SUM(I5:I13)</f>
        <v>1.0000000000000002</v>
      </c>
      <c r="H14" s="1604"/>
      <c r="I14" s="1605"/>
      <c r="J14" s="1603">
        <f>SUM(L5:L13)</f>
        <v>1.0000000000000002</v>
      </c>
      <c r="K14" s="1604"/>
      <c r="L14" s="1605"/>
      <c r="M14" s="1603">
        <f>SUM(O5:O13)</f>
        <v>1.0000000000000002</v>
      </c>
      <c r="N14" s="1604"/>
      <c r="O14" s="1605"/>
      <c r="P14" s="1603">
        <f>SUM(R5:R13)</f>
        <v>1.0000000000000002</v>
      </c>
      <c r="Q14" s="1604"/>
      <c r="R14" s="1605"/>
    </row>
    <row r="15" spans="1:18" s="7" customFormat="1" ht="19.149999999999999" customHeight="1" thickBot="1" x14ac:dyDescent="0.3">
      <c r="A15" s="173"/>
      <c r="B15" s="1121"/>
      <c r="C15" s="283" t="s">
        <v>369</v>
      </c>
      <c r="D15" s="280" t="s">
        <v>256</v>
      </c>
      <c r="E15" s="281" t="s">
        <v>19</v>
      </c>
      <c r="F15" s="282" t="s">
        <v>15</v>
      </c>
      <c r="G15" s="280" t="s">
        <v>256</v>
      </c>
      <c r="H15" s="281" t="s">
        <v>19</v>
      </c>
      <c r="I15" s="282" t="s">
        <v>15</v>
      </c>
      <c r="J15" s="280" t="s">
        <v>256</v>
      </c>
      <c r="K15" s="281" t="s">
        <v>19</v>
      </c>
      <c r="L15" s="282" t="s">
        <v>15</v>
      </c>
      <c r="M15" s="280" t="s">
        <v>256</v>
      </c>
      <c r="N15" s="281" t="s">
        <v>19</v>
      </c>
      <c r="O15" s="282" t="s">
        <v>15</v>
      </c>
      <c r="P15" s="280" t="s">
        <v>256</v>
      </c>
      <c r="Q15" s="281" t="s">
        <v>19</v>
      </c>
      <c r="R15" s="282" t="s">
        <v>15</v>
      </c>
    </row>
    <row r="16" spans="1:18" s="7" customFormat="1" ht="18" x14ac:dyDescent="0.45">
      <c r="A16" s="173"/>
      <c r="B16" s="43">
        <v>1</v>
      </c>
      <c r="C16" s="1134" t="s">
        <v>370</v>
      </c>
      <c r="D16" s="285">
        <v>1</v>
      </c>
      <c r="E16" s="286">
        <f>1/9</f>
        <v>0.1111111111111111</v>
      </c>
      <c r="F16" s="287">
        <f>E16*D16</f>
        <v>0.1111111111111111</v>
      </c>
      <c r="G16" s="285">
        <f>D16</f>
        <v>1</v>
      </c>
      <c r="H16" s="286">
        <f>1/9</f>
        <v>0.1111111111111111</v>
      </c>
      <c r="I16" s="287">
        <f>H16*G16</f>
        <v>0.1111111111111111</v>
      </c>
      <c r="J16" s="285">
        <f>G16</f>
        <v>1</v>
      </c>
      <c r="K16" s="286">
        <f>1/9</f>
        <v>0.1111111111111111</v>
      </c>
      <c r="L16" s="287">
        <f>K16*J16</f>
        <v>0.1111111111111111</v>
      </c>
      <c r="M16" s="285">
        <f>J16</f>
        <v>1</v>
      </c>
      <c r="N16" s="286">
        <f>1/9</f>
        <v>0.1111111111111111</v>
      </c>
      <c r="O16" s="287">
        <f>N16*M16</f>
        <v>0.1111111111111111</v>
      </c>
      <c r="P16" s="285">
        <f>M16</f>
        <v>1</v>
      </c>
      <c r="Q16" s="286">
        <f>1/9</f>
        <v>0.1111111111111111</v>
      </c>
      <c r="R16" s="287">
        <f>Q16*P16</f>
        <v>0.1111111111111111</v>
      </c>
    </row>
    <row r="17" spans="1:18" s="7" customFormat="1" ht="44.25" x14ac:dyDescent="0.45">
      <c r="A17" s="173"/>
      <c r="B17" s="43">
        <v>2</v>
      </c>
      <c r="C17" s="1132" t="s">
        <v>371</v>
      </c>
      <c r="D17" s="285">
        <v>1</v>
      </c>
      <c r="E17" s="286">
        <f>1/9</f>
        <v>0.1111111111111111</v>
      </c>
      <c r="F17" s="287">
        <f>E17*D17</f>
        <v>0.1111111111111111</v>
      </c>
      <c r="G17" s="285">
        <f t="shared" ref="G17:G20" si="14">D17</f>
        <v>1</v>
      </c>
      <c r="H17" s="286">
        <f>1/9</f>
        <v>0.1111111111111111</v>
      </c>
      <c r="I17" s="287">
        <f>H17*G17</f>
        <v>0.1111111111111111</v>
      </c>
      <c r="J17" s="285">
        <f t="shared" ref="J17:J20" si="15">G17</f>
        <v>1</v>
      </c>
      <c r="K17" s="286">
        <f>1/9</f>
        <v>0.1111111111111111</v>
      </c>
      <c r="L17" s="287">
        <f>K17*J17</f>
        <v>0.1111111111111111</v>
      </c>
      <c r="M17" s="285">
        <f t="shared" ref="M17:M20" si="16">J17</f>
        <v>1</v>
      </c>
      <c r="N17" s="286">
        <f>1/9</f>
        <v>0.1111111111111111</v>
      </c>
      <c r="O17" s="287">
        <f>N17*M17</f>
        <v>0.1111111111111111</v>
      </c>
      <c r="P17" s="285">
        <f t="shared" ref="P17:P20" si="17">M17</f>
        <v>1</v>
      </c>
      <c r="Q17" s="286">
        <f>1/9</f>
        <v>0.1111111111111111</v>
      </c>
      <c r="R17" s="287">
        <f>Q17*P17</f>
        <v>0.1111111111111111</v>
      </c>
    </row>
    <row r="18" spans="1:18" s="7" customFormat="1" ht="18" x14ac:dyDescent="0.45">
      <c r="A18" s="173"/>
      <c r="B18" s="43">
        <v>3</v>
      </c>
      <c r="C18" s="1132" t="s">
        <v>372</v>
      </c>
      <c r="D18" s="285">
        <v>1</v>
      </c>
      <c r="E18" s="286">
        <f>1/9</f>
        <v>0.1111111111111111</v>
      </c>
      <c r="F18" s="287">
        <f>E18*D18</f>
        <v>0.1111111111111111</v>
      </c>
      <c r="G18" s="285">
        <f t="shared" si="14"/>
        <v>1</v>
      </c>
      <c r="H18" s="286">
        <f>1/9</f>
        <v>0.1111111111111111</v>
      </c>
      <c r="I18" s="287">
        <f>H18*G18</f>
        <v>0.1111111111111111</v>
      </c>
      <c r="J18" s="285">
        <f t="shared" si="15"/>
        <v>1</v>
      </c>
      <c r="K18" s="286">
        <f>1/9</f>
        <v>0.1111111111111111</v>
      </c>
      <c r="L18" s="287">
        <f>K18*J18</f>
        <v>0.1111111111111111</v>
      </c>
      <c r="M18" s="285">
        <f t="shared" si="16"/>
        <v>1</v>
      </c>
      <c r="N18" s="286">
        <f>1/9</f>
        <v>0.1111111111111111</v>
      </c>
      <c r="O18" s="287">
        <f>N18*M18</f>
        <v>0.1111111111111111</v>
      </c>
      <c r="P18" s="285">
        <f t="shared" si="17"/>
        <v>1</v>
      </c>
      <c r="Q18" s="286">
        <f>1/9</f>
        <v>0.1111111111111111</v>
      </c>
      <c r="R18" s="287">
        <f>Q18*P18</f>
        <v>0.1111111111111111</v>
      </c>
    </row>
    <row r="19" spans="1:18" s="7" customFormat="1" ht="18" x14ac:dyDescent="0.45">
      <c r="A19" s="173"/>
      <c r="B19" s="43">
        <v>4</v>
      </c>
      <c r="C19" s="1132" t="s">
        <v>373</v>
      </c>
      <c r="D19" s="285">
        <v>1</v>
      </c>
      <c r="E19" s="286">
        <f>1/9</f>
        <v>0.1111111111111111</v>
      </c>
      <c r="F19" s="287">
        <f>E19*D19</f>
        <v>0.1111111111111111</v>
      </c>
      <c r="G19" s="285">
        <f t="shared" si="14"/>
        <v>1</v>
      </c>
      <c r="H19" s="286">
        <f>1/9</f>
        <v>0.1111111111111111</v>
      </c>
      <c r="I19" s="287">
        <f>H19*G19</f>
        <v>0.1111111111111111</v>
      </c>
      <c r="J19" s="285">
        <f t="shared" si="15"/>
        <v>1</v>
      </c>
      <c r="K19" s="286">
        <f>1/9</f>
        <v>0.1111111111111111</v>
      </c>
      <c r="L19" s="287">
        <f>K19*J19</f>
        <v>0.1111111111111111</v>
      </c>
      <c r="M19" s="285">
        <f t="shared" si="16"/>
        <v>1</v>
      </c>
      <c r="N19" s="286">
        <f>1/9</f>
        <v>0.1111111111111111</v>
      </c>
      <c r="O19" s="287">
        <f>N19*M19</f>
        <v>0.1111111111111111</v>
      </c>
      <c r="P19" s="285">
        <f t="shared" si="17"/>
        <v>1</v>
      </c>
      <c r="Q19" s="286">
        <f>1/9</f>
        <v>0.1111111111111111</v>
      </c>
      <c r="R19" s="287">
        <f>Q19*P19</f>
        <v>0.1111111111111111</v>
      </c>
    </row>
    <row r="20" spans="1:18" s="7" customFormat="1" ht="18.75" thickBot="1" x14ac:dyDescent="0.5">
      <c r="A20" s="173"/>
      <c r="B20" s="43">
        <v>5</v>
      </c>
      <c r="C20" s="1132" t="s">
        <v>374</v>
      </c>
      <c r="D20" s="285">
        <v>1</v>
      </c>
      <c r="E20" s="286">
        <f>1/9</f>
        <v>0.1111111111111111</v>
      </c>
      <c r="F20" s="287">
        <f>E20*D20</f>
        <v>0.1111111111111111</v>
      </c>
      <c r="G20" s="285">
        <f t="shared" si="14"/>
        <v>1</v>
      </c>
      <c r="H20" s="286">
        <f>1/9</f>
        <v>0.1111111111111111</v>
      </c>
      <c r="I20" s="287">
        <f>H20*G20</f>
        <v>0.1111111111111111</v>
      </c>
      <c r="J20" s="285">
        <f t="shared" si="15"/>
        <v>1</v>
      </c>
      <c r="K20" s="286">
        <f>1/9</f>
        <v>0.1111111111111111</v>
      </c>
      <c r="L20" s="287">
        <f>K20*J20</f>
        <v>0.1111111111111111</v>
      </c>
      <c r="M20" s="285">
        <f t="shared" si="16"/>
        <v>1</v>
      </c>
      <c r="N20" s="286">
        <f>1/9</f>
        <v>0.1111111111111111</v>
      </c>
      <c r="O20" s="287">
        <f>N20*M20</f>
        <v>0.1111111111111111</v>
      </c>
      <c r="P20" s="285">
        <f t="shared" si="17"/>
        <v>1</v>
      </c>
      <c r="Q20" s="286">
        <f>1/9</f>
        <v>0.1111111111111111</v>
      </c>
      <c r="R20" s="287">
        <f>Q20*P20</f>
        <v>0.1111111111111111</v>
      </c>
    </row>
    <row r="21" spans="1:18" s="7" customFormat="1" ht="21" customHeight="1" thickBot="1" x14ac:dyDescent="0.5">
      <c r="A21" s="173"/>
      <c r="B21" s="1620" t="s">
        <v>62</v>
      </c>
      <c r="C21" s="1621"/>
      <c r="D21" s="1603">
        <f>SUM(F16:F20)</f>
        <v>0.55555555555555558</v>
      </c>
      <c r="E21" s="1604"/>
      <c r="F21" s="1605"/>
      <c r="G21" s="1603">
        <f>SUM(I16:I20)</f>
        <v>0.55555555555555558</v>
      </c>
      <c r="H21" s="1604"/>
      <c r="I21" s="1605"/>
      <c r="J21" s="1603">
        <f>SUM(L16:L20)</f>
        <v>0.55555555555555558</v>
      </c>
      <c r="K21" s="1604"/>
      <c r="L21" s="1605"/>
      <c r="M21" s="1603">
        <f>SUM(O16:O20)</f>
        <v>0.55555555555555558</v>
      </c>
      <c r="N21" s="1604"/>
      <c r="O21" s="1605"/>
      <c r="P21" s="1603">
        <f>SUM(R16:R20)</f>
        <v>0.55555555555555558</v>
      </c>
      <c r="Q21" s="1604"/>
      <c r="R21" s="1605"/>
    </row>
    <row r="22" spans="1:18" s="7" customFormat="1" ht="19.149999999999999" customHeight="1" thickBot="1" x14ac:dyDescent="0.3">
      <c r="A22" s="173"/>
      <c r="B22" s="1617" t="s">
        <v>375</v>
      </c>
      <c r="C22" s="1618"/>
      <c r="D22" s="280" t="s">
        <v>256</v>
      </c>
      <c r="E22" s="281" t="s">
        <v>19</v>
      </c>
      <c r="F22" s="282" t="s">
        <v>15</v>
      </c>
      <c r="G22" s="280" t="s">
        <v>256</v>
      </c>
      <c r="H22" s="281" t="s">
        <v>19</v>
      </c>
      <c r="I22" s="282" t="s">
        <v>15</v>
      </c>
      <c r="J22" s="280" t="s">
        <v>256</v>
      </c>
      <c r="K22" s="281" t="s">
        <v>19</v>
      </c>
      <c r="L22" s="282" t="s">
        <v>15</v>
      </c>
      <c r="M22" s="280" t="s">
        <v>256</v>
      </c>
      <c r="N22" s="281" t="s">
        <v>19</v>
      </c>
      <c r="O22" s="282" t="s">
        <v>15</v>
      </c>
      <c r="P22" s="280" t="s">
        <v>256</v>
      </c>
      <c r="Q22" s="281" t="s">
        <v>19</v>
      </c>
      <c r="R22" s="282" t="s">
        <v>15</v>
      </c>
    </row>
    <row r="23" spans="1:18" s="7" customFormat="1" ht="18" x14ac:dyDescent="0.45">
      <c r="A23" s="173"/>
      <c r="B23" s="43">
        <v>1</v>
      </c>
      <c r="C23" s="284" t="s">
        <v>376</v>
      </c>
      <c r="D23" s="285">
        <v>1</v>
      </c>
      <c r="E23" s="286">
        <f>1/9</f>
        <v>0.1111111111111111</v>
      </c>
      <c r="F23" s="287">
        <f>E23*D23</f>
        <v>0.1111111111111111</v>
      </c>
      <c r="G23" s="285">
        <f>D23</f>
        <v>1</v>
      </c>
      <c r="H23" s="286">
        <f>1/9</f>
        <v>0.1111111111111111</v>
      </c>
      <c r="I23" s="287">
        <f>H23*G23</f>
        <v>0.1111111111111111</v>
      </c>
      <c r="J23" s="285">
        <f>G23</f>
        <v>1</v>
      </c>
      <c r="K23" s="286">
        <f>1/9</f>
        <v>0.1111111111111111</v>
      </c>
      <c r="L23" s="287">
        <f>K23*J23</f>
        <v>0.1111111111111111</v>
      </c>
      <c r="M23" s="285">
        <f>J23</f>
        <v>1</v>
      </c>
      <c r="N23" s="286">
        <f>1/9</f>
        <v>0.1111111111111111</v>
      </c>
      <c r="O23" s="287">
        <f>N23*M23</f>
        <v>0.1111111111111111</v>
      </c>
      <c r="P23" s="285">
        <f>M23</f>
        <v>1</v>
      </c>
      <c r="Q23" s="286">
        <f>1/9</f>
        <v>0.1111111111111111</v>
      </c>
      <c r="R23" s="287">
        <f>Q23*P23</f>
        <v>0.1111111111111111</v>
      </c>
    </row>
    <row r="24" spans="1:18" ht="28.5" x14ac:dyDescent="0.45">
      <c r="A24" s="170"/>
      <c r="B24" s="43">
        <v>2</v>
      </c>
      <c r="C24" s="284" t="s">
        <v>377</v>
      </c>
      <c r="D24" s="285">
        <v>0</v>
      </c>
      <c r="E24" s="286">
        <f>1/9</f>
        <v>0.1111111111111111</v>
      </c>
      <c r="F24" s="287">
        <f>E24*D24</f>
        <v>0</v>
      </c>
      <c r="G24" s="285">
        <f t="shared" ref="G24:G26" si="18">D24</f>
        <v>0</v>
      </c>
      <c r="H24" s="286">
        <f>1/9</f>
        <v>0.1111111111111111</v>
      </c>
      <c r="I24" s="287">
        <f>H24*G24</f>
        <v>0</v>
      </c>
      <c r="J24" s="285">
        <f t="shared" ref="J24:J26" si="19">G24</f>
        <v>0</v>
      </c>
      <c r="K24" s="286">
        <f>1/9</f>
        <v>0.1111111111111111</v>
      </c>
      <c r="L24" s="287">
        <f>K24*J24</f>
        <v>0</v>
      </c>
      <c r="M24" s="285">
        <f t="shared" ref="M24:M26" si="20">J24</f>
        <v>0</v>
      </c>
      <c r="N24" s="286">
        <f>1/9</f>
        <v>0.1111111111111111</v>
      </c>
      <c r="O24" s="287">
        <f>N24*M24</f>
        <v>0</v>
      </c>
      <c r="P24" s="285">
        <f t="shared" ref="P24:P26" si="21">M24</f>
        <v>0</v>
      </c>
      <c r="Q24" s="286">
        <f>1/9</f>
        <v>0.1111111111111111</v>
      </c>
      <c r="R24" s="287">
        <f>Q24*P24</f>
        <v>0</v>
      </c>
    </row>
    <row r="25" spans="1:18" ht="28.5" x14ac:dyDescent="0.45">
      <c r="A25" s="170"/>
      <c r="B25" s="43">
        <v>3</v>
      </c>
      <c r="C25" s="284" t="s">
        <v>378</v>
      </c>
      <c r="D25" s="285">
        <v>0</v>
      </c>
      <c r="E25" s="286">
        <f>1/9</f>
        <v>0.1111111111111111</v>
      </c>
      <c r="F25" s="287">
        <f>E25*D25</f>
        <v>0</v>
      </c>
      <c r="G25" s="285">
        <f t="shared" si="18"/>
        <v>0</v>
      </c>
      <c r="H25" s="286">
        <f>1/9</f>
        <v>0.1111111111111111</v>
      </c>
      <c r="I25" s="287">
        <f>H25*G25</f>
        <v>0</v>
      </c>
      <c r="J25" s="285">
        <f t="shared" si="19"/>
        <v>0</v>
      </c>
      <c r="K25" s="286">
        <f>1/9</f>
        <v>0.1111111111111111</v>
      </c>
      <c r="L25" s="287">
        <f>K25*J25</f>
        <v>0</v>
      </c>
      <c r="M25" s="285">
        <f t="shared" si="20"/>
        <v>0</v>
      </c>
      <c r="N25" s="286">
        <f>1/9</f>
        <v>0.1111111111111111</v>
      </c>
      <c r="O25" s="287">
        <f>N25*M25</f>
        <v>0</v>
      </c>
      <c r="P25" s="285">
        <f t="shared" si="21"/>
        <v>0</v>
      </c>
      <c r="Q25" s="286">
        <f>1/9</f>
        <v>0.1111111111111111</v>
      </c>
      <c r="R25" s="287">
        <f>Q25*P25</f>
        <v>0</v>
      </c>
    </row>
    <row r="26" spans="1:18" ht="29.25" thickBot="1" x14ac:dyDescent="0.5">
      <c r="A26" s="170"/>
      <c r="B26" s="43">
        <v>4</v>
      </c>
      <c r="C26" s="284" t="s">
        <v>379</v>
      </c>
      <c r="D26" s="285">
        <v>0</v>
      </c>
      <c r="E26" s="286">
        <f>1/9</f>
        <v>0.1111111111111111</v>
      </c>
      <c r="F26" s="287">
        <f>E26*D26</f>
        <v>0</v>
      </c>
      <c r="G26" s="285">
        <f t="shared" si="18"/>
        <v>0</v>
      </c>
      <c r="H26" s="286">
        <f>1/9</f>
        <v>0.1111111111111111</v>
      </c>
      <c r="I26" s="287">
        <f>H26*G26</f>
        <v>0</v>
      </c>
      <c r="J26" s="285">
        <f t="shared" si="19"/>
        <v>0</v>
      </c>
      <c r="K26" s="286">
        <f>1/9</f>
        <v>0.1111111111111111</v>
      </c>
      <c r="L26" s="287">
        <f>K26*J26</f>
        <v>0</v>
      </c>
      <c r="M26" s="285">
        <f t="shared" si="20"/>
        <v>0</v>
      </c>
      <c r="N26" s="286">
        <f>1/9</f>
        <v>0.1111111111111111</v>
      </c>
      <c r="O26" s="287">
        <f>N26*M26</f>
        <v>0</v>
      </c>
      <c r="P26" s="285">
        <f t="shared" si="21"/>
        <v>0</v>
      </c>
      <c r="Q26" s="286">
        <f>1/9</f>
        <v>0.1111111111111111</v>
      </c>
      <c r="R26" s="287">
        <f>Q26*P26</f>
        <v>0</v>
      </c>
    </row>
    <row r="27" spans="1:18" ht="15" customHeight="1" x14ac:dyDescent="0.45">
      <c r="A27" s="170"/>
      <c r="B27" s="1613" t="s">
        <v>62</v>
      </c>
      <c r="C27" s="1614"/>
      <c r="D27" s="1606">
        <f>SUM(F23:F26)</f>
        <v>0.1111111111111111</v>
      </c>
      <c r="E27" s="1606"/>
      <c r="F27" s="1606"/>
      <c r="G27" s="1606">
        <f>SUM(I23:I26)</f>
        <v>0.1111111111111111</v>
      </c>
      <c r="H27" s="1606"/>
      <c r="I27" s="1606"/>
      <c r="J27" s="1606">
        <f>SUM(L23:L26)</f>
        <v>0.1111111111111111</v>
      </c>
      <c r="K27" s="1606"/>
      <c r="L27" s="1606"/>
      <c r="M27" s="1606">
        <f>SUM(O23:O26)</f>
        <v>0.1111111111111111</v>
      </c>
      <c r="N27" s="1606"/>
      <c r="O27" s="1606"/>
      <c r="P27" s="1606">
        <f>SUM(R23:R26)</f>
        <v>0.1111111111111111</v>
      </c>
      <c r="Q27" s="1606"/>
      <c r="R27" s="1608"/>
    </row>
    <row r="28" spans="1:18" ht="15" customHeight="1" x14ac:dyDescent="0.45">
      <c r="A28" s="170"/>
      <c r="B28" s="1615" t="s">
        <v>380</v>
      </c>
      <c r="C28" s="1616"/>
      <c r="D28" s="1607">
        <f>D14*0.6+D21*0.2+D27*0.2</f>
        <v>0.7333333333333335</v>
      </c>
      <c r="E28" s="1607"/>
      <c r="F28" s="1607"/>
      <c r="G28" s="1607">
        <f>G14*0.6+G21*0.2+G27*0.2</f>
        <v>0.7333333333333335</v>
      </c>
      <c r="H28" s="1607"/>
      <c r="I28" s="1607"/>
      <c r="J28" s="1607">
        <f>J14*0.6+J21*0.2+J27*0.2</f>
        <v>0.7333333333333335</v>
      </c>
      <c r="K28" s="1607"/>
      <c r="L28" s="1607"/>
      <c r="M28" s="1607">
        <f>M14*0.6+M21*0.2+M27*0.2</f>
        <v>0.7333333333333335</v>
      </c>
      <c r="N28" s="1607"/>
      <c r="O28" s="1607"/>
      <c r="P28" s="1607">
        <f>P14*0.6+P21*0.2+P27*0.2</f>
        <v>0.7333333333333335</v>
      </c>
      <c r="Q28" s="1607"/>
      <c r="R28" s="1609"/>
    </row>
    <row r="29" spans="1:18" ht="15" customHeight="1" x14ac:dyDescent="0.45">
      <c r="A29" s="170"/>
      <c r="B29" s="1126"/>
      <c r="C29" s="1127"/>
      <c r="D29" s="1128"/>
      <c r="E29" s="1128"/>
      <c r="F29" s="1128"/>
      <c r="G29" s="1128"/>
      <c r="H29" s="1128"/>
      <c r="I29" s="1128"/>
      <c r="J29" s="1128"/>
      <c r="K29" s="1128"/>
      <c r="L29" s="1128"/>
      <c r="M29" s="1600"/>
      <c r="N29" s="1600"/>
      <c r="O29" s="1600"/>
      <c r="P29" s="1600"/>
      <c r="Q29" s="1600"/>
      <c r="R29" s="1601"/>
    </row>
    <row r="30" spans="1:18" ht="18.75" thickBot="1" x14ac:dyDescent="0.5">
      <c r="A30" s="170"/>
      <c r="B30" s="1610" t="s">
        <v>257</v>
      </c>
      <c r="C30" s="1611"/>
      <c r="D30" s="1611"/>
      <c r="E30" s="1611"/>
      <c r="F30" s="1611"/>
      <c r="G30" s="1611"/>
      <c r="H30" s="1611"/>
      <c r="I30" s="1611"/>
      <c r="J30" s="1611"/>
      <c r="K30" s="1612"/>
      <c r="L30" s="1612"/>
      <c r="M30" s="1602"/>
      <c r="N30" s="1602"/>
      <c r="O30" s="1602"/>
      <c r="P30" s="1602"/>
      <c r="Q30" s="1602"/>
      <c r="R30" s="1135">
        <f>D28*F3+G28*I3+J28*L3+M28*O3+P28*R3</f>
        <v>0.74800000000000022</v>
      </c>
    </row>
    <row r="31" spans="1:18" x14ac:dyDescent="0.25">
      <c r="A31" s="170"/>
      <c r="B31" s="170"/>
      <c r="C31" s="170"/>
      <c r="D31" s="170"/>
      <c r="E31" s="170"/>
      <c r="F31" s="170"/>
      <c r="G31" s="170"/>
      <c r="H31" s="170"/>
      <c r="I31" s="170"/>
      <c r="J31" s="170"/>
      <c r="K31" s="170"/>
      <c r="L31" s="170"/>
    </row>
    <row r="32" spans="1:18" x14ac:dyDescent="0.25">
      <c r="A32" s="170"/>
      <c r="B32" s="170"/>
      <c r="C32" s="170"/>
      <c r="D32" s="170"/>
      <c r="E32" s="170"/>
      <c r="F32" s="170"/>
      <c r="G32" s="170"/>
      <c r="H32" s="170"/>
      <c r="I32" s="170"/>
      <c r="J32" s="170"/>
      <c r="K32" s="170"/>
      <c r="L32" s="170"/>
    </row>
    <row r="39" spans="2:13" ht="15" customHeight="1" x14ac:dyDescent="0.25">
      <c r="D39" s="17"/>
      <c r="E39" s="237"/>
      <c r="F39" s="237"/>
      <c r="G39" s="237"/>
      <c r="H39" s="237"/>
      <c r="I39" s="237"/>
    </row>
    <row r="40" spans="2:13" ht="15" customHeight="1" x14ac:dyDescent="0.25">
      <c r="D40" s="17"/>
      <c r="E40" s="237"/>
      <c r="F40" s="237"/>
      <c r="G40" s="237"/>
      <c r="H40" s="237"/>
      <c r="I40" s="237"/>
    </row>
    <row r="43" spans="2:13" ht="15" customHeight="1" x14ac:dyDescent="0.55000000000000004">
      <c r="B43" s="27"/>
      <c r="C43" s="105"/>
      <c r="D43" s="180"/>
      <c r="E43" s="180"/>
      <c r="F43" s="180"/>
      <c r="G43" s="180"/>
      <c r="H43" s="180"/>
      <c r="I43" s="180"/>
      <c r="J43" s="180"/>
      <c r="K43" s="180"/>
      <c r="L43" s="180"/>
      <c r="M43" s="195"/>
    </row>
    <row r="44" spans="2:13" ht="15" customHeight="1" x14ac:dyDescent="0.5">
      <c r="B44" s="13"/>
      <c r="C44" s="24"/>
      <c r="D44" s="24"/>
      <c r="E44" s="24"/>
      <c r="F44" s="24"/>
      <c r="G44" s="24"/>
      <c r="H44" s="24"/>
      <c r="I44" s="24"/>
      <c r="J44" s="24"/>
      <c r="K44" s="24"/>
      <c r="L44" s="180"/>
      <c r="M44" s="195"/>
    </row>
    <row r="45" spans="2:13" ht="15" customHeight="1" x14ac:dyDescent="0.45">
      <c r="B45" s="13"/>
      <c r="C45" s="25"/>
      <c r="D45" s="25"/>
      <c r="E45" s="25"/>
      <c r="F45" s="25"/>
      <c r="G45" s="25"/>
      <c r="H45" s="25"/>
      <c r="I45" s="25"/>
      <c r="J45" s="26"/>
      <c r="K45" s="26"/>
      <c r="L45" s="13"/>
      <c r="M45" s="196"/>
    </row>
    <row r="46" spans="2:13" ht="15" customHeight="1" x14ac:dyDescent="0.45">
      <c r="B46" s="13"/>
      <c r="C46" s="25"/>
      <c r="D46" s="25"/>
      <c r="E46" s="25"/>
      <c r="F46" s="25"/>
      <c r="G46" s="25"/>
      <c r="H46" s="25"/>
      <c r="I46" s="25"/>
      <c r="J46" s="26"/>
      <c r="K46" s="26"/>
      <c r="L46" s="13"/>
      <c r="M46" s="196"/>
    </row>
    <row r="47" spans="2:13" ht="15" customHeight="1" x14ac:dyDescent="0.45">
      <c r="B47" s="13"/>
      <c r="C47" s="25"/>
      <c r="D47" s="25"/>
      <c r="E47" s="25"/>
      <c r="F47" s="25"/>
      <c r="G47" s="25"/>
      <c r="H47" s="25"/>
      <c r="I47" s="25"/>
      <c r="J47" s="26"/>
      <c r="K47" s="26"/>
      <c r="L47" s="13"/>
      <c r="M47" s="196"/>
    </row>
    <row r="48" spans="2:13" ht="15" customHeight="1" x14ac:dyDescent="0.45">
      <c r="B48" s="13"/>
      <c r="C48" s="25"/>
      <c r="D48" s="25"/>
      <c r="E48" s="25"/>
      <c r="F48" s="25"/>
      <c r="G48" s="25"/>
      <c r="H48" s="25"/>
      <c r="I48" s="25"/>
      <c r="J48" s="26"/>
      <c r="K48" s="26"/>
      <c r="L48" s="13"/>
      <c r="M48" s="196"/>
    </row>
    <row r="49" spans="2:13" ht="15" customHeight="1" x14ac:dyDescent="0.45">
      <c r="B49" s="13"/>
      <c r="C49" s="25"/>
      <c r="D49" s="25"/>
      <c r="E49" s="25"/>
      <c r="F49" s="25"/>
      <c r="G49" s="25"/>
      <c r="H49" s="25"/>
      <c r="I49" s="25"/>
      <c r="J49" s="26"/>
      <c r="K49" s="26"/>
      <c r="L49" s="13"/>
      <c r="M49" s="196"/>
    </row>
    <row r="50" spans="2:13" ht="15" customHeight="1" x14ac:dyDescent="0.45">
      <c r="B50" s="13"/>
      <c r="C50" s="25"/>
      <c r="D50" s="25"/>
      <c r="E50" s="25"/>
      <c r="F50" s="25"/>
      <c r="G50" s="25"/>
      <c r="H50" s="25"/>
      <c r="I50" s="25"/>
      <c r="J50" s="26"/>
      <c r="K50" s="26"/>
      <c r="L50" s="13"/>
      <c r="M50" s="196"/>
    </row>
    <row r="51" spans="2:13" ht="15" customHeight="1" x14ac:dyDescent="0.45">
      <c r="B51" s="13"/>
      <c r="C51" s="25"/>
      <c r="D51" s="25"/>
      <c r="E51" s="25"/>
      <c r="F51" s="25"/>
      <c r="G51" s="25"/>
      <c r="H51" s="25"/>
      <c r="I51" s="25"/>
      <c r="J51" s="26"/>
      <c r="K51" s="26"/>
      <c r="L51" s="13"/>
      <c r="M51" s="196"/>
    </row>
    <row r="52" spans="2:13" ht="15" customHeight="1" x14ac:dyDescent="0.45">
      <c r="B52" s="13"/>
      <c r="C52" s="25"/>
      <c r="D52" s="25"/>
      <c r="E52" s="25"/>
      <c r="F52" s="25"/>
      <c r="G52" s="25"/>
      <c r="H52" s="25"/>
      <c r="I52" s="25"/>
      <c r="J52" s="26"/>
      <c r="K52" s="26"/>
      <c r="L52" s="13"/>
      <c r="M52" s="196"/>
    </row>
    <row r="53" spans="2:13" ht="15" customHeight="1" x14ac:dyDescent="0.45">
      <c r="B53" s="13"/>
      <c r="C53" s="25"/>
      <c r="D53" s="25"/>
      <c r="E53" s="25"/>
      <c r="F53" s="25"/>
      <c r="G53" s="25"/>
      <c r="H53" s="25"/>
      <c r="I53" s="25"/>
      <c r="J53" s="26"/>
      <c r="K53" s="26"/>
      <c r="L53" s="13"/>
      <c r="M53" s="196"/>
    </row>
    <row r="54" spans="2:13" ht="15" customHeight="1" x14ac:dyDescent="0.45">
      <c r="B54" s="13"/>
      <c r="C54" s="25"/>
      <c r="D54" s="25"/>
      <c r="E54" s="25"/>
      <c r="F54" s="25"/>
      <c r="G54" s="25"/>
      <c r="H54" s="25"/>
      <c r="I54" s="25"/>
      <c r="J54" s="26"/>
      <c r="K54" s="26"/>
      <c r="L54" s="13"/>
      <c r="M54" s="196"/>
    </row>
    <row r="55" spans="2:13" ht="15" customHeight="1" x14ac:dyDescent="0.45">
      <c r="B55" s="13"/>
      <c r="C55" s="25"/>
      <c r="D55" s="25"/>
      <c r="E55" s="25"/>
      <c r="F55" s="25"/>
      <c r="G55" s="25"/>
      <c r="H55" s="25"/>
      <c r="I55" s="25"/>
      <c r="J55" s="26"/>
      <c r="K55" s="26"/>
      <c r="L55" s="13"/>
      <c r="M55" s="196"/>
    </row>
    <row r="56" spans="2:13" ht="15" customHeight="1" x14ac:dyDescent="0.45">
      <c r="B56" s="13"/>
      <c r="C56" s="25"/>
      <c r="D56" s="25"/>
      <c r="E56" s="25"/>
      <c r="F56" s="25"/>
      <c r="G56" s="25"/>
      <c r="H56" s="25"/>
      <c r="I56" s="25"/>
      <c r="J56" s="26"/>
      <c r="K56" s="26"/>
      <c r="L56" s="13"/>
      <c r="M56" s="196"/>
    </row>
    <row r="57" spans="2:13" ht="15" customHeight="1" x14ac:dyDescent="0.45">
      <c r="B57" s="13"/>
      <c r="C57" s="25"/>
      <c r="D57" s="25"/>
      <c r="E57" s="25"/>
      <c r="F57" s="25"/>
      <c r="G57" s="25"/>
      <c r="H57" s="25"/>
      <c r="I57" s="25"/>
      <c r="J57" s="26"/>
      <c r="K57" s="26"/>
      <c r="L57" s="13"/>
      <c r="M57" s="196"/>
    </row>
    <row r="58" spans="2:13" ht="15" customHeight="1" x14ac:dyDescent="0.45">
      <c r="B58" s="13"/>
      <c r="C58" s="25"/>
      <c r="D58" s="25"/>
      <c r="E58" s="25"/>
      <c r="F58" s="25"/>
      <c r="G58" s="25"/>
      <c r="H58" s="25"/>
      <c r="I58" s="25"/>
      <c r="J58" s="26"/>
      <c r="K58" s="26"/>
      <c r="L58" s="13"/>
      <c r="M58" s="196"/>
    </row>
    <row r="59" spans="2:13" ht="15" customHeight="1" x14ac:dyDescent="0.45">
      <c r="B59" s="13"/>
      <c r="C59" s="25"/>
      <c r="D59" s="25"/>
      <c r="E59" s="25"/>
      <c r="F59" s="25"/>
      <c r="G59" s="25"/>
      <c r="H59" s="25"/>
      <c r="I59" s="25"/>
      <c r="J59" s="26"/>
      <c r="K59" s="26"/>
      <c r="L59" s="13"/>
      <c r="M59" s="196"/>
    </row>
    <row r="60" spans="2:13" ht="15" customHeight="1" x14ac:dyDescent="0.45">
      <c r="B60" s="13"/>
      <c r="C60" s="25"/>
      <c r="D60" s="25"/>
      <c r="E60" s="25"/>
      <c r="F60" s="25"/>
      <c r="G60" s="25"/>
      <c r="H60" s="25"/>
      <c r="I60" s="25"/>
      <c r="J60" s="26"/>
      <c r="K60" s="26"/>
      <c r="L60" s="13"/>
      <c r="M60" s="196"/>
    </row>
    <row r="61" spans="2:13" ht="15" customHeight="1" x14ac:dyDescent="0.45">
      <c r="B61" s="13"/>
      <c r="C61" s="25"/>
      <c r="D61" s="25"/>
      <c r="E61" s="25"/>
      <c r="F61" s="25"/>
      <c r="G61" s="25"/>
      <c r="H61" s="25"/>
      <c r="I61" s="25"/>
      <c r="J61" s="26"/>
      <c r="K61" s="26"/>
      <c r="L61" s="13"/>
      <c r="M61" s="196"/>
    </row>
    <row r="62" spans="2:13" ht="15" customHeight="1" x14ac:dyDescent="0.45">
      <c r="B62" s="13"/>
      <c r="C62" s="25"/>
      <c r="D62" s="25"/>
      <c r="E62" s="25"/>
      <c r="F62" s="25"/>
      <c r="G62" s="25"/>
      <c r="H62" s="25"/>
      <c r="I62" s="25"/>
      <c r="J62" s="26"/>
      <c r="K62" s="26"/>
      <c r="L62" s="13"/>
      <c r="M62" s="196"/>
    </row>
  </sheetData>
  <mergeCells count="35">
    <mergeCell ref="B22:C22"/>
    <mergeCell ref="B4:C4"/>
    <mergeCell ref="D3:E3"/>
    <mergeCell ref="G3:H3"/>
    <mergeCell ref="J3:K3"/>
    <mergeCell ref="B14:C14"/>
    <mergeCell ref="D14:F14"/>
    <mergeCell ref="G14:I14"/>
    <mergeCell ref="J14:L14"/>
    <mergeCell ref="B21:C21"/>
    <mergeCell ref="D21:F21"/>
    <mergeCell ref="G21:I21"/>
    <mergeCell ref="J21:L21"/>
    <mergeCell ref="B30:J30"/>
    <mergeCell ref="K30:L30"/>
    <mergeCell ref="B27:C27"/>
    <mergeCell ref="D27:F27"/>
    <mergeCell ref="G27:I27"/>
    <mergeCell ref="J27:L27"/>
    <mergeCell ref="B28:C28"/>
    <mergeCell ref="D28:F28"/>
    <mergeCell ref="G28:I28"/>
    <mergeCell ref="J28:L28"/>
    <mergeCell ref="M3:N3"/>
    <mergeCell ref="P3:Q3"/>
    <mergeCell ref="M29:R29"/>
    <mergeCell ref="M30:Q30"/>
    <mergeCell ref="M14:O14"/>
    <mergeCell ref="M21:O21"/>
    <mergeCell ref="M27:O27"/>
    <mergeCell ref="M28:O28"/>
    <mergeCell ref="P14:R14"/>
    <mergeCell ref="P21:R21"/>
    <mergeCell ref="P27:R27"/>
    <mergeCell ref="P28:R28"/>
  </mergeCells>
  <dataValidations count="1">
    <dataValidation type="list" allowBlank="1" showInputMessage="1" showErrorMessage="1" sqref="E14">
      <formula1>$D$21:$I$21</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92D050"/>
  </sheetPr>
  <dimension ref="A1:N58"/>
  <sheetViews>
    <sheetView rightToLeft="1" topLeftCell="B1" zoomScale="85" zoomScaleNormal="85" workbookViewId="0">
      <selection activeCell="D7" sqref="D7"/>
    </sheetView>
  </sheetViews>
  <sheetFormatPr defaultColWidth="8.85546875" defaultRowHeight="15" x14ac:dyDescent="0.25"/>
  <cols>
    <col min="1" max="1" width="98.5703125" style="6" customWidth="1"/>
    <col min="2" max="2" width="14.42578125" style="6" customWidth="1"/>
    <col min="3" max="3" width="55.7109375" style="6" customWidth="1"/>
    <col min="4" max="7" width="6.42578125" style="6" customWidth="1"/>
    <col min="8" max="9" width="10.28515625" style="194" customWidth="1"/>
    <col min="10" max="10" width="8.85546875" style="194"/>
    <col min="11" max="11" width="6.7109375" style="194" customWidth="1"/>
    <col min="12" max="13" width="8.85546875" style="194"/>
    <col min="14" max="16384" width="8.85546875" style="6"/>
  </cols>
  <sheetData>
    <row r="1" spans="1:14" ht="45" customHeight="1" x14ac:dyDescent="0.25">
      <c r="A1" s="170"/>
      <c r="B1" s="170"/>
      <c r="C1" s="170"/>
      <c r="D1" s="170"/>
      <c r="E1" s="170"/>
      <c r="F1" s="170"/>
      <c r="G1" s="170"/>
    </row>
    <row r="2" spans="1:14" ht="38.450000000000003" customHeight="1" thickBot="1" x14ac:dyDescent="0.55000000000000004">
      <c r="A2" s="171"/>
      <c r="B2" s="34"/>
      <c r="C2" s="34"/>
      <c r="D2" s="34"/>
      <c r="E2" s="34"/>
      <c r="F2" s="170"/>
      <c r="G2" s="170"/>
    </row>
    <row r="3" spans="1:14" ht="28.5" customHeight="1" thickBot="1" x14ac:dyDescent="0.55000000000000004">
      <c r="A3" s="170"/>
      <c r="B3" s="1579" t="s">
        <v>381</v>
      </c>
      <c r="C3" s="1580"/>
      <c r="D3" s="135" t="s">
        <v>382</v>
      </c>
      <c r="E3" s="135" t="s">
        <v>15</v>
      </c>
      <c r="F3" s="135" t="s">
        <v>19</v>
      </c>
      <c r="G3" s="136" t="s">
        <v>256</v>
      </c>
      <c r="H3" s="294"/>
      <c r="I3" s="294"/>
      <c r="J3" s="294"/>
      <c r="K3" s="234"/>
      <c r="L3" s="234"/>
    </row>
    <row r="4" spans="1:14" ht="19.149999999999999" customHeight="1" x14ac:dyDescent="0.5">
      <c r="A4" s="172"/>
      <c r="B4" s="1624" t="s">
        <v>383</v>
      </c>
      <c r="C4" s="1625"/>
      <c r="D4" s="1625"/>
      <c r="E4" s="1625"/>
      <c r="F4" s="1625"/>
      <c r="G4" s="1626"/>
      <c r="H4" s="294"/>
      <c r="I4" s="294"/>
      <c r="J4" s="294"/>
      <c r="K4" s="234"/>
      <c r="L4" s="234"/>
    </row>
    <row r="5" spans="1:14" ht="19.149999999999999" customHeight="1" thickBot="1" x14ac:dyDescent="0.3">
      <c r="A5" s="170"/>
      <c r="B5" s="130">
        <v>1</v>
      </c>
      <c r="C5" s="131" t="s">
        <v>384</v>
      </c>
      <c r="D5" s="54" t="s">
        <v>91</v>
      </c>
      <c r="E5" s="54">
        <f>VLOOKUP(D5,$B$15:$C$17,2,FALSE)</f>
        <v>0.5</v>
      </c>
      <c r="F5" s="54">
        <v>0.25</v>
      </c>
      <c r="G5" s="132">
        <f>F5*E5</f>
        <v>0.125</v>
      </c>
      <c r="H5" s="295"/>
      <c r="K5" s="235"/>
      <c r="L5" s="235"/>
    </row>
    <row r="6" spans="1:14" s="7" customFormat="1" ht="19.149999999999999" customHeight="1" x14ac:dyDescent="0.25">
      <c r="A6" s="173"/>
      <c r="B6" s="1627" t="s">
        <v>386</v>
      </c>
      <c r="C6" s="1628"/>
      <c r="D6" s="1628"/>
      <c r="E6" s="1628"/>
      <c r="F6" s="1628"/>
      <c r="G6" s="1629"/>
      <c r="H6" s="294"/>
      <c r="I6" s="236"/>
      <c r="J6" s="236"/>
      <c r="K6" s="235"/>
      <c r="L6" s="235"/>
      <c r="M6" s="236"/>
    </row>
    <row r="7" spans="1:14" s="7" customFormat="1" ht="19.149999999999999" customHeight="1" thickBot="1" x14ac:dyDescent="0.3">
      <c r="A7" s="174"/>
      <c r="B7" s="130">
        <v>1</v>
      </c>
      <c r="C7" s="131" t="s">
        <v>387</v>
      </c>
      <c r="D7" s="54" t="s">
        <v>385</v>
      </c>
      <c r="E7" s="54">
        <v>1</v>
      </c>
      <c r="F7" s="54">
        <v>0.3</v>
      </c>
      <c r="G7" s="132">
        <f>F7*E7</f>
        <v>0.3</v>
      </c>
      <c r="H7" s="295"/>
      <c r="I7" s="236"/>
      <c r="J7" s="236"/>
      <c r="K7" s="235"/>
      <c r="L7" s="235"/>
      <c r="M7" s="236"/>
    </row>
    <row r="8" spans="1:14" s="7" customFormat="1" ht="19.149999999999999" customHeight="1" x14ac:dyDescent="0.25">
      <c r="A8" s="173"/>
      <c r="B8" s="1624" t="s">
        <v>388</v>
      </c>
      <c r="C8" s="1625"/>
      <c r="D8" s="1625"/>
      <c r="E8" s="1625"/>
      <c r="F8" s="1625"/>
      <c r="G8" s="1626"/>
      <c r="H8" s="294"/>
      <c r="I8" s="294"/>
      <c r="J8" s="294"/>
      <c r="K8" s="235"/>
      <c r="L8" s="235"/>
      <c r="M8" s="236"/>
    </row>
    <row r="9" spans="1:14" s="7" customFormat="1" ht="19.149999999999999" customHeight="1" thickBot="1" x14ac:dyDescent="0.3">
      <c r="A9" s="173"/>
      <c r="B9" s="130">
        <v>1</v>
      </c>
      <c r="C9" s="131" t="s">
        <v>389</v>
      </c>
      <c r="D9" s="54" t="s">
        <v>92</v>
      </c>
      <c r="E9" s="54">
        <f>VLOOKUP(D9,$B$15:$C$17,2,FALSE)</f>
        <v>0</v>
      </c>
      <c r="F9" s="54">
        <v>0.2</v>
      </c>
      <c r="G9" s="132">
        <f>F9*E9</f>
        <v>0</v>
      </c>
      <c r="H9" s="295"/>
      <c r="I9" s="295"/>
      <c r="J9" s="295"/>
      <c r="K9" s="235"/>
      <c r="L9" s="235"/>
      <c r="M9" s="236"/>
    </row>
    <row r="10" spans="1:14" s="7" customFormat="1" ht="19.149999999999999" customHeight="1" x14ac:dyDescent="0.25">
      <c r="A10" s="173"/>
      <c r="B10" s="1624" t="s">
        <v>390</v>
      </c>
      <c r="C10" s="1625"/>
      <c r="D10" s="1625"/>
      <c r="E10" s="1625"/>
      <c r="F10" s="1625"/>
      <c r="G10" s="1626"/>
      <c r="H10" s="294"/>
      <c r="I10" s="294"/>
      <c r="J10" s="294"/>
      <c r="K10" s="235"/>
      <c r="L10" s="235"/>
      <c r="M10" s="236"/>
    </row>
    <row r="11" spans="1:14" s="7" customFormat="1" ht="19.149999999999999" customHeight="1" thickBot="1" x14ac:dyDescent="0.3">
      <c r="A11" s="173"/>
      <c r="B11" s="130">
        <v>1</v>
      </c>
      <c r="C11" s="133" t="s">
        <v>391</v>
      </c>
      <c r="D11" s="54" t="s">
        <v>385</v>
      </c>
      <c r="E11" s="54">
        <f>VLOOKUP(D11,$B$15:$C$17,2,FALSE)</f>
        <v>1</v>
      </c>
      <c r="F11" s="54">
        <v>0.25</v>
      </c>
      <c r="G11" s="132">
        <f>F11*E11</f>
        <v>0.25</v>
      </c>
      <c r="H11" s="295"/>
      <c r="I11" s="295"/>
      <c r="J11" s="295"/>
      <c r="K11" s="235"/>
      <c r="L11" s="235"/>
      <c r="M11" s="236"/>
    </row>
    <row r="12" spans="1:14" s="7" customFormat="1" ht="19.149999999999999" customHeight="1" thickBot="1" x14ac:dyDescent="0.5">
      <c r="A12" s="173"/>
      <c r="B12" s="1622" t="s">
        <v>257</v>
      </c>
      <c r="C12" s="1623"/>
      <c r="D12" s="1623"/>
      <c r="E12" s="1623"/>
      <c r="F12" s="1623"/>
      <c r="G12" s="134">
        <f>SUM(G5,G7,G9,G11)</f>
        <v>0.67500000000000004</v>
      </c>
      <c r="H12" s="296"/>
      <c r="I12" s="296"/>
      <c r="J12" s="296"/>
      <c r="K12" s="235"/>
      <c r="L12" s="235"/>
      <c r="M12" s="236"/>
    </row>
    <row r="13" spans="1:14" s="7" customFormat="1" ht="19.149999999999999" customHeight="1" x14ac:dyDescent="0.45">
      <c r="A13" s="173"/>
      <c r="B13" s="30"/>
      <c r="C13" s="30"/>
      <c r="D13" s="30"/>
      <c r="E13" s="30"/>
      <c r="F13" s="30"/>
      <c r="G13" s="30"/>
      <c r="H13" s="218"/>
      <c r="I13" s="239"/>
      <c r="J13" s="239"/>
      <c r="K13" s="235"/>
      <c r="L13" s="235"/>
      <c r="M13" s="236"/>
    </row>
    <row r="14" spans="1:14" s="7" customFormat="1" ht="19.149999999999999" customHeight="1" thickBot="1" x14ac:dyDescent="0.5">
      <c r="A14" s="173"/>
      <c r="B14" s="30"/>
      <c r="C14" s="30"/>
      <c r="D14" s="30"/>
      <c r="E14" s="30"/>
      <c r="F14" s="30"/>
      <c r="G14" s="30"/>
      <c r="H14" s="218"/>
      <c r="I14" s="239"/>
      <c r="J14" s="239"/>
      <c r="K14" s="235"/>
      <c r="L14" s="235"/>
      <c r="M14" s="236"/>
    </row>
    <row r="15" spans="1:14" s="7" customFormat="1" ht="19.149999999999999" customHeight="1" x14ac:dyDescent="0.45">
      <c r="A15" s="173"/>
      <c r="B15" s="288" t="s">
        <v>385</v>
      </c>
      <c r="C15" s="289">
        <v>1</v>
      </c>
      <c r="D15" s="30"/>
      <c r="E15" s="30"/>
      <c r="F15" s="30"/>
      <c r="G15" s="30"/>
      <c r="H15" s="218"/>
      <c r="I15" s="239"/>
      <c r="J15" s="239"/>
      <c r="K15" s="235"/>
      <c r="L15" s="235"/>
      <c r="M15" s="236"/>
    </row>
    <row r="16" spans="1:14" s="7" customFormat="1" ht="19.149999999999999" customHeight="1" x14ac:dyDescent="0.45">
      <c r="A16" s="173"/>
      <c r="B16" s="290" t="s">
        <v>91</v>
      </c>
      <c r="C16" s="291">
        <v>0.5</v>
      </c>
      <c r="D16" s="30"/>
      <c r="E16" s="30"/>
      <c r="F16" s="30"/>
      <c r="G16" s="30"/>
      <c r="H16" s="218"/>
      <c r="I16" s="239"/>
      <c r="J16" s="239"/>
      <c r="K16" s="235"/>
      <c r="L16" s="235"/>
      <c r="M16" s="810"/>
      <c r="N16" s="470"/>
    </row>
    <row r="17" spans="1:14" s="7" customFormat="1" ht="19.149999999999999" customHeight="1" thickBot="1" x14ac:dyDescent="0.5">
      <c r="A17" s="173"/>
      <c r="B17" s="292" t="s">
        <v>92</v>
      </c>
      <c r="C17" s="293">
        <v>0</v>
      </c>
      <c r="D17" s="30"/>
      <c r="E17" s="30"/>
      <c r="F17" s="30"/>
      <c r="G17" s="30"/>
      <c r="H17" s="218"/>
      <c r="I17" s="239"/>
      <c r="J17" s="239"/>
      <c r="K17" s="235"/>
      <c r="L17" s="235"/>
      <c r="M17" s="236"/>
      <c r="N17" s="470"/>
    </row>
    <row r="18" spans="1:14" s="7" customFormat="1" ht="36.75" customHeight="1" thickBot="1" x14ac:dyDescent="0.5">
      <c r="A18" s="173"/>
      <c r="B18" s="30"/>
      <c r="C18" s="30"/>
      <c r="D18" s="30"/>
      <c r="E18" s="30"/>
      <c r="F18" s="30"/>
      <c r="G18" s="30"/>
      <c r="H18" s="218"/>
      <c r="I18" s="239"/>
      <c r="J18" s="239"/>
      <c r="K18" s="235"/>
      <c r="L18" s="235"/>
      <c r="M18" s="236"/>
      <c r="N18" s="470"/>
    </row>
    <row r="19" spans="1:14" s="7" customFormat="1" ht="29.25" customHeight="1" x14ac:dyDescent="0.25">
      <c r="A19" s="173"/>
      <c r="B19" s="805" t="s">
        <v>613</v>
      </c>
      <c r="C19" s="806">
        <f>'رونق فعالیت '!D35</f>
        <v>2416405</v>
      </c>
      <c r="D19" s="33"/>
      <c r="E19" s="33"/>
      <c r="F19" s="33"/>
      <c r="G19" s="33"/>
      <c r="H19" s="22"/>
      <c r="I19" s="22"/>
      <c r="J19" s="236"/>
      <c r="K19" s="236"/>
      <c r="L19" s="236"/>
      <c r="M19" s="236"/>
      <c r="N19" s="470"/>
    </row>
    <row r="20" spans="1:14" s="7" customFormat="1" ht="27.75" customHeight="1" x14ac:dyDescent="0.45">
      <c r="A20" s="173"/>
      <c r="B20" s="807" t="s">
        <v>614</v>
      </c>
      <c r="C20" s="806"/>
      <c r="D20" s="256"/>
      <c r="E20" s="256"/>
      <c r="F20" s="256"/>
      <c r="G20" s="256"/>
      <c r="H20" s="51"/>
      <c r="I20" s="22"/>
      <c r="J20" s="236"/>
      <c r="K20" s="236"/>
      <c r="L20" s="236"/>
      <c r="M20" s="236"/>
      <c r="N20" s="470"/>
    </row>
    <row r="21" spans="1:14" ht="21.75" customHeight="1" thickBot="1" x14ac:dyDescent="0.3">
      <c r="A21" s="170"/>
      <c r="B21" s="356" t="s">
        <v>615</v>
      </c>
      <c r="C21" s="808">
        <f>C20/C19</f>
        <v>0</v>
      </c>
      <c r="D21" s="177"/>
      <c r="E21" s="177"/>
      <c r="F21" s="170"/>
      <c r="G21" s="170"/>
      <c r="N21" s="470"/>
    </row>
    <row r="22" spans="1:14" ht="28.5" customHeight="1" thickBot="1" x14ac:dyDescent="0.3">
      <c r="A22" s="170"/>
      <c r="B22" s="356" t="s">
        <v>19</v>
      </c>
      <c r="C22" s="809">
        <f>IF(C21=0,0,IF(C21&lt;0.0001,0.05,IF(C21&lt;0.0003,0.1,IF(C21&lt;0.0004,0.2,IF(C21&lt;0.0006,0.4,IF(C21&lt;0.0008,0.5,IF(C21&lt;0.001,0.7,IF(C21&lt;0.0015,0.8,IF(C21&lt;0.002,0.9,1)))))))))</f>
        <v>0</v>
      </c>
      <c r="D22" s="177"/>
      <c r="E22" s="177"/>
      <c r="F22" s="170"/>
      <c r="G22" s="170"/>
      <c r="N22" s="470"/>
    </row>
    <row r="23" spans="1:14" ht="15" customHeight="1" x14ac:dyDescent="0.25">
      <c r="A23" s="170"/>
      <c r="B23" s="177"/>
      <c r="C23" s="177"/>
      <c r="D23" s="177"/>
      <c r="E23" s="177"/>
      <c r="F23" s="170"/>
      <c r="G23" s="170"/>
    </row>
    <row r="24" spans="1:14" ht="15" customHeight="1" x14ac:dyDescent="0.25">
      <c r="A24" s="170"/>
      <c r="B24" s="177"/>
      <c r="C24" s="177"/>
      <c r="D24" s="804"/>
      <c r="E24" s="177"/>
      <c r="F24" s="170"/>
      <c r="G24" s="170"/>
    </row>
    <row r="25" spans="1:14" ht="15" customHeight="1" x14ac:dyDescent="0.25">
      <c r="A25" s="170"/>
      <c r="B25" s="177"/>
      <c r="C25" s="177"/>
      <c r="D25" s="177"/>
      <c r="E25" s="177"/>
      <c r="F25" s="170"/>
      <c r="G25" s="170"/>
    </row>
    <row r="26" spans="1:14" x14ac:dyDescent="0.25">
      <c r="A26" s="170"/>
      <c r="B26" s="170"/>
      <c r="C26" s="170"/>
      <c r="D26" s="170"/>
      <c r="E26" s="170"/>
      <c r="F26" s="170"/>
      <c r="G26" s="170"/>
    </row>
    <row r="27" spans="1:14" x14ac:dyDescent="0.25">
      <c r="A27" s="170"/>
      <c r="B27" s="170"/>
      <c r="C27" s="170"/>
      <c r="D27" s="170"/>
      <c r="E27" s="170"/>
      <c r="F27" s="170"/>
      <c r="G27" s="170"/>
    </row>
    <row r="28" spans="1:14" x14ac:dyDescent="0.25">
      <c r="A28" s="170"/>
      <c r="B28" s="170"/>
      <c r="C28" s="170"/>
      <c r="D28" s="170"/>
      <c r="E28" s="170"/>
      <c r="F28" s="170"/>
      <c r="G28" s="170"/>
    </row>
    <row r="29" spans="1:14" x14ac:dyDescent="0.25">
      <c r="A29" s="170"/>
      <c r="B29" s="170"/>
      <c r="C29" s="170"/>
      <c r="D29" s="170"/>
      <c r="E29" s="170"/>
      <c r="F29" s="170"/>
      <c r="G29" s="170"/>
    </row>
    <row r="30" spans="1:14" x14ac:dyDescent="0.25">
      <c r="A30" s="170"/>
      <c r="B30" s="170"/>
      <c r="C30" s="170"/>
      <c r="D30" s="170"/>
      <c r="E30" s="170"/>
      <c r="F30" s="170"/>
      <c r="G30" s="170"/>
    </row>
    <row r="31" spans="1:14" x14ac:dyDescent="0.25">
      <c r="A31" s="170"/>
      <c r="B31" s="170"/>
      <c r="C31" s="170"/>
      <c r="D31" s="170"/>
      <c r="E31" s="170"/>
      <c r="F31" s="170"/>
      <c r="G31" s="170"/>
    </row>
    <row r="32" spans="1:14" x14ac:dyDescent="0.25">
      <c r="A32" s="170"/>
      <c r="B32" s="170"/>
      <c r="C32" s="170"/>
      <c r="D32" s="170"/>
      <c r="E32" s="170"/>
      <c r="F32" s="170"/>
      <c r="G32" s="170"/>
    </row>
    <row r="33" spans="1:12" x14ac:dyDescent="0.25">
      <c r="A33" s="170"/>
      <c r="B33" s="170"/>
      <c r="C33" s="170"/>
      <c r="D33" s="170"/>
      <c r="E33" s="170"/>
      <c r="F33" s="170"/>
      <c r="G33" s="170"/>
    </row>
    <row r="34" spans="1:12" x14ac:dyDescent="0.25">
      <c r="A34" s="170"/>
      <c r="B34" s="170"/>
      <c r="C34" s="170"/>
      <c r="D34" s="170"/>
      <c r="E34" s="170"/>
      <c r="F34" s="170"/>
      <c r="G34" s="170"/>
    </row>
    <row r="35" spans="1:12" ht="15" customHeight="1" x14ac:dyDescent="0.25">
      <c r="A35" s="170"/>
      <c r="B35" s="170"/>
      <c r="C35" s="170"/>
      <c r="D35" s="170"/>
      <c r="E35" s="170"/>
      <c r="F35" s="170"/>
      <c r="G35" s="170"/>
    </row>
    <row r="36" spans="1:12" ht="15" customHeight="1" x14ac:dyDescent="0.25">
      <c r="A36" s="170"/>
      <c r="B36" s="170"/>
      <c r="C36" s="170"/>
      <c r="D36" s="170"/>
      <c r="E36" s="170"/>
      <c r="F36" s="170"/>
      <c r="G36" s="170"/>
    </row>
    <row r="39" spans="1:12" ht="15" customHeight="1" x14ac:dyDescent="0.55000000000000004">
      <c r="B39" s="105"/>
      <c r="C39" s="180"/>
      <c r="D39" s="180"/>
      <c r="E39" s="180"/>
      <c r="F39" s="180"/>
      <c r="G39" s="180"/>
      <c r="H39" s="180"/>
      <c r="I39" s="180"/>
      <c r="J39" s="180"/>
      <c r="K39" s="195"/>
      <c r="L39" s="195"/>
    </row>
    <row r="40" spans="1:12" ht="15" customHeight="1" x14ac:dyDescent="0.5">
      <c r="B40" s="24"/>
      <c r="C40" s="24"/>
      <c r="D40" s="24"/>
      <c r="E40" s="24"/>
      <c r="F40" s="24"/>
      <c r="G40" s="24"/>
      <c r="H40" s="197"/>
      <c r="I40" s="197"/>
      <c r="J40" s="197"/>
      <c r="K40" s="195"/>
      <c r="L40" s="195"/>
    </row>
    <row r="41" spans="1:12" ht="15" customHeight="1" x14ac:dyDescent="0.45">
      <c r="B41" s="25"/>
      <c r="C41" s="25"/>
      <c r="D41" s="25"/>
      <c r="E41" s="25"/>
      <c r="F41" s="25"/>
      <c r="G41" s="25"/>
      <c r="H41" s="198"/>
      <c r="I41" s="199"/>
      <c r="J41" s="199"/>
      <c r="K41" s="196"/>
      <c r="L41" s="196"/>
    </row>
    <row r="42" spans="1:12" ht="15" customHeight="1" x14ac:dyDescent="0.45">
      <c r="B42" s="25"/>
      <c r="C42" s="25"/>
      <c r="D42" s="25"/>
      <c r="E42" s="25"/>
      <c r="F42" s="25"/>
      <c r="G42" s="25"/>
      <c r="H42" s="198"/>
      <c r="I42" s="199"/>
      <c r="J42" s="199"/>
      <c r="K42" s="196"/>
      <c r="L42" s="196"/>
    </row>
    <row r="43" spans="1:12" ht="15" customHeight="1" x14ac:dyDescent="0.45">
      <c r="B43" s="25"/>
      <c r="C43" s="25"/>
      <c r="D43" s="25"/>
      <c r="E43" s="25"/>
      <c r="F43" s="25"/>
      <c r="G43" s="25"/>
      <c r="H43" s="198"/>
      <c r="I43" s="199"/>
      <c r="J43" s="199"/>
      <c r="K43" s="196"/>
      <c r="L43" s="196"/>
    </row>
    <row r="44" spans="1:12" ht="15" customHeight="1" x14ac:dyDescent="0.45">
      <c r="B44" s="25"/>
      <c r="C44" s="25"/>
      <c r="D44" s="25"/>
      <c r="E44" s="25"/>
      <c r="F44" s="25"/>
      <c r="G44" s="25"/>
      <c r="H44" s="198"/>
      <c r="I44" s="199"/>
      <c r="J44" s="199"/>
      <c r="K44" s="196"/>
      <c r="L44" s="196"/>
    </row>
    <row r="45" spans="1:12" ht="15" customHeight="1" x14ac:dyDescent="0.45">
      <c r="B45" s="25"/>
      <c r="C45" s="25"/>
      <c r="D45" s="25"/>
      <c r="E45" s="25"/>
      <c r="F45" s="25"/>
      <c r="G45" s="25"/>
      <c r="H45" s="198"/>
      <c r="I45" s="199"/>
      <c r="J45" s="199"/>
      <c r="K45" s="196"/>
      <c r="L45" s="196"/>
    </row>
    <row r="46" spans="1:12" ht="15" customHeight="1" x14ac:dyDescent="0.45">
      <c r="B46" s="25"/>
      <c r="C46" s="25"/>
      <c r="D46" s="25"/>
      <c r="E46" s="25"/>
      <c r="F46" s="25"/>
      <c r="G46" s="25"/>
      <c r="H46" s="198"/>
      <c r="I46" s="199"/>
      <c r="J46" s="199"/>
      <c r="K46" s="196"/>
      <c r="L46" s="196"/>
    </row>
    <row r="47" spans="1:12" ht="15" customHeight="1" x14ac:dyDescent="0.45">
      <c r="B47" s="25"/>
      <c r="C47" s="25"/>
      <c r="D47" s="25"/>
      <c r="E47" s="25"/>
      <c r="F47" s="25"/>
      <c r="G47" s="25"/>
      <c r="H47" s="198"/>
      <c r="I47" s="199"/>
      <c r="J47" s="199"/>
      <c r="K47" s="196"/>
      <c r="L47" s="196"/>
    </row>
    <row r="48" spans="1:12" ht="15" customHeight="1" x14ac:dyDescent="0.45">
      <c r="B48" s="25"/>
      <c r="C48" s="25"/>
      <c r="D48" s="25"/>
      <c r="E48" s="25"/>
      <c r="F48" s="25"/>
      <c r="G48" s="25"/>
      <c r="H48" s="198"/>
      <c r="I48" s="199"/>
      <c r="J48" s="199"/>
      <c r="K48" s="196"/>
      <c r="L48" s="196"/>
    </row>
    <row r="49" spans="2:12" ht="15" customHeight="1" x14ac:dyDescent="0.45">
      <c r="B49" s="25"/>
      <c r="C49" s="25"/>
      <c r="D49" s="25"/>
      <c r="E49" s="25"/>
      <c r="F49" s="25"/>
      <c r="G49" s="25"/>
      <c r="H49" s="198"/>
      <c r="I49" s="199"/>
      <c r="J49" s="199"/>
      <c r="K49" s="196"/>
      <c r="L49" s="196"/>
    </row>
    <row r="50" spans="2:12" ht="15" customHeight="1" x14ac:dyDescent="0.45">
      <c r="B50" s="25"/>
      <c r="C50" s="25"/>
      <c r="D50" s="25"/>
      <c r="E50" s="25"/>
      <c r="F50" s="25"/>
      <c r="G50" s="25"/>
      <c r="H50" s="198"/>
      <c r="I50" s="199"/>
      <c r="J50" s="199"/>
      <c r="K50" s="196"/>
      <c r="L50" s="196"/>
    </row>
    <row r="51" spans="2:12" ht="15" customHeight="1" x14ac:dyDescent="0.45">
      <c r="B51" s="25"/>
      <c r="C51" s="25"/>
      <c r="D51" s="25"/>
      <c r="E51" s="25"/>
      <c r="F51" s="25"/>
      <c r="G51" s="25"/>
      <c r="H51" s="198"/>
      <c r="I51" s="199"/>
      <c r="J51" s="199"/>
      <c r="K51" s="196"/>
      <c r="L51" s="196"/>
    </row>
    <row r="52" spans="2:12" ht="15" customHeight="1" x14ac:dyDescent="0.45">
      <c r="B52" s="25"/>
      <c r="C52" s="25"/>
      <c r="D52" s="25"/>
      <c r="E52" s="25"/>
      <c r="F52" s="25"/>
      <c r="G52" s="25"/>
      <c r="H52" s="198"/>
      <c r="I52" s="199"/>
      <c r="J52" s="199"/>
      <c r="K52" s="196"/>
      <c r="L52" s="196"/>
    </row>
    <row r="53" spans="2:12" ht="15" customHeight="1" x14ac:dyDescent="0.45">
      <c r="B53" s="25"/>
      <c r="C53" s="25"/>
      <c r="D53" s="25"/>
      <c r="E53" s="25"/>
      <c r="F53" s="25"/>
      <c r="G53" s="25"/>
      <c r="H53" s="198"/>
      <c r="I53" s="199"/>
      <c r="J53" s="199"/>
      <c r="K53" s="196"/>
      <c r="L53" s="196"/>
    </row>
    <row r="54" spans="2:12" ht="15" customHeight="1" x14ac:dyDescent="0.45">
      <c r="B54" s="25"/>
      <c r="C54" s="25"/>
      <c r="D54" s="25"/>
      <c r="E54" s="25"/>
      <c r="F54" s="25"/>
      <c r="G54" s="25"/>
      <c r="H54" s="198"/>
      <c r="I54" s="199"/>
      <c r="J54" s="199"/>
      <c r="K54" s="196"/>
      <c r="L54" s="196"/>
    </row>
    <row r="55" spans="2:12" ht="15" customHeight="1" x14ac:dyDescent="0.45">
      <c r="B55" s="25"/>
      <c r="C55" s="25"/>
      <c r="D55" s="25"/>
      <c r="E55" s="25"/>
      <c r="F55" s="25"/>
      <c r="G55" s="25"/>
      <c r="H55" s="198"/>
      <c r="I55" s="199"/>
      <c r="J55" s="199"/>
      <c r="K55" s="196"/>
      <c r="L55" s="196"/>
    </row>
    <row r="56" spans="2:12" ht="15" customHeight="1" x14ac:dyDescent="0.45">
      <c r="B56" s="25"/>
      <c r="C56" s="25"/>
      <c r="D56" s="25"/>
      <c r="E56" s="25"/>
      <c r="F56" s="25"/>
      <c r="G56" s="25"/>
      <c r="H56" s="198"/>
      <c r="I56" s="199"/>
      <c r="J56" s="199"/>
      <c r="K56" s="196"/>
      <c r="L56" s="196"/>
    </row>
    <row r="57" spans="2:12" ht="15" customHeight="1" x14ac:dyDescent="0.45">
      <c r="B57" s="25"/>
      <c r="C57" s="25"/>
      <c r="D57" s="25"/>
      <c r="E57" s="25"/>
      <c r="F57" s="25"/>
      <c r="G57" s="25"/>
      <c r="H57" s="198"/>
      <c r="I57" s="199"/>
      <c r="J57" s="199"/>
      <c r="K57" s="196"/>
      <c r="L57" s="196"/>
    </row>
    <row r="58" spans="2:12" ht="15" customHeight="1" x14ac:dyDescent="0.45">
      <c r="B58" s="25"/>
      <c r="C58" s="25"/>
      <c r="D58" s="25"/>
      <c r="E58" s="25"/>
      <c r="F58" s="25"/>
      <c r="G58" s="25"/>
      <c r="H58" s="198"/>
      <c r="I58" s="199"/>
      <c r="J58" s="199"/>
      <c r="K58" s="196"/>
      <c r="L58" s="196"/>
    </row>
  </sheetData>
  <dataConsolidate/>
  <mergeCells count="6">
    <mergeCell ref="B12:F12"/>
    <mergeCell ref="B3:C3"/>
    <mergeCell ref="B4:G4"/>
    <mergeCell ref="B6:G6"/>
    <mergeCell ref="B8:G8"/>
    <mergeCell ref="B10:G10"/>
  </mergeCells>
  <dataValidations count="2">
    <dataValidation type="list" allowBlank="1" showInputMessage="1" showErrorMessage="1" sqref="D13:D15">
      <formula1>#REF!</formula1>
    </dataValidation>
    <dataValidation type="list" allowBlank="1" showInputMessage="1" showErrorMessage="1" sqref="D5 D7 D9 D11">
      <formula1>$B$15:$B$17</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tabColor rgb="FF002060"/>
  </sheetPr>
  <dimension ref="B1:W40"/>
  <sheetViews>
    <sheetView rightToLeft="1" topLeftCell="A31" zoomScale="115" zoomScaleNormal="115" workbookViewId="0">
      <selection activeCell="C40" sqref="C40"/>
    </sheetView>
  </sheetViews>
  <sheetFormatPr defaultColWidth="10.140625" defaultRowHeight="18.75" x14ac:dyDescent="0.45"/>
  <cols>
    <col min="1" max="2" width="10.140625" style="473"/>
    <col min="3" max="3" width="32.42578125" style="473" customWidth="1"/>
    <col min="4" max="4" width="17.5703125" style="474" customWidth="1"/>
    <col min="5" max="5" width="18.140625" style="473" customWidth="1"/>
    <col min="6" max="6" width="31.85546875" style="475" bestFit="1" customWidth="1"/>
    <col min="7" max="8" width="10.140625" style="473"/>
    <col min="9" max="9" width="19" style="473" customWidth="1"/>
    <col min="10" max="10" width="11.42578125" style="473" customWidth="1"/>
    <col min="11" max="11" width="13" style="473" bestFit="1" customWidth="1"/>
    <col min="12" max="15" width="10.140625" style="473"/>
    <col min="16" max="16" width="13" style="473" bestFit="1" customWidth="1"/>
    <col min="17" max="16384" width="10.140625" style="473"/>
  </cols>
  <sheetData>
    <row r="1" spans="2:16" ht="19.5" thickBot="1" x14ac:dyDescent="0.5"/>
    <row r="2" spans="2:16" ht="20.25" customHeight="1" x14ac:dyDescent="0.45">
      <c r="B2" s="476" t="s">
        <v>38</v>
      </c>
      <c r="C2" s="477" t="s">
        <v>78</v>
      </c>
      <c r="D2" s="477" t="s">
        <v>499</v>
      </c>
      <c r="E2" s="477" t="s">
        <v>500</v>
      </c>
      <c r="F2" s="477" t="s">
        <v>276</v>
      </c>
      <c r="G2" s="1635" t="s">
        <v>15</v>
      </c>
    </row>
    <row r="3" spans="2:16" ht="38.25" thickBot="1" x14ac:dyDescent="0.5">
      <c r="B3" s="1639" t="s">
        <v>501</v>
      </c>
      <c r="C3" s="1640"/>
      <c r="D3" s="478" t="s">
        <v>502</v>
      </c>
      <c r="E3" s="478" t="s">
        <v>503</v>
      </c>
      <c r="F3" s="479" t="s">
        <v>502</v>
      </c>
      <c r="G3" s="1638"/>
    </row>
    <row r="4" spans="2:16" ht="18.75" customHeight="1" x14ac:dyDescent="0.45">
      <c r="B4" s="480">
        <v>1</v>
      </c>
      <c r="C4" s="481" t="s">
        <v>504</v>
      </c>
      <c r="D4" s="482">
        <v>0.7</v>
      </c>
      <c r="E4" s="483">
        <v>-0.5</v>
      </c>
      <c r="F4" s="484">
        <f t="shared" ref="F4:F21" si="0">D4/SUM($D$4:$D$21)</f>
        <v>0.2121212121212121</v>
      </c>
      <c r="G4" s="485">
        <f>PRODUCT(E4:F4)</f>
        <v>-0.10606060606060605</v>
      </c>
      <c r="P4" s="486"/>
    </row>
    <row r="5" spans="2:16" ht="18.75" customHeight="1" x14ac:dyDescent="0.45">
      <c r="B5" s="480">
        <v>2</v>
      </c>
      <c r="C5" s="481" t="s">
        <v>505</v>
      </c>
      <c r="D5" s="482">
        <v>0.2</v>
      </c>
      <c r="E5" s="483">
        <v>0.3</v>
      </c>
      <c r="F5" s="484">
        <f t="shared" si="0"/>
        <v>6.0606060606060608E-2</v>
      </c>
      <c r="G5" s="485">
        <f t="shared" ref="G5:G21" si="1">PRODUCT(E5:F5)</f>
        <v>1.8181818181818181E-2</v>
      </c>
      <c r="P5" s="486"/>
    </row>
    <row r="6" spans="2:16" ht="18.75" customHeight="1" x14ac:dyDescent="0.45">
      <c r="B6" s="480">
        <v>3</v>
      </c>
      <c r="C6" s="481" t="s">
        <v>506</v>
      </c>
      <c r="D6" s="482">
        <v>0</v>
      </c>
      <c r="E6" s="483">
        <v>0</v>
      </c>
      <c r="F6" s="484">
        <f t="shared" si="0"/>
        <v>0</v>
      </c>
      <c r="G6" s="485">
        <f t="shared" si="1"/>
        <v>0</v>
      </c>
      <c r="I6" s="715" t="s">
        <v>572</v>
      </c>
      <c r="J6" s="715"/>
      <c r="K6" s="715"/>
      <c r="L6" s="715"/>
      <c r="M6" s="715"/>
      <c r="P6" s="486"/>
    </row>
    <row r="7" spans="2:16" ht="18.75" customHeight="1" x14ac:dyDescent="0.45">
      <c r="B7" s="480">
        <v>4</v>
      </c>
      <c r="C7" s="481" t="s">
        <v>507</v>
      </c>
      <c r="D7" s="487">
        <v>0</v>
      </c>
      <c r="E7" s="483">
        <v>0</v>
      </c>
      <c r="F7" s="484">
        <f t="shared" si="0"/>
        <v>0</v>
      </c>
      <c r="G7" s="485">
        <f t="shared" si="1"/>
        <v>0</v>
      </c>
      <c r="P7" s="486"/>
    </row>
    <row r="8" spans="2:16" ht="18.75" customHeight="1" x14ac:dyDescent="0.45">
      <c r="B8" s="480">
        <v>5</v>
      </c>
      <c r="C8" s="481" t="s">
        <v>508</v>
      </c>
      <c r="D8" s="482">
        <v>0.5</v>
      </c>
      <c r="E8" s="483">
        <v>1</v>
      </c>
      <c r="F8" s="484">
        <f t="shared" si="0"/>
        <v>0.15151515151515149</v>
      </c>
      <c r="G8" s="485">
        <f t="shared" si="1"/>
        <v>0.15151515151515149</v>
      </c>
      <c r="P8" s="486"/>
    </row>
    <row r="9" spans="2:16" ht="19.5" customHeight="1" thickBot="1" x14ac:dyDescent="0.5">
      <c r="B9" s="480">
        <v>6</v>
      </c>
      <c r="C9" s="481" t="s">
        <v>509</v>
      </c>
      <c r="D9" s="482">
        <v>0.2</v>
      </c>
      <c r="E9" s="483">
        <v>0.2</v>
      </c>
      <c r="F9" s="484">
        <f t="shared" si="0"/>
        <v>6.0606060606060608E-2</v>
      </c>
      <c r="G9" s="485">
        <f t="shared" si="1"/>
        <v>1.2121212121212123E-2</v>
      </c>
      <c r="P9" s="486"/>
    </row>
    <row r="10" spans="2:16" x14ac:dyDescent="0.45">
      <c r="B10" s="480">
        <v>7</v>
      </c>
      <c r="C10" s="481" t="s">
        <v>510</v>
      </c>
      <c r="D10" s="482">
        <v>0.7</v>
      </c>
      <c r="E10" s="483">
        <v>0.5</v>
      </c>
      <c r="F10" s="484">
        <f t="shared" si="0"/>
        <v>0.2121212121212121</v>
      </c>
      <c r="G10" s="485">
        <f t="shared" si="1"/>
        <v>0.10606060606060605</v>
      </c>
      <c r="I10" s="488"/>
      <c r="J10" s="489" t="s">
        <v>511</v>
      </c>
      <c r="K10" s="490" t="s">
        <v>15</v>
      </c>
      <c r="P10" s="486"/>
    </row>
    <row r="11" spans="2:16" ht="18.75" customHeight="1" x14ac:dyDescent="0.45">
      <c r="B11" s="480">
        <v>8</v>
      </c>
      <c r="C11" s="481" t="s">
        <v>512</v>
      </c>
      <c r="D11" s="482">
        <v>0.2</v>
      </c>
      <c r="E11" s="483">
        <v>-0.2</v>
      </c>
      <c r="F11" s="484">
        <f t="shared" si="0"/>
        <v>6.0606060606060608E-2</v>
      </c>
      <c r="G11" s="485">
        <f t="shared" si="1"/>
        <v>-1.2121212121212123E-2</v>
      </c>
      <c r="I11" s="491" t="s">
        <v>513</v>
      </c>
      <c r="J11" s="473" t="s">
        <v>514</v>
      </c>
      <c r="K11" s="492">
        <v>-1</v>
      </c>
      <c r="P11" s="486"/>
    </row>
    <row r="12" spans="2:16" x14ac:dyDescent="0.45">
      <c r="B12" s="480">
        <v>9</v>
      </c>
      <c r="C12" s="481" t="s">
        <v>515</v>
      </c>
      <c r="D12" s="482">
        <v>0.5</v>
      </c>
      <c r="E12" s="483">
        <v>0.5</v>
      </c>
      <c r="F12" s="484">
        <f t="shared" si="0"/>
        <v>0.15151515151515149</v>
      </c>
      <c r="G12" s="485">
        <f t="shared" si="1"/>
        <v>7.5757575757575746E-2</v>
      </c>
      <c r="I12" s="491"/>
      <c r="J12" s="473" t="s">
        <v>516</v>
      </c>
      <c r="K12" s="492">
        <v>-0.25</v>
      </c>
      <c r="P12" s="486"/>
    </row>
    <row r="13" spans="2:16" x14ac:dyDescent="0.45">
      <c r="B13" s="480">
        <v>10</v>
      </c>
      <c r="C13" s="481" t="s">
        <v>517</v>
      </c>
      <c r="D13" s="482">
        <v>0.2</v>
      </c>
      <c r="E13" s="483">
        <v>-0.2</v>
      </c>
      <c r="F13" s="484">
        <f t="shared" si="0"/>
        <v>6.0606060606060608E-2</v>
      </c>
      <c r="G13" s="485">
        <f t="shared" si="1"/>
        <v>-1.2121212121212123E-2</v>
      </c>
      <c r="I13" s="491"/>
      <c r="J13" s="473" t="s">
        <v>571</v>
      </c>
      <c r="K13" s="492">
        <v>0.5</v>
      </c>
      <c r="P13" s="486"/>
    </row>
    <row r="14" spans="2:16" x14ac:dyDescent="0.45">
      <c r="B14" s="480">
        <v>11</v>
      </c>
      <c r="C14" s="481" t="s">
        <v>518</v>
      </c>
      <c r="D14" s="482">
        <v>0</v>
      </c>
      <c r="E14" s="483">
        <v>-1</v>
      </c>
      <c r="F14" s="484">
        <f t="shared" si="0"/>
        <v>0</v>
      </c>
      <c r="G14" s="485">
        <f t="shared" si="1"/>
        <v>0</v>
      </c>
      <c r="I14" s="491"/>
      <c r="J14" s="473" t="s">
        <v>519</v>
      </c>
      <c r="K14" s="492">
        <v>1</v>
      </c>
      <c r="P14" s="486"/>
    </row>
    <row r="15" spans="2:16" ht="19.5" thickBot="1" x14ac:dyDescent="0.5">
      <c r="B15" s="480">
        <v>12</v>
      </c>
      <c r="C15" s="481" t="s">
        <v>520</v>
      </c>
      <c r="D15" s="482">
        <v>0</v>
      </c>
      <c r="E15" s="483">
        <v>1</v>
      </c>
      <c r="F15" s="484">
        <f t="shared" si="0"/>
        <v>0</v>
      </c>
      <c r="G15" s="485">
        <f t="shared" si="1"/>
        <v>0</v>
      </c>
      <c r="I15" s="493"/>
      <c r="J15" s="494" t="s">
        <v>521</v>
      </c>
      <c r="K15" s="495">
        <v>-0.5</v>
      </c>
      <c r="P15" s="486"/>
    </row>
    <row r="16" spans="2:16" x14ac:dyDescent="0.45">
      <c r="B16" s="480">
        <v>13</v>
      </c>
      <c r="C16" s="481" t="s">
        <v>522</v>
      </c>
      <c r="D16" s="482">
        <v>0</v>
      </c>
      <c r="E16" s="483">
        <v>1</v>
      </c>
      <c r="F16" s="484">
        <f t="shared" si="0"/>
        <v>0</v>
      </c>
      <c r="G16" s="485">
        <f t="shared" si="1"/>
        <v>0</v>
      </c>
      <c r="P16" s="486"/>
    </row>
    <row r="17" spans="2:23" ht="19.5" thickBot="1" x14ac:dyDescent="0.5">
      <c r="B17" s="480">
        <v>14</v>
      </c>
      <c r="C17" s="481" t="s">
        <v>523</v>
      </c>
      <c r="D17" s="482">
        <v>0</v>
      </c>
      <c r="E17" s="483">
        <v>0</v>
      </c>
      <c r="F17" s="484">
        <f t="shared" si="0"/>
        <v>0</v>
      </c>
      <c r="G17" s="485">
        <f t="shared" si="1"/>
        <v>0</v>
      </c>
      <c r="P17" s="486"/>
    </row>
    <row r="18" spans="2:23" x14ac:dyDescent="0.45">
      <c r="B18" s="480">
        <v>15</v>
      </c>
      <c r="C18" s="481" t="s">
        <v>524</v>
      </c>
      <c r="D18" s="482">
        <v>0</v>
      </c>
      <c r="E18" s="483">
        <v>0</v>
      </c>
      <c r="F18" s="484">
        <f t="shared" si="0"/>
        <v>0</v>
      </c>
      <c r="G18" s="485">
        <f t="shared" si="1"/>
        <v>0</v>
      </c>
      <c r="I18" s="488"/>
      <c r="J18" s="489" t="s">
        <v>525</v>
      </c>
      <c r="K18" s="490" t="s">
        <v>15</v>
      </c>
      <c r="P18" s="486"/>
    </row>
    <row r="19" spans="2:23" x14ac:dyDescent="0.45">
      <c r="B19" s="480">
        <v>16</v>
      </c>
      <c r="C19" s="481" t="s">
        <v>526</v>
      </c>
      <c r="D19" s="482">
        <v>0.1</v>
      </c>
      <c r="E19" s="483">
        <v>0</v>
      </c>
      <c r="F19" s="484">
        <f t="shared" si="0"/>
        <v>3.0303030303030304E-2</v>
      </c>
      <c r="G19" s="485">
        <f t="shared" si="1"/>
        <v>0</v>
      </c>
      <c r="I19" s="496" t="s">
        <v>527</v>
      </c>
      <c r="J19" s="473" t="s">
        <v>245</v>
      </c>
      <c r="K19" s="497">
        <v>1</v>
      </c>
      <c r="P19" s="486"/>
    </row>
    <row r="20" spans="2:23" x14ac:dyDescent="0.45">
      <c r="B20" s="480">
        <v>17</v>
      </c>
      <c r="C20" s="481" t="s">
        <v>528</v>
      </c>
      <c r="D20" s="482">
        <v>0</v>
      </c>
      <c r="E20" s="483">
        <v>1</v>
      </c>
      <c r="F20" s="484">
        <f t="shared" si="0"/>
        <v>0</v>
      </c>
      <c r="G20" s="485">
        <f t="shared" si="1"/>
        <v>0</v>
      </c>
      <c r="I20" s="496"/>
      <c r="J20" s="473" t="s">
        <v>529</v>
      </c>
      <c r="K20" s="497">
        <v>0.75</v>
      </c>
      <c r="P20" s="486"/>
    </row>
    <row r="21" spans="2:23" ht="19.5" thickBot="1" x14ac:dyDescent="0.5">
      <c r="B21" s="480">
        <v>18</v>
      </c>
      <c r="C21" s="481" t="s">
        <v>530</v>
      </c>
      <c r="D21" s="482">
        <v>0</v>
      </c>
      <c r="E21" s="483">
        <v>1</v>
      </c>
      <c r="F21" s="484">
        <f t="shared" si="0"/>
        <v>0</v>
      </c>
      <c r="G21" s="485">
        <f t="shared" si="1"/>
        <v>0</v>
      </c>
      <c r="I21" s="496"/>
      <c r="J21" s="473" t="s">
        <v>72</v>
      </c>
      <c r="K21" s="497">
        <v>0.5</v>
      </c>
      <c r="P21" s="486"/>
    </row>
    <row r="22" spans="2:23" ht="19.5" thickBot="1" x14ac:dyDescent="0.5">
      <c r="B22" s="1630" t="s">
        <v>19</v>
      </c>
      <c r="C22" s="1631"/>
      <c r="D22" s="1632">
        <v>0.4</v>
      </c>
      <c r="E22" s="1633"/>
      <c r="F22" s="560" t="s">
        <v>62</v>
      </c>
      <c r="G22" s="508">
        <f>SUM(G4:G21)</f>
        <v>0.23333333333333331</v>
      </c>
      <c r="I22" s="496"/>
      <c r="J22" s="473" t="s">
        <v>243</v>
      </c>
      <c r="K22" s="497">
        <v>0.25</v>
      </c>
    </row>
    <row r="23" spans="2:23" ht="18.75" customHeight="1" thickBot="1" x14ac:dyDescent="0.5">
      <c r="B23" s="1641" t="s">
        <v>38</v>
      </c>
      <c r="C23" s="477" t="s">
        <v>78</v>
      </c>
      <c r="D23" s="477" t="s">
        <v>382</v>
      </c>
      <c r="E23" s="477" t="s">
        <v>15</v>
      </c>
      <c r="F23" s="1634" t="s">
        <v>19</v>
      </c>
      <c r="G23" s="1635" t="s">
        <v>257</v>
      </c>
      <c r="I23" s="498"/>
      <c r="J23" s="494" t="s">
        <v>242</v>
      </c>
      <c r="K23" s="499">
        <v>0</v>
      </c>
    </row>
    <row r="24" spans="2:23" ht="19.5" customHeight="1" thickBot="1" x14ac:dyDescent="0.5">
      <c r="B24" s="1639"/>
      <c r="C24" s="479" t="s">
        <v>501</v>
      </c>
      <c r="D24" s="1640" t="s">
        <v>502</v>
      </c>
      <c r="E24" s="1640"/>
      <c r="F24" s="1640"/>
      <c r="G24" s="1638"/>
    </row>
    <row r="25" spans="2:23" ht="19.5" thickBot="1" x14ac:dyDescent="0.5">
      <c r="B25" s="500">
        <v>19</v>
      </c>
      <c r="C25" s="501" t="s">
        <v>531</v>
      </c>
      <c r="D25" s="502" t="str">
        <f>IF(J26&lt;3,"طفولیت",IF(J26&lt;7,"نوجوانی",IF(J26&lt;13,"رشد",IF(J26&lt;100,"بلوغ","FALSE"))))</f>
        <v>طفولیت</v>
      </c>
      <c r="E25" s="503">
        <f>VLOOKUP(D25,$J$11:$K$15,2,FALSE)</f>
        <v>-1</v>
      </c>
      <c r="F25" s="503">
        <f>1/6</f>
        <v>0.16666666666666666</v>
      </c>
      <c r="G25" s="504">
        <f t="shared" ref="G25:G30" si="2">E25*F25</f>
        <v>-0.16666666666666666</v>
      </c>
      <c r="I25" s="559" t="s">
        <v>562</v>
      </c>
      <c r="J25" s="669">
        <v>1400</v>
      </c>
    </row>
    <row r="26" spans="2:23" ht="19.5" thickBot="1" x14ac:dyDescent="0.5">
      <c r="B26" s="480">
        <v>20</v>
      </c>
      <c r="C26" s="481" t="s">
        <v>532</v>
      </c>
      <c r="D26" s="506" t="s">
        <v>519</v>
      </c>
      <c r="E26" s="505">
        <f>VLOOKUP(D26,$J$11:$K$15,2,FALSE)</f>
        <v>1</v>
      </c>
      <c r="F26" s="505">
        <f>F25</f>
        <v>0.16666666666666666</v>
      </c>
      <c r="G26" s="485">
        <f t="shared" si="2"/>
        <v>0.16666666666666666</v>
      </c>
      <c r="I26" s="670"/>
      <c r="J26" s="671">
        <f>1400-J25</f>
        <v>0</v>
      </c>
    </row>
    <row r="27" spans="2:23" ht="19.5" thickBot="1" x14ac:dyDescent="0.5">
      <c r="B27" s="480">
        <v>21</v>
      </c>
      <c r="C27" s="481" t="s">
        <v>533</v>
      </c>
      <c r="D27" s="506" t="s">
        <v>519</v>
      </c>
      <c r="E27" s="505">
        <f>VLOOKUP(D27,$J$11:$K$15,2,FALSE)</f>
        <v>1</v>
      </c>
      <c r="F27" s="505">
        <f>F26</f>
        <v>0.16666666666666666</v>
      </c>
      <c r="G27" s="485">
        <f t="shared" si="2"/>
        <v>0.16666666666666666</v>
      </c>
      <c r="I27" s="559" t="s">
        <v>563</v>
      </c>
      <c r="J27" s="669"/>
    </row>
    <row r="28" spans="2:23" x14ac:dyDescent="0.45">
      <c r="B28" s="480">
        <v>22</v>
      </c>
      <c r="C28" s="481" t="s">
        <v>534</v>
      </c>
      <c r="D28" s="506" t="s">
        <v>243</v>
      </c>
      <c r="E28" s="505">
        <f>VLOOKUP(D28,$J$19:$K$23,2,FALSE)</f>
        <v>0.25</v>
      </c>
      <c r="F28" s="505">
        <f>F27</f>
        <v>0.16666666666666666</v>
      </c>
      <c r="G28" s="485">
        <f t="shared" si="2"/>
        <v>4.1666666666666664E-2</v>
      </c>
    </row>
    <row r="29" spans="2:23" x14ac:dyDescent="0.45">
      <c r="B29" s="480">
        <v>23</v>
      </c>
      <c r="C29" s="481" t="s">
        <v>535</v>
      </c>
      <c r="D29" s="506" t="s">
        <v>243</v>
      </c>
      <c r="E29" s="505">
        <f>VLOOKUP(D29,$J$19:$K$23,2,FALSE)</f>
        <v>0.25</v>
      </c>
      <c r="F29" s="505">
        <f>F28</f>
        <v>0.16666666666666666</v>
      </c>
      <c r="G29" s="485">
        <f t="shared" si="2"/>
        <v>4.1666666666666664E-2</v>
      </c>
      <c r="I29" s="1"/>
      <c r="J29" s="1"/>
      <c r="K29" s="1"/>
      <c r="L29" s="1"/>
      <c r="M29" s="1"/>
      <c r="N29" s="1"/>
      <c r="O29" s="1"/>
      <c r="P29" s="1"/>
      <c r="Q29" s="1"/>
      <c r="R29" s="1"/>
      <c r="S29" s="1"/>
      <c r="T29" s="1"/>
      <c r="U29" s="1"/>
      <c r="V29" s="1"/>
      <c r="W29" s="1"/>
    </row>
    <row r="30" spans="2:23" ht="19.5" thickBot="1" x14ac:dyDescent="0.5">
      <c r="B30" s="480">
        <v>24</v>
      </c>
      <c r="C30" s="481" t="s">
        <v>536</v>
      </c>
      <c r="D30" s="506" t="s">
        <v>72</v>
      </c>
      <c r="E30" s="505">
        <f>VLOOKUP(D30,$J$19:$K$23,2,FALSE)</f>
        <v>0.5</v>
      </c>
      <c r="F30" s="505">
        <f>F29</f>
        <v>0.16666666666666666</v>
      </c>
      <c r="G30" s="485">
        <f t="shared" si="2"/>
        <v>8.3333333333333329E-2</v>
      </c>
      <c r="I30" s="1"/>
      <c r="J30" s="1"/>
      <c r="K30" s="1"/>
      <c r="L30" s="1"/>
      <c r="M30" s="1"/>
      <c r="N30" s="1"/>
      <c r="O30" s="1"/>
      <c r="P30" s="1"/>
      <c r="Q30" s="1"/>
      <c r="R30" s="1"/>
      <c r="S30" s="1"/>
      <c r="T30" s="1"/>
      <c r="U30" s="1"/>
      <c r="V30" s="1"/>
      <c r="W30" s="1"/>
    </row>
    <row r="31" spans="2:23" ht="19.5" thickBot="1" x14ac:dyDescent="0.5">
      <c r="B31" s="1630" t="s">
        <v>19</v>
      </c>
      <c r="C31" s="1631"/>
      <c r="D31" s="1632">
        <v>0.4</v>
      </c>
      <c r="E31" s="1633"/>
      <c r="F31" s="507" t="s">
        <v>62</v>
      </c>
      <c r="G31" s="508">
        <f>SUM(G25:G30)</f>
        <v>0.33333333333333331</v>
      </c>
      <c r="I31" s="1"/>
      <c r="J31" s="1"/>
      <c r="K31" s="1"/>
      <c r="L31" s="1"/>
      <c r="M31" s="1"/>
      <c r="N31" s="1"/>
      <c r="O31" s="1"/>
      <c r="P31" s="1"/>
      <c r="Q31" s="1"/>
      <c r="R31" s="1"/>
      <c r="S31" s="1"/>
      <c r="T31" s="1"/>
      <c r="U31" s="1"/>
      <c r="V31" s="1"/>
      <c r="W31" s="1"/>
    </row>
    <row r="32" spans="2:23" ht="18.75" customHeight="1" thickBot="1" x14ac:dyDescent="0.5">
      <c r="B32" s="476" t="s">
        <v>38</v>
      </c>
      <c r="C32" s="477" t="s">
        <v>78</v>
      </c>
      <c r="D32" s="509" t="s">
        <v>15</v>
      </c>
      <c r="E32" s="1634" t="s">
        <v>257</v>
      </c>
      <c r="F32" s="1634"/>
      <c r="G32" s="1635"/>
      <c r="I32" s="1"/>
      <c r="J32" s="1"/>
      <c r="K32" s="1"/>
      <c r="L32" s="1"/>
      <c r="M32" s="1"/>
      <c r="N32" s="1"/>
      <c r="O32" s="1"/>
      <c r="P32" s="1"/>
      <c r="Q32" s="1"/>
      <c r="R32" s="1"/>
      <c r="S32" s="1"/>
      <c r="T32" s="1"/>
      <c r="U32" s="1"/>
      <c r="V32" s="1"/>
      <c r="W32" s="1"/>
    </row>
    <row r="33" spans="2:23" ht="18.75" customHeight="1" x14ac:dyDescent="0.45">
      <c r="B33" s="510">
        <v>1</v>
      </c>
      <c r="C33" s="511" t="s">
        <v>537</v>
      </c>
      <c r="D33" s="512">
        <f>'[23]هزینه ثابت و متغیر'!$C$11</f>
        <v>90940</v>
      </c>
      <c r="E33" s="513" t="s">
        <v>392</v>
      </c>
      <c r="F33" s="514">
        <f>(D35-D34)/(D35-D34-D33)</f>
        <v>1.6618872593616945</v>
      </c>
      <c r="G33" s="509"/>
      <c r="I33" s="1"/>
      <c r="J33" s="1"/>
      <c r="K33" s="1"/>
      <c r="L33" s="1"/>
      <c r="M33" s="1"/>
      <c r="N33" s="1"/>
      <c r="O33" s="1"/>
      <c r="P33" s="1"/>
      <c r="Q33" s="1"/>
      <c r="R33" s="1"/>
      <c r="S33" s="1"/>
      <c r="T33" s="1"/>
      <c r="U33" s="1"/>
      <c r="V33" s="1"/>
      <c r="W33" s="1"/>
    </row>
    <row r="34" spans="2:23" ht="18.75" customHeight="1" x14ac:dyDescent="0.45">
      <c r="B34" s="510">
        <v>2</v>
      </c>
      <c r="C34" s="511" t="s">
        <v>538</v>
      </c>
      <c r="D34" s="512">
        <f>'[23]هزینه ثابت و متغیر'!$C$12</f>
        <v>2188070</v>
      </c>
      <c r="E34" s="510" t="s">
        <v>539</v>
      </c>
      <c r="F34" s="505">
        <f>IF(AND(F33&gt;1,F33&lt;5),1/(F33),0.2)</f>
        <v>0.6017255348501106</v>
      </c>
      <c r="G34" s="515"/>
      <c r="I34" s="1"/>
      <c r="J34" s="1"/>
      <c r="K34" s="1"/>
      <c r="L34" s="1"/>
      <c r="M34" s="1"/>
      <c r="N34" s="1"/>
      <c r="O34" s="1"/>
      <c r="P34" s="1"/>
      <c r="Q34" s="1"/>
      <c r="R34" s="1"/>
      <c r="S34" s="1"/>
      <c r="T34" s="1"/>
      <c r="U34" s="1"/>
      <c r="V34" s="1"/>
      <c r="W34" s="1"/>
    </row>
    <row r="35" spans="2:23" ht="18.75" customHeight="1" thickBot="1" x14ac:dyDescent="0.5">
      <c r="B35" s="516">
        <v>3</v>
      </c>
      <c r="C35" s="479" t="s">
        <v>540</v>
      </c>
      <c r="D35" s="517">
        <f>'[23]هزینه ثابت و متغیر'!$C$10</f>
        <v>2416405</v>
      </c>
      <c r="E35" s="516" t="s">
        <v>257</v>
      </c>
      <c r="F35" s="518">
        <f>D22*G22+D31*G31+0.2*F34</f>
        <v>0.34701177363668878</v>
      </c>
      <c r="G35" s="519"/>
      <c r="I35" s="1"/>
      <c r="J35" s="1"/>
      <c r="K35" s="1"/>
      <c r="L35" s="1"/>
      <c r="M35" s="1"/>
      <c r="N35" s="1"/>
      <c r="O35" s="1"/>
      <c r="P35" s="1"/>
      <c r="Q35" s="1"/>
      <c r="R35" s="1"/>
      <c r="S35" s="1"/>
      <c r="T35" s="1"/>
      <c r="U35" s="1"/>
      <c r="V35" s="1"/>
      <c r="W35" s="1"/>
    </row>
    <row r="36" spans="2:23" x14ac:dyDescent="0.45">
      <c r="I36" s="1"/>
      <c r="J36" s="1"/>
      <c r="K36" s="1"/>
      <c r="L36" s="1"/>
      <c r="M36" s="1"/>
      <c r="N36" s="1"/>
      <c r="O36" s="1"/>
      <c r="P36" s="1"/>
      <c r="Q36" s="1"/>
      <c r="R36" s="1"/>
      <c r="S36" s="1"/>
      <c r="T36" s="1"/>
      <c r="U36" s="1"/>
      <c r="V36" s="1"/>
      <c r="W36" s="1"/>
    </row>
    <row r="37" spans="2:23" x14ac:dyDescent="0.45">
      <c r="C37" s="1636"/>
      <c r="D37" s="1637"/>
      <c r="E37" s="1637"/>
      <c r="F37" s="1637"/>
      <c r="G37" s="1637"/>
      <c r="I37" s="1"/>
      <c r="J37" s="1"/>
      <c r="K37" s="1"/>
      <c r="L37" s="1"/>
      <c r="M37" s="1"/>
      <c r="N37" s="1"/>
      <c r="O37" s="1"/>
      <c r="P37" s="1"/>
      <c r="Q37" s="1"/>
      <c r="R37" s="1"/>
      <c r="S37" s="1"/>
      <c r="T37" s="1"/>
      <c r="U37" s="1"/>
      <c r="V37" s="1"/>
      <c r="W37" s="1"/>
    </row>
    <row r="38" spans="2:23" ht="18.75" customHeight="1" x14ac:dyDescent="0.45">
      <c r="C38" s="1636"/>
      <c r="D38" s="1637"/>
      <c r="E38" s="1637"/>
      <c r="F38" s="1637"/>
      <c r="G38" s="1637"/>
      <c r="I38" s="1"/>
      <c r="J38" s="1"/>
      <c r="K38" s="1"/>
      <c r="L38" s="1"/>
      <c r="M38" s="1"/>
      <c r="N38" s="1"/>
      <c r="O38" s="1"/>
      <c r="P38" s="1"/>
      <c r="Q38" s="1"/>
      <c r="R38" s="1"/>
      <c r="S38" s="1"/>
      <c r="T38" s="1"/>
      <c r="U38" s="1"/>
      <c r="V38" s="1"/>
      <c r="W38" s="1"/>
    </row>
    <row r="39" spans="2:23" ht="18.75" customHeight="1" x14ac:dyDescent="0.45">
      <c r="C39" s="1637"/>
      <c r="D39" s="1637"/>
      <c r="E39" s="1637"/>
      <c r="F39" s="1637"/>
      <c r="G39" s="1637"/>
      <c r="K39" s="520"/>
    </row>
    <row r="40" spans="2:23" ht="18.75" customHeight="1" x14ac:dyDescent="0.45">
      <c r="K40" s="520"/>
    </row>
  </sheetData>
  <mergeCells count="13">
    <mergeCell ref="G2:G3"/>
    <mergeCell ref="B3:C3"/>
    <mergeCell ref="B22:C22"/>
    <mergeCell ref="D22:E22"/>
    <mergeCell ref="B23:B24"/>
    <mergeCell ref="F23:F24"/>
    <mergeCell ref="G23:G24"/>
    <mergeCell ref="D24:E24"/>
    <mergeCell ref="B31:C31"/>
    <mergeCell ref="D31:E31"/>
    <mergeCell ref="E32:G32"/>
    <mergeCell ref="C37:G37"/>
    <mergeCell ref="C38:G39"/>
  </mergeCells>
  <dataValidations count="2">
    <dataValidation type="list" allowBlank="1" showInputMessage="1" showErrorMessage="1" sqref="D25:D27">
      <formula1>$J$11:$J$15</formula1>
    </dataValidation>
    <dataValidation type="list" allowBlank="1" showInputMessage="1" showErrorMessage="1" sqref="D28:D30">
      <formula1>$J$19:$J$23</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1"/>
    <pageSetUpPr fitToPage="1"/>
  </sheetPr>
  <dimension ref="B1:H46"/>
  <sheetViews>
    <sheetView rightToLeft="1" tabSelected="1" zoomScale="85" zoomScaleNormal="85" zoomScalePageLayoutView="80" workbookViewId="0">
      <selection activeCell="N6" sqref="N6"/>
    </sheetView>
  </sheetViews>
  <sheetFormatPr defaultColWidth="9.140625" defaultRowHeight="18" x14ac:dyDescent="0.25"/>
  <cols>
    <col min="1" max="1" width="2.140625" style="140" customWidth="1"/>
    <col min="2" max="2" width="20.42578125" style="20" bestFit="1" customWidth="1"/>
    <col min="3" max="3" width="31.42578125" style="140" customWidth="1"/>
    <col min="4" max="5" width="10.140625" style="302" customWidth="1"/>
    <col min="6" max="6" width="18.42578125" style="302" customWidth="1"/>
    <col min="7" max="7" width="24.28515625" style="140" customWidth="1"/>
    <col min="8" max="16384" width="9.140625" style="140"/>
  </cols>
  <sheetData>
    <row r="1" spans="2:8" ht="5.25" customHeight="1" thickBot="1" x14ac:dyDescent="0.3">
      <c r="B1" s="21"/>
      <c r="C1" s="28"/>
      <c r="D1" s="301"/>
      <c r="E1" s="301"/>
    </row>
    <row r="2" spans="2:8" ht="46.5" customHeight="1" thickBot="1" x14ac:dyDescent="0.3">
      <c r="B2" s="1682" t="s">
        <v>560</v>
      </c>
      <c r="C2" s="1683"/>
      <c r="D2" s="1683"/>
      <c r="E2" s="1683"/>
      <c r="F2" s="1683"/>
      <c r="G2" s="545"/>
    </row>
    <row r="3" spans="2:8" ht="25.5" customHeight="1" thickBot="1" x14ac:dyDescent="0.3">
      <c r="B3" s="820" t="s">
        <v>631</v>
      </c>
      <c r="C3" s="1690">
        <f>Start!C7</f>
        <v>0</v>
      </c>
      <c r="D3" s="1690"/>
      <c r="E3" s="1691"/>
      <c r="F3" s="820" t="s">
        <v>630</v>
      </c>
      <c r="G3" s="831"/>
    </row>
    <row r="4" spans="2:8" ht="28.5" hidden="1" customHeight="1" thickBot="1" x14ac:dyDescent="0.3">
      <c r="B4" s="820" t="s">
        <v>623</v>
      </c>
      <c r="C4" s="832" t="str">
        <f>Start!C5</f>
        <v>ابزار یراق توسن</v>
      </c>
      <c r="D4" s="824" t="s">
        <v>622</v>
      </c>
      <c r="E4" s="1660"/>
      <c r="F4" s="1660"/>
      <c r="G4" s="823" t="s">
        <v>624</v>
      </c>
    </row>
    <row r="5" spans="2:8" ht="30" customHeight="1" thickBot="1" x14ac:dyDescent="0.3">
      <c r="B5" s="825" t="s">
        <v>726</v>
      </c>
      <c r="C5" s="833" t="str">
        <f>Start!C5</f>
        <v>ابزار یراق توسن</v>
      </c>
      <c r="D5" s="826" t="s">
        <v>466</v>
      </c>
      <c r="E5" s="1692">
        <f>Start!C6</f>
        <v>10102649740</v>
      </c>
      <c r="F5" s="1692"/>
      <c r="G5" s="822" t="s">
        <v>625</v>
      </c>
    </row>
    <row r="6" spans="2:8" ht="34.5" customHeight="1" thickBot="1" x14ac:dyDescent="0.3">
      <c r="B6" s="1673" t="s">
        <v>401</v>
      </c>
      <c r="C6" s="1674"/>
      <c r="D6" s="1674"/>
      <c r="E6" s="1674"/>
      <c r="F6" s="1674"/>
      <c r="G6" s="1675"/>
    </row>
    <row r="7" spans="2:8" ht="5.25" hidden="1" customHeight="1" thickBot="1" x14ac:dyDescent="0.3">
      <c r="B7" s="537"/>
      <c r="C7" s="538"/>
      <c r="D7" s="539"/>
      <c r="E7" s="539"/>
      <c r="F7" s="539"/>
      <c r="G7" s="540"/>
    </row>
    <row r="8" spans="2:8" ht="38.25" customHeight="1" thickBot="1" x14ac:dyDescent="0.3">
      <c r="B8" s="541" t="s">
        <v>402</v>
      </c>
      <c r="C8" s="541" t="s">
        <v>403</v>
      </c>
      <c r="D8" s="542" t="s">
        <v>256</v>
      </c>
      <c r="E8" s="542" t="s">
        <v>19</v>
      </c>
      <c r="F8" s="543" t="s">
        <v>432</v>
      </c>
      <c r="G8" s="544" t="s">
        <v>433</v>
      </c>
    </row>
    <row r="9" spans="2:8" ht="22.5" customHeight="1" x14ac:dyDescent="0.25">
      <c r="B9" s="1670" t="s">
        <v>404</v>
      </c>
      <c r="C9" s="554" t="s">
        <v>405</v>
      </c>
      <c r="D9" s="297">
        <f>'مدرک تحصیلی '!K20</f>
        <v>0.273955</v>
      </c>
      <c r="E9" s="304">
        <v>0.55000000000000004</v>
      </c>
      <c r="F9" s="413">
        <f t="shared" ref="F9:F11" si="0">E9*D9</f>
        <v>0.15067525000000001</v>
      </c>
      <c r="G9" s="1671">
        <f>SUM(F9:F11)</f>
        <v>0.77405924999999998</v>
      </c>
    </row>
    <row r="10" spans="2:8" ht="22.5" customHeight="1" x14ac:dyDescent="0.25">
      <c r="B10" s="1655"/>
      <c r="C10" s="551" t="s">
        <v>406</v>
      </c>
      <c r="D10" s="298">
        <f>'تجربه کاری '!N18</f>
        <v>0.45563999999999999</v>
      </c>
      <c r="E10" s="305">
        <v>0.6</v>
      </c>
      <c r="F10" s="306">
        <f t="shared" si="0"/>
        <v>0.27338399999999996</v>
      </c>
      <c r="G10" s="1672"/>
    </row>
    <row r="11" spans="2:8" ht="22.5" customHeight="1" x14ac:dyDescent="0.25">
      <c r="B11" s="1656"/>
      <c r="C11" s="303" t="s">
        <v>617</v>
      </c>
      <c r="D11" s="299">
        <f>'آموزش مدیران'!R17</f>
        <v>1</v>
      </c>
      <c r="E11" s="307">
        <v>0.35</v>
      </c>
      <c r="F11" s="306">
        <f t="shared" si="0"/>
        <v>0.35</v>
      </c>
      <c r="G11" s="1672"/>
    </row>
    <row r="12" spans="2:8" ht="22.5" customHeight="1" x14ac:dyDescent="0.25">
      <c r="B12" s="1684" t="s">
        <v>407</v>
      </c>
      <c r="C12" s="555" t="s">
        <v>408</v>
      </c>
      <c r="D12" s="418">
        <f>'نوع مالکیت '!J10</f>
        <v>0.46489999999999998</v>
      </c>
      <c r="E12" s="308">
        <v>0.3</v>
      </c>
      <c r="F12" s="414">
        <f>E12*D12</f>
        <v>0.13946999999999998</v>
      </c>
      <c r="G12" s="1687">
        <f>SUM(F12:F15)</f>
        <v>0.50378248073081699</v>
      </c>
    </row>
    <row r="13" spans="2:8" ht="22.5" customHeight="1" x14ac:dyDescent="0.25">
      <c r="B13" s="1685"/>
      <c r="C13" s="551" t="s">
        <v>409</v>
      </c>
      <c r="D13" s="417">
        <f>نظامنامه.6!$Y$21</f>
        <v>0.63510660621515225</v>
      </c>
      <c r="E13" s="309">
        <v>0.35</v>
      </c>
      <c r="F13" s="306">
        <f t="shared" ref="F13:F38" si="1">E13*D13</f>
        <v>0.22228731217530326</v>
      </c>
      <c r="G13" s="1688"/>
    </row>
    <row r="14" spans="2:8" ht="22.5" customHeight="1" x14ac:dyDescent="0.25">
      <c r="B14" s="1685"/>
      <c r="C14" s="551" t="s">
        <v>410</v>
      </c>
      <c r="D14" s="298">
        <f>'7.استاندارد'!Y9</f>
        <v>0.40502429111099164</v>
      </c>
      <c r="E14" s="305">
        <v>0.35</v>
      </c>
      <c r="F14" s="306">
        <f t="shared" si="1"/>
        <v>0.14175850188884706</v>
      </c>
      <c r="G14" s="1688"/>
      <c r="H14"/>
    </row>
    <row r="15" spans="2:8" ht="22.5" customHeight="1" x14ac:dyDescent="0.25">
      <c r="B15" s="1686"/>
      <c r="C15" s="555" t="s">
        <v>411</v>
      </c>
      <c r="D15" s="300">
        <f>'9.جوایز'!$I$10</f>
        <v>2.6666666666666666E-3</v>
      </c>
      <c r="E15" s="310">
        <v>0.1</v>
      </c>
      <c r="F15" s="311">
        <f t="shared" si="1"/>
        <v>2.6666666666666668E-4</v>
      </c>
      <c r="G15" s="1689"/>
    </row>
    <row r="16" spans="2:8" ht="22.5" customHeight="1" x14ac:dyDescent="0.25">
      <c r="B16" s="1654" t="s">
        <v>412</v>
      </c>
      <c r="C16" s="556" t="s">
        <v>413</v>
      </c>
      <c r="D16" s="312">
        <f>'10.حاکمیت شرکتی'!G17</f>
        <v>0.37</v>
      </c>
      <c r="E16" s="313">
        <v>0.3</v>
      </c>
      <c r="F16" s="410">
        <f t="shared" si="1"/>
        <v>0.111</v>
      </c>
      <c r="G16" s="1657">
        <f>SUM(F16:F19)</f>
        <v>0.67475000000000007</v>
      </c>
    </row>
    <row r="17" spans="2:7" ht="22.5" customHeight="1" x14ac:dyDescent="0.25">
      <c r="B17" s="1655"/>
      <c r="C17" s="551" t="s">
        <v>414</v>
      </c>
      <c r="D17" s="314">
        <f>'11.زنجیره ارزش'!K25</f>
        <v>0.61</v>
      </c>
      <c r="E17" s="315">
        <v>0.4</v>
      </c>
      <c r="F17" s="411">
        <f t="shared" si="1"/>
        <v>0.24399999999999999</v>
      </c>
      <c r="G17" s="1658"/>
    </row>
    <row r="18" spans="2:7" ht="22.5" customHeight="1" x14ac:dyDescent="0.25">
      <c r="B18" s="1655"/>
      <c r="C18" s="551" t="s">
        <v>415</v>
      </c>
      <c r="D18" s="314">
        <f>'12.برنامه ریزی'!F11</f>
        <v>0.56062500000000004</v>
      </c>
      <c r="E18" s="315">
        <v>0.4</v>
      </c>
      <c r="F18" s="411">
        <f t="shared" si="1"/>
        <v>0.22425000000000003</v>
      </c>
      <c r="G18" s="1658"/>
    </row>
    <row r="19" spans="2:7" ht="22.5" customHeight="1" x14ac:dyDescent="0.25">
      <c r="B19" s="1656"/>
      <c r="C19" s="552" t="s">
        <v>416</v>
      </c>
      <c r="D19" s="316">
        <f>'13.تحقیق و توسعه'!F26</f>
        <v>0.95500000000000007</v>
      </c>
      <c r="E19" s="317">
        <v>0.1</v>
      </c>
      <c r="F19" s="412">
        <f t="shared" si="1"/>
        <v>9.5500000000000015E-2</v>
      </c>
      <c r="G19" s="1659"/>
    </row>
    <row r="20" spans="2:7" ht="22.5" customHeight="1" x14ac:dyDescent="0.25">
      <c r="B20" s="1654" t="s">
        <v>417</v>
      </c>
      <c r="C20" s="556" t="s">
        <v>261</v>
      </c>
      <c r="D20" s="312">
        <f>'14.تولید'!K8</f>
        <v>0.20653478605466574</v>
      </c>
      <c r="E20" s="313">
        <v>0.4</v>
      </c>
      <c r="F20" s="411">
        <f t="shared" si="1"/>
        <v>8.2613914421866302E-2</v>
      </c>
      <c r="G20" s="1657">
        <f>SUM(F20:F24)</f>
        <v>0.46750112730778032</v>
      </c>
    </row>
    <row r="21" spans="2:7" ht="22.5" customHeight="1" x14ac:dyDescent="0.25">
      <c r="B21" s="1655"/>
      <c r="C21" s="550" t="s">
        <v>418</v>
      </c>
      <c r="D21" s="318">
        <f>'14.تولید'!I7</f>
        <v>0.52395708816806552</v>
      </c>
      <c r="E21" s="315">
        <v>0.1</v>
      </c>
      <c r="F21" s="411">
        <f t="shared" si="1"/>
        <v>5.2395708816806552E-2</v>
      </c>
      <c r="G21" s="1658"/>
    </row>
    <row r="22" spans="2:7" ht="22.5" customHeight="1" x14ac:dyDescent="0.25">
      <c r="B22" s="1655"/>
      <c r="C22" s="551" t="s">
        <v>272</v>
      </c>
      <c r="D22" s="314">
        <f>'14.تولید'!K14</f>
        <v>1</v>
      </c>
      <c r="E22" s="315">
        <v>0.2</v>
      </c>
      <c r="F22" s="411">
        <f t="shared" si="1"/>
        <v>0.2</v>
      </c>
      <c r="G22" s="1658"/>
    </row>
    <row r="23" spans="2:7" ht="22.5" customHeight="1" x14ac:dyDescent="0.25">
      <c r="B23" s="1655"/>
      <c r="C23" s="551" t="s">
        <v>275</v>
      </c>
      <c r="D23" s="314">
        <f>'14.تولید'!K21</f>
        <v>0</v>
      </c>
      <c r="E23" s="315">
        <v>0.1</v>
      </c>
      <c r="F23" s="411">
        <f t="shared" si="1"/>
        <v>0</v>
      </c>
      <c r="G23" s="1658"/>
    </row>
    <row r="24" spans="2:7" ht="22.5" customHeight="1" x14ac:dyDescent="0.25">
      <c r="B24" s="1656"/>
      <c r="C24" s="552" t="s">
        <v>281</v>
      </c>
      <c r="D24" s="316">
        <f>'14.تولید'!K25</f>
        <v>0.66245752034553707</v>
      </c>
      <c r="E24" s="317">
        <v>0.2</v>
      </c>
      <c r="F24" s="412">
        <f t="shared" si="1"/>
        <v>0.13249150406910742</v>
      </c>
      <c r="G24" s="1659"/>
    </row>
    <row r="25" spans="2:7" ht="22.5" customHeight="1" x14ac:dyDescent="0.25">
      <c r="B25" s="1654" t="s">
        <v>419</v>
      </c>
      <c r="C25" s="556" t="s">
        <v>420</v>
      </c>
      <c r="D25" s="312">
        <f>'17.تعداد'!I9</f>
        <v>1</v>
      </c>
      <c r="E25" s="313">
        <v>0.3</v>
      </c>
      <c r="F25" s="410">
        <f t="shared" si="1"/>
        <v>0.3</v>
      </c>
      <c r="G25" s="1657">
        <f>SUM(F25:F29)</f>
        <v>0.88855172413793104</v>
      </c>
    </row>
    <row r="26" spans="2:7" ht="22.5" customHeight="1" x14ac:dyDescent="0.25">
      <c r="B26" s="1655"/>
      <c r="C26" s="551" t="s">
        <v>421</v>
      </c>
      <c r="D26" s="314">
        <f>'18.تحصیلات'!H13</f>
        <v>0.80666666666666664</v>
      </c>
      <c r="E26" s="315">
        <v>0.3</v>
      </c>
      <c r="F26" s="411">
        <f t="shared" si="1"/>
        <v>0.24199999999999999</v>
      </c>
      <c r="G26" s="1658"/>
    </row>
    <row r="27" spans="2:7" ht="22.5" customHeight="1" x14ac:dyDescent="0.25">
      <c r="B27" s="1655"/>
      <c r="C27" s="551" t="s">
        <v>422</v>
      </c>
      <c r="D27" s="314">
        <f>'20.تخصص'!G28</f>
        <v>1</v>
      </c>
      <c r="E27" s="315">
        <v>0.1</v>
      </c>
      <c r="F27" s="411">
        <f t="shared" si="1"/>
        <v>0.1</v>
      </c>
      <c r="G27" s="1658"/>
    </row>
    <row r="28" spans="2:7" ht="22.5" customHeight="1" x14ac:dyDescent="0.25">
      <c r="B28" s="1655"/>
      <c r="C28" s="551" t="s">
        <v>423</v>
      </c>
      <c r="D28" s="314">
        <f>'19.تجربه'!H13</f>
        <v>0.15517241379310343</v>
      </c>
      <c r="E28" s="315">
        <v>0.3</v>
      </c>
      <c r="F28" s="411">
        <f t="shared" si="1"/>
        <v>4.6551724137931023E-2</v>
      </c>
      <c r="G28" s="1658"/>
    </row>
    <row r="29" spans="2:7" ht="22.5" customHeight="1" x14ac:dyDescent="0.25">
      <c r="B29" s="1656"/>
      <c r="C29" s="552" t="s">
        <v>424</v>
      </c>
      <c r="D29" s="1119">
        <v>1</v>
      </c>
      <c r="E29" s="317">
        <v>0.2</v>
      </c>
      <c r="F29" s="412">
        <f t="shared" si="1"/>
        <v>0.2</v>
      </c>
      <c r="G29" s="1659"/>
    </row>
    <row r="30" spans="2:7" ht="22.5" customHeight="1" x14ac:dyDescent="0.25">
      <c r="B30" s="1654" t="s">
        <v>425</v>
      </c>
      <c r="C30" s="556" t="s">
        <v>355</v>
      </c>
      <c r="D30" s="312">
        <f>'16.بهره وری'!J11</f>
        <v>0.12177358543587918</v>
      </c>
      <c r="E30" s="313">
        <v>0.4</v>
      </c>
      <c r="F30" s="410">
        <f t="shared" si="1"/>
        <v>4.8709434174351675E-2</v>
      </c>
      <c r="G30" s="1657">
        <f>SUM(F30:F32)</f>
        <v>0.63811310389912235</v>
      </c>
    </row>
    <row r="31" spans="2:7" ht="22.5" customHeight="1" x14ac:dyDescent="0.25">
      <c r="B31" s="1655"/>
      <c r="C31" s="551" t="s">
        <v>426</v>
      </c>
      <c r="D31" s="314">
        <f>'16.بهره وری'!J15</f>
        <v>1</v>
      </c>
      <c r="E31" s="315">
        <v>0.1</v>
      </c>
      <c r="F31" s="411">
        <f t="shared" si="1"/>
        <v>0.1</v>
      </c>
      <c r="G31" s="1658"/>
    </row>
    <row r="32" spans="2:7" ht="22.5" customHeight="1" x14ac:dyDescent="0.25">
      <c r="B32" s="1656"/>
      <c r="C32" s="552" t="s">
        <v>427</v>
      </c>
      <c r="D32" s="467">
        <f>'16.بهره وری'!J7</f>
        <v>0.97880733944954124</v>
      </c>
      <c r="E32" s="317">
        <v>0.5</v>
      </c>
      <c r="F32" s="412">
        <f t="shared" si="1"/>
        <v>0.48940366972477062</v>
      </c>
      <c r="G32" s="1659"/>
    </row>
    <row r="33" spans="2:8" ht="27.75" customHeight="1" x14ac:dyDescent="0.25">
      <c r="B33" s="557" t="s">
        <v>428</v>
      </c>
      <c r="C33" s="549" t="s">
        <v>561</v>
      </c>
      <c r="D33" s="546">
        <f>'17تشکل'!R30</f>
        <v>0.74800000000000022</v>
      </c>
      <c r="E33" s="548">
        <v>0.64</v>
      </c>
      <c r="F33" s="411">
        <f t="shared" si="1"/>
        <v>0.47872000000000015</v>
      </c>
      <c r="G33" s="1657">
        <f>F33+F34+F35+F36+F37</f>
        <v>0.68872000000000022</v>
      </c>
    </row>
    <row r="34" spans="2:8" ht="21" customHeight="1" x14ac:dyDescent="0.25">
      <c r="B34" s="1680" t="s">
        <v>381</v>
      </c>
      <c r="C34" s="550" t="s">
        <v>383</v>
      </c>
      <c r="D34" s="318">
        <f>'18.عام المنفعه'!E5</f>
        <v>0.5</v>
      </c>
      <c r="E34" s="547">
        <v>0.06</v>
      </c>
      <c r="F34" s="411">
        <f t="shared" si="1"/>
        <v>0.03</v>
      </c>
      <c r="G34" s="1678"/>
      <c r="H34"/>
    </row>
    <row r="35" spans="2:8" ht="21" customHeight="1" x14ac:dyDescent="0.25">
      <c r="B35" s="1680"/>
      <c r="C35" s="551" t="s">
        <v>386</v>
      </c>
      <c r="D35" s="314">
        <f>'18.عام المنفعه'!E7</f>
        <v>1</v>
      </c>
      <c r="E35" s="315">
        <v>0.12</v>
      </c>
      <c r="F35" s="411">
        <f t="shared" si="1"/>
        <v>0.12</v>
      </c>
      <c r="G35" s="1678"/>
    </row>
    <row r="36" spans="2:8" ht="21" customHeight="1" x14ac:dyDescent="0.25">
      <c r="B36" s="1680"/>
      <c r="C36" s="551" t="s">
        <v>388</v>
      </c>
      <c r="D36" s="314">
        <f>'18.عام المنفعه'!E9</f>
        <v>0</v>
      </c>
      <c r="E36" s="315">
        <v>0.12</v>
      </c>
      <c r="F36" s="411">
        <f t="shared" si="1"/>
        <v>0</v>
      </c>
      <c r="G36" s="1678"/>
    </row>
    <row r="37" spans="2:8" ht="21" customHeight="1" x14ac:dyDescent="0.25">
      <c r="B37" s="1681"/>
      <c r="C37" s="552" t="s">
        <v>429</v>
      </c>
      <c r="D37" s="316">
        <f>'18.عام المنفعه'!E11</f>
        <v>1</v>
      </c>
      <c r="E37" s="317">
        <v>0.06</v>
      </c>
      <c r="F37" s="412">
        <f t="shared" si="1"/>
        <v>0.06</v>
      </c>
      <c r="G37" s="1679"/>
    </row>
    <row r="38" spans="2:8" ht="21" customHeight="1" thickBot="1" x14ac:dyDescent="0.3">
      <c r="B38" s="558" t="s">
        <v>430</v>
      </c>
      <c r="C38" s="553" t="s">
        <v>431</v>
      </c>
      <c r="D38" s="319">
        <f>'رونق فعالیت '!F35</f>
        <v>0.34701177363668878</v>
      </c>
      <c r="E38" s="320">
        <v>1</v>
      </c>
      <c r="F38" s="321">
        <f t="shared" si="1"/>
        <v>0.34701177363668878</v>
      </c>
      <c r="G38" s="415">
        <f>SUM(F38)</f>
        <v>0.34701177363668878</v>
      </c>
    </row>
    <row r="39" spans="2:8" ht="18.75" thickBot="1" x14ac:dyDescent="0.3">
      <c r="B39" s="811"/>
      <c r="G39" s="302">
        <f>SUM(G9:G38)</f>
        <v>4.9824894597123404</v>
      </c>
    </row>
    <row r="40" spans="2:8" ht="19.5" x14ac:dyDescent="0.25">
      <c r="B40" s="814" t="s">
        <v>616</v>
      </c>
      <c r="C40" s="815" t="s">
        <v>621</v>
      </c>
      <c r="D40" s="1661" t="s">
        <v>620</v>
      </c>
      <c r="E40" s="1661"/>
      <c r="F40" s="816" t="s">
        <v>618</v>
      </c>
      <c r="G40" s="817" t="s">
        <v>619</v>
      </c>
    </row>
    <row r="41" spans="2:8" ht="19.5" customHeight="1" x14ac:dyDescent="0.25">
      <c r="B41" s="1662" t="s">
        <v>626</v>
      </c>
      <c r="C41" s="1664" t="s">
        <v>626</v>
      </c>
      <c r="D41" s="1652" t="s">
        <v>626</v>
      </c>
      <c r="E41" s="1653"/>
      <c r="F41" s="1668" t="s">
        <v>626</v>
      </c>
      <c r="G41" s="1676" t="s">
        <v>626</v>
      </c>
    </row>
    <row r="42" spans="2:8" ht="19.5" customHeight="1" x14ac:dyDescent="0.25">
      <c r="B42" s="1663"/>
      <c r="C42" s="1665"/>
      <c r="D42" s="1666"/>
      <c r="E42" s="1667"/>
      <c r="F42" s="1669"/>
      <c r="G42" s="1677"/>
    </row>
    <row r="43" spans="2:8" x14ac:dyDescent="0.25">
      <c r="B43" s="1663"/>
      <c r="C43" s="1665"/>
      <c r="D43" s="1666"/>
      <c r="E43" s="1667"/>
      <c r="F43" s="1669"/>
      <c r="G43" s="1677"/>
    </row>
    <row r="44" spans="2:8" x14ac:dyDescent="0.25">
      <c r="B44" s="828" t="s">
        <v>467</v>
      </c>
      <c r="C44" s="829" t="s">
        <v>467</v>
      </c>
      <c r="D44" s="1652" t="s">
        <v>467</v>
      </c>
      <c r="E44" s="1653"/>
      <c r="F44" s="830" t="s">
        <v>467</v>
      </c>
      <c r="G44" s="818" t="s">
        <v>628</v>
      </c>
    </row>
    <row r="45" spans="2:8" x14ac:dyDescent="0.25">
      <c r="B45" s="1642"/>
      <c r="C45" s="1644"/>
      <c r="D45" s="1646"/>
      <c r="E45" s="1647"/>
      <c r="F45" s="1650"/>
      <c r="G45" s="821" t="s">
        <v>627</v>
      </c>
    </row>
    <row r="46" spans="2:8" ht="18.75" thickBot="1" x14ac:dyDescent="0.3">
      <c r="B46" s="1643"/>
      <c r="C46" s="1645"/>
      <c r="D46" s="1648"/>
      <c r="E46" s="1649"/>
      <c r="F46" s="1651"/>
      <c r="G46" s="819" t="s">
        <v>629</v>
      </c>
    </row>
  </sheetData>
  <mergeCells count="30">
    <mergeCell ref="B2:F2"/>
    <mergeCell ref="B20:B24"/>
    <mergeCell ref="G20:G24"/>
    <mergeCell ref="B12:B15"/>
    <mergeCell ref="B16:B19"/>
    <mergeCell ref="G16:G19"/>
    <mergeCell ref="G12:G15"/>
    <mergeCell ref="C3:E3"/>
    <mergeCell ref="E5:F5"/>
    <mergeCell ref="B30:B32"/>
    <mergeCell ref="G30:G32"/>
    <mergeCell ref="E4:F4"/>
    <mergeCell ref="D40:E40"/>
    <mergeCell ref="B41:B43"/>
    <mergeCell ref="C41:C43"/>
    <mergeCell ref="D41:E43"/>
    <mergeCell ref="F41:F43"/>
    <mergeCell ref="B9:B11"/>
    <mergeCell ref="G9:G11"/>
    <mergeCell ref="B6:G6"/>
    <mergeCell ref="G41:G43"/>
    <mergeCell ref="G33:G37"/>
    <mergeCell ref="B34:B37"/>
    <mergeCell ref="B25:B29"/>
    <mergeCell ref="G25:G29"/>
    <mergeCell ref="B45:B46"/>
    <mergeCell ref="C45:C46"/>
    <mergeCell ref="D45:E46"/>
    <mergeCell ref="F45:F46"/>
    <mergeCell ref="D44:E44"/>
  </mergeCells>
  <conditionalFormatting sqref="D9:D38">
    <cfRule type="cellIs" dxfId="0" priority="2" operator="notBetween">
      <formula>0</formula>
      <formula>1</formula>
    </cfRule>
  </conditionalFormatting>
  <pageMargins left="0.11811023622047245" right="0.31496062992125984" top="0.15748031496062992" bottom="0" header="0.31496062992125984" footer="0.31496062992125984"/>
  <pageSetup scale="79" orientation="portrait" r:id="rId1"/>
  <drawing r:id="rId2"/>
  <extLst>
    <ext xmlns:x14="http://schemas.microsoft.com/office/spreadsheetml/2009/9/main" uri="{78C0D931-6437-407d-A8EE-F0AAD7539E65}">
      <x14:conditionalFormattings>
        <x14:conditionalFormatting xmlns:xm="http://schemas.microsoft.com/office/excel/2006/main">
          <x14:cfRule type="cellIs" priority="1" operator="notEqual" id="{4AD6ED1A-27FD-431F-8B48-780E567B089E}">
            <xm:f>Start!$E$8</xm:f>
            <x14:dxf/>
          </x14:cfRule>
          <xm:sqref>B4</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7"/>
  <sheetViews>
    <sheetView showGridLines="0" rightToLeft="1" topLeftCell="A13" zoomScaleNormal="100" workbookViewId="0">
      <selection activeCell="C4" sqref="C4"/>
    </sheetView>
  </sheetViews>
  <sheetFormatPr defaultColWidth="8.85546875" defaultRowHeight="15" customHeight="1" x14ac:dyDescent="0.25"/>
  <cols>
    <col min="1" max="1" width="8.85546875" style="5"/>
    <col min="2" max="2" width="95.140625" style="1" customWidth="1"/>
  </cols>
  <sheetData>
    <row r="1" spans="1:2" ht="60" customHeight="1" x14ac:dyDescent="0.25">
      <c r="A1" s="5" t="s">
        <v>0</v>
      </c>
    </row>
    <row r="2" spans="1:2" s="2" customFormat="1" ht="15" customHeight="1" x14ac:dyDescent="0.3">
      <c r="A2" s="5" t="s">
        <v>2</v>
      </c>
      <c r="B2" s="1"/>
    </row>
    <row r="3" spans="1:2" s="2" customFormat="1" ht="15" customHeight="1" x14ac:dyDescent="0.3">
      <c r="A3" s="5" t="s">
        <v>3</v>
      </c>
      <c r="B3" s="1"/>
    </row>
    <row r="4" spans="1:2" s="3" customFormat="1" ht="15" customHeight="1" x14ac:dyDescent="0.7">
      <c r="A4" s="5" t="s">
        <v>4</v>
      </c>
      <c r="B4" s="1"/>
    </row>
    <row r="5" spans="1:2" s="4" customFormat="1" ht="15" customHeight="1" x14ac:dyDescent="0.25">
      <c r="A5" s="5" t="s">
        <v>5</v>
      </c>
      <c r="B5" s="1"/>
    </row>
    <row r="6" spans="1:2" s="4" customFormat="1" ht="15" customHeight="1" x14ac:dyDescent="0.25">
      <c r="A6" s="12" t="s">
        <v>6</v>
      </c>
      <c r="B6" s="1"/>
    </row>
    <row r="7" spans="1:2" ht="15" customHeight="1" x14ac:dyDescent="0.25">
      <c r="A7" s="5" t="s">
        <v>1</v>
      </c>
    </row>
  </sheetData>
  <hyperlinks>
    <hyperlink ref="A4" r:id="rId1" tooltip="Select to learn more about LinkedIn Learning" display="http://go.microsoft.com/fwlink/?LinkId=846285"/>
    <hyperlink ref="A5" r:id="rId2" tooltip="Select to learn more about Community" display="http://go.microsoft.com/fwlink/?LinkId=844969"/>
    <hyperlink ref="A6" r:id="rId3" tooltip="Select to learn more about what else is new" display="http://go.microsoft.com/fwlink/?LinkId=846286"/>
    <hyperlink ref="A7" r:id="rId4" tooltip="Select to Give us feedback on this tour"/>
  </hyperlinks>
  <pageMargins left="0.7" right="0.7" top="0.75" bottom="0.75" header="0.3" footer="0.3"/>
  <pageSetup orientation="portrait"/>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vt:i4>
      </vt:variant>
    </vt:vector>
  </HeadingPairs>
  <TitlesOfParts>
    <vt:vector size="32" baseType="lpstr">
      <vt:lpstr>Start</vt:lpstr>
      <vt:lpstr>چک لیست</vt:lpstr>
      <vt:lpstr>مدرک تحصیلی </vt:lpstr>
      <vt:lpstr>تجربه کاری </vt:lpstr>
      <vt:lpstr>آموزش مدیران</vt:lpstr>
      <vt:lpstr>نوع مالکیت </vt:lpstr>
      <vt:lpstr>نظامنامه.6</vt:lpstr>
      <vt:lpstr>7.استاندارد</vt:lpstr>
      <vt:lpstr>8.گواهینامه ها</vt:lpstr>
      <vt:lpstr>9.جوایز</vt:lpstr>
      <vt:lpstr>10.حاکمیت شرکتی</vt:lpstr>
      <vt:lpstr>12.برنامه ریزی</vt:lpstr>
      <vt:lpstr>11.زنجیره ارزش</vt:lpstr>
      <vt:lpstr>13.تحقیق و توسعه</vt:lpstr>
      <vt:lpstr>14.تولید</vt:lpstr>
      <vt:lpstr>15.curve</vt:lpstr>
      <vt:lpstr>زمینه ها.16</vt:lpstr>
      <vt:lpstr>زمینه ها</vt:lpstr>
      <vt:lpstr>17.تعداد</vt:lpstr>
      <vt:lpstr>18.تحصیلات</vt:lpstr>
      <vt:lpstr>19.تجربه</vt:lpstr>
      <vt:lpstr>20.تخصص</vt:lpstr>
      <vt:lpstr>21.دستمزد</vt:lpstr>
      <vt:lpstr>22.(دستمزد(2</vt:lpstr>
      <vt:lpstr>16.بهره وری</vt:lpstr>
      <vt:lpstr>17تشکل</vt:lpstr>
      <vt:lpstr>18.عام المنفعه</vt:lpstr>
      <vt:lpstr>رونق فعالیت </vt:lpstr>
      <vt:lpstr>امتیاز نهایی</vt:lpstr>
      <vt:lpstr>Learn more</vt:lpstr>
      <vt:lpstr>'تجربه کاری '!Print_Area</vt:lpstr>
      <vt:lpstr>'مدرک تحصیلی '!Print_Area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2019-12-05T19:07:10Z</dcterms:created>
  <dcterms:modified xsi:type="dcterms:W3CDTF">2022-07-16T11:51:51Z</dcterms:modified>
  <cp:version/>
</cp:coreProperties>
</file>