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Multimedia\Downloads\Zipada\PCC\"/>
    </mc:Choice>
  </mc:AlternateContent>
  <xr:revisionPtr revIDLastSave="0" documentId="13_ncr:1_{2BE0C892-278E-4063-9E0F-8E61B695C948}" xr6:coauthVersionLast="47" xr6:coauthVersionMax="47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MERCADORIAS c brinco" sheetId="9" state="hidden" r:id="rId1"/>
    <sheet name="MERCADORIAS" sheetId="2" r:id="rId2"/>
    <sheet name="CLIENTE" sheetId="3" r:id="rId3"/>
    <sheet name="A receber  " sheetId="6" r:id="rId4"/>
  </sheets>
  <definedNames>
    <definedName name="_xlnm._FilterDatabase" localSheetId="3" hidden="1">'A receber  '!$A$4:$K$212</definedName>
    <definedName name="_xlnm._FilterDatabase" localSheetId="2" hidden="1">CLIENTE!$A$4:$I$66</definedName>
    <definedName name="_xlnm._FilterDatabase" localSheetId="1" hidden="1">MERCADORIAS!$A$2:$D$66</definedName>
    <definedName name="_xlnm._FilterDatabase" localSheetId="0" hidden="1">'MERCADORIAS c brinco'!$A$3:$Q$177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9" i="6" l="1"/>
  <c r="D190" i="6"/>
  <c r="D211" i="6"/>
  <c r="D210" i="6"/>
  <c r="O14" i="6"/>
  <c r="O13" i="6"/>
  <c r="D205" i="6"/>
  <c r="D207" i="6"/>
  <c r="D206" i="6"/>
  <c r="D203" i="6"/>
  <c r="F187" i="6"/>
  <c r="F186" i="6"/>
  <c r="F202" i="6"/>
  <c r="F177" i="6"/>
  <c r="N13" i="6" s="1"/>
  <c r="F194" i="6"/>
  <c r="O12" i="6"/>
  <c r="N14" i="6"/>
  <c r="P14" i="6" s="1"/>
  <c r="F48" i="6"/>
  <c r="F45" i="6"/>
  <c r="D160" i="6"/>
  <c r="D86" i="6"/>
  <c r="D147" i="6"/>
  <c r="F147" i="6"/>
  <c r="D157" i="6"/>
  <c r="F157" i="6"/>
  <c r="D148" i="6"/>
  <c r="F148" i="6"/>
  <c r="D156" i="6"/>
  <c r="H148" i="9"/>
  <c r="I148" i="9"/>
  <c r="K148" i="9"/>
  <c r="N2" i="9"/>
  <c r="I122" i="9"/>
  <c r="K122" i="9"/>
  <c r="I121" i="9"/>
  <c r="K121" i="9"/>
  <c r="I123" i="9"/>
  <c r="K123" i="9"/>
  <c r="I118" i="9"/>
  <c r="K118" i="9"/>
  <c r="I119" i="9"/>
  <c r="K119" i="9"/>
  <c r="I116" i="9"/>
  <c r="K116" i="9"/>
  <c r="L116" i="9"/>
  <c r="M116" i="9"/>
  <c r="I145" i="9"/>
  <c r="K145" i="9"/>
  <c r="I144" i="9"/>
  <c r="K144" i="9"/>
  <c r="I120" i="9"/>
  <c r="K120" i="9"/>
  <c r="I114" i="9"/>
  <c r="K114" i="9"/>
  <c r="I113" i="9"/>
  <c r="K113" i="9"/>
  <c r="I112" i="9"/>
  <c r="K112" i="9"/>
  <c r="I126" i="9"/>
  <c r="K126" i="9"/>
  <c r="I143" i="9"/>
  <c r="K143" i="9"/>
  <c r="L143" i="9"/>
  <c r="M143" i="9"/>
  <c r="I125" i="9"/>
  <c r="K125" i="9"/>
  <c r="I124" i="9"/>
  <c r="K124" i="9"/>
  <c r="I115" i="9"/>
  <c r="K115" i="9"/>
  <c r="I117" i="9"/>
  <c r="K117" i="9"/>
  <c r="I137" i="9"/>
  <c r="K137" i="9"/>
  <c r="I127" i="9"/>
  <c r="K127" i="9"/>
  <c r="I136" i="9"/>
  <c r="K136" i="9"/>
  <c r="H103" i="9"/>
  <c r="I103" i="9"/>
  <c r="K103" i="9"/>
  <c r="H102" i="9"/>
  <c r="I102" i="9"/>
  <c r="K102" i="9"/>
  <c r="H101" i="9"/>
  <c r="I101" i="9"/>
  <c r="K101" i="9"/>
  <c r="H100" i="9"/>
  <c r="I100" i="9"/>
  <c r="K100" i="9"/>
  <c r="H99" i="9"/>
  <c r="I99" i="9"/>
  <c r="K99" i="9"/>
  <c r="I109" i="9"/>
  <c r="K109" i="9"/>
  <c r="I108" i="9"/>
  <c r="K108" i="9"/>
  <c r="I107" i="9"/>
  <c r="K107" i="9"/>
  <c r="I111" i="9"/>
  <c r="K111" i="9"/>
  <c r="I110" i="9"/>
  <c r="K110" i="9"/>
  <c r="I135" i="9"/>
  <c r="K135" i="9"/>
  <c r="H142" i="9"/>
  <c r="I142" i="9"/>
  <c r="K142" i="9"/>
  <c r="H141" i="9"/>
  <c r="I141" i="9"/>
  <c r="K141" i="9"/>
  <c r="H140" i="9"/>
  <c r="I140" i="9"/>
  <c r="K140" i="9"/>
  <c r="H139" i="9"/>
  <c r="I139" i="9"/>
  <c r="K139" i="9"/>
  <c r="I134" i="9"/>
  <c r="K134" i="9"/>
  <c r="I104" i="9"/>
  <c r="K104" i="9"/>
  <c r="I174" i="9"/>
  <c r="K174" i="9"/>
  <c r="I5" i="9"/>
  <c r="K5" i="9"/>
  <c r="I133" i="9"/>
  <c r="K133" i="9"/>
  <c r="I128" i="9"/>
  <c r="K128" i="9"/>
  <c r="L128" i="9"/>
  <c r="I20" i="9"/>
  <c r="K20" i="9"/>
  <c r="I19" i="9"/>
  <c r="K19" i="9"/>
  <c r="I94" i="9"/>
  <c r="K94" i="9"/>
  <c r="I65" i="9"/>
  <c r="K65" i="9"/>
  <c r="L65" i="9"/>
  <c r="M65" i="9"/>
  <c r="I73" i="9"/>
  <c r="K73" i="9"/>
  <c r="I61" i="9"/>
  <c r="K61" i="9"/>
  <c r="I60" i="9"/>
  <c r="K60" i="9"/>
  <c r="I67" i="9"/>
  <c r="K67" i="9"/>
  <c r="L67" i="9"/>
  <c r="M67" i="9"/>
  <c r="I72" i="9"/>
  <c r="K72" i="9"/>
  <c r="I71" i="9"/>
  <c r="K71" i="9"/>
  <c r="I147" i="9"/>
  <c r="K147" i="9"/>
  <c r="I11" i="9"/>
  <c r="K11" i="9"/>
  <c r="L11" i="9"/>
  <c r="M11" i="9"/>
  <c r="I57" i="9"/>
  <c r="K57" i="9"/>
  <c r="I66" i="9"/>
  <c r="K66" i="9"/>
  <c r="I85" i="9"/>
  <c r="K85" i="9"/>
  <c r="H138" i="9"/>
  <c r="I138" i="9"/>
  <c r="K138" i="9"/>
  <c r="I173" i="9"/>
  <c r="K173" i="9"/>
  <c r="I58" i="9"/>
  <c r="K58" i="9"/>
  <c r="I63" i="9"/>
  <c r="K63" i="9"/>
  <c r="I70" i="9"/>
  <c r="K70" i="9"/>
  <c r="L70" i="9"/>
  <c r="M70" i="9"/>
  <c r="I30" i="9"/>
  <c r="K30" i="9"/>
  <c r="I167" i="9"/>
  <c r="K167" i="9"/>
  <c r="L167" i="9"/>
  <c r="M167" i="9"/>
  <c r="I82" i="9"/>
  <c r="K82" i="9"/>
  <c r="I81" i="9"/>
  <c r="K81" i="9"/>
  <c r="I80" i="9"/>
  <c r="K80" i="9"/>
  <c r="I79" i="9"/>
  <c r="K79" i="9"/>
  <c r="I78" i="9"/>
  <c r="K78" i="9"/>
  <c r="I12" i="9"/>
  <c r="K12" i="9"/>
  <c r="L12" i="9"/>
  <c r="M12" i="9"/>
  <c r="I162" i="9"/>
  <c r="K162" i="9"/>
  <c r="I166" i="9"/>
  <c r="K166" i="9"/>
  <c r="L166" i="9"/>
  <c r="M166" i="9"/>
  <c r="I165" i="9"/>
  <c r="K165" i="9"/>
  <c r="I164" i="9"/>
  <c r="K164" i="9"/>
  <c r="I163" i="9"/>
  <c r="K163" i="9"/>
  <c r="I25" i="9"/>
  <c r="K25" i="9"/>
  <c r="I24" i="9"/>
  <c r="K24" i="9"/>
  <c r="I160" i="9"/>
  <c r="K160" i="9"/>
  <c r="I32" i="9"/>
  <c r="K32" i="9"/>
  <c r="I22" i="9"/>
  <c r="K22" i="9"/>
  <c r="I161" i="9"/>
  <c r="K161" i="9"/>
  <c r="I31" i="9"/>
  <c r="K31" i="9"/>
  <c r="I159" i="9"/>
  <c r="K159" i="9"/>
  <c r="I153" i="9"/>
  <c r="K153" i="9"/>
  <c r="I33" i="9"/>
  <c r="K33" i="9"/>
  <c r="I74" i="9"/>
  <c r="K74" i="9"/>
  <c r="I17" i="9"/>
  <c r="K17" i="9"/>
  <c r="I28" i="9"/>
  <c r="K28" i="9"/>
  <c r="I27" i="9"/>
  <c r="K27" i="9"/>
  <c r="I26" i="9"/>
  <c r="K26" i="9"/>
  <c r="I129" i="9"/>
  <c r="K129" i="9"/>
  <c r="I59" i="9"/>
  <c r="K59" i="9"/>
  <c r="I152" i="9"/>
  <c r="K152" i="9"/>
  <c r="I23" i="9"/>
  <c r="K23" i="9"/>
  <c r="I64" i="9"/>
  <c r="K64" i="9"/>
  <c r="I151" i="9"/>
  <c r="K151" i="9"/>
  <c r="L151" i="9"/>
  <c r="I177" i="9"/>
  <c r="K177" i="9"/>
  <c r="I176" i="9"/>
  <c r="K176" i="9"/>
  <c r="I175" i="9"/>
  <c r="K175" i="9"/>
  <c r="L175" i="9"/>
  <c r="M175" i="9"/>
  <c r="I84" i="9"/>
  <c r="K84" i="9"/>
  <c r="I96" i="9"/>
  <c r="K96" i="9"/>
  <c r="I83" i="9"/>
  <c r="K83" i="9"/>
  <c r="I91" i="9"/>
  <c r="K91" i="9"/>
  <c r="I38" i="9"/>
  <c r="K38" i="9"/>
  <c r="I40" i="9"/>
  <c r="K40" i="9"/>
  <c r="I69" i="9"/>
  <c r="K69" i="9"/>
  <c r="I39" i="9"/>
  <c r="K39" i="9"/>
  <c r="I34" i="9"/>
  <c r="K34" i="9"/>
  <c r="L34" i="9"/>
  <c r="M34" i="9"/>
  <c r="I155" i="9"/>
  <c r="K155" i="9"/>
  <c r="H86" i="9"/>
  <c r="I86" i="9"/>
  <c r="K86" i="9"/>
  <c r="I88" i="9"/>
  <c r="K88" i="9"/>
  <c r="I87" i="9"/>
  <c r="K87" i="9"/>
  <c r="I157" i="9"/>
  <c r="K157" i="9"/>
  <c r="I18" i="9"/>
  <c r="K18" i="9"/>
  <c r="I93" i="9"/>
  <c r="K93" i="9"/>
  <c r="I92" i="9"/>
  <c r="K92" i="9"/>
  <c r="I21" i="9"/>
  <c r="K21" i="9"/>
  <c r="I36" i="9"/>
  <c r="K36" i="9"/>
  <c r="I146" i="9"/>
  <c r="K146" i="9"/>
  <c r="I106" i="9"/>
  <c r="K106" i="9"/>
  <c r="I105" i="9"/>
  <c r="K105" i="9"/>
  <c r="H29" i="9"/>
  <c r="I29" i="9"/>
  <c r="I35" i="9"/>
  <c r="K35" i="9"/>
  <c r="I76" i="9"/>
  <c r="K76" i="9"/>
  <c r="I132" i="9"/>
  <c r="K132" i="9"/>
  <c r="I131" i="9"/>
  <c r="K131" i="9"/>
  <c r="I75" i="9"/>
  <c r="K75" i="9"/>
  <c r="I4" i="9"/>
  <c r="K4" i="9"/>
  <c r="I130" i="9"/>
  <c r="K130" i="9"/>
  <c r="I6" i="9"/>
  <c r="K6" i="9"/>
  <c r="H90" i="9"/>
  <c r="I90" i="9"/>
  <c r="K90" i="9"/>
  <c r="H89" i="9"/>
  <c r="I89" i="9"/>
  <c r="K89" i="9"/>
  <c r="I16" i="9"/>
  <c r="K16" i="9"/>
  <c r="I172" i="9"/>
  <c r="K172" i="9"/>
  <c r="I171" i="9"/>
  <c r="K171" i="9"/>
  <c r="L171" i="9"/>
  <c r="M171" i="9"/>
  <c r="I170" i="9"/>
  <c r="K170" i="9"/>
  <c r="I169" i="9"/>
  <c r="K169" i="9"/>
  <c r="I168" i="9"/>
  <c r="K168" i="9"/>
  <c r="I10" i="9"/>
  <c r="K10" i="9"/>
  <c r="I54" i="9"/>
  <c r="K54" i="9"/>
  <c r="L54" i="9"/>
  <c r="M54" i="9"/>
  <c r="I53" i="9"/>
  <c r="K53" i="9"/>
  <c r="I52" i="9"/>
  <c r="K52" i="9"/>
  <c r="I56" i="9"/>
  <c r="K56" i="9"/>
  <c r="I55" i="9"/>
  <c r="K55" i="9"/>
  <c r="H150" i="9"/>
  <c r="I150" i="9"/>
  <c r="K150" i="9"/>
  <c r="I37" i="9"/>
  <c r="K37" i="9"/>
  <c r="L37" i="9"/>
  <c r="M37" i="9"/>
  <c r="H149" i="9"/>
  <c r="I149" i="9"/>
  <c r="K149" i="9"/>
  <c r="I51" i="9"/>
  <c r="K51" i="9"/>
  <c r="I44" i="9"/>
  <c r="K44" i="9"/>
  <c r="L44" i="9"/>
  <c r="M44" i="9"/>
  <c r="I43" i="9"/>
  <c r="K43" i="9"/>
  <c r="I42" i="9"/>
  <c r="K42" i="9"/>
  <c r="I9" i="9"/>
  <c r="K9" i="9"/>
  <c r="I8" i="9"/>
  <c r="K8" i="9"/>
  <c r="I7" i="9"/>
  <c r="K7" i="9"/>
  <c r="I50" i="9"/>
  <c r="K50" i="9"/>
  <c r="I41" i="9"/>
  <c r="K41" i="9"/>
  <c r="I13" i="9"/>
  <c r="K13" i="9"/>
  <c r="I62" i="9"/>
  <c r="K62" i="9"/>
  <c r="I49" i="9"/>
  <c r="K49" i="9"/>
  <c r="I15" i="9"/>
  <c r="K15" i="9"/>
  <c r="I14" i="9"/>
  <c r="K14" i="9"/>
  <c r="I68" i="9"/>
  <c r="K68" i="9"/>
  <c r="I77" i="9"/>
  <c r="K77" i="9"/>
  <c r="L77" i="9"/>
  <c r="M77" i="9"/>
  <c r="I48" i="9"/>
  <c r="K48" i="9"/>
  <c r="I47" i="9"/>
  <c r="K47" i="9"/>
  <c r="I46" i="9"/>
  <c r="K46" i="9"/>
  <c r="L46" i="9"/>
  <c r="M46" i="9"/>
  <c r="I45" i="9"/>
  <c r="K45" i="9"/>
  <c r="I158" i="9"/>
  <c r="K158" i="9"/>
  <c r="I154" i="9"/>
  <c r="K154" i="9"/>
  <c r="I95" i="9"/>
  <c r="K95" i="9"/>
  <c r="I97" i="9"/>
  <c r="K97" i="9"/>
  <c r="I156" i="9"/>
  <c r="K156" i="9"/>
  <c r="I98" i="9"/>
  <c r="K98" i="9"/>
  <c r="D2" i="9"/>
  <c r="N1" i="9"/>
  <c r="J1" i="9"/>
  <c r="D1" i="9"/>
  <c r="Q132" i="6"/>
  <c r="H2" i="9"/>
  <c r="L56" i="9"/>
  <c r="M56" i="9"/>
  <c r="L87" i="9"/>
  <c r="M87" i="9"/>
  <c r="L164" i="9"/>
  <c r="M164" i="9"/>
  <c r="L81" i="9"/>
  <c r="M81" i="9"/>
  <c r="L79" i="9"/>
  <c r="M79" i="9"/>
  <c r="L115" i="9"/>
  <c r="M115" i="9"/>
  <c r="L120" i="9"/>
  <c r="M120" i="9"/>
  <c r="L122" i="9"/>
  <c r="M122" i="9"/>
  <c r="H1" i="9"/>
  <c r="R2" i="9"/>
  <c r="L156" i="9"/>
  <c r="M156" i="9"/>
  <c r="L154" i="9"/>
  <c r="M154" i="9" s="1"/>
  <c r="L50" i="9"/>
  <c r="M50" i="9" s="1"/>
  <c r="L9" i="9"/>
  <c r="M9" i="9"/>
  <c r="Q131" i="6"/>
  <c r="Q126" i="6"/>
  <c r="D136" i="6"/>
  <c r="D100" i="6"/>
  <c r="D57" i="6"/>
  <c r="D115" i="6"/>
  <c r="D146" i="6"/>
  <c r="D6" i="6"/>
  <c r="D112" i="6"/>
  <c r="D159" i="6"/>
  <c r="D152" i="6"/>
  <c r="N8" i="6"/>
  <c r="O9" i="6"/>
  <c r="O8" i="6"/>
  <c r="O6" i="6"/>
  <c r="N11" i="6"/>
  <c r="N10" i="6"/>
  <c r="N9" i="6"/>
  <c r="N6" i="6"/>
  <c r="N7" i="6"/>
  <c r="F169" i="6"/>
  <c r="O7" i="6" s="1"/>
  <c r="D169" i="6"/>
  <c r="D168" i="6"/>
  <c r="D56" i="6"/>
  <c r="D53" i="6"/>
  <c r="D167" i="6"/>
  <c r="D118" i="6"/>
  <c r="D35" i="6"/>
  <c r="D34" i="6"/>
  <c r="D33" i="6"/>
  <c r="D32" i="6"/>
  <c r="F3" i="6"/>
  <c r="D93" i="6"/>
  <c r="D14" i="6"/>
  <c r="D1" i="2"/>
  <c r="L97" i="9"/>
  <c r="M97" i="9"/>
  <c r="L158" i="9"/>
  <c r="M158" i="9"/>
  <c r="L47" i="9"/>
  <c r="M47" i="9"/>
  <c r="L68" i="9"/>
  <c r="M68" i="9"/>
  <c r="L62" i="9"/>
  <c r="M62" i="9"/>
  <c r="L170" i="9"/>
  <c r="M170" i="9"/>
  <c r="L16" i="9"/>
  <c r="M16" i="9"/>
  <c r="L6" i="9"/>
  <c r="M6" i="9"/>
  <c r="L131" i="9"/>
  <c r="M131" i="9"/>
  <c r="I1" i="9"/>
  <c r="K29" i="9"/>
  <c r="L36" i="9"/>
  <c r="M36" i="9"/>
  <c r="L18" i="9"/>
  <c r="M18" i="9" s="1"/>
  <c r="L88" i="9"/>
  <c r="M88" i="9"/>
  <c r="L38" i="9"/>
  <c r="M38" i="9" s="1"/>
  <c r="L84" i="9"/>
  <c r="M84" i="9"/>
  <c r="L177" i="9"/>
  <c r="M177" i="9"/>
  <c r="L78" i="9"/>
  <c r="M78" i="9"/>
  <c r="L85" i="9"/>
  <c r="M85" i="9"/>
  <c r="L73" i="9"/>
  <c r="M73" i="9"/>
  <c r="L19" i="9"/>
  <c r="M19" i="9" s="1"/>
  <c r="L141" i="9"/>
  <c r="M141" i="9"/>
  <c r="L100" i="9"/>
  <c r="M100" i="9" s="1"/>
  <c r="L103" i="9"/>
  <c r="M103" i="9"/>
  <c r="L137" i="9"/>
  <c r="M137" i="9" s="1"/>
  <c r="L124" i="9"/>
  <c r="M124" i="9"/>
  <c r="L126" i="9"/>
  <c r="M126" i="9" s="1"/>
  <c r="L123" i="9"/>
  <c r="M123" i="9"/>
  <c r="L49" i="9"/>
  <c r="M49" i="9"/>
  <c r="L169" i="9"/>
  <c r="M169" i="9"/>
  <c r="L172" i="9"/>
  <c r="M172" i="9"/>
  <c r="L90" i="9"/>
  <c r="M90" i="9"/>
  <c r="L75" i="9"/>
  <c r="M75" i="9"/>
  <c r="L35" i="9"/>
  <c r="M35" i="9"/>
  <c r="L146" i="9"/>
  <c r="M146" i="9"/>
  <c r="L93" i="9"/>
  <c r="M93" i="9"/>
  <c r="L40" i="9"/>
  <c r="M40" i="9"/>
  <c r="L96" i="9"/>
  <c r="M96" i="9"/>
  <c r="L176" i="9"/>
  <c r="M176" i="9"/>
  <c r="L163" i="9"/>
  <c r="M163" i="9"/>
  <c r="L80" i="9"/>
  <c r="M80" i="9"/>
  <c r="L72" i="9"/>
  <c r="M72" i="9"/>
  <c r="L61" i="9"/>
  <c r="M61" i="9"/>
  <c r="L94" i="9"/>
  <c r="M94" i="9"/>
  <c r="L140" i="9"/>
  <c r="M140" i="9"/>
  <c r="L99" i="9"/>
  <c r="M99" i="9"/>
  <c r="L127" i="9"/>
  <c r="M127" i="9"/>
  <c r="L114" i="9"/>
  <c r="M114" i="9"/>
  <c r="L145" i="9"/>
  <c r="M145" i="9"/>
  <c r="L118" i="9"/>
  <c r="M118" i="9"/>
  <c r="L15" i="9"/>
  <c r="M15" i="9"/>
  <c r="L41" i="9"/>
  <c r="M41" i="9" s="1"/>
  <c r="L8" i="9"/>
  <c r="M8" i="9"/>
  <c r="L43" i="9"/>
  <c r="M43" i="9"/>
  <c r="L149" i="9"/>
  <c r="M149" i="9"/>
  <c r="L55" i="9"/>
  <c r="M55" i="9" s="1"/>
  <c r="L53" i="9"/>
  <c r="M53" i="9"/>
  <c r="L168" i="9"/>
  <c r="M168" i="9" s="1"/>
  <c r="L4" i="9"/>
  <c r="M4" i="9"/>
  <c r="K1" i="9"/>
  <c r="L76" i="9"/>
  <c r="M76" i="9"/>
  <c r="L106" i="9"/>
  <c r="M106" i="9"/>
  <c r="L92" i="9"/>
  <c r="M92" i="9"/>
  <c r="L155" i="9"/>
  <c r="M155" i="9"/>
  <c r="L69" i="9"/>
  <c r="M69" i="9"/>
  <c r="L83" i="9"/>
  <c r="M83" i="9"/>
  <c r="L165" i="9"/>
  <c r="M165" i="9"/>
  <c r="L82" i="9"/>
  <c r="M82" i="9"/>
  <c r="L138" i="9"/>
  <c r="M138" i="9"/>
  <c r="L57" i="9"/>
  <c r="M57" i="9"/>
  <c r="L71" i="9"/>
  <c r="M71" i="9"/>
  <c r="L60" i="9"/>
  <c r="M60" i="9"/>
  <c r="L139" i="9"/>
  <c r="M139" i="9"/>
  <c r="L102" i="9"/>
  <c r="M102" i="9"/>
  <c r="L136" i="9"/>
  <c r="M136" i="9"/>
  <c r="L113" i="9"/>
  <c r="M113" i="9"/>
  <c r="L144" i="9"/>
  <c r="M144" i="9"/>
  <c r="L119" i="9"/>
  <c r="M119" i="9"/>
  <c r="L98" i="9"/>
  <c r="M98" i="9"/>
  <c r="L95" i="9"/>
  <c r="M95" i="9"/>
  <c r="L45" i="9"/>
  <c r="M45" i="9"/>
  <c r="L48" i="9"/>
  <c r="M48" i="9"/>
  <c r="L14" i="9"/>
  <c r="M14" i="9"/>
  <c r="L13" i="9"/>
  <c r="M13" i="9"/>
  <c r="L7" i="9"/>
  <c r="M7" i="9"/>
  <c r="L42" i="9"/>
  <c r="M42" i="9"/>
  <c r="L51" i="9"/>
  <c r="M51" i="9"/>
  <c r="L150" i="9"/>
  <c r="M150" i="9"/>
  <c r="L52" i="9"/>
  <c r="M52" i="9"/>
  <c r="L10" i="9"/>
  <c r="M10" i="9"/>
  <c r="L89" i="9"/>
  <c r="M89" i="9"/>
  <c r="L130" i="9"/>
  <c r="M130" i="9"/>
  <c r="L132" i="9"/>
  <c r="M132" i="9"/>
  <c r="L105" i="9"/>
  <c r="M105" i="9"/>
  <c r="L21" i="9"/>
  <c r="M21" i="9"/>
  <c r="L157" i="9"/>
  <c r="M157" i="9"/>
  <c r="L86" i="9"/>
  <c r="M86" i="9"/>
  <c r="L39" i="9"/>
  <c r="M39" i="9"/>
  <c r="L91" i="9"/>
  <c r="M91" i="9"/>
  <c r="L162" i="9"/>
  <c r="M162" i="9"/>
  <c r="L30" i="9"/>
  <c r="M30" i="9"/>
  <c r="L66" i="9"/>
  <c r="M66" i="9"/>
  <c r="L147" i="9"/>
  <c r="M147" i="9"/>
  <c r="L20" i="9"/>
  <c r="M20" i="9"/>
  <c r="L142" i="9"/>
  <c r="M142" i="9"/>
  <c r="L101" i="9"/>
  <c r="M101" i="9"/>
  <c r="L117" i="9"/>
  <c r="M117" i="9"/>
  <c r="L125" i="9"/>
  <c r="M125" i="9"/>
  <c r="L112" i="9"/>
  <c r="M112" i="9"/>
  <c r="L121" i="9"/>
  <c r="M121" i="9"/>
  <c r="L148" i="9"/>
  <c r="M148" i="9"/>
  <c r="L64" i="9"/>
  <c r="M64" i="9" s="1"/>
  <c r="L23" i="9"/>
  <c r="M23" i="9"/>
  <c r="L152" i="9"/>
  <c r="M152" i="9"/>
  <c r="L59" i="9"/>
  <c r="M59" i="9"/>
  <c r="L129" i="9"/>
  <c r="M129" i="9"/>
  <c r="L26" i="9"/>
  <c r="M26" i="9" s="1"/>
  <c r="L27" i="9"/>
  <c r="M27" i="9"/>
  <c r="L28" i="9"/>
  <c r="M28" i="9"/>
  <c r="L17" i="9"/>
  <c r="M17" i="9" s="1"/>
  <c r="L74" i="9"/>
  <c r="M74" i="9"/>
  <c r="L33" i="9"/>
  <c r="M33" i="9"/>
  <c r="L153" i="9"/>
  <c r="M153" i="9"/>
  <c r="L159" i="9"/>
  <c r="M159" i="9"/>
  <c r="L31" i="9"/>
  <c r="M31" i="9" s="1"/>
  <c r="L161" i="9"/>
  <c r="M161" i="9"/>
  <c r="L22" i="9"/>
  <c r="M22" i="9"/>
  <c r="L32" i="9"/>
  <c r="M32" i="9" s="1"/>
  <c r="L160" i="9"/>
  <c r="M160" i="9"/>
  <c r="L24" i="9"/>
  <c r="M24" i="9"/>
  <c r="L25" i="9"/>
  <c r="M25" i="9"/>
  <c r="L63" i="9"/>
  <c r="M63" i="9" s="1"/>
  <c r="L58" i="9"/>
  <c r="M58" i="9" s="1"/>
  <c r="L173" i="9"/>
  <c r="M173" i="9"/>
  <c r="L133" i="9"/>
  <c r="M133" i="9"/>
  <c r="L5" i="9"/>
  <c r="M5" i="9"/>
  <c r="L174" i="9"/>
  <c r="M174" i="9"/>
  <c r="L104" i="9"/>
  <c r="M104" i="9"/>
  <c r="L134" i="9"/>
  <c r="M134" i="9"/>
  <c r="L135" i="9"/>
  <c r="M135" i="9"/>
  <c r="L110" i="9"/>
  <c r="M110" i="9" s="1"/>
  <c r="L111" i="9"/>
  <c r="M111" i="9"/>
  <c r="L107" i="9"/>
  <c r="M107" i="9"/>
  <c r="L108" i="9"/>
  <c r="M108" i="9" s="1"/>
  <c r="L109" i="9"/>
  <c r="M109" i="9"/>
  <c r="L29" i="9"/>
  <c r="M29" i="9" s="1"/>
  <c r="L1" i="9"/>
  <c r="N12" i="6"/>
  <c r="O11" i="6"/>
  <c r="O10" i="6"/>
  <c r="P13" i="6" l="1"/>
  <c r="P9" i="6"/>
  <c r="P11" i="6"/>
  <c r="P10" i="6"/>
  <c r="P6" i="6"/>
  <c r="P8" i="6"/>
  <c r="P12" i="6"/>
  <c r="P7" i="6"/>
  <c r="O15" i="6"/>
  <c r="N15" i="6"/>
  <c r="M1" i="9"/>
  <c r="M2" i="9"/>
  <c r="O2" i="9" s="1"/>
  <c r="P1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tatiane.alencar</author>
  </authors>
  <commentList>
    <comment ref="J7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tatiane.alencar:</t>
        </r>
        <r>
          <rPr>
            <sz val="9"/>
            <color indexed="81"/>
            <rFont val="Tahoma"/>
            <family val="2"/>
          </rPr>
          <t xml:space="preserve">
com descontro 10% (R$15,00)- mês de aniversario </t>
        </r>
      </text>
    </comment>
    <comment ref="J7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tatiane.alencar:</t>
        </r>
        <r>
          <rPr>
            <sz val="9"/>
            <color indexed="81"/>
            <rFont val="Tahoma"/>
            <family val="2"/>
          </rPr>
          <t xml:space="preserve">
com descontro 10% (R$15,00)- mês de aniversario </t>
        </r>
      </text>
    </comment>
    <comment ref="J14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tatiane.alencar:</t>
        </r>
        <r>
          <rPr>
            <sz val="9"/>
            <color indexed="81"/>
            <rFont val="Tahoma"/>
            <family val="2"/>
          </rPr>
          <t xml:space="preserve">
incluido a compra do dia 26/08</t>
        </r>
      </text>
    </comment>
    <comment ref="J16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tatiane.alencar:</t>
        </r>
        <r>
          <rPr>
            <sz val="9"/>
            <color indexed="81"/>
            <rFont val="Tahoma"/>
            <family val="2"/>
          </rPr>
          <t xml:space="preserve">
desconto de 10% - niver</t>
        </r>
      </text>
    </comment>
  </commentList>
</comments>
</file>

<file path=xl/sharedStrings.xml><?xml version="1.0" encoding="utf-8"?>
<sst xmlns="http://schemas.openxmlformats.org/spreadsheetml/2006/main" count="2814" uniqueCount="658">
  <si>
    <t>MÊS ENTRADA</t>
  </si>
  <si>
    <t>DATA</t>
  </si>
  <si>
    <t>Ref</t>
  </si>
  <si>
    <t>QUANT.</t>
  </si>
  <si>
    <t>DESCRIÇÃO</t>
  </si>
  <si>
    <t>TAMANHO</t>
  </si>
  <si>
    <t>Resp.</t>
  </si>
  <si>
    <t>VL. UNIT.</t>
  </si>
  <si>
    <t>LUCRO</t>
  </si>
  <si>
    <t>CUSTO FIXO</t>
  </si>
  <si>
    <t>VALOR DE BRUTO</t>
  </si>
  <si>
    <t>TAXA</t>
  </si>
  <si>
    <t>VALOR DE VENDA</t>
  </si>
  <si>
    <t>Valor do produto</t>
  </si>
  <si>
    <t>Status</t>
  </si>
  <si>
    <t>Data de pagamento</t>
  </si>
  <si>
    <t>cliente</t>
  </si>
  <si>
    <t>AGOSTO</t>
  </si>
  <si>
    <t>CONJUNTO AZUL CANETA  CALCINHA DE RENDA</t>
  </si>
  <si>
    <t>M</t>
  </si>
  <si>
    <t>VENDIDO</t>
  </si>
  <si>
    <t>a vista</t>
  </si>
  <si>
    <t>TATIANE</t>
  </si>
  <si>
    <t>CAMISOLA VERDE</t>
  </si>
  <si>
    <t>tatiane</t>
  </si>
  <si>
    <t>VENDIDO 19/8</t>
  </si>
  <si>
    <t>Parcelado</t>
  </si>
  <si>
    <t>SHEYLA - SESMET</t>
  </si>
  <si>
    <t>CAMISOLA ROSA</t>
  </si>
  <si>
    <t>G</t>
  </si>
  <si>
    <t>CUECA BOX INF - MACULINA</t>
  </si>
  <si>
    <t>INF</t>
  </si>
  <si>
    <t>vendido 15/8</t>
  </si>
  <si>
    <t>Melchior</t>
  </si>
  <si>
    <t>VENDIDO 17/8</t>
  </si>
  <si>
    <t>MAYRE</t>
  </si>
  <si>
    <t>JANDER</t>
  </si>
  <si>
    <t>CAMISOLA LARANJA SEM BOJO</t>
  </si>
  <si>
    <t>CAMISOLA  AZUL</t>
  </si>
  <si>
    <t>vendido 22/08/16</t>
  </si>
  <si>
    <t>ROSIENE</t>
  </si>
  <si>
    <t>CAMISOLA SHIRT DOLL PRETO</t>
  </si>
  <si>
    <t>Vendido 15/8</t>
  </si>
  <si>
    <t>Diana TPV</t>
  </si>
  <si>
    <t xml:space="preserve">CALCINHA INF </t>
  </si>
  <si>
    <t>vendido 12/10</t>
  </si>
  <si>
    <t>Carla</t>
  </si>
  <si>
    <t>Nethyelle</t>
  </si>
  <si>
    <t xml:space="preserve">CONJUNTO SUTIA STRIP </t>
  </si>
  <si>
    <t>vendido 01/9</t>
  </si>
  <si>
    <t>Raimundo</t>
  </si>
  <si>
    <t>CAMISOLA DE ALÇA</t>
  </si>
  <si>
    <t>P</t>
  </si>
  <si>
    <t>vendido 21/08</t>
  </si>
  <si>
    <t>Rony</t>
  </si>
  <si>
    <t>BODY RENDA E TULY C STRASS</t>
  </si>
  <si>
    <t>vendido 08/9</t>
  </si>
  <si>
    <t>Iara NPI</t>
  </si>
  <si>
    <t>vendido 28/09</t>
  </si>
  <si>
    <t>Lili linha 07</t>
  </si>
  <si>
    <t>CROPPED RENDA</t>
  </si>
  <si>
    <t>SUTIA CROPPED BALLET ONE CURTINAO</t>
  </si>
  <si>
    <t>vendido 29/8</t>
  </si>
  <si>
    <t>Roberta</t>
  </si>
  <si>
    <t>CONJ ROMANCE NAD. ALÇA COST</t>
  </si>
  <si>
    <t>GG</t>
  </si>
  <si>
    <t>vendido 31/8</t>
  </si>
  <si>
    <t>Jussara</t>
  </si>
  <si>
    <t>CONJ STRAPPY S/ BOJO</t>
  </si>
  <si>
    <t>Vendido 15/9</t>
  </si>
  <si>
    <t>Ingrid Reis MRO</t>
  </si>
  <si>
    <t>SUTIA STRAPPY S/ BOJO</t>
  </si>
  <si>
    <t>CONJ DEBORA RENDA NA ALÇA</t>
  </si>
  <si>
    <t>vendido 23/09</t>
  </si>
  <si>
    <t>Lili Nogueira</t>
  </si>
  <si>
    <t>vendido 24/8</t>
  </si>
  <si>
    <t>Ingrid SMT</t>
  </si>
  <si>
    <t>F303</t>
  </si>
  <si>
    <t>CONJ SUTIÃO STRIP  PRETO</t>
  </si>
  <si>
    <t>vendido 01/09</t>
  </si>
  <si>
    <t>Leia Santos</t>
  </si>
  <si>
    <t>CONJ LOVE : NADADOR</t>
  </si>
  <si>
    <t>vendido 14/10</t>
  </si>
  <si>
    <t>SUTIA NADADOR SEGUNDA PELE</t>
  </si>
  <si>
    <t>VENDIDO 25/8</t>
  </si>
  <si>
    <t>GLEICE LINHA 7</t>
  </si>
  <si>
    <t>VENDIDO 18/10</t>
  </si>
  <si>
    <t>DANIRA</t>
  </si>
  <si>
    <t>CONJ CLASSIC: RENDA CROCHE</t>
  </si>
  <si>
    <t>vendido 26/8</t>
  </si>
  <si>
    <t>Meiry Vieira</t>
  </si>
  <si>
    <t>CONJUNTO PRETO DE RENDA</t>
  </si>
  <si>
    <t>CONJ PINCA B RENDA BOJO BASE E LATERAL CAL</t>
  </si>
  <si>
    <t>CONJ TOP INTUICAO OURO T Q C</t>
  </si>
  <si>
    <t>CALCINHA ALTA</t>
  </si>
  <si>
    <t>CONJ T Q C BASIC REFORÇADO</t>
  </si>
  <si>
    <t>vendido 27/9</t>
  </si>
  <si>
    <t>CONJ BASIC RENDA</t>
  </si>
  <si>
    <t>Helen</t>
  </si>
  <si>
    <t>CONJ SHORTINHO RENDA</t>
  </si>
  <si>
    <t>vendido 09/09</t>
  </si>
  <si>
    <t>15/9
30/9
15/10</t>
  </si>
  <si>
    <t>Alessandra</t>
  </si>
  <si>
    <t>JULHO</t>
  </si>
  <si>
    <t>vendido 02/8</t>
  </si>
  <si>
    <t>Credito 2x</t>
  </si>
  <si>
    <t>Bel</t>
  </si>
  <si>
    <t>vendido 31/7</t>
  </si>
  <si>
    <t>A vista</t>
  </si>
  <si>
    <t>Theo</t>
  </si>
  <si>
    <t>brenda</t>
  </si>
  <si>
    <t>Vendido 6/8</t>
  </si>
  <si>
    <t>Daniel</t>
  </si>
  <si>
    <t>Vendido 31/7</t>
  </si>
  <si>
    <t>Solange</t>
  </si>
  <si>
    <t>B09</t>
  </si>
  <si>
    <t>Brinco</t>
  </si>
  <si>
    <t>NA</t>
  </si>
  <si>
    <t>VENDIDO 15/8</t>
  </si>
  <si>
    <t>CONJUNTO DE 2 CALCINHAS - AMARELO / PRETO</t>
  </si>
  <si>
    <t>vendido 8/9</t>
  </si>
  <si>
    <t>Marlen WH TPV</t>
  </si>
  <si>
    <t>CONJUNTO DE 2 CALCINHAS - BRANCA</t>
  </si>
  <si>
    <t>20/8
20/9</t>
  </si>
  <si>
    <t>Marlene</t>
  </si>
  <si>
    <t>CONJUNTO DE 2 CALCINHAS - AMARELO</t>
  </si>
  <si>
    <t>Vendido 5/8</t>
  </si>
  <si>
    <t>Diana</t>
  </si>
  <si>
    <t>CONJUNTO DE 2 CALCINHAS - PRETO</t>
  </si>
  <si>
    <t>CALCINHA SEM CUSTURA</t>
  </si>
  <si>
    <t>Crédito 2x</t>
  </si>
  <si>
    <t>Marcia</t>
  </si>
  <si>
    <t>CONJUNTO LINGERIE 3 PÇS MODELAINE PRETO</t>
  </si>
  <si>
    <t>vendido 20/08</t>
  </si>
  <si>
    <t>Cartão</t>
  </si>
  <si>
    <t>Darley Pinheiro</t>
  </si>
  <si>
    <t>SHORT DOOL SLEEP BEM</t>
  </si>
  <si>
    <t>vendido 28/8</t>
  </si>
  <si>
    <t>Ana Anturio</t>
  </si>
  <si>
    <t>0.35</t>
  </si>
  <si>
    <t>LINGERIES SENSUALITY</t>
  </si>
  <si>
    <t>BABY DOLL LINHA NOITE JOYCE PAVAO</t>
  </si>
  <si>
    <t>VENDIDO 02/08</t>
  </si>
  <si>
    <t>15/8
30/8
15/9
30/9</t>
  </si>
  <si>
    <t>BABY DOLL LINHA NOITE JOYCE JAIPUR</t>
  </si>
  <si>
    <t>SHORT DOOL C/BOJOS STARJANE AMARELO</t>
  </si>
  <si>
    <t>SHORT DOOL C/BOJOS STARJANE - PRETO</t>
  </si>
  <si>
    <t>VENDIDO 10/8</t>
  </si>
  <si>
    <t>15/8
30/8</t>
  </si>
  <si>
    <t>CAMISOLA LINHA NOITE TURMA DA ANINHA AD</t>
  </si>
  <si>
    <t>Tania</t>
  </si>
  <si>
    <t>CAMISOLA LINHA NOITE AD EST PAPAYA</t>
  </si>
  <si>
    <t>vendido 27/07</t>
  </si>
  <si>
    <t>15/8 
30/8
15/9</t>
  </si>
  <si>
    <t>Maria Margareth</t>
  </si>
  <si>
    <t xml:space="preserve">CONJUNTO LINGERIE T ALENA EST DELICIA </t>
  </si>
  <si>
    <t>vendido 9/8</t>
  </si>
  <si>
    <t xml:space="preserve">CONJUNTO LINGERIE INARA PEROLA </t>
  </si>
  <si>
    <t>CONJUNTO CUPCAKE COM RENDA ABSO</t>
  </si>
  <si>
    <t>CAMISOLA LINHA NOITE TURMA DA ANINHA INF</t>
  </si>
  <si>
    <t>CAMISOLA LINHA NOITE LUDIMILA EST MARFIN</t>
  </si>
  <si>
    <t>vendido 24/07</t>
  </si>
  <si>
    <t>CONJUNTO LINGERIE KIT B MANIA GLORIA ROS</t>
  </si>
  <si>
    <t>CONJUNTO LINGERIE KIT B TOP MANIA GINGER</t>
  </si>
  <si>
    <t>CONJUNTO LINGERIE T MARBIA OPERA</t>
  </si>
  <si>
    <t>vendido 28/9</t>
  </si>
  <si>
    <t>CONJUNTO LINGERIE T RENDA E BIJU PAPAYA</t>
  </si>
  <si>
    <t>0.57</t>
  </si>
  <si>
    <t>CONJUNTO LINGERIE COM RENDA (LINDA ROSA) AZUL ROYAL 2 peças</t>
  </si>
  <si>
    <t>CONJUNTO LINGERIE COM RENDA (LINDA ROSA) AMARELO 2 PÇS</t>
  </si>
  <si>
    <t>CONJUNTO LINGERIE T RENDA TRANS APLICACA</t>
  </si>
  <si>
    <t>CONJUNTO LINGERIE ESTAMPADO VOLIPIA</t>
  </si>
  <si>
    <t>Gizelle</t>
  </si>
  <si>
    <t>CONJUNTO LINGERIE ESTAMPADO BISCUIT</t>
  </si>
  <si>
    <t>vendido 12/8</t>
  </si>
  <si>
    <t>30/08
15/09</t>
  </si>
  <si>
    <t>Mara</t>
  </si>
  <si>
    <t>CONJUNTO LINGERIE FLORBELA PAVAO</t>
  </si>
  <si>
    <t>CONJUNTO LINGERIE ESTAMPADO ABSOLUTO</t>
  </si>
  <si>
    <t>VENDIDO 20/8</t>
  </si>
  <si>
    <t>CONJUNTO LINGERIE RENDA COM APLICAÇÃO  BI</t>
  </si>
  <si>
    <t>vendido 28/7</t>
  </si>
  <si>
    <t>Maria Aparecida</t>
  </si>
  <si>
    <t>CONJUNTO LINGERIE KIT CONJUNTO B CITRONE</t>
  </si>
  <si>
    <t>15/08
30/08</t>
  </si>
  <si>
    <t xml:space="preserve">CONJUNTO LINGERIE T DAYSE SUNKISS </t>
  </si>
  <si>
    <t>Vendido 12/8</t>
  </si>
  <si>
    <t>Diana Duarte</t>
  </si>
  <si>
    <t xml:space="preserve">CONJUNTO LINGERIE ADRIA JAIPUR </t>
  </si>
  <si>
    <t>Permuta</t>
  </si>
  <si>
    <t>Yane</t>
  </si>
  <si>
    <t>CONJUNTO LINGERIE COM RENDA (LINDA ROSA) AZUL ROYAL 3PÇS</t>
  </si>
  <si>
    <t>Alcione</t>
  </si>
  <si>
    <t>CONJUNTO LINGERIE CONJUNTO ISABEL PRETO</t>
  </si>
  <si>
    <t>vendido 07/08</t>
  </si>
  <si>
    <t>CONJUNTO LINGERIE CONJUNTO ISABEL BRANCO</t>
  </si>
  <si>
    <t>vendido 30/7</t>
  </si>
  <si>
    <t>Eliana</t>
  </si>
  <si>
    <t>CONJUNTO AGATA GPELE PRETO</t>
  </si>
  <si>
    <t>vendido 03/8</t>
  </si>
  <si>
    <t>CONJUNTO AGATA GPELE AMARELO</t>
  </si>
  <si>
    <t>vendido 04/8</t>
  </si>
  <si>
    <t>Lea</t>
  </si>
  <si>
    <t>CAMISOLA C RENDA SOFIA</t>
  </si>
  <si>
    <t>CONJUNTO LINGERIE RAYANE BRANCO</t>
  </si>
  <si>
    <t>Izabel Tpv</t>
  </si>
  <si>
    <t>CAMISOLA LINHA NOITE AD EST PAVAO</t>
  </si>
  <si>
    <t>15/9
30/9</t>
  </si>
  <si>
    <t>Ray Batista</t>
  </si>
  <si>
    <t>CONJUNTO LINGERIE COM STRASS PAPAYA</t>
  </si>
  <si>
    <t>BABY DOLL LINHA NOITE AD PAVAO P</t>
  </si>
  <si>
    <t>CONJUNTO LINGERIE T THUANE SUNKISS</t>
  </si>
  <si>
    <t>ok</t>
  </si>
  <si>
    <t>CONJUNTO LINGERIE CONJ KALINE GINGER</t>
  </si>
  <si>
    <t>OUTUBRO</t>
  </si>
  <si>
    <t>CONJ DE CALCINHA AZUL</t>
  </si>
  <si>
    <t xml:space="preserve">CONJ DE CALCINHA BRANCA </t>
  </si>
  <si>
    <t xml:space="preserve">CONJ DE CALCINHA ROSA </t>
  </si>
  <si>
    <t>SUTIEN ZEE RUCCI</t>
  </si>
  <si>
    <t>CALCINHA MODELADORA</t>
  </si>
  <si>
    <t>Vendido 02/10</t>
  </si>
  <si>
    <t>Elisangela</t>
  </si>
  <si>
    <t>vendido 13/10</t>
  </si>
  <si>
    <t>CONJUNTO LINGERIE AZUL</t>
  </si>
  <si>
    <t>CONJUNTO LINGERIE VERMELHO</t>
  </si>
  <si>
    <t>PRETO</t>
  </si>
  <si>
    <t>VER</t>
  </si>
  <si>
    <t>PTO</t>
  </si>
  <si>
    <t>Azul Claro</t>
  </si>
  <si>
    <t>azul claro</t>
  </si>
  <si>
    <t>BCO</t>
  </si>
  <si>
    <t>Rosa c/ branco</t>
  </si>
  <si>
    <t>VINHO</t>
  </si>
  <si>
    <t>pink c/ preto</t>
  </si>
  <si>
    <t>AZUL C/ PTO</t>
  </si>
  <si>
    <t>vermelho</t>
  </si>
  <si>
    <t>CAMISOLA ZEERUCCI</t>
  </si>
  <si>
    <t>Vendido 18/10</t>
  </si>
  <si>
    <t>-</t>
  </si>
  <si>
    <t>Brenda</t>
  </si>
  <si>
    <t>LINGERIEESTARJA SENSUALITY</t>
  </si>
  <si>
    <t>VENDIDO 8/10</t>
  </si>
  <si>
    <t>Nazaré</t>
  </si>
  <si>
    <t>LINGERIE LINDA ROSA - SALMÃO</t>
  </si>
  <si>
    <t>VENDIDO 03/10</t>
  </si>
  <si>
    <t>LINGERIE LINDA ROSA - VINHO</t>
  </si>
  <si>
    <t>LINGERIE LINDA ROSA - AZUL</t>
  </si>
  <si>
    <t>VENDIDO 13/10</t>
  </si>
  <si>
    <t>EDICLEIA</t>
  </si>
  <si>
    <t>CONJUNTO LINGERIE PRETA</t>
  </si>
  <si>
    <t>CONJUNTO LINGERIE AZUL COM BOLINHA</t>
  </si>
  <si>
    <t>vendido 19/10</t>
  </si>
  <si>
    <t>TEREZINHA</t>
  </si>
  <si>
    <t>CONJUNTO LINGERIE pRETA</t>
  </si>
  <si>
    <t>SUTIEN AGATA MODAS</t>
  </si>
  <si>
    <t>SUTIEN AGATA MODAS Branco</t>
  </si>
  <si>
    <t>vendido 04/10</t>
  </si>
  <si>
    <t>Lidiane Linha 01</t>
  </si>
  <si>
    <t>CONJUNTO LINDA ROSA AMARELO</t>
  </si>
  <si>
    <t>CONJUNTO LINDA ROSA AZUL</t>
  </si>
  <si>
    <t>vendido 17/10</t>
  </si>
  <si>
    <t>VERA BATOM</t>
  </si>
  <si>
    <t>CONJUNTO LINDA ROSA STRIP BRANCO</t>
  </si>
  <si>
    <t>AZUL ESCURO</t>
  </si>
  <si>
    <t>VENDIDO 2/10</t>
  </si>
  <si>
    <t>MARLENE</t>
  </si>
  <si>
    <t>VERA</t>
  </si>
  <si>
    <t>CONJUNTO DE 2 CALCINHA</t>
  </si>
  <si>
    <t>VENDIDO 3/10</t>
  </si>
  <si>
    <t>JOCYMEIRE</t>
  </si>
  <si>
    <t>SETEMBRO</t>
  </si>
  <si>
    <t>set0602</t>
  </si>
  <si>
    <t>CAMISOLA SHORT DOLL INFANTIL</t>
  </si>
  <si>
    <t>Tatiane</t>
  </si>
  <si>
    <t>VENDIDO 11/10</t>
  </si>
  <si>
    <t>VIZINHA DE ARM</t>
  </si>
  <si>
    <t>vendido 15/9</t>
  </si>
  <si>
    <t xml:space="preserve">Eliana </t>
  </si>
  <si>
    <t>SUTIÃ LIEBE GOIABA</t>
  </si>
  <si>
    <t>SUTIÃ LIEBE VERMELHO</t>
  </si>
  <si>
    <t>INTUIÇÃO RENDA STRAP PRETO</t>
  </si>
  <si>
    <t>Vendido 27/9</t>
  </si>
  <si>
    <t>Ingrid smt</t>
  </si>
  <si>
    <t>Vendido 16/9</t>
  </si>
  <si>
    <t>Telma MRO</t>
  </si>
  <si>
    <t>Bruna MRO</t>
  </si>
  <si>
    <t>CONJUNTO DE 3 CALCINHAS INFANTIL</t>
  </si>
  <si>
    <t>CONJ SUTIÃO STRIP VERMELHO</t>
  </si>
  <si>
    <t>CONJ SUTIÃO STRIP AMARELO</t>
  </si>
  <si>
    <t>CONJ SUTIÃO STRIP AZUL</t>
  </si>
  <si>
    <t>CONJ SUTIÃO STRIP PINK</t>
  </si>
  <si>
    <t>Cris</t>
  </si>
  <si>
    <t>CONJ SUTIÃO STRIP Salmão</t>
  </si>
  <si>
    <t>VENDIDO 29/9</t>
  </si>
  <si>
    <t>ROBERTA</t>
  </si>
  <si>
    <t>VENDIDO 26/9</t>
  </si>
  <si>
    <t>set0601</t>
  </si>
  <si>
    <t>CAMISOLA LUPEAN PINK</t>
  </si>
  <si>
    <t>vendido 02/10</t>
  </si>
  <si>
    <t>CAMISOLA SHORT DOLL PRETO</t>
  </si>
  <si>
    <t>Vendido 09/09</t>
  </si>
  <si>
    <t>CAMISOLA SHORT DOLL VERMELHO</t>
  </si>
  <si>
    <t>Vendido 12/09</t>
  </si>
  <si>
    <t>Danira TPV</t>
  </si>
  <si>
    <t>BABY DOLL RENDA TULE FINO: OURO -INTUIÇÃO</t>
  </si>
  <si>
    <t>TATI</t>
  </si>
  <si>
    <t>OK</t>
  </si>
  <si>
    <t>D. Rosa</t>
  </si>
  <si>
    <t>Carla Teles</t>
  </si>
  <si>
    <t>Bazar</t>
  </si>
  <si>
    <t>Nahdrielly</t>
  </si>
  <si>
    <t>Alessandra Castro</t>
  </si>
  <si>
    <t>M/G</t>
  </si>
  <si>
    <t>Ingrid Bonet</t>
  </si>
  <si>
    <t>Adriele</t>
  </si>
  <si>
    <t>Ivanara Martins</t>
  </si>
  <si>
    <t>Neuza</t>
  </si>
  <si>
    <t>BRENDA</t>
  </si>
  <si>
    <t>COD</t>
  </si>
  <si>
    <t>Nome</t>
  </si>
  <si>
    <t>Cartão Fidelidade</t>
  </si>
  <si>
    <t>Local</t>
  </si>
  <si>
    <t>Telefone</t>
  </si>
  <si>
    <t>Aniversário</t>
  </si>
  <si>
    <t>Mês</t>
  </si>
  <si>
    <t xml:space="preserve">Tamanho </t>
  </si>
  <si>
    <t>Data</t>
  </si>
  <si>
    <t>001/2016</t>
  </si>
  <si>
    <t>RONY RONDON</t>
  </si>
  <si>
    <t>FAMILIA</t>
  </si>
  <si>
    <t>98205-5652</t>
  </si>
  <si>
    <t>04-ABRIL</t>
  </si>
  <si>
    <t>002/2016</t>
  </si>
  <si>
    <t>MARIA APARECIDA MELO</t>
  </si>
  <si>
    <t>TPV</t>
  </si>
  <si>
    <t>99435-4292</t>
  </si>
  <si>
    <t>08-AGOSTO</t>
  </si>
  <si>
    <t>003/2016</t>
  </si>
  <si>
    <t>MARIA MARGARETH</t>
  </si>
  <si>
    <t>99313-8885</t>
  </si>
  <si>
    <t>004/2016</t>
  </si>
  <si>
    <t>Yane Amorin</t>
  </si>
  <si>
    <t>98472-2095</t>
  </si>
  <si>
    <t>10-OUTUBRO</t>
  </si>
  <si>
    <t>005/2016</t>
  </si>
  <si>
    <t>ELIANA CASTRO</t>
  </si>
  <si>
    <t>99143-2217</t>
  </si>
  <si>
    <t>12-DEZEMBRO</t>
  </si>
  <si>
    <t>006/2016</t>
  </si>
  <si>
    <t>TANIA</t>
  </si>
  <si>
    <t>AMIGO</t>
  </si>
  <si>
    <t>99237-0329</t>
  </si>
  <si>
    <t>007/2016</t>
  </si>
  <si>
    <t>SOLANGE</t>
  </si>
  <si>
    <t>99102-5041</t>
  </si>
  <si>
    <t>008/2016</t>
  </si>
  <si>
    <t>99496-1777</t>
  </si>
  <si>
    <t>009/2016</t>
  </si>
  <si>
    <t>THEO</t>
  </si>
  <si>
    <t>99486-6614</t>
  </si>
  <si>
    <t>09-SETEMBRO</t>
  </si>
  <si>
    <t>010/2016</t>
  </si>
  <si>
    <t>Rosiene Aguiar</t>
  </si>
  <si>
    <t>ENV</t>
  </si>
  <si>
    <t>99240-3610</t>
  </si>
  <si>
    <t>011/2016</t>
  </si>
  <si>
    <t>Isabel Silva</t>
  </si>
  <si>
    <t>99316-8565</t>
  </si>
  <si>
    <t>P/M</t>
  </si>
  <si>
    <t>012/2016</t>
  </si>
  <si>
    <t>P10</t>
  </si>
  <si>
    <t>013/2016</t>
  </si>
  <si>
    <t>Jocimary Pontes</t>
  </si>
  <si>
    <t>99251-3787</t>
  </si>
  <si>
    <t>014/2016</t>
  </si>
  <si>
    <t>Hellen Queiroz</t>
  </si>
  <si>
    <t>99220-1004</t>
  </si>
  <si>
    <t>02-FEVEREIRO</t>
  </si>
  <si>
    <t>015/2016</t>
  </si>
  <si>
    <t>99189-9732</t>
  </si>
  <si>
    <t>05-MAIO</t>
  </si>
  <si>
    <t>016/2016</t>
  </si>
  <si>
    <t>Diana Medeiros</t>
  </si>
  <si>
    <t>AMIGA</t>
  </si>
  <si>
    <t>99217-6995</t>
  </si>
  <si>
    <t>017/2016</t>
  </si>
  <si>
    <t>Daniel Cunha</t>
  </si>
  <si>
    <t>vendido 06/8</t>
  </si>
  <si>
    <t>018/2016</t>
  </si>
  <si>
    <t>98106-7882</t>
  </si>
  <si>
    <t>11-NOVEMBRO</t>
  </si>
  <si>
    <t>vendido 07/8</t>
  </si>
  <si>
    <t>019/2016</t>
  </si>
  <si>
    <t>020/2016</t>
  </si>
  <si>
    <t>Roberta Santana</t>
  </si>
  <si>
    <t>99244-1099</t>
  </si>
  <si>
    <t>vendido 09/8</t>
  </si>
  <si>
    <t>021/2016</t>
  </si>
  <si>
    <t>Danira Santarem</t>
  </si>
  <si>
    <t>99400-4374</t>
  </si>
  <si>
    <t>vendido 10/8</t>
  </si>
  <si>
    <t>022/2016</t>
  </si>
  <si>
    <t>Gisele Lemos</t>
  </si>
  <si>
    <t>99221-5257</t>
  </si>
  <si>
    <t>023/2016</t>
  </si>
  <si>
    <t>99292-1327</t>
  </si>
  <si>
    <t>024/2016</t>
  </si>
  <si>
    <t>Mara Cavalcante</t>
  </si>
  <si>
    <t>99384-4164</t>
  </si>
  <si>
    <t>025/2016</t>
  </si>
  <si>
    <t>026/2016</t>
  </si>
  <si>
    <t>Jander</t>
  </si>
  <si>
    <t>027/2016</t>
  </si>
  <si>
    <t>Sheyla Lima</t>
  </si>
  <si>
    <t>98404-2717</t>
  </si>
  <si>
    <t>21/03</t>
  </si>
  <si>
    <t>03-MARÇO</t>
  </si>
  <si>
    <t>028/2016</t>
  </si>
  <si>
    <t>Fabio Silva Silva</t>
  </si>
  <si>
    <t>99446-4108</t>
  </si>
  <si>
    <t>029/2016</t>
  </si>
  <si>
    <t>98128-1823</t>
  </si>
  <si>
    <t>28/03</t>
  </si>
  <si>
    <t>030/2016</t>
  </si>
  <si>
    <t>27/05</t>
  </si>
  <si>
    <t>031/2016</t>
  </si>
  <si>
    <t>Gleice Rodrigues</t>
  </si>
  <si>
    <t>99455-2341</t>
  </si>
  <si>
    <t>032/2016</t>
  </si>
  <si>
    <t xml:space="preserve">Ana </t>
  </si>
  <si>
    <t>Anturio</t>
  </si>
  <si>
    <t>033/2016</t>
  </si>
  <si>
    <t>Jussara Nascimento</t>
  </si>
  <si>
    <t>99184-6181</t>
  </si>
  <si>
    <t>XXG</t>
  </si>
  <si>
    <t>034/2016</t>
  </si>
  <si>
    <t>99368-0737</t>
  </si>
  <si>
    <t>035/2016</t>
  </si>
  <si>
    <t>99400-5794</t>
  </si>
  <si>
    <t>036/2016</t>
  </si>
  <si>
    <t>Iara Martins</t>
  </si>
  <si>
    <t>99440-4846</t>
  </si>
  <si>
    <t>037/2016</t>
  </si>
  <si>
    <t>Marlen Goncalves</t>
  </si>
  <si>
    <t>99297-3990</t>
  </si>
  <si>
    <t>p</t>
  </si>
  <si>
    <t>038/2016</t>
  </si>
  <si>
    <t>Izabel Rocha</t>
  </si>
  <si>
    <t>99221-7310</t>
  </si>
  <si>
    <t>039/2016</t>
  </si>
  <si>
    <t>99188-2380</t>
  </si>
  <si>
    <t>040/2016</t>
  </si>
  <si>
    <t>99429-0494</t>
  </si>
  <si>
    <t>041/2016</t>
  </si>
  <si>
    <t>Terezinha Solart</t>
  </si>
  <si>
    <t>99507-8742</t>
  </si>
  <si>
    <t>042/2016</t>
  </si>
  <si>
    <t>Chris Nascimento</t>
  </si>
  <si>
    <t>99354-6034</t>
  </si>
  <si>
    <t>043/2016</t>
  </si>
  <si>
    <t>Ingrid Reis</t>
  </si>
  <si>
    <t>99271-2763</t>
  </si>
  <si>
    <t>044/2016</t>
  </si>
  <si>
    <t>Bruna Camargo</t>
  </si>
  <si>
    <t>99133-1845</t>
  </si>
  <si>
    <t>045/2016</t>
  </si>
  <si>
    <t>Telma Marinho</t>
  </si>
  <si>
    <t>99159-8924</t>
  </si>
  <si>
    <t>06-JUNHO</t>
  </si>
  <si>
    <t>046/2016</t>
  </si>
  <si>
    <t>99462-5396</t>
  </si>
  <si>
    <t>047/2016</t>
  </si>
  <si>
    <t>Vera Batom</t>
  </si>
  <si>
    <t>99115-9857</t>
  </si>
  <si>
    <t>048/2016</t>
  </si>
  <si>
    <t>Nazaré Sales</t>
  </si>
  <si>
    <t>07-JULHO</t>
  </si>
  <si>
    <t>049/2016</t>
  </si>
  <si>
    <t>Liliane Galúcio</t>
  </si>
  <si>
    <t>050/2016</t>
  </si>
  <si>
    <t>Elisangela Silva</t>
  </si>
  <si>
    <t>Toca</t>
  </si>
  <si>
    <t>99119-1682</t>
  </si>
  <si>
    <t>051/2016</t>
  </si>
  <si>
    <t>Lidiane</t>
  </si>
  <si>
    <t>99460-4739</t>
  </si>
  <si>
    <t>052/2016</t>
  </si>
  <si>
    <t>Nethylle Diniz</t>
  </si>
  <si>
    <t>053/2016</t>
  </si>
  <si>
    <t>Edcleya</t>
  </si>
  <si>
    <t>054/2016</t>
  </si>
  <si>
    <t>Viviane Soares</t>
  </si>
  <si>
    <t>99207-0501</t>
  </si>
  <si>
    <t>055/2016</t>
  </si>
  <si>
    <t>99231-9303</t>
  </si>
  <si>
    <t>056/2016</t>
  </si>
  <si>
    <t>99186-5142</t>
  </si>
  <si>
    <t>057/2016</t>
  </si>
  <si>
    <t>058/2016</t>
  </si>
  <si>
    <t>059/2016</t>
  </si>
  <si>
    <t>Greice  MAVEL</t>
  </si>
  <si>
    <t>MAVEL</t>
  </si>
  <si>
    <t>98181-0769</t>
  </si>
  <si>
    <t>060/2016</t>
  </si>
  <si>
    <t>99125-1720</t>
  </si>
  <si>
    <t>061/2016</t>
  </si>
  <si>
    <t>Taciana</t>
  </si>
  <si>
    <t>98124-9932</t>
  </si>
  <si>
    <t>062/2017</t>
  </si>
  <si>
    <t>Kenni</t>
  </si>
  <si>
    <t>98124-9933</t>
  </si>
  <si>
    <t>Cod. Cliente</t>
  </si>
  <si>
    <t>Data da Compra</t>
  </si>
  <si>
    <t>Valor Total</t>
  </si>
  <si>
    <t>Forma de Pagamento</t>
  </si>
  <si>
    <t>Valor Parcela</t>
  </si>
  <si>
    <t>Data do Pagamento</t>
  </si>
  <si>
    <t>Mês Previsão</t>
  </si>
  <si>
    <t>Observação</t>
  </si>
  <si>
    <t>Mês Pagamento</t>
  </si>
  <si>
    <t>Valor a receber</t>
  </si>
  <si>
    <t>Agosto</t>
  </si>
  <si>
    <t>Pago</t>
  </si>
  <si>
    <t>Brenda Conta  31/08</t>
  </si>
  <si>
    <t>Aguardando</t>
  </si>
  <si>
    <t>Total</t>
  </si>
  <si>
    <t>outubro</t>
  </si>
  <si>
    <t>Brenda Dinheiro 03/11</t>
  </si>
  <si>
    <t>Julho</t>
  </si>
  <si>
    <t>Liliane  linha 7</t>
  </si>
  <si>
    <t>Outubro</t>
  </si>
  <si>
    <t>Taati Dinheiro 31/10</t>
  </si>
  <si>
    <t>Carla Telles</t>
  </si>
  <si>
    <t>Tati Dinheiro 15/08</t>
  </si>
  <si>
    <t>Setembro</t>
  </si>
  <si>
    <t>Tati Conta 15/08</t>
  </si>
  <si>
    <t>Tati Dinheiro 01/09</t>
  </si>
  <si>
    <t>Novembro</t>
  </si>
  <si>
    <t>Brenda Dinheiro 15/08</t>
  </si>
  <si>
    <t>Dezembro</t>
  </si>
  <si>
    <t>Janeiro</t>
  </si>
  <si>
    <t>Brenda Dinheiro 16/09</t>
  </si>
  <si>
    <t>Fevereiro</t>
  </si>
  <si>
    <t>Eliana Castro</t>
  </si>
  <si>
    <t>Março</t>
  </si>
  <si>
    <t>Brenda Conta 29/12</t>
  </si>
  <si>
    <t>12-Dezembro</t>
  </si>
  <si>
    <t>Total Geral</t>
  </si>
  <si>
    <t>Tati Dinheiro 30/08</t>
  </si>
  <si>
    <t>Brenda Dinheiro 01/12</t>
  </si>
  <si>
    <t>Tati Conta 23/08</t>
  </si>
  <si>
    <t>Tati Dinheiro 31/08Incluido a compra do dia 26/08</t>
  </si>
  <si>
    <t>24/8/2016</t>
  </si>
  <si>
    <t>30/8/16</t>
  </si>
  <si>
    <t>Tati Conta 31/08</t>
  </si>
  <si>
    <t>Brenda Dinheiro 06/12/2016</t>
  </si>
  <si>
    <t>Jander Duarte</t>
  </si>
  <si>
    <t>Brenda Conta 15/9</t>
  </si>
  <si>
    <t>25/8/2016</t>
  </si>
  <si>
    <t>15/9/16</t>
  </si>
  <si>
    <t>Tati Conta  15/09</t>
  </si>
  <si>
    <t>30/9/16</t>
  </si>
  <si>
    <t>Tati Conta 30/09</t>
  </si>
  <si>
    <t>Tati Dinheiro 14/10</t>
  </si>
  <si>
    <t>Brenda Dinheiro</t>
  </si>
  <si>
    <t>Maria Aparecida Melo</t>
  </si>
  <si>
    <t>Brenda Conta  19/8</t>
  </si>
  <si>
    <t>Brenda Dinheiro 08/09</t>
  </si>
  <si>
    <t>CartãoTati consultar conta tati (02/9)</t>
  </si>
  <si>
    <t>Rony Rondon</t>
  </si>
  <si>
    <t>Academina 01</t>
  </si>
  <si>
    <t>Brenda Dinheiro 06/12/2016 (desconto 10% Erick)</t>
  </si>
  <si>
    <t>Brenda Dinheiro Observação: Troco 2,00</t>
  </si>
  <si>
    <t>043/2026</t>
  </si>
  <si>
    <t>Tati Conta 10/11</t>
  </si>
  <si>
    <t>Academina 02</t>
  </si>
  <si>
    <t>Tati Conta 01/11</t>
  </si>
  <si>
    <t>Tati Conta 05/10</t>
  </si>
  <si>
    <t>Brenda Conta 18/11</t>
  </si>
  <si>
    <t>Tati Conta 28/10 presente Rayane</t>
  </si>
  <si>
    <t xml:space="preserve">Tania </t>
  </si>
  <si>
    <t>Tati Conta 29/10/16</t>
  </si>
  <si>
    <t>10-Outubro</t>
  </si>
  <si>
    <t>Tati Dinheiro 01/11</t>
  </si>
  <si>
    <t>Tati Dinheiro 04/11</t>
  </si>
  <si>
    <t>pago</t>
  </si>
  <si>
    <t>Tati Dinheiro 02/10</t>
  </si>
  <si>
    <t>Marlene Alencar</t>
  </si>
  <si>
    <t>Tati Dinheiro 07/10</t>
  </si>
  <si>
    <t>Tati Dinheiro 11/10</t>
  </si>
  <si>
    <t>Brenda Dinheiro 12/10</t>
  </si>
  <si>
    <t>Tati Dinheiro 13/10 incluido a compra do dia  26/08</t>
  </si>
  <si>
    <t>Brenda Dinheiro 15/12</t>
  </si>
  <si>
    <t>Vizinha de armario</t>
  </si>
  <si>
    <t>Brenda Dinheiro 14/10</t>
  </si>
  <si>
    <t>Tati Dinheiro 17/10</t>
  </si>
  <si>
    <t>Tati Dinheiro 31/10</t>
  </si>
  <si>
    <t>Tati Dinheiro 17/10 incluido a compra do dia 26/08</t>
  </si>
  <si>
    <t>Tati Dinheiro 21/10</t>
  </si>
  <si>
    <t>Brenda Dinheiro 31/10</t>
  </si>
  <si>
    <t>Tati Dinheiro 21/09</t>
  </si>
  <si>
    <t>Tati Dinheiro 05/09</t>
  </si>
  <si>
    <t>Brenda Dinheiro 09/11</t>
  </si>
  <si>
    <t>042/2026</t>
  </si>
  <si>
    <t>Chris</t>
  </si>
  <si>
    <t>Tati Dinheiro 03/10</t>
  </si>
  <si>
    <t>Tati Dinheiro 16/09</t>
  </si>
  <si>
    <t>Terezinha solart</t>
  </si>
  <si>
    <t>Brenda Dinheiro 20/09</t>
  </si>
  <si>
    <t>Tati Dinheiro 04/10</t>
  </si>
  <si>
    <t>Brenda Dinheiro 19/09</t>
  </si>
  <si>
    <t>Tati Dinheiro 30/11</t>
  </si>
  <si>
    <t>Tati Dinheiro  (20,00) 19/09</t>
  </si>
  <si>
    <t>Tati Dinheiro 18/11</t>
  </si>
  <si>
    <t xml:space="preserve">Tati Dinheiro 31/10/16 </t>
  </si>
  <si>
    <t>Brenda Dinheiro  16/09</t>
  </si>
  <si>
    <t>Brenda Dinheiro 30/09</t>
  </si>
  <si>
    <t>Tati Conta 19/09</t>
  </si>
  <si>
    <t>Tati Conta 30/11</t>
  </si>
  <si>
    <t xml:space="preserve">Tati Dinheiro </t>
  </si>
  <si>
    <t>Tati Conta 15/09</t>
  </si>
  <si>
    <t>Brenda Dinheiro 22/09</t>
  </si>
  <si>
    <t xml:space="preserve">Tati Dinheiro 16/09 (incluido a compra do dia 09/09) </t>
  </si>
  <si>
    <t>Tati Dinheiro 15/09</t>
  </si>
  <si>
    <t>Brenda Dinheiro 03/10</t>
  </si>
  <si>
    <t>Tati Dinheiro 17/09</t>
  </si>
  <si>
    <t>Brenda Dinheiro 18/11</t>
  </si>
  <si>
    <t>Brenda Dinheiro 15/09</t>
  </si>
  <si>
    <t>Brenda Conta  15/09</t>
  </si>
  <si>
    <t>Brenda Dinheiro  30/09</t>
  </si>
  <si>
    <t>Tati Conta 11/11</t>
  </si>
  <si>
    <t>Tati Conta 18/11 presente Rayane</t>
  </si>
  <si>
    <t xml:space="preserve">Item incluiso nas parcelas </t>
  </si>
  <si>
    <t>Tati Conta 15/12</t>
  </si>
  <si>
    <t>Brenda Dinheiro 30/11</t>
  </si>
  <si>
    <t>Tati Dinheiro 15/12</t>
  </si>
  <si>
    <t>Tati Dinheiro 6/10</t>
  </si>
  <si>
    <t>2x Cartão</t>
  </si>
  <si>
    <t>ANTIGO</t>
  </si>
  <si>
    <t>Tati Dinheiro 01/12</t>
  </si>
  <si>
    <t>Tati Conta 01/12</t>
  </si>
  <si>
    <t>Solange Rondon</t>
  </si>
  <si>
    <t>Theo Alencar</t>
  </si>
  <si>
    <t>PAGO</t>
  </si>
  <si>
    <t>01-JANEIRO</t>
  </si>
  <si>
    <t>Tati - a receber</t>
  </si>
  <si>
    <t>Pendente</t>
  </si>
  <si>
    <t xml:space="preserve">Tati </t>
  </si>
  <si>
    <t>Brenda 01/2</t>
  </si>
  <si>
    <t>01- JANEIRO</t>
  </si>
  <si>
    <t>TATI 01/02</t>
  </si>
  <si>
    <t>TATI 31/01</t>
  </si>
  <si>
    <t>01 - JANEIRO</t>
  </si>
  <si>
    <t>000/2016</t>
  </si>
  <si>
    <t>TATI E BRENDA</t>
  </si>
  <si>
    <t>TATI 01/02 PAGOU 20,00</t>
  </si>
  <si>
    <t>Quantidade</t>
  </si>
  <si>
    <t xml:space="preserve">LINGERIE PRETA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</si>
</sst>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  <numFmt numFmtId="167" formatCode="d/m/yy;@"/>
    <numFmt numFmtId="168" formatCode="0_ ;\-0\ 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5" fontId="0" fillId="0" borderId="0"/>
    <xf numFmtId="165" fontId="4" fillId="2" borderId="0" applyNumberFormat="0" applyBorder="0" applyAlignment="0" applyProtection="0"/>
    <xf numFmtId="164" fontId="3" fillId="0" borderId="0" applyFont="0" applyFill="0" applyBorder="0" applyAlignment="0" applyProtection="0"/>
  </cellStyleXfs>
  <cellXfs count="165">
    <xf numFmtId="165" fontId="0" fillId="0" borderId="0" xfId="0"/>
    <xf numFmtId="165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5" fontId="5" fillId="3" borderId="1" xfId="0" applyFont="1" applyFill="1" applyBorder="1" applyAlignment="1">
      <alignment horizontal="center" vertical="center" wrapText="1"/>
    </xf>
    <xf numFmtId="165" fontId="5" fillId="3" borderId="1" xfId="0" applyFont="1" applyFill="1" applyBorder="1" applyAlignment="1">
      <alignment horizontal="center" vertical="center"/>
    </xf>
    <xf numFmtId="165" fontId="0" fillId="0" borderId="0" xfId="0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4" borderId="1" xfId="0" applyFill="1" applyBorder="1" applyAlignment="1">
      <alignment horizontal="center" vertical="center"/>
    </xf>
    <xf numFmtId="165" fontId="0" fillId="0" borderId="1" xfId="0" applyBorder="1" applyAlignment="1">
      <alignment horizontal="center" vertical="center" wrapText="1"/>
    </xf>
    <xf numFmtId="165" fontId="0" fillId="0" borderId="1" xfId="0" applyBorder="1" applyAlignment="1">
      <alignment horizontal="center"/>
    </xf>
    <xf numFmtId="165" fontId="0" fillId="0" borderId="0" xfId="0" applyAlignment="1">
      <alignment horizontal="center"/>
    </xf>
    <xf numFmtId="165" fontId="5" fillId="6" borderId="0" xfId="0" applyFont="1" applyFill="1" applyAlignment="1">
      <alignment horizontal="center" vertical="center"/>
    </xf>
    <xf numFmtId="165" fontId="5" fillId="3" borderId="0" xfId="0" applyFont="1" applyFill="1" applyAlignment="1">
      <alignment horizontal="center" vertical="center"/>
    </xf>
    <xf numFmtId="165" fontId="5" fillId="4" borderId="0" xfId="0" applyFont="1" applyFill="1" applyAlignment="1">
      <alignment horizontal="center" vertical="center"/>
    </xf>
    <xf numFmtId="165" fontId="0" fillId="6" borderId="0" xfId="0" applyFill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/>
    </xf>
    <xf numFmtId="165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5" fillId="6" borderId="0" xfId="2" applyFont="1" applyFill="1" applyAlignment="1">
      <alignment horizontal="center" vertical="center"/>
    </xf>
    <xf numFmtId="164" fontId="3" fillId="0" borderId="0" xfId="2" applyFont="1" applyAlignment="1">
      <alignment horizontal="center" vertical="center"/>
    </xf>
    <xf numFmtId="164" fontId="5" fillId="3" borderId="1" xfId="2" applyFont="1" applyFill="1" applyBorder="1" applyAlignment="1">
      <alignment horizontal="center" vertical="center" wrapText="1"/>
    </xf>
    <xf numFmtId="164" fontId="3" fillId="0" borderId="1" xfId="2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5" fontId="0" fillId="7" borderId="1" xfId="0" applyFill="1" applyBorder="1" applyAlignment="1">
      <alignment horizontal="center" vertical="center"/>
    </xf>
    <xf numFmtId="165" fontId="5" fillId="0" borderId="0" xfId="0" applyFont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  <xf numFmtId="165" fontId="5" fillId="8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  <xf numFmtId="164" fontId="3" fillId="10" borderId="0" xfId="2" applyFont="1" applyFill="1" applyAlignment="1">
      <alignment horizontal="center"/>
    </xf>
    <xf numFmtId="164" fontId="3" fillId="10" borderId="1" xfId="2" applyFont="1" applyFill="1" applyBorder="1" applyAlignment="1">
      <alignment horizontal="center" vertical="center"/>
    </xf>
    <xf numFmtId="164" fontId="3" fillId="10" borderId="1" xfId="2" applyFont="1" applyFill="1" applyBorder="1" applyAlignment="1">
      <alignment vertical="center"/>
    </xf>
    <xf numFmtId="164" fontId="5" fillId="10" borderId="0" xfId="2" applyFont="1" applyFill="1" applyAlignment="1">
      <alignment horizontal="center"/>
    </xf>
    <xf numFmtId="164" fontId="3" fillId="10" borderId="1" xfId="2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5" fillId="8" borderId="1" xfId="0" applyNumberFormat="1" applyFont="1" applyFill="1" applyBorder="1" applyAlignment="1">
      <alignment horizontal="center" vertical="center"/>
    </xf>
    <xf numFmtId="165" fontId="0" fillId="11" borderId="0" xfId="0" applyFill="1"/>
    <xf numFmtId="165" fontId="0" fillId="11" borderId="0" xfId="0" applyFill="1" applyAlignment="1">
      <alignment horizontal="center"/>
    </xf>
    <xf numFmtId="164" fontId="5" fillId="11" borderId="0" xfId="2" applyFont="1" applyFill="1" applyAlignment="1">
      <alignment horizontal="center"/>
    </xf>
    <xf numFmtId="164" fontId="3" fillId="11" borderId="1" xfId="2" applyFont="1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center"/>
    </xf>
    <xf numFmtId="167" fontId="0" fillId="11" borderId="1" xfId="0" applyNumberFormat="1" applyFill="1" applyBorder="1" applyAlignment="1">
      <alignment horizontal="center" vertical="center"/>
    </xf>
    <xf numFmtId="165" fontId="0" fillId="11" borderId="1" xfId="0" applyFill="1" applyBorder="1" applyAlignment="1">
      <alignment horizontal="center" vertical="center"/>
    </xf>
    <xf numFmtId="165" fontId="0" fillId="11" borderId="1" xfId="0" applyFill="1" applyBorder="1" applyAlignment="1">
      <alignment horizontal="center" vertical="center" wrapText="1"/>
    </xf>
    <xf numFmtId="165" fontId="0" fillId="11" borderId="1" xfId="0" applyFill="1" applyBorder="1" applyAlignment="1">
      <alignment vertical="center"/>
    </xf>
    <xf numFmtId="164" fontId="3" fillId="11" borderId="1" xfId="2" applyFont="1" applyFill="1" applyBorder="1" applyAlignment="1">
      <alignment vertical="center"/>
    </xf>
    <xf numFmtId="164" fontId="3" fillId="11" borderId="0" xfId="2" applyFont="1" applyFill="1" applyAlignment="1">
      <alignment horizontal="center"/>
    </xf>
    <xf numFmtId="167" fontId="0" fillId="11" borderId="0" xfId="0" applyNumberFormat="1" applyFill="1" applyAlignment="1">
      <alignment horizontal="center"/>
    </xf>
    <xf numFmtId="165" fontId="5" fillId="10" borderId="1" xfId="0" applyFont="1" applyFill="1" applyBorder="1" applyAlignment="1">
      <alignment horizontal="center" vertical="center" wrapText="1"/>
    </xf>
    <xf numFmtId="167" fontId="0" fillId="11" borderId="1" xfId="0" applyNumberFormat="1" applyFill="1" applyBorder="1" applyAlignment="1">
      <alignment vertical="center"/>
    </xf>
    <xf numFmtId="165" fontId="0" fillId="11" borderId="1" xfId="0" applyFill="1" applyBorder="1"/>
    <xf numFmtId="165" fontId="0" fillId="11" borderId="1" xfId="0" applyFill="1" applyBorder="1" applyAlignment="1">
      <alignment horizontal="center"/>
    </xf>
    <xf numFmtId="164" fontId="3" fillId="11" borderId="1" xfId="2" applyFont="1" applyFill="1" applyBorder="1" applyAlignment="1">
      <alignment horizontal="center"/>
    </xf>
    <xf numFmtId="167" fontId="0" fillId="11" borderId="1" xfId="0" applyNumberFormat="1" applyFill="1" applyBorder="1" applyAlignment="1">
      <alignment horizontal="center"/>
    </xf>
    <xf numFmtId="165" fontId="0" fillId="11" borderId="0" xfId="0" applyFill="1" applyAlignment="1">
      <alignment horizontal="center" vertical="center"/>
    </xf>
    <xf numFmtId="16" fontId="5" fillId="10" borderId="1" xfId="0" applyNumberFormat="1" applyFont="1" applyFill="1" applyBorder="1" applyAlignment="1">
      <alignment horizontal="center" vertical="center" wrapText="1"/>
    </xf>
    <xf numFmtId="164" fontId="5" fillId="10" borderId="1" xfId="2" applyFont="1" applyFill="1" applyBorder="1" applyAlignment="1">
      <alignment horizontal="center" vertical="center" wrapText="1"/>
    </xf>
    <xf numFmtId="167" fontId="5" fillId="10" borderId="1" xfId="0" applyNumberFormat="1" applyFont="1" applyFill="1" applyBorder="1" applyAlignment="1">
      <alignment horizontal="center" vertical="center" wrapText="1"/>
    </xf>
    <xf numFmtId="165" fontId="5" fillId="11" borderId="0" xfId="0" applyFont="1" applyFill="1" applyAlignment="1">
      <alignment horizontal="center" vertical="center" wrapText="1"/>
    </xf>
    <xf numFmtId="165" fontId="5" fillId="11" borderId="0" xfId="0" applyFont="1" applyFill="1" applyAlignment="1">
      <alignment horizontal="center"/>
    </xf>
    <xf numFmtId="49" fontId="0" fillId="11" borderId="1" xfId="0" applyNumberForma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/>
    </xf>
    <xf numFmtId="165" fontId="5" fillId="11" borderId="0" xfId="0" applyFont="1" applyFill="1" applyAlignment="1">
      <alignment horizontal="center" vertical="center"/>
    </xf>
    <xf numFmtId="166" fontId="0" fillId="11" borderId="0" xfId="0" applyNumberFormat="1" applyFill="1" applyAlignment="1">
      <alignment horizontal="center" vertical="center"/>
    </xf>
    <xf numFmtId="166" fontId="5" fillId="10" borderId="1" xfId="0" applyNumberFormat="1" applyFont="1" applyFill="1" applyBorder="1" applyAlignment="1">
      <alignment horizontal="center" vertical="center" wrapText="1"/>
    </xf>
    <xf numFmtId="166" fontId="0" fillId="11" borderId="1" xfId="0" applyNumberFormat="1" applyFill="1" applyBorder="1" applyAlignment="1">
      <alignment horizontal="center" vertical="center"/>
    </xf>
    <xf numFmtId="166" fontId="5" fillId="11" borderId="0" xfId="0" applyNumberFormat="1" applyFont="1" applyFill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 wrapText="1"/>
    </xf>
    <xf numFmtId="166" fontId="0" fillId="11" borderId="1" xfId="0" applyNumberFormat="1" applyFill="1" applyBorder="1" applyAlignment="1">
      <alignment horizontal="center" vertical="center" wrapText="1"/>
    </xf>
    <xf numFmtId="166" fontId="0" fillId="11" borderId="0" xfId="0" applyNumberFormat="1" applyFill="1" applyAlignment="1">
      <alignment horizontal="center"/>
    </xf>
    <xf numFmtId="165" fontId="5" fillId="8" borderId="4" xfId="0" applyFont="1" applyFill="1" applyBorder="1" applyAlignment="1">
      <alignment horizontal="center" vertical="center"/>
    </xf>
    <xf numFmtId="165" fontId="0" fillId="11" borderId="5" xfId="0" applyFill="1" applyBorder="1" applyAlignment="1">
      <alignment horizontal="center" vertical="center"/>
    </xf>
    <xf numFmtId="165" fontId="0" fillId="11" borderId="6" xfId="0" applyFill="1" applyBorder="1" applyAlignment="1">
      <alignment horizontal="center" vertical="center"/>
    </xf>
    <xf numFmtId="165" fontId="5" fillId="11" borderId="5" xfId="0" applyFont="1" applyFill="1" applyBorder="1" applyAlignment="1">
      <alignment horizontal="center" vertical="center"/>
    </xf>
    <xf numFmtId="165" fontId="5" fillId="11" borderId="6" xfId="0" applyFon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65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165" fontId="5" fillId="11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16" fontId="5" fillId="11" borderId="1" xfId="0" applyNumberFormat="1" applyFont="1" applyFill="1" applyBorder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/>
    </xf>
    <xf numFmtId="164" fontId="5" fillId="11" borderId="1" xfId="2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5" fillId="11" borderId="0" xfId="2" applyFont="1" applyFill="1" applyAlignment="1"/>
    <xf numFmtId="164" fontId="3" fillId="11" borderId="0" xfId="2" applyFont="1" applyFill="1" applyAlignment="1"/>
    <xf numFmtId="164" fontId="0" fillId="11" borderId="0" xfId="0" applyNumberFormat="1" applyFill="1" applyAlignment="1">
      <alignment horizontal="center" vertical="center"/>
    </xf>
    <xf numFmtId="165" fontId="0" fillId="0" borderId="1" xfId="0" applyBorder="1"/>
    <xf numFmtId="16" fontId="0" fillId="11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3" fillId="0" borderId="1" xfId="2" applyFont="1" applyBorder="1"/>
    <xf numFmtId="164" fontId="3" fillId="11" borderId="7" xfId="2" applyFont="1" applyFill="1" applyBorder="1" applyAlignment="1"/>
    <xf numFmtId="164" fontId="3" fillId="11" borderId="7" xfId="2" applyFont="1" applyFill="1" applyBorder="1" applyAlignment="1">
      <alignment vertical="center"/>
    </xf>
    <xf numFmtId="167" fontId="5" fillId="10" borderId="7" xfId="0" applyNumberFormat="1" applyFont="1" applyFill="1" applyBorder="1" applyAlignment="1">
      <alignment horizontal="center" vertical="center" wrapText="1"/>
    </xf>
    <xf numFmtId="49" fontId="3" fillId="11" borderId="0" xfId="2" applyNumberFormat="1" applyFont="1" applyFill="1" applyAlignment="1"/>
    <xf numFmtId="49" fontId="5" fillId="11" borderId="0" xfId="2" applyNumberFormat="1" applyFont="1" applyFill="1" applyAlignment="1"/>
    <xf numFmtId="49" fontId="5" fillId="10" borderId="1" xfId="0" applyNumberFormat="1" applyFont="1" applyFill="1" applyBorder="1" applyAlignment="1">
      <alignment horizontal="center" vertical="center" wrapText="1"/>
    </xf>
    <xf numFmtId="49" fontId="3" fillId="11" borderId="1" xfId="2" applyNumberFormat="1" applyFont="1" applyFill="1" applyBorder="1" applyAlignment="1"/>
    <xf numFmtId="49" fontId="3" fillId="11" borderId="1" xfId="2" applyNumberFormat="1" applyFont="1" applyFill="1" applyBorder="1" applyAlignment="1">
      <alignment vertical="center"/>
    </xf>
    <xf numFmtId="164" fontId="3" fillId="11" borderId="0" xfId="2" applyFont="1" applyFill="1" applyBorder="1" applyAlignment="1">
      <alignment horizontal="center"/>
    </xf>
    <xf numFmtId="164" fontId="3" fillId="10" borderId="0" xfId="2" applyFont="1" applyFill="1" applyBorder="1" applyAlignment="1">
      <alignment horizontal="center"/>
    </xf>
    <xf numFmtId="164" fontId="3" fillId="11" borderId="0" xfId="2" applyFont="1" applyFill="1" applyBorder="1" applyAlignment="1"/>
    <xf numFmtId="164" fontId="3" fillId="11" borderId="1" xfId="2" applyFont="1" applyFill="1" applyBorder="1"/>
    <xf numFmtId="10" fontId="5" fillId="11" borderId="2" xfId="0" applyNumberFormat="1" applyFont="1" applyFill="1" applyBorder="1" applyAlignment="1">
      <alignment horizontal="center" vertical="center"/>
    </xf>
    <xf numFmtId="165" fontId="6" fillId="11" borderId="1" xfId="0" applyFont="1" applyFill="1" applyBorder="1" applyAlignment="1">
      <alignment horizontal="center" vertical="center"/>
    </xf>
    <xf numFmtId="16" fontId="6" fillId="11" borderId="1" xfId="0" applyNumberFormat="1" applyFont="1" applyFill="1" applyBorder="1" applyAlignment="1">
      <alignment horizontal="center" vertical="center"/>
    </xf>
    <xf numFmtId="1" fontId="6" fillId="11" borderId="1" xfId="0" applyNumberFormat="1" applyFont="1" applyFill="1" applyBorder="1" applyAlignment="1">
      <alignment horizontal="center" vertical="center"/>
    </xf>
    <xf numFmtId="164" fontId="6" fillId="11" borderId="1" xfId="2" applyFont="1" applyFill="1" applyBorder="1" applyAlignment="1">
      <alignment horizontal="center" vertical="center"/>
    </xf>
    <xf numFmtId="165" fontId="6" fillId="11" borderId="0" xfId="0" applyFont="1" applyFill="1"/>
    <xf numFmtId="164" fontId="5" fillId="3" borderId="1" xfId="2" applyFont="1" applyFill="1" applyBorder="1" applyAlignment="1">
      <alignment horizontal="center" vertical="center"/>
    </xf>
    <xf numFmtId="165" fontId="0" fillId="13" borderId="1" xfId="0" applyFill="1" applyBorder="1" applyAlignment="1">
      <alignment horizontal="center"/>
    </xf>
    <xf numFmtId="164" fontId="3" fillId="6" borderId="0" xfId="2" applyFont="1" applyFill="1" applyAlignment="1">
      <alignment horizontal="center" vertical="center"/>
    </xf>
    <xf numFmtId="165" fontId="3" fillId="11" borderId="1" xfId="2" applyNumberFormat="1" applyFont="1" applyFill="1" applyBorder="1" applyAlignment="1">
      <alignment horizontal="center" vertical="center"/>
    </xf>
    <xf numFmtId="165" fontId="5" fillId="3" borderId="1" xfId="2" applyNumberFormat="1" applyFont="1" applyFill="1" applyBorder="1" applyAlignment="1">
      <alignment horizontal="center" vertical="center" wrapText="1"/>
    </xf>
    <xf numFmtId="165" fontId="3" fillId="0" borderId="1" xfId="2" applyNumberFormat="1" applyFont="1" applyBorder="1" applyAlignment="1">
      <alignment horizontal="center" vertical="center"/>
    </xf>
    <xf numFmtId="165" fontId="3" fillId="10" borderId="1" xfId="2" applyNumberFormat="1" applyFont="1" applyFill="1" applyBorder="1" applyAlignment="1">
      <alignment horizontal="center" vertical="center"/>
    </xf>
    <xf numFmtId="164" fontId="3" fillId="11" borderId="1" xfId="2" applyFont="1" applyFill="1" applyBorder="1" applyAlignment="1"/>
    <xf numFmtId="165" fontId="4" fillId="2" borderId="6" xfId="1" applyBorder="1" applyAlignment="1">
      <alignment horizontal="center" vertical="center"/>
    </xf>
    <xf numFmtId="165" fontId="5" fillId="11" borderId="4" xfId="0" applyFont="1" applyFill="1" applyBorder="1" applyAlignment="1">
      <alignment horizontal="center" vertical="center"/>
    </xf>
    <xf numFmtId="165" fontId="6" fillId="11" borderId="1" xfId="1" applyFont="1" applyFill="1" applyBorder="1" applyAlignment="1">
      <alignment horizontal="center" vertical="center"/>
    </xf>
    <xf numFmtId="16" fontId="6" fillId="11" borderId="1" xfId="1" applyNumberFormat="1" applyFont="1" applyFill="1" applyBorder="1" applyAlignment="1">
      <alignment horizontal="center" vertical="center"/>
    </xf>
    <xf numFmtId="49" fontId="6" fillId="11" borderId="1" xfId="1" applyNumberFormat="1" applyFont="1" applyFill="1" applyBorder="1" applyAlignment="1">
      <alignment horizontal="center" vertical="center"/>
    </xf>
    <xf numFmtId="165" fontId="4" fillId="11" borderId="0" xfId="1" applyFill="1" applyAlignment="1">
      <alignment horizontal="center" vertical="center"/>
    </xf>
    <xf numFmtId="164" fontId="3" fillId="11" borderId="0" xfId="2" applyFont="1" applyFill="1" applyBorder="1" applyAlignment="1">
      <alignment horizontal="center" vertical="center"/>
    </xf>
    <xf numFmtId="164" fontId="0" fillId="11" borderId="0" xfId="0" applyNumberFormat="1" applyFill="1" applyAlignment="1">
      <alignment vertical="center"/>
    </xf>
    <xf numFmtId="164" fontId="3" fillId="3" borderId="1" xfId="2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6" fillId="11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68" fontId="6" fillId="11" borderId="1" xfId="0" applyNumberFormat="1" applyFont="1" applyFill="1" applyBorder="1" applyAlignment="1">
      <alignment horizontal="center" vertical="center"/>
    </xf>
    <xf numFmtId="165" fontId="5" fillId="5" borderId="8" xfId="0" applyFont="1" applyFill="1" applyBorder="1" applyAlignment="1">
      <alignment horizontal="center"/>
    </xf>
    <xf numFmtId="165" fontId="5" fillId="12" borderId="9" xfId="0" applyFont="1" applyFill="1" applyBorder="1" applyAlignment="1">
      <alignment horizontal="center"/>
    </xf>
    <xf numFmtId="165" fontId="5" fillId="14" borderId="10" xfId="0" applyFont="1" applyFill="1" applyBorder="1" applyAlignment="1">
      <alignment horizontal="center"/>
    </xf>
    <xf numFmtId="165" fontId="5" fillId="3" borderId="10" xfId="0" applyFont="1" applyFill="1" applyBorder="1" applyAlignment="1">
      <alignment horizontal="center"/>
    </xf>
    <xf numFmtId="165" fontId="5" fillId="0" borderId="11" xfId="0" applyFont="1" applyBorder="1" applyAlignment="1">
      <alignment vertical="center"/>
    </xf>
    <xf numFmtId="164" fontId="5" fillId="12" borderId="12" xfId="0" applyNumberFormat="1" applyFont="1" applyFill="1" applyBorder="1" applyAlignment="1">
      <alignment vertical="center"/>
    </xf>
    <xf numFmtId="164" fontId="0" fillId="14" borderId="13" xfId="0" applyNumberFormat="1" applyFill="1" applyBorder="1" applyAlignment="1">
      <alignment vertical="center"/>
    </xf>
    <xf numFmtId="164" fontId="0" fillId="3" borderId="13" xfId="0" applyNumberFormat="1" applyFill="1" applyBorder="1" applyAlignment="1">
      <alignment vertical="center"/>
    </xf>
    <xf numFmtId="164" fontId="3" fillId="12" borderId="1" xfId="2" applyFont="1" applyFill="1" applyBorder="1" applyAlignment="1">
      <alignment horizontal="center" vertical="center"/>
    </xf>
    <xf numFmtId="164" fontId="3" fillId="14" borderId="1" xfId="2" applyFont="1" applyFill="1" applyBorder="1" applyAlignment="1">
      <alignment horizontal="center" vertical="center"/>
    </xf>
    <xf numFmtId="165" fontId="5" fillId="0" borderId="1" xfId="0" applyFont="1" applyBorder="1" applyAlignment="1">
      <alignment vertical="center"/>
    </xf>
    <xf numFmtId="164" fontId="3" fillId="13" borderId="1" xfId="2" applyFont="1" applyFill="1" applyBorder="1" applyAlignment="1"/>
    <xf numFmtId="165" fontId="6" fillId="11" borderId="0" xfId="0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165" fontId="3" fillId="11" borderId="0" xfId="2" applyNumberFormat="1" applyFont="1" applyFill="1" applyBorder="1" applyAlignment="1">
      <alignment horizontal="center" vertical="center"/>
    </xf>
    <xf numFmtId="0" fontId="0" fillId="11" borderId="0" xfId="0" applyNumberFormat="1" applyFill="1" applyAlignment="1">
      <alignment horizontal="center"/>
    </xf>
    <xf numFmtId="165" fontId="6" fillId="11" borderId="0" xfId="2" applyNumberFormat="1" applyFont="1" applyFill="1" applyBorder="1" applyAlignment="1">
      <alignment horizontal="center" vertical="center"/>
    </xf>
    <xf numFmtId="168" fontId="6" fillId="11" borderId="0" xfId="0" applyNumberFormat="1" applyFont="1" applyFill="1" applyAlignment="1">
      <alignment horizontal="center" vertical="center"/>
    </xf>
    <xf numFmtId="165" fontId="0" fillId="13" borderId="0" xfId="0" applyFill="1" applyAlignment="1">
      <alignment horizontal="center"/>
    </xf>
    <xf numFmtId="164" fontId="3" fillId="0" borderId="0" xfId="2" applyFont="1" applyBorder="1" applyAlignment="1">
      <alignment horizontal="center" vertical="center"/>
    </xf>
    <xf numFmtId="164" fontId="5" fillId="9" borderId="9" xfId="0" applyNumberFormat="1" applyFont="1" applyFill="1" applyBorder="1" applyAlignment="1">
      <alignment horizontal="center"/>
    </xf>
    <xf numFmtId="164" fontId="5" fillId="9" borderId="10" xfId="0" applyNumberFormat="1" applyFont="1" applyFill="1" applyBorder="1" applyAlignment="1">
      <alignment horizontal="center"/>
    </xf>
  </cellXfs>
  <cellStyles count="3">
    <cellStyle name="Incorreto" xfId="1" builtinId="27"/>
    <cellStyle name="Moeda" xfId="2" builtinId="4"/>
    <cellStyle name="Normal" xfId="0" builtinId="0"/>
  </cellStyles>
  <dxfs count="27"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8"/>
  <sheetViews>
    <sheetView topLeftCell="A2" zoomScale="90" zoomScaleNormal="90" workbookViewId="0">
      <pane ySplit="2" topLeftCell="A169" activePane="bottomLeft" state="frozen"/>
      <selection activeCell="A2" sqref="A2"/>
      <selection pane="bottomLeft" activeCell="D191" sqref="D191"/>
    </sheetView>
  </sheetViews>
  <sheetFormatPr defaultRowHeight="15" x14ac:dyDescent="0.25"/>
  <cols>
    <col min="1" max="1" width="14.42578125" style="5" bestFit="1" customWidth="1"/>
    <col min="2" max="2" width="9.140625" style="5" customWidth="1"/>
    <col min="3" max="3" width="10" style="5" customWidth="1"/>
    <col min="4" max="4" width="9.140625" style="23" customWidth="1"/>
    <col min="5" max="5" width="42.28515625" style="5" customWidth="1"/>
    <col min="6" max="6" width="10.42578125" style="5" bestFit="1" customWidth="1"/>
    <col min="7" max="7" width="10.42578125" style="5" customWidth="1"/>
    <col min="8" max="8" width="15.28515625" style="5" customWidth="1"/>
    <col min="9" max="9" width="10.42578125" style="5" customWidth="1"/>
    <col min="10" max="10" width="11.140625" style="19" customWidth="1"/>
    <col min="11" max="11" width="13.28515625" style="5" customWidth="1"/>
    <col min="12" max="12" width="13.140625" style="57" customWidth="1"/>
    <col min="13" max="13" width="17" style="5" customWidth="1"/>
    <col min="14" max="14" width="15.85546875" style="19" customWidth="1"/>
    <col min="15" max="15" width="17.28515625" style="5" bestFit="1" customWidth="1"/>
    <col min="16" max="17" width="15.140625" style="5" customWidth="1"/>
    <col min="18" max="18" width="12" bestFit="1" customWidth="1"/>
    <col min="19" max="23" width="9.140625" customWidth="1"/>
  </cols>
  <sheetData>
    <row r="1" spans="1:18" hidden="1" x14ac:dyDescent="0.25">
      <c r="D1" s="22">
        <f>SUM(D4:D35)</f>
        <v>32</v>
      </c>
      <c r="H1" s="11">
        <f t="shared" ref="H1:N1" si="0">SUM(H4:H35)</f>
        <v>869.59999999999968</v>
      </c>
      <c r="I1" s="12">
        <f t="shared" si="0"/>
        <v>782.64</v>
      </c>
      <c r="J1" s="18">
        <f t="shared" si="0"/>
        <v>133.20000000000005</v>
      </c>
      <c r="K1" s="11">
        <f t="shared" si="0"/>
        <v>1785.4400000000007</v>
      </c>
      <c r="L1" s="13">
        <f t="shared" si="0"/>
        <v>178.54399999999995</v>
      </c>
      <c r="M1" s="11">
        <f t="shared" si="0"/>
        <v>1963.9839999999999</v>
      </c>
      <c r="N1" s="18">
        <f t="shared" si="0"/>
        <v>1930</v>
      </c>
      <c r="O1" s="14"/>
    </row>
    <row r="2" spans="1:18" x14ac:dyDescent="0.25">
      <c r="D2" s="23">
        <f>SUM(D4:D75)</f>
        <v>72</v>
      </c>
      <c r="H2" s="5">
        <f>SUM(H4:H315)</f>
        <v>4014.110000000001</v>
      </c>
      <c r="I2" s="15">
        <v>0.9</v>
      </c>
      <c r="L2" s="112">
        <v>0.1</v>
      </c>
      <c r="M2" s="5">
        <f>SUM(M4:M390)</f>
        <v>9359.3988999999983</v>
      </c>
      <c r="N2" s="5">
        <f>SUM(N4:N213)</f>
        <v>9344.9</v>
      </c>
      <c r="O2" s="5">
        <f>N2-M2</f>
        <v>-14.498899999998685</v>
      </c>
      <c r="R2" t="e">
        <f>N2-CLIENTE!#REF!</f>
        <v>#REF!</v>
      </c>
    </row>
    <row r="3" spans="1:18" s="5" customFormat="1" ht="30" x14ac:dyDescent="0.25">
      <c r="A3" s="3" t="s">
        <v>0</v>
      </c>
      <c r="B3" s="4" t="s">
        <v>1</v>
      </c>
      <c r="C3" s="4" t="s">
        <v>2</v>
      </c>
      <c r="D3" s="2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118" t="s">
        <v>9</v>
      </c>
      <c r="K3" s="3" t="s">
        <v>10</v>
      </c>
      <c r="L3" s="3" t="s">
        <v>11</v>
      </c>
      <c r="M3" s="3" t="s">
        <v>12</v>
      </c>
      <c r="N3" s="20" t="s">
        <v>13</v>
      </c>
      <c r="O3" s="4" t="s">
        <v>14</v>
      </c>
      <c r="P3" s="3" t="s">
        <v>15</v>
      </c>
      <c r="Q3" s="3" t="s">
        <v>16</v>
      </c>
    </row>
    <row r="4" spans="1:18" x14ac:dyDescent="0.25">
      <c r="A4" s="82" t="s">
        <v>17</v>
      </c>
      <c r="B4" s="83">
        <v>42595</v>
      </c>
      <c r="C4" s="82">
        <v>64</v>
      </c>
      <c r="D4" s="85">
        <v>1</v>
      </c>
      <c r="E4" s="82" t="s">
        <v>18</v>
      </c>
      <c r="F4" s="82" t="s">
        <v>19</v>
      </c>
      <c r="G4" s="82"/>
      <c r="H4" s="1">
        <v>15</v>
      </c>
      <c r="I4" s="1">
        <f t="shared" ref="I4:I35" si="1">H4*$I$2</f>
        <v>13.5</v>
      </c>
      <c r="J4" s="21">
        <v>0</v>
      </c>
      <c r="K4" s="1">
        <f t="shared" ref="K4:K35" si="2">J4+I4+H4</f>
        <v>28.5</v>
      </c>
      <c r="L4" s="7">
        <f t="shared" ref="L4:L35" si="3">K4*$L$2</f>
        <v>2.85</v>
      </c>
      <c r="M4" s="1">
        <f t="shared" ref="M4:M35" si="4">K4+L4</f>
        <v>31.35</v>
      </c>
      <c r="N4" s="86">
        <v>15</v>
      </c>
      <c r="O4" s="82" t="s">
        <v>20</v>
      </c>
      <c r="P4" s="28" t="s">
        <v>21</v>
      </c>
      <c r="Q4" s="82" t="s">
        <v>22</v>
      </c>
    </row>
    <row r="5" spans="1:18" x14ac:dyDescent="0.25">
      <c r="A5" s="1" t="s">
        <v>17</v>
      </c>
      <c r="B5" s="2">
        <v>42595</v>
      </c>
      <c r="C5" s="1">
        <v>82120461</v>
      </c>
      <c r="D5" s="25">
        <v>1</v>
      </c>
      <c r="E5" s="1" t="s">
        <v>23</v>
      </c>
      <c r="F5" s="1" t="s">
        <v>19</v>
      </c>
      <c r="G5" s="1" t="s">
        <v>24</v>
      </c>
      <c r="H5" s="1">
        <v>51.5</v>
      </c>
      <c r="I5" s="1">
        <f t="shared" si="1"/>
        <v>46.35</v>
      </c>
      <c r="J5" s="21">
        <v>0</v>
      </c>
      <c r="K5" s="1">
        <f t="shared" si="2"/>
        <v>97.85</v>
      </c>
      <c r="L5" s="7">
        <f t="shared" si="3"/>
        <v>9.7850000000000001</v>
      </c>
      <c r="M5" s="1">
        <f t="shared" si="4"/>
        <v>107.63499999999999</v>
      </c>
      <c r="N5" s="21">
        <v>95</v>
      </c>
      <c r="O5" s="1" t="s">
        <v>25</v>
      </c>
      <c r="P5" s="1" t="s">
        <v>26</v>
      </c>
      <c r="Q5" s="1" t="s">
        <v>27</v>
      </c>
    </row>
    <row r="6" spans="1:18" x14ac:dyDescent="0.25">
      <c r="A6" s="1" t="s">
        <v>17</v>
      </c>
      <c r="B6" s="2">
        <v>42595</v>
      </c>
      <c r="C6" s="1">
        <v>5002378</v>
      </c>
      <c r="D6" s="25">
        <v>1</v>
      </c>
      <c r="E6" s="1" t="s">
        <v>28</v>
      </c>
      <c r="F6" s="1" t="s">
        <v>29</v>
      </c>
      <c r="G6" s="1"/>
      <c r="H6" s="1">
        <v>47.9</v>
      </c>
      <c r="I6" s="1">
        <f t="shared" si="1"/>
        <v>43.11</v>
      </c>
      <c r="J6" s="21">
        <v>0</v>
      </c>
      <c r="K6" s="1">
        <f t="shared" si="2"/>
        <v>91.009999999999991</v>
      </c>
      <c r="L6" s="45">
        <f t="shared" si="3"/>
        <v>9.1009999999999991</v>
      </c>
      <c r="M6" s="1">
        <f t="shared" si="4"/>
        <v>100.11099999999999</v>
      </c>
      <c r="N6" s="21">
        <v>95</v>
      </c>
      <c r="O6" s="1"/>
      <c r="P6" s="1"/>
      <c r="Q6" s="1"/>
    </row>
    <row r="7" spans="1:18" x14ac:dyDescent="0.25">
      <c r="A7" s="1" t="s">
        <v>17</v>
      </c>
      <c r="B7" s="2">
        <v>42595</v>
      </c>
      <c r="C7" s="1">
        <v>309</v>
      </c>
      <c r="D7" s="25">
        <v>1</v>
      </c>
      <c r="E7" s="1" t="s">
        <v>30</v>
      </c>
      <c r="F7" s="1" t="s">
        <v>31</v>
      </c>
      <c r="G7" s="1" t="s">
        <v>24</v>
      </c>
      <c r="H7" s="1">
        <v>8</v>
      </c>
      <c r="I7" s="1">
        <f t="shared" si="1"/>
        <v>7.2</v>
      </c>
      <c r="J7" s="21">
        <v>0</v>
      </c>
      <c r="K7" s="1">
        <f t="shared" si="2"/>
        <v>15.2</v>
      </c>
      <c r="L7" s="7">
        <f t="shared" si="3"/>
        <v>1.52</v>
      </c>
      <c r="M7" s="1">
        <f t="shared" si="4"/>
        <v>16.72</v>
      </c>
      <c r="N7" s="21">
        <v>15</v>
      </c>
      <c r="O7" s="1" t="s">
        <v>32</v>
      </c>
      <c r="P7" s="1" t="s">
        <v>26</v>
      </c>
      <c r="Q7" s="1" t="s">
        <v>33</v>
      </c>
    </row>
    <row r="8" spans="1:18" x14ac:dyDescent="0.25">
      <c r="A8" s="1" t="s">
        <v>17</v>
      </c>
      <c r="B8" s="2">
        <v>42595</v>
      </c>
      <c r="C8" s="1">
        <v>309</v>
      </c>
      <c r="D8" s="25">
        <v>1</v>
      </c>
      <c r="E8" s="1" t="s">
        <v>30</v>
      </c>
      <c r="F8" s="1" t="s">
        <v>31</v>
      </c>
      <c r="G8" s="1" t="s">
        <v>24</v>
      </c>
      <c r="H8" s="1">
        <v>8</v>
      </c>
      <c r="I8" s="1">
        <f t="shared" si="1"/>
        <v>7.2</v>
      </c>
      <c r="J8" s="21">
        <v>0</v>
      </c>
      <c r="K8" s="1">
        <f t="shared" si="2"/>
        <v>15.2</v>
      </c>
      <c r="L8" s="7">
        <f t="shared" si="3"/>
        <v>1.52</v>
      </c>
      <c r="M8" s="1">
        <f t="shared" si="4"/>
        <v>16.72</v>
      </c>
      <c r="N8" s="21">
        <v>15</v>
      </c>
      <c r="O8" s="1" t="s">
        <v>34</v>
      </c>
      <c r="P8" s="1" t="s">
        <v>26</v>
      </c>
      <c r="Q8" s="1" t="s">
        <v>35</v>
      </c>
    </row>
    <row r="9" spans="1:18" x14ac:dyDescent="0.25">
      <c r="A9" s="1" t="s">
        <v>17</v>
      </c>
      <c r="B9" s="2">
        <v>42595</v>
      </c>
      <c r="C9" s="1">
        <v>309</v>
      </c>
      <c r="D9" s="25">
        <v>1</v>
      </c>
      <c r="E9" s="1" t="s">
        <v>30</v>
      </c>
      <c r="F9" s="1" t="s">
        <v>31</v>
      </c>
      <c r="G9" s="1" t="s">
        <v>24</v>
      </c>
      <c r="H9" s="1">
        <v>8</v>
      </c>
      <c r="I9" s="1">
        <f t="shared" si="1"/>
        <v>7.2</v>
      </c>
      <c r="J9" s="21">
        <v>0</v>
      </c>
      <c r="K9" s="1">
        <f t="shared" si="2"/>
        <v>15.2</v>
      </c>
      <c r="L9" s="7">
        <f t="shared" si="3"/>
        <v>1.52</v>
      </c>
      <c r="M9" s="1">
        <f t="shared" si="4"/>
        <v>16.72</v>
      </c>
      <c r="N9" s="21">
        <v>15</v>
      </c>
      <c r="O9" s="1" t="s">
        <v>34</v>
      </c>
      <c r="P9" s="1" t="s">
        <v>26</v>
      </c>
      <c r="Q9" s="1" t="s">
        <v>36</v>
      </c>
    </row>
    <row r="10" spans="1:18" x14ac:dyDescent="0.25">
      <c r="A10" s="1" t="s">
        <v>17</v>
      </c>
      <c r="B10" s="2">
        <v>42595</v>
      </c>
      <c r="C10" s="1">
        <v>82120460</v>
      </c>
      <c r="D10" s="25">
        <v>1</v>
      </c>
      <c r="E10" s="1" t="s">
        <v>37</v>
      </c>
      <c r="F10" s="1" t="s">
        <v>19</v>
      </c>
      <c r="G10" s="1"/>
      <c r="H10" s="1">
        <v>39.1</v>
      </c>
      <c r="I10" s="1">
        <f t="shared" si="1"/>
        <v>35.190000000000005</v>
      </c>
      <c r="J10" s="21">
        <v>0</v>
      </c>
      <c r="K10" s="1">
        <f t="shared" si="2"/>
        <v>74.290000000000006</v>
      </c>
      <c r="L10" s="45">
        <f t="shared" si="3"/>
        <v>7.4290000000000012</v>
      </c>
      <c r="M10" s="1">
        <f t="shared" si="4"/>
        <v>81.719000000000008</v>
      </c>
      <c r="N10" s="21">
        <v>80</v>
      </c>
      <c r="O10" s="1"/>
      <c r="P10" s="1"/>
      <c r="Q10" s="1"/>
    </row>
    <row r="11" spans="1:18" x14ac:dyDescent="0.25">
      <c r="A11" s="1" t="s">
        <v>17</v>
      </c>
      <c r="B11" s="2">
        <v>42595</v>
      </c>
      <c r="C11" s="1">
        <v>82120460</v>
      </c>
      <c r="D11" s="25">
        <v>1</v>
      </c>
      <c r="E11" s="1" t="s">
        <v>38</v>
      </c>
      <c r="F11" s="1" t="s">
        <v>29</v>
      </c>
      <c r="G11" s="1" t="s">
        <v>24</v>
      </c>
      <c r="H11" s="1">
        <v>39.1</v>
      </c>
      <c r="I11" s="1">
        <f t="shared" si="1"/>
        <v>35.190000000000005</v>
      </c>
      <c r="J11" s="21">
        <v>0</v>
      </c>
      <c r="K11" s="1">
        <f t="shared" si="2"/>
        <v>74.290000000000006</v>
      </c>
      <c r="L11" s="7">
        <f t="shared" si="3"/>
        <v>7.4290000000000012</v>
      </c>
      <c r="M11" s="1">
        <f t="shared" si="4"/>
        <v>81.719000000000008</v>
      </c>
      <c r="N11" s="21">
        <v>80</v>
      </c>
      <c r="O11" s="1" t="s">
        <v>39</v>
      </c>
      <c r="P11" s="1" t="s">
        <v>26</v>
      </c>
      <c r="Q11" s="1" t="s">
        <v>40</v>
      </c>
    </row>
    <row r="12" spans="1:18" x14ac:dyDescent="0.25">
      <c r="A12" s="1" t="s">
        <v>17</v>
      </c>
      <c r="B12" s="2">
        <v>42595</v>
      </c>
      <c r="C12" s="1">
        <v>71605</v>
      </c>
      <c r="D12" s="25">
        <v>1</v>
      </c>
      <c r="E12" s="1" t="s">
        <v>41</v>
      </c>
      <c r="F12" s="1" t="s">
        <v>19</v>
      </c>
      <c r="G12" s="1" t="s">
        <v>24</v>
      </c>
      <c r="H12" s="1">
        <v>34</v>
      </c>
      <c r="I12" s="1">
        <f t="shared" si="1"/>
        <v>30.6</v>
      </c>
      <c r="J12" s="21">
        <v>0</v>
      </c>
      <c r="K12" s="1">
        <f t="shared" si="2"/>
        <v>64.599999999999994</v>
      </c>
      <c r="L12" s="7">
        <f t="shared" si="3"/>
        <v>6.46</v>
      </c>
      <c r="M12" s="1">
        <f t="shared" si="4"/>
        <v>71.059999999999988</v>
      </c>
      <c r="N12" s="21">
        <v>70</v>
      </c>
      <c r="O12" s="1" t="s">
        <v>42</v>
      </c>
      <c r="P12" s="1"/>
      <c r="Q12" s="1" t="s">
        <v>43</v>
      </c>
    </row>
    <row r="13" spans="1:18" x14ac:dyDescent="0.25">
      <c r="A13" s="1" t="s">
        <v>17</v>
      </c>
      <c r="B13" s="2">
        <v>42592</v>
      </c>
      <c r="C13" s="1">
        <v>376</v>
      </c>
      <c r="D13" s="25">
        <v>1</v>
      </c>
      <c r="E13" s="1" t="s">
        <v>44</v>
      </c>
      <c r="F13" s="1" t="s">
        <v>31</v>
      </c>
      <c r="G13" s="1"/>
      <c r="H13" s="1">
        <v>6</v>
      </c>
      <c r="I13" s="17">
        <f t="shared" si="1"/>
        <v>5.4</v>
      </c>
      <c r="J13" s="21">
        <v>0</v>
      </c>
      <c r="K13" s="1">
        <f t="shared" si="2"/>
        <v>11.4</v>
      </c>
      <c r="L13" s="45">
        <f t="shared" si="3"/>
        <v>1.1400000000000001</v>
      </c>
      <c r="M13" s="1">
        <f t="shared" si="4"/>
        <v>12.540000000000001</v>
      </c>
      <c r="N13" s="21">
        <v>12</v>
      </c>
      <c r="O13" s="1"/>
      <c r="P13" s="1"/>
      <c r="Q13" s="1"/>
    </row>
    <row r="14" spans="1:18" x14ac:dyDescent="0.25">
      <c r="A14" s="1" t="s">
        <v>17</v>
      </c>
      <c r="B14" s="2">
        <v>42592</v>
      </c>
      <c r="C14" s="1">
        <v>376</v>
      </c>
      <c r="D14" s="25">
        <v>1</v>
      </c>
      <c r="E14" s="1" t="s">
        <v>44</v>
      </c>
      <c r="F14" s="1" t="s">
        <v>31</v>
      </c>
      <c r="G14" s="1"/>
      <c r="H14" s="1">
        <v>6</v>
      </c>
      <c r="I14" s="17">
        <f t="shared" si="1"/>
        <v>5.4</v>
      </c>
      <c r="J14" s="21">
        <v>0</v>
      </c>
      <c r="K14" s="1">
        <f t="shared" si="2"/>
        <v>11.4</v>
      </c>
      <c r="L14" s="7">
        <f t="shared" si="3"/>
        <v>1.1400000000000001</v>
      </c>
      <c r="M14" s="1">
        <f t="shared" si="4"/>
        <v>12.540000000000001</v>
      </c>
      <c r="N14" s="21">
        <v>20</v>
      </c>
      <c r="O14" s="1" t="s">
        <v>45</v>
      </c>
      <c r="P14" s="1" t="s">
        <v>26</v>
      </c>
      <c r="Q14" s="1" t="s">
        <v>46</v>
      </c>
    </row>
    <row r="15" spans="1:18" x14ac:dyDescent="0.25">
      <c r="A15" s="1" t="s">
        <v>17</v>
      </c>
      <c r="B15" s="2">
        <v>42592</v>
      </c>
      <c r="C15" s="1">
        <v>376</v>
      </c>
      <c r="D15" s="25">
        <v>1</v>
      </c>
      <c r="E15" s="1" t="s">
        <v>44</v>
      </c>
      <c r="F15" s="1" t="s">
        <v>31</v>
      </c>
      <c r="G15" s="1"/>
      <c r="H15" s="1">
        <v>6</v>
      </c>
      <c r="I15" s="17">
        <f t="shared" si="1"/>
        <v>5.4</v>
      </c>
      <c r="J15" s="21">
        <v>0</v>
      </c>
      <c r="K15" s="1">
        <f t="shared" si="2"/>
        <v>11.4</v>
      </c>
      <c r="L15" s="7">
        <f t="shared" si="3"/>
        <v>1.1400000000000001</v>
      </c>
      <c r="M15" s="1">
        <f t="shared" si="4"/>
        <v>12.540000000000001</v>
      </c>
      <c r="N15" s="21">
        <v>20</v>
      </c>
      <c r="O15" s="1" t="s">
        <v>45</v>
      </c>
      <c r="P15" s="1" t="s">
        <v>26</v>
      </c>
      <c r="Q15" s="1" t="s">
        <v>47</v>
      </c>
    </row>
    <row r="16" spans="1:18" x14ac:dyDescent="0.25">
      <c r="A16" s="1" t="s">
        <v>17</v>
      </c>
      <c r="B16" s="2">
        <v>42595</v>
      </c>
      <c r="C16" s="1">
        <v>8</v>
      </c>
      <c r="D16" s="25">
        <v>1</v>
      </c>
      <c r="E16" s="1" t="s">
        <v>48</v>
      </c>
      <c r="F16" s="1" t="s">
        <v>29</v>
      </c>
      <c r="G16" s="1" t="s">
        <v>24</v>
      </c>
      <c r="H16" s="1">
        <v>14.5</v>
      </c>
      <c r="I16" s="1">
        <f t="shared" si="1"/>
        <v>13.05</v>
      </c>
      <c r="J16" s="21">
        <v>0</v>
      </c>
      <c r="K16" s="1">
        <f t="shared" si="2"/>
        <v>27.55</v>
      </c>
      <c r="L16" s="7">
        <f t="shared" si="3"/>
        <v>2.7550000000000003</v>
      </c>
      <c r="M16" s="1">
        <f t="shared" si="4"/>
        <v>30.305</v>
      </c>
      <c r="N16" s="21">
        <v>40</v>
      </c>
      <c r="O16" s="1" t="s">
        <v>49</v>
      </c>
      <c r="P16" s="1" t="s">
        <v>26</v>
      </c>
      <c r="Q16" s="1" t="s">
        <v>50</v>
      </c>
    </row>
    <row r="17" spans="1:17" x14ac:dyDescent="0.25">
      <c r="A17" s="1" t="s">
        <v>17</v>
      </c>
      <c r="B17" s="2">
        <v>42595</v>
      </c>
      <c r="C17" s="1">
        <v>5002436</v>
      </c>
      <c r="D17" s="25">
        <v>1</v>
      </c>
      <c r="E17" s="1" t="s">
        <v>51</v>
      </c>
      <c r="F17" s="1" t="s">
        <v>52</v>
      </c>
      <c r="G17" s="1" t="s">
        <v>24</v>
      </c>
      <c r="H17" s="1">
        <v>29</v>
      </c>
      <c r="I17" s="1">
        <f t="shared" si="1"/>
        <v>26.1</v>
      </c>
      <c r="J17" s="21">
        <v>0</v>
      </c>
      <c r="K17" s="1">
        <f t="shared" si="2"/>
        <v>55.1</v>
      </c>
      <c r="L17" s="7">
        <f t="shared" si="3"/>
        <v>5.5100000000000007</v>
      </c>
      <c r="M17" s="1">
        <f t="shared" si="4"/>
        <v>60.61</v>
      </c>
      <c r="N17" s="21">
        <v>80</v>
      </c>
      <c r="O17" s="1" t="s">
        <v>53</v>
      </c>
      <c r="P17" s="2">
        <v>42612</v>
      </c>
      <c r="Q17" s="1" t="s">
        <v>54</v>
      </c>
    </row>
    <row r="18" spans="1:17" x14ac:dyDescent="0.25">
      <c r="A18" s="45" t="s">
        <v>17</v>
      </c>
      <c r="B18" s="43">
        <v>42602</v>
      </c>
      <c r="C18" s="45">
        <v>340</v>
      </c>
      <c r="D18" s="81">
        <v>1</v>
      </c>
      <c r="E18" s="45" t="s">
        <v>55</v>
      </c>
      <c r="F18" s="45" t="s">
        <v>52</v>
      </c>
      <c r="G18" s="45"/>
      <c r="H18" s="45">
        <v>45.9</v>
      </c>
      <c r="I18" s="45">
        <f t="shared" si="1"/>
        <v>41.31</v>
      </c>
      <c r="J18" s="42">
        <v>7.4</v>
      </c>
      <c r="K18" s="45">
        <f t="shared" si="2"/>
        <v>94.61</v>
      </c>
      <c r="L18" s="45">
        <f t="shared" si="3"/>
        <v>9.4610000000000003</v>
      </c>
      <c r="M18" s="45">
        <f t="shared" si="4"/>
        <v>104.071</v>
      </c>
      <c r="N18" s="42">
        <v>100</v>
      </c>
      <c r="O18" s="45"/>
      <c r="P18" s="45"/>
      <c r="Q18" s="45"/>
    </row>
    <row r="19" spans="1:17" x14ac:dyDescent="0.25">
      <c r="A19" s="45" t="s">
        <v>17</v>
      </c>
      <c r="B19" s="43">
        <v>42602</v>
      </c>
      <c r="C19" s="45">
        <v>340</v>
      </c>
      <c r="D19" s="81">
        <v>1</v>
      </c>
      <c r="E19" s="45" t="s">
        <v>55</v>
      </c>
      <c r="F19" s="45" t="s">
        <v>19</v>
      </c>
      <c r="G19" s="45"/>
      <c r="H19" s="45">
        <v>45.9</v>
      </c>
      <c r="I19" s="45">
        <f t="shared" si="1"/>
        <v>41.31</v>
      </c>
      <c r="J19" s="42">
        <v>7.4</v>
      </c>
      <c r="K19" s="45">
        <f t="shared" si="2"/>
        <v>94.61</v>
      </c>
      <c r="L19" s="45">
        <f t="shared" si="3"/>
        <v>9.4610000000000003</v>
      </c>
      <c r="M19" s="45">
        <f t="shared" si="4"/>
        <v>104.071</v>
      </c>
      <c r="N19" s="42">
        <v>100</v>
      </c>
      <c r="O19" s="45" t="s">
        <v>56</v>
      </c>
      <c r="P19" s="45" t="s">
        <v>26</v>
      </c>
      <c r="Q19" s="45" t="s">
        <v>57</v>
      </c>
    </row>
    <row r="20" spans="1:17" x14ac:dyDescent="0.25">
      <c r="A20" s="84" t="s">
        <v>17</v>
      </c>
      <c r="B20" s="87">
        <v>42602</v>
      </c>
      <c r="C20" s="84">
        <v>340</v>
      </c>
      <c r="D20" s="88">
        <v>1</v>
      </c>
      <c r="E20" s="84" t="s">
        <v>55</v>
      </c>
      <c r="F20" s="84" t="s">
        <v>29</v>
      </c>
      <c r="G20" s="84"/>
      <c r="H20" s="45">
        <v>45.9</v>
      </c>
      <c r="I20" s="45">
        <f t="shared" si="1"/>
        <v>41.31</v>
      </c>
      <c r="J20" s="42">
        <v>7.4</v>
      </c>
      <c r="K20" s="45">
        <f t="shared" si="2"/>
        <v>94.61</v>
      </c>
      <c r="L20" s="45">
        <f t="shared" si="3"/>
        <v>9.4610000000000003</v>
      </c>
      <c r="M20" s="45">
        <f t="shared" si="4"/>
        <v>104.071</v>
      </c>
      <c r="N20" s="89">
        <v>100</v>
      </c>
      <c r="O20" s="84" t="s">
        <v>58</v>
      </c>
      <c r="P20" s="84" t="s">
        <v>26</v>
      </c>
      <c r="Q20" s="84" t="s">
        <v>59</v>
      </c>
    </row>
    <row r="21" spans="1:17" x14ac:dyDescent="0.25">
      <c r="A21" s="45" t="s">
        <v>17</v>
      </c>
      <c r="B21" s="43">
        <v>42602</v>
      </c>
      <c r="C21" s="45">
        <v>2153</v>
      </c>
      <c r="D21" s="81">
        <v>1</v>
      </c>
      <c r="E21" s="45" t="s">
        <v>60</v>
      </c>
      <c r="F21" s="45" t="s">
        <v>19</v>
      </c>
      <c r="G21" s="45"/>
      <c r="H21" s="45">
        <v>33.9</v>
      </c>
      <c r="I21" s="45">
        <f t="shared" si="1"/>
        <v>30.509999999999998</v>
      </c>
      <c r="J21" s="42">
        <v>7.4</v>
      </c>
      <c r="K21" s="45">
        <f t="shared" si="2"/>
        <v>71.81</v>
      </c>
      <c r="L21" s="45">
        <f t="shared" si="3"/>
        <v>7.1810000000000009</v>
      </c>
      <c r="M21" s="45">
        <f t="shared" si="4"/>
        <v>78.991</v>
      </c>
      <c r="N21" s="42">
        <v>75</v>
      </c>
      <c r="O21" s="45"/>
      <c r="P21" s="45"/>
      <c r="Q21" s="45"/>
    </row>
    <row r="22" spans="1:17" x14ac:dyDescent="0.25">
      <c r="A22" s="45" t="s">
        <v>17</v>
      </c>
      <c r="B22" s="43">
        <v>42602</v>
      </c>
      <c r="C22" s="45">
        <v>2980</v>
      </c>
      <c r="D22" s="81">
        <v>1</v>
      </c>
      <c r="E22" s="45" t="s">
        <v>61</v>
      </c>
      <c r="F22" s="45" t="s">
        <v>29</v>
      </c>
      <c r="G22" s="45"/>
      <c r="H22" s="45">
        <v>30</v>
      </c>
      <c r="I22" s="45">
        <f t="shared" si="1"/>
        <v>27</v>
      </c>
      <c r="J22" s="42">
        <v>7.4</v>
      </c>
      <c r="K22" s="45">
        <f t="shared" si="2"/>
        <v>64.400000000000006</v>
      </c>
      <c r="L22" s="45">
        <f t="shared" si="3"/>
        <v>6.4400000000000013</v>
      </c>
      <c r="M22" s="45">
        <f t="shared" si="4"/>
        <v>70.84</v>
      </c>
      <c r="N22" s="42">
        <v>68</v>
      </c>
      <c r="O22" s="45" t="s">
        <v>62</v>
      </c>
      <c r="P22" s="45" t="s">
        <v>26</v>
      </c>
      <c r="Q22" s="45" t="s">
        <v>63</v>
      </c>
    </row>
    <row r="23" spans="1:17" x14ac:dyDescent="0.25">
      <c r="A23" s="45" t="s">
        <v>17</v>
      </c>
      <c r="B23" s="43">
        <v>42602</v>
      </c>
      <c r="C23" s="45">
        <v>2002</v>
      </c>
      <c r="D23" s="81">
        <v>1</v>
      </c>
      <c r="E23" s="45" t="s">
        <v>64</v>
      </c>
      <c r="F23" s="45" t="s">
        <v>65</v>
      </c>
      <c r="G23" s="45"/>
      <c r="H23" s="45">
        <v>25.9</v>
      </c>
      <c r="I23" s="45">
        <f t="shared" si="1"/>
        <v>23.31</v>
      </c>
      <c r="J23" s="42">
        <v>7.4</v>
      </c>
      <c r="K23" s="45">
        <f t="shared" si="2"/>
        <v>56.61</v>
      </c>
      <c r="L23" s="45">
        <f t="shared" si="3"/>
        <v>5.6610000000000005</v>
      </c>
      <c r="M23" s="45">
        <f t="shared" si="4"/>
        <v>62.271000000000001</v>
      </c>
      <c r="N23" s="42">
        <v>60</v>
      </c>
      <c r="O23" s="45" t="s">
        <v>66</v>
      </c>
      <c r="P23" s="45" t="s">
        <v>26</v>
      </c>
      <c r="Q23" s="45" t="s">
        <v>67</v>
      </c>
    </row>
    <row r="24" spans="1:17" x14ac:dyDescent="0.25">
      <c r="A24" s="45" t="s">
        <v>17</v>
      </c>
      <c r="B24" s="43">
        <v>42602</v>
      </c>
      <c r="C24" s="45">
        <v>2088</v>
      </c>
      <c r="D24" s="81">
        <v>1</v>
      </c>
      <c r="E24" s="45" t="s">
        <v>68</v>
      </c>
      <c r="F24" s="45" t="s">
        <v>65</v>
      </c>
      <c r="G24" s="45"/>
      <c r="H24" s="45">
        <v>32.9</v>
      </c>
      <c r="I24" s="45">
        <f t="shared" si="1"/>
        <v>29.61</v>
      </c>
      <c r="J24" s="42">
        <v>7.4</v>
      </c>
      <c r="K24" s="45">
        <f t="shared" si="2"/>
        <v>69.91</v>
      </c>
      <c r="L24" s="45">
        <f t="shared" si="3"/>
        <v>6.9909999999999997</v>
      </c>
      <c r="M24" s="45">
        <f t="shared" si="4"/>
        <v>76.900999999999996</v>
      </c>
      <c r="N24" s="42">
        <v>75</v>
      </c>
      <c r="O24" s="45" t="s">
        <v>56</v>
      </c>
      <c r="P24" s="45" t="s">
        <v>26</v>
      </c>
      <c r="Q24" s="45" t="s">
        <v>57</v>
      </c>
    </row>
    <row r="25" spans="1:17" x14ac:dyDescent="0.25">
      <c r="A25" s="84" t="s">
        <v>17</v>
      </c>
      <c r="B25" s="87">
        <v>42602</v>
      </c>
      <c r="C25" s="84">
        <v>2088</v>
      </c>
      <c r="D25" s="88">
        <v>1</v>
      </c>
      <c r="E25" s="84" t="s">
        <v>68</v>
      </c>
      <c r="F25" s="84" t="s">
        <v>19</v>
      </c>
      <c r="G25" s="84"/>
      <c r="H25" s="45">
        <v>32.9</v>
      </c>
      <c r="I25" s="45">
        <f t="shared" si="1"/>
        <v>29.61</v>
      </c>
      <c r="J25" s="42">
        <v>7.4</v>
      </c>
      <c r="K25" s="45">
        <f t="shared" si="2"/>
        <v>69.91</v>
      </c>
      <c r="L25" s="45">
        <f t="shared" si="3"/>
        <v>6.9909999999999997</v>
      </c>
      <c r="M25" s="45">
        <f t="shared" si="4"/>
        <v>76.900999999999996</v>
      </c>
      <c r="N25" s="89">
        <v>75</v>
      </c>
      <c r="O25" s="84" t="s">
        <v>69</v>
      </c>
      <c r="P25" s="45" t="s">
        <v>26</v>
      </c>
      <c r="Q25" s="45" t="s">
        <v>70</v>
      </c>
    </row>
    <row r="26" spans="1:17" x14ac:dyDescent="0.25">
      <c r="A26" s="1" t="s">
        <v>17</v>
      </c>
      <c r="B26" s="2">
        <v>42602</v>
      </c>
      <c r="C26" s="1">
        <v>2059</v>
      </c>
      <c r="D26" s="25">
        <v>1</v>
      </c>
      <c r="E26" s="8" t="s">
        <v>71</v>
      </c>
      <c r="F26" s="1" t="s">
        <v>52</v>
      </c>
      <c r="G26" s="1"/>
      <c r="H26" s="1">
        <v>27.9</v>
      </c>
      <c r="I26" s="1">
        <f t="shared" si="1"/>
        <v>25.11</v>
      </c>
      <c r="J26" s="21">
        <v>7.4</v>
      </c>
      <c r="K26" s="1">
        <f t="shared" si="2"/>
        <v>60.41</v>
      </c>
      <c r="L26" s="7">
        <f t="shared" si="3"/>
        <v>6.0410000000000004</v>
      </c>
      <c r="M26" s="1">
        <f t="shared" si="4"/>
        <v>66.450999999999993</v>
      </c>
      <c r="N26" s="21">
        <v>65</v>
      </c>
      <c r="O26" s="1" t="s">
        <v>39</v>
      </c>
      <c r="P26" s="1" t="s">
        <v>26</v>
      </c>
      <c r="Q26" s="1" t="s">
        <v>46</v>
      </c>
    </row>
    <row r="27" spans="1:17" x14ac:dyDescent="0.25">
      <c r="A27" s="84" t="s">
        <v>17</v>
      </c>
      <c r="B27" s="87">
        <v>42602</v>
      </c>
      <c r="C27" s="84">
        <v>207</v>
      </c>
      <c r="D27" s="88">
        <v>1</v>
      </c>
      <c r="E27" s="84" t="s">
        <v>72</v>
      </c>
      <c r="F27" s="84" t="s">
        <v>29</v>
      </c>
      <c r="G27" s="84"/>
      <c r="H27" s="45">
        <v>27.9</v>
      </c>
      <c r="I27" s="45">
        <f t="shared" si="1"/>
        <v>25.11</v>
      </c>
      <c r="J27" s="42">
        <v>7.4</v>
      </c>
      <c r="K27" s="45">
        <f t="shared" si="2"/>
        <v>60.41</v>
      </c>
      <c r="L27" s="45">
        <f t="shared" si="3"/>
        <v>6.0410000000000004</v>
      </c>
      <c r="M27" s="45">
        <f t="shared" si="4"/>
        <v>66.450999999999993</v>
      </c>
      <c r="N27" s="89">
        <v>65</v>
      </c>
      <c r="O27" s="84" t="s">
        <v>73</v>
      </c>
      <c r="P27" s="84" t="s">
        <v>26</v>
      </c>
      <c r="Q27" s="84" t="s">
        <v>74</v>
      </c>
    </row>
    <row r="28" spans="1:17" x14ac:dyDescent="0.25">
      <c r="A28" s="1" t="s">
        <v>17</v>
      </c>
      <c r="B28" s="2">
        <v>42602</v>
      </c>
      <c r="C28" s="1">
        <v>2059</v>
      </c>
      <c r="D28" s="25">
        <v>1</v>
      </c>
      <c r="E28" s="1" t="s">
        <v>71</v>
      </c>
      <c r="F28" s="1" t="s">
        <v>19</v>
      </c>
      <c r="G28" s="1"/>
      <c r="H28" s="1">
        <v>27.9</v>
      </c>
      <c r="I28" s="1">
        <f t="shared" si="1"/>
        <v>25.11</v>
      </c>
      <c r="J28" s="21">
        <v>7.4</v>
      </c>
      <c r="K28" s="1">
        <f t="shared" si="2"/>
        <v>60.41</v>
      </c>
      <c r="L28" s="7">
        <f t="shared" si="3"/>
        <v>6.0410000000000004</v>
      </c>
      <c r="M28" s="1">
        <f t="shared" si="4"/>
        <v>66.450999999999993</v>
      </c>
      <c r="N28" s="21">
        <v>65</v>
      </c>
      <c r="O28" s="1" t="s">
        <v>75</v>
      </c>
      <c r="P28" s="1" t="s">
        <v>26</v>
      </c>
      <c r="Q28" s="1" t="s">
        <v>76</v>
      </c>
    </row>
    <row r="29" spans="1:17" x14ac:dyDescent="0.25">
      <c r="A29" s="1" t="s">
        <v>17</v>
      </c>
      <c r="B29" s="2">
        <v>42595</v>
      </c>
      <c r="C29" s="1" t="s">
        <v>77</v>
      </c>
      <c r="D29" s="25">
        <v>1</v>
      </c>
      <c r="E29" s="1" t="s">
        <v>78</v>
      </c>
      <c r="F29" s="1" t="s">
        <v>52</v>
      </c>
      <c r="G29" s="1" t="s">
        <v>24</v>
      </c>
      <c r="H29" s="1">
        <f>11.9+3.9</f>
        <v>15.8</v>
      </c>
      <c r="I29" s="1">
        <f t="shared" si="1"/>
        <v>14.22</v>
      </c>
      <c r="J29" s="21">
        <v>7.4</v>
      </c>
      <c r="K29" s="1">
        <f t="shared" si="2"/>
        <v>37.42</v>
      </c>
      <c r="L29" s="7">
        <f t="shared" si="3"/>
        <v>3.7420000000000004</v>
      </c>
      <c r="M29" s="1">
        <f t="shared" si="4"/>
        <v>41.161999999999999</v>
      </c>
      <c r="N29" s="21">
        <v>40</v>
      </c>
      <c r="O29" s="1" t="s">
        <v>79</v>
      </c>
      <c r="P29" s="1" t="s">
        <v>26</v>
      </c>
      <c r="Q29" s="1" t="s">
        <v>80</v>
      </c>
    </row>
    <row r="30" spans="1:17" x14ac:dyDescent="0.25">
      <c r="A30" s="84" t="s">
        <v>17</v>
      </c>
      <c r="B30" s="87">
        <v>42602</v>
      </c>
      <c r="C30" s="84">
        <v>2020</v>
      </c>
      <c r="D30" s="88">
        <v>1</v>
      </c>
      <c r="E30" s="84" t="s">
        <v>81</v>
      </c>
      <c r="F30" s="84" t="s">
        <v>29</v>
      </c>
      <c r="G30" s="84"/>
      <c r="H30" s="45">
        <v>34.9</v>
      </c>
      <c r="I30" s="45">
        <f t="shared" si="1"/>
        <v>31.41</v>
      </c>
      <c r="J30" s="42">
        <v>7.4</v>
      </c>
      <c r="K30" s="45">
        <f t="shared" si="2"/>
        <v>73.710000000000008</v>
      </c>
      <c r="L30" s="45">
        <f t="shared" si="3"/>
        <v>7.3710000000000013</v>
      </c>
      <c r="M30" s="45">
        <f t="shared" si="4"/>
        <v>81.081000000000003</v>
      </c>
      <c r="N30" s="89">
        <v>80</v>
      </c>
      <c r="O30" s="84" t="s">
        <v>82</v>
      </c>
      <c r="P30" s="84" t="s">
        <v>26</v>
      </c>
      <c r="Q30" s="84" t="s">
        <v>63</v>
      </c>
    </row>
    <row r="31" spans="1:17" x14ac:dyDescent="0.25">
      <c r="A31" s="45" t="s">
        <v>17</v>
      </c>
      <c r="B31" s="43">
        <v>42602</v>
      </c>
      <c r="C31" s="45">
        <v>2044</v>
      </c>
      <c r="D31" s="81">
        <v>1</v>
      </c>
      <c r="E31" s="45" t="s">
        <v>83</v>
      </c>
      <c r="F31" s="45" t="s">
        <v>19</v>
      </c>
      <c r="G31" s="45"/>
      <c r="H31" s="45">
        <v>30</v>
      </c>
      <c r="I31" s="45">
        <f t="shared" si="1"/>
        <v>27</v>
      </c>
      <c r="J31" s="42">
        <v>7.4</v>
      </c>
      <c r="K31" s="45">
        <f t="shared" si="2"/>
        <v>64.400000000000006</v>
      </c>
      <c r="L31" s="45">
        <f t="shared" si="3"/>
        <v>6.4400000000000013</v>
      </c>
      <c r="M31" s="45">
        <f t="shared" si="4"/>
        <v>70.84</v>
      </c>
      <c r="N31" s="42">
        <v>70</v>
      </c>
      <c r="O31" s="45" t="s">
        <v>84</v>
      </c>
      <c r="P31" s="45" t="s">
        <v>26</v>
      </c>
      <c r="Q31" s="45" t="s">
        <v>85</v>
      </c>
    </row>
    <row r="32" spans="1:17" x14ac:dyDescent="0.25">
      <c r="A32" s="82" t="s">
        <v>17</v>
      </c>
      <c r="B32" s="83">
        <v>42602</v>
      </c>
      <c r="C32" s="82">
        <v>2044</v>
      </c>
      <c r="D32" s="85">
        <v>1</v>
      </c>
      <c r="E32" s="82" t="s">
        <v>83</v>
      </c>
      <c r="F32" s="82" t="s">
        <v>29</v>
      </c>
      <c r="G32" s="82"/>
      <c r="H32" s="1">
        <v>30</v>
      </c>
      <c r="I32" s="1">
        <f t="shared" si="1"/>
        <v>27</v>
      </c>
      <c r="J32" s="21">
        <v>7.4</v>
      </c>
      <c r="K32" s="1">
        <f t="shared" si="2"/>
        <v>64.400000000000006</v>
      </c>
      <c r="L32" s="7">
        <f t="shared" si="3"/>
        <v>6.4400000000000013</v>
      </c>
      <c r="M32" s="1">
        <f t="shared" si="4"/>
        <v>70.84</v>
      </c>
      <c r="N32" s="86">
        <v>70</v>
      </c>
      <c r="O32" s="84" t="s">
        <v>86</v>
      </c>
      <c r="P32" s="82" t="s">
        <v>26</v>
      </c>
      <c r="Q32" s="82" t="s">
        <v>87</v>
      </c>
    </row>
    <row r="33" spans="1:17" x14ac:dyDescent="0.25">
      <c r="A33" s="45" t="s">
        <v>17</v>
      </c>
      <c r="B33" s="43">
        <v>42602</v>
      </c>
      <c r="C33" s="45">
        <v>2035</v>
      </c>
      <c r="D33" s="81">
        <v>1</v>
      </c>
      <c r="E33" s="45" t="s">
        <v>88</v>
      </c>
      <c r="F33" s="45" t="s">
        <v>65</v>
      </c>
      <c r="G33" s="45"/>
      <c r="H33" s="45">
        <v>29.9</v>
      </c>
      <c r="I33" s="45">
        <f t="shared" si="1"/>
        <v>26.91</v>
      </c>
      <c r="J33" s="42">
        <v>7.4</v>
      </c>
      <c r="K33" s="45">
        <f t="shared" si="2"/>
        <v>64.210000000000008</v>
      </c>
      <c r="L33" s="45">
        <f t="shared" si="3"/>
        <v>6.4210000000000012</v>
      </c>
      <c r="M33" s="45">
        <f t="shared" si="4"/>
        <v>70.631000000000014</v>
      </c>
      <c r="N33" s="42">
        <v>70</v>
      </c>
      <c r="O33" s="45" t="s">
        <v>89</v>
      </c>
      <c r="P33" s="45" t="s">
        <v>26</v>
      </c>
      <c r="Q33" s="45" t="s">
        <v>90</v>
      </c>
    </row>
    <row r="34" spans="1:17" x14ac:dyDescent="0.25">
      <c r="A34" s="1" t="s">
        <v>17</v>
      </c>
      <c r="B34" s="2">
        <v>42595</v>
      </c>
      <c r="C34" s="1">
        <v>20160819</v>
      </c>
      <c r="D34" s="25">
        <v>1</v>
      </c>
      <c r="E34" s="1" t="s">
        <v>91</v>
      </c>
      <c r="F34" s="1" t="s">
        <v>29</v>
      </c>
      <c r="G34" s="1"/>
      <c r="H34" s="1">
        <v>20</v>
      </c>
      <c r="I34" s="1">
        <f t="shared" si="1"/>
        <v>18</v>
      </c>
      <c r="J34" s="21">
        <v>7.4</v>
      </c>
      <c r="K34" s="1">
        <f t="shared" si="2"/>
        <v>45.4</v>
      </c>
      <c r="L34" s="7">
        <f t="shared" si="3"/>
        <v>4.54</v>
      </c>
      <c r="M34" s="1">
        <f t="shared" si="4"/>
        <v>49.94</v>
      </c>
      <c r="N34" s="21">
        <v>50</v>
      </c>
      <c r="O34" s="84" t="s">
        <v>73</v>
      </c>
      <c r="P34" s="84" t="s">
        <v>26</v>
      </c>
      <c r="Q34" s="84" t="s">
        <v>74</v>
      </c>
    </row>
    <row r="35" spans="1:17" x14ac:dyDescent="0.25">
      <c r="A35" s="45" t="s">
        <v>17</v>
      </c>
      <c r="B35" s="43">
        <v>42602</v>
      </c>
      <c r="C35" s="45">
        <v>503</v>
      </c>
      <c r="D35" s="81">
        <v>1</v>
      </c>
      <c r="E35" s="45" t="s">
        <v>92</v>
      </c>
      <c r="F35" s="45" t="s">
        <v>52</v>
      </c>
      <c r="G35" s="45"/>
      <c r="H35" s="45">
        <v>19.899999999999999</v>
      </c>
      <c r="I35" s="45">
        <f t="shared" si="1"/>
        <v>17.91</v>
      </c>
      <c r="J35" s="42">
        <v>7.4</v>
      </c>
      <c r="K35" s="45">
        <f t="shared" si="2"/>
        <v>45.21</v>
      </c>
      <c r="L35" s="45">
        <f t="shared" si="3"/>
        <v>4.5209999999999999</v>
      </c>
      <c r="M35" s="45">
        <f t="shared" si="4"/>
        <v>49.731000000000002</v>
      </c>
      <c r="N35" s="42">
        <v>50</v>
      </c>
      <c r="O35" s="45"/>
      <c r="P35" s="45"/>
      <c r="Q35" s="45"/>
    </row>
    <row r="36" spans="1:17" x14ac:dyDescent="0.25">
      <c r="A36" s="45" t="s">
        <v>17</v>
      </c>
      <c r="B36" s="43">
        <v>42602</v>
      </c>
      <c r="C36" s="45">
        <v>2067</v>
      </c>
      <c r="D36" s="81">
        <v>1</v>
      </c>
      <c r="E36" s="45" t="s">
        <v>93</v>
      </c>
      <c r="F36" s="45" t="s">
        <v>29</v>
      </c>
      <c r="G36" s="45"/>
      <c r="H36" s="45">
        <v>26.9</v>
      </c>
      <c r="I36" s="45">
        <f t="shared" ref="I36:I67" si="5">H36*$I$2</f>
        <v>24.21</v>
      </c>
      <c r="J36" s="42">
        <v>7.4</v>
      </c>
      <c r="K36" s="45">
        <f t="shared" ref="K36:K67" si="6">J36+I36+H36</f>
        <v>58.51</v>
      </c>
      <c r="L36" s="45">
        <f t="shared" ref="L36:L67" si="7">K36*$L$2</f>
        <v>5.851</v>
      </c>
      <c r="M36" s="45">
        <f t="shared" ref="M36:M67" si="8">K36+L36</f>
        <v>64.361000000000004</v>
      </c>
      <c r="N36" s="42">
        <v>65</v>
      </c>
      <c r="O36" s="45"/>
      <c r="P36" s="45"/>
      <c r="Q36" s="45"/>
    </row>
    <row r="37" spans="1:17" x14ac:dyDescent="0.25">
      <c r="A37" s="1" t="s">
        <v>17</v>
      </c>
      <c r="B37" s="2">
        <v>42595</v>
      </c>
      <c r="C37" s="1">
        <v>20160815</v>
      </c>
      <c r="D37" s="25">
        <v>1</v>
      </c>
      <c r="E37" s="1" t="s">
        <v>94</v>
      </c>
      <c r="F37" s="1" t="s">
        <v>19</v>
      </c>
      <c r="G37" s="1"/>
      <c r="H37" s="1">
        <v>10</v>
      </c>
      <c r="I37" s="1">
        <f t="shared" si="5"/>
        <v>9</v>
      </c>
      <c r="J37" s="21">
        <v>7.4</v>
      </c>
      <c r="K37" s="1">
        <f t="shared" si="6"/>
        <v>26.4</v>
      </c>
      <c r="L37" s="45">
        <f t="shared" si="7"/>
        <v>2.64</v>
      </c>
      <c r="M37" s="1">
        <f t="shared" si="8"/>
        <v>29.04</v>
      </c>
      <c r="N37" s="21">
        <v>30</v>
      </c>
      <c r="O37" s="1"/>
      <c r="P37" s="1"/>
      <c r="Q37" s="1"/>
    </row>
    <row r="38" spans="1:17" x14ac:dyDescent="0.25">
      <c r="A38" s="84" t="s">
        <v>17</v>
      </c>
      <c r="B38" s="87">
        <v>42602</v>
      </c>
      <c r="C38" s="84">
        <v>198</v>
      </c>
      <c r="D38" s="88">
        <v>1</v>
      </c>
      <c r="E38" s="84" t="s">
        <v>95</v>
      </c>
      <c r="F38" s="84" t="s">
        <v>19</v>
      </c>
      <c r="G38" s="84"/>
      <c r="H38" s="45">
        <v>23.9</v>
      </c>
      <c r="I38" s="45">
        <f t="shared" si="5"/>
        <v>21.509999999999998</v>
      </c>
      <c r="J38" s="42">
        <v>7.4</v>
      </c>
      <c r="K38" s="45">
        <f t="shared" si="6"/>
        <v>52.809999999999995</v>
      </c>
      <c r="L38" s="45">
        <f t="shared" si="7"/>
        <v>5.2809999999999997</v>
      </c>
      <c r="M38" s="45">
        <f t="shared" si="8"/>
        <v>58.090999999999994</v>
      </c>
      <c r="N38" s="89">
        <v>60</v>
      </c>
      <c r="O38" s="84" t="s">
        <v>96</v>
      </c>
      <c r="P38" s="84" t="s">
        <v>26</v>
      </c>
      <c r="Q38" s="84" t="s">
        <v>85</v>
      </c>
    </row>
    <row r="39" spans="1:17" x14ac:dyDescent="0.25">
      <c r="A39" s="1" t="s">
        <v>17</v>
      </c>
      <c r="B39" s="2">
        <v>42602</v>
      </c>
      <c r="C39" s="1">
        <v>127</v>
      </c>
      <c r="D39" s="25">
        <v>1</v>
      </c>
      <c r="E39" s="1" t="s">
        <v>97</v>
      </c>
      <c r="F39" s="1" t="s">
        <v>29</v>
      </c>
      <c r="G39" s="1"/>
      <c r="H39" s="1">
        <v>22.9</v>
      </c>
      <c r="I39" s="1">
        <f t="shared" si="5"/>
        <v>20.61</v>
      </c>
      <c r="J39" s="21">
        <v>7.4</v>
      </c>
      <c r="K39" s="1">
        <f t="shared" si="6"/>
        <v>50.91</v>
      </c>
      <c r="L39" s="7">
        <f t="shared" si="7"/>
        <v>5.0910000000000002</v>
      </c>
      <c r="M39" s="1">
        <f t="shared" si="8"/>
        <v>56.000999999999998</v>
      </c>
      <c r="N39" s="21">
        <v>60</v>
      </c>
      <c r="O39" s="1" t="s">
        <v>84</v>
      </c>
      <c r="P39" s="1" t="s">
        <v>26</v>
      </c>
      <c r="Q39" s="1" t="s">
        <v>98</v>
      </c>
    </row>
    <row r="40" spans="1:17" ht="45" x14ac:dyDescent="0.25">
      <c r="A40" s="84" t="s">
        <v>17</v>
      </c>
      <c r="B40" s="87">
        <v>42602</v>
      </c>
      <c r="C40" s="84">
        <v>238</v>
      </c>
      <c r="D40" s="88">
        <v>1</v>
      </c>
      <c r="E40" s="84" t="s">
        <v>99</v>
      </c>
      <c r="F40" s="84" t="s">
        <v>19</v>
      </c>
      <c r="G40" s="84"/>
      <c r="H40" s="45">
        <v>23.9</v>
      </c>
      <c r="I40" s="45">
        <f t="shared" si="5"/>
        <v>21.509999999999998</v>
      </c>
      <c r="J40" s="42">
        <v>7.4</v>
      </c>
      <c r="K40" s="45">
        <f t="shared" si="6"/>
        <v>52.809999999999995</v>
      </c>
      <c r="L40" s="45">
        <f t="shared" si="7"/>
        <v>5.2809999999999997</v>
      </c>
      <c r="M40" s="45">
        <f t="shared" si="8"/>
        <v>58.090999999999994</v>
      </c>
      <c r="N40" s="89">
        <v>65</v>
      </c>
      <c r="O40" s="84" t="s">
        <v>100</v>
      </c>
      <c r="P40" s="8" t="s">
        <v>101</v>
      </c>
      <c r="Q40" s="45" t="s">
        <v>102</v>
      </c>
    </row>
    <row r="41" spans="1:17" x14ac:dyDescent="0.25">
      <c r="A41" s="1" t="s">
        <v>103</v>
      </c>
      <c r="B41" s="2">
        <v>42581</v>
      </c>
      <c r="C41" s="1">
        <v>309</v>
      </c>
      <c r="D41" s="25">
        <v>1</v>
      </c>
      <c r="E41" s="1" t="s">
        <v>30</v>
      </c>
      <c r="F41" s="1" t="s">
        <v>31</v>
      </c>
      <c r="G41" s="1" t="s">
        <v>24</v>
      </c>
      <c r="H41" s="1">
        <v>8</v>
      </c>
      <c r="I41" s="26">
        <f t="shared" si="5"/>
        <v>7.2</v>
      </c>
      <c r="J41" s="21">
        <v>0</v>
      </c>
      <c r="K41" s="1">
        <f t="shared" si="6"/>
        <v>15.2</v>
      </c>
      <c r="L41" s="27">
        <f t="shared" si="7"/>
        <v>1.52</v>
      </c>
      <c r="M41" s="1">
        <f t="shared" si="8"/>
        <v>16.72</v>
      </c>
      <c r="N41" s="21">
        <v>15</v>
      </c>
      <c r="O41" s="1" t="s">
        <v>104</v>
      </c>
      <c r="P41" s="1" t="s">
        <v>105</v>
      </c>
      <c r="Q41" s="1" t="s">
        <v>106</v>
      </c>
    </row>
    <row r="42" spans="1:17" x14ac:dyDescent="0.25">
      <c r="A42" s="1" t="s">
        <v>103</v>
      </c>
      <c r="B42" s="2">
        <v>42581</v>
      </c>
      <c r="C42" s="1">
        <v>309</v>
      </c>
      <c r="D42" s="25">
        <v>1</v>
      </c>
      <c r="E42" s="1" t="s">
        <v>30</v>
      </c>
      <c r="F42" s="1" t="s">
        <v>31</v>
      </c>
      <c r="G42" s="1" t="s">
        <v>24</v>
      </c>
      <c r="H42" s="1">
        <v>8</v>
      </c>
      <c r="I42" s="17">
        <f t="shared" si="5"/>
        <v>7.2</v>
      </c>
      <c r="J42" s="21">
        <v>0</v>
      </c>
      <c r="K42" s="1">
        <f t="shared" si="6"/>
        <v>15.2</v>
      </c>
      <c r="L42" s="7">
        <f t="shared" si="7"/>
        <v>1.52</v>
      </c>
      <c r="M42" s="1">
        <f t="shared" si="8"/>
        <v>16.72</v>
      </c>
      <c r="N42" s="21">
        <v>15</v>
      </c>
      <c r="O42" s="1" t="s">
        <v>107</v>
      </c>
      <c r="P42" s="1" t="s">
        <v>108</v>
      </c>
      <c r="Q42" s="1" t="s">
        <v>109</v>
      </c>
    </row>
    <row r="43" spans="1:17" x14ac:dyDescent="0.25">
      <c r="A43" s="1" t="s">
        <v>103</v>
      </c>
      <c r="B43" s="2">
        <v>42581</v>
      </c>
      <c r="C43" s="1">
        <v>309</v>
      </c>
      <c r="D43" s="25">
        <v>1</v>
      </c>
      <c r="E43" s="1" t="s">
        <v>30</v>
      </c>
      <c r="F43" s="1" t="s">
        <v>31</v>
      </c>
      <c r="G43" s="1" t="s">
        <v>24</v>
      </c>
      <c r="H43" s="1">
        <v>8</v>
      </c>
      <c r="I43" s="17">
        <f t="shared" si="5"/>
        <v>7.2</v>
      </c>
      <c r="J43" s="21">
        <v>0</v>
      </c>
      <c r="K43" s="1">
        <f t="shared" si="6"/>
        <v>15.2</v>
      </c>
      <c r="L43" s="7">
        <f t="shared" si="7"/>
        <v>1.52</v>
      </c>
      <c r="M43" s="1">
        <f t="shared" si="8"/>
        <v>16.72</v>
      </c>
      <c r="N43" s="21">
        <v>15</v>
      </c>
      <c r="O43" s="1" t="s">
        <v>107</v>
      </c>
      <c r="P43" s="1" t="s">
        <v>108</v>
      </c>
      <c r="Q43" s="1" t="s">
        <v>109</v>
      </c>
    </row>
    <row r="44" spans="1:17" x14ac:dyDescent="0.25">
      <c r="A44" s="1" t="s">
        <v>103</v>
      </c>
      <c r="B44" s="2">
        <v>42581</v>
      </c>
      <c r="C44" s="1">
        <v>309</v>
      </c>
      <c r="D44" s="25">
        <v>1</v>
      </c>
      <c r="E44" s="1" t="s">
        <v>30</v>
      </c>
      <c r="F44" s="1" t="s">
        <v>31</v>
      </c>
      <c r="G44" s="1" t="s">
        <v>110</v>
      </c>
      <c r="H44" s="1">
        <v>8</v>
      </c>
      <c r="I44" s="26">
        <f t="shared" si="5"/>
        <v>7.2</v>
      </c>
      <c r="J44" s="21">
        <v>0</v>
      </c>
      <c r="K44" s="1">
        <f t="shared" si="6"/>
        <v>15.2</v>
      </c>
      <c r="L44" s="27">
        <f t="shared" si="7"/>
        <v>1.52</v>
      </c>
      <c r="M44" s="1">
        <f t="shared" si="8"/>
        <v>16.72</v>
      </c>
      <c r="N44" s="21">
        <v>15</v>
      </c>
      <c r="O44" s="1" t="s">
        <v>111</v>
      </c>
      <c r="P44" s="2">
        <v>42597</v>
      </c>
      <c r="Q44" s="1" t="s">
        <v>112</v>
      </c>
    </row>
    <row r="45" spans="1:17" x14ac:dyDescent="0.25">
      <c r="A45" s="1" t="s">
        <v>103</v>
      </c>
      <c r="B45" s="2">
        <v>42581</v>
      </c>
      <c r="C45" s="1">
        <v>376</v>
      </c>
      <c r="D45" s="25">
        <v>1</v>
      </c>
      <c r="E45" s="1" t="s">
        <v>44</v>
      </c>
      <c r="F45" s="1" t="s">
        <v>31</v>
      </c>
      <c r="G45" s="1"/>
      <c r="H45" s="1">
        <v>6</v>
      </c>
      <c r="I45" s="17">
        <f t="shared" si="5"/>
        <v>5.4</v>
      </c>
      <c r="J45" s="21">
        <v>0</v>
      </c>
      <c r="K45" s="1">
        <f t="shared" si="6"/>
        <v>11.4</v>
      </c>
      <c r="L45" s="7">
        <f t="shared" si="7"/>
        <v>1.1400000000000001</v>
      </c>
      <c r="M45" s="1">
        <f t="shared" si="8"/>
        <v>12.540000000000001</v>
      </c>
      <c r="N45" s="21">
        <v>12</v>
      </c>
      <c r="O45" s="1" t="s">
        <v>113</v>
      </c>
      <c r="P45" s="1" t="s">
        <v>108</v>
      </c>
      <c r="Q45" s="1" t="s">
        <v>114</v>
      </c>
    </row>
    <row r="46" spans="1:17" x14ac:dyDescent="0.25">
      <c r="A46" s="1" t="s">
        <v>103</v>
      </c>
      <c r="B46" s="2">
        <v>42581</v>
      </c>
      <c r="C46" s="1">
        <v>376</v>
      </c>
      <c r="D46" s="25">
        <v>1</v>
      </c>
      <c r="E46" s="1" t="s">
        <v>44</v>
      </c>
      <c r="F46" s="1" t="s">
        <v>31</v>
      </c>
      <c r="G46" s="1"/>
      <c r="H46" s="1">
        <v>6</v>
      </c>
      <c r="I46" s="17">
        <f t="shared" si="5"/>
        <v>5.4</v>
      </c>
      <c r="J46" s="21">
        <v>0</v>
      </c>
      <c r="K46" s="1">
        <f t="shared" si="6"/>
        <v>11.4</v>
      </c>
      <c r="L46" s="7">
        <f t="shared" si="7"/>
        <v>1.1400000000000001</v>
      </c>
      <c r="M46" s="1">
        <f t="shared" si="8"/>
        <v>12.540000000000001</v>
      </c>
      <c r="N46" s="21">
        <v>12</v>
      </c>
      <c r="O46" s="1" t="s">
        <v>113</v>
      </c>
      <c r="P46" s="1" t="s">
        <v>108</v>
      </c>
      <c r="Q46" s="1" t="s">
        <v>114</v>
      </c>
    </row>
    <row r="47" spans="1:17" x14ac:dyDescent="0.25">
      <c r="A47" s="16" t="s">
        <v>103</v>
      </c>
      <c r="B47" s="2">
        <v>42581</v>
      </c>
      <c r="C47" s="1">
        <v>376</v>
      </c>
      <c r="D47" s="25">
        <v>1</v>
      </c>
      <c r="E47" s="1" t="s">
        <v>44</v>
      </c>
      <c r="F47" s="1" t="s">
        <v>31</v>
      </c>
      <c r="G47" s="1"/>
      <c r="H47" s="1">
        <v>6</v>
      </c>
      <c r="I47" s="17">
        <f t="shared" si="5"/>
        <v>5.4</v>
      </c>
      <c r="J47" s="21">
        <v>0</v>
      </c>
      <c r="K47" s="1">
        <f t="shared" si="6"/>
        <v>11.4</v>
      </c>
      <c r="L47" s="7">
        <f t="shared" si="7"/>
        <v>1.1400000000000001</v>
      </c>
      <c r="M47" s="1">
        <f t="shared" si="8"/>
        <v>12.540000000000001</v>
      </c>
      <c r="N47" s="21">
        <v>12</v>
      </c>
      <c r="O47" s="1" t="s">
        <v>113</v>
      </c>
      <c r="P47" s="1" t="s">
        <v>108</v>
      </c>
      <c r="Q47" s="1" t="s">
        <v>114</v>
      </c>
    </row>
    <row r="48" spans="1:17" x14ac:dyDescent="0.25">
      <c r="A48" s="16" t="s">
        <v>103</v>
      </c>
      <c r="B48" s="2">
        <v>42581</v>
      </c>
      <c r="C48" s="1">
        <v>376</v>
      </c>
      <c r="D48" s="25">
        <v>1</v>
      </c>
      <c r="E48" s="1" t="s">
        <v>44</v>
      </c>
      <c r="F48" s="1" t="s">
        <v>31</v>
      </c>
      <c r="G48" s="1"/>
      <c r="H48" s="1">
        <v>6</v>
      </c>
      <c r="I48" s="17">
        <f t="shared" si="5"/>
        <v>5.4</v>
      </c>
      <c r="J48" s="21">
        <v>0</v>
      </c>
      <c r="K48" s="1">
        <f t="shared" si="6"/>
        <v>11.4</v>
      </c>
      <c r="L48" s="7">
        <f t="shared" si="7"/>
        <v>1.1400000000000001</v>
      </c>
      <c r="M48" s="1">
        <f t="shared" si="8"/>
        <v>12.540000000000001</v>
      </c>
      <c r="N48" s="21">
        <v>12</v>
      </c>
      <c r="O48" s="1" t="s">
        <v>113</v>
      </c>
      <c r="P48" s="1" t="s">
        <v>108</v>
      </c>
      <c r="Q48" s="1" t="s">
        <v>114</v>
      </c>
    </row>
    <row r="49" spans="1:17" x14ac:dyDescent="0.25">
      <c r="A49" s="16" t="s">
        <v>103</v>
      </c>
      <c r="B49" s="2">
        <v>42581</v>
      </c>
      <c r="C49" s="45">
        <v>376</v>
      </c>
      <c r="D49" s="25">
        <v>1</v>
      </c>
      <c r="E49" s="1" t="s">
        <v>44</v>
      </c>
      <c r="F49" s="1" t="s">
        <v>31</v>
      </c>
      <c r="G49" s="1"/>
      <c r="H49" s="1">
        <v>6</v>
      </c>
      <c r="I49" s="80">
        <f t="shared" si="5"/>
        <v>5.4</v>
      </c>
      <c r="J49" s="21">
        <v>0</v>
      </c>
      <c r="K49" s="1">
        <f t="shared" si="6"/>
        <v>11.4</v>
      </c>
      <c r="L49" s="45">
        <f t="shared" si="7"/>
        <v>1.1400000000000001</v>
      </c>
      <c r="M49" s="1">
        <f t="shared" si="8"/>
        <v>12.540000000000001</v>
      </c>
      <c r="N49" s="21">
        <v>12</v>
      </c>
      <c r="O49" s="1"/>
      <c r="P49" s="1"/>
      <c r="Q49" s="1"/>
    </row>
    <row r="50" spans="1:17" x14ac:dyDescent="0.25">
      <c r="A50" s="16" t="s">
        <v>103</v>
      </c>
      <c r="B50" s="2">
        <v>42581</v>
      </c>
      <c r="C50" s="1" t="s">
        <v>115</v>
      </c>
      <c r="D50" s="25">
        <v>1</v>
      </c>
      <c r="E50" s="1" t="s">
        <v>116</v>
      </c>
      <c r="F50" s="1" t="s">
        <v>117</v>
      </c>
      <c r="G50" s="1" t="s">
        <v>110</v>
      </c>
      <c r="H50" s="1">
        <v>8</v>
      </c>
      <c r="I50" s="27">
        <f t="shared" si="5"/>
        <v>7.2</v>
      </c>
      <c r="J50" s="21">
        <v>0</v>
      </c>
      <c r="K50" s="1">
        <f t="shared" si="6"/>
        <v>15.2</v>
      </c>
      <c r="L50" s="27">
        <f t="shared" si="7"/>
        <v>1.52</v>
      </c>
      <c r="M50" s="1">
        <f t="shared" si="8"/>
        <v>16.72</v>
      </c>
      <c r="N50" s="21">
        <v>18</v>
      </c>
      <c r="O50" s="1" t="s">
        <v>118</v>
      </c>
      <c r="P50" s="2">
        <v>42597</v>
      </c>
      <c r="Q50" s="1" t="s">
        <v>40</v>
      </c>
    </row>
    <row r="51" spans="1:17" x14ac:dyDescent="0.25">
      <c r="A51" s="16" t="s">
        <v>103</v>
      </c>
      <c r="B51" s="2">
        <v>42581</v>
      </c>
      <c r="C51" s="45">
        <v>2008</v>
      </c>
      <c r="D51" s="25">
        <v>1</v>
      </c>
      <c r="E51" s="1" t="s">
        <v>119</v>
      </c>
      <c r="F51" s="1" t="s">
        <v>29</v>
      </c>
      <c r="G51" s="1"/>
      <c r="H51" s="1">
        <v>9</v>
      </c>
      <c r="I51" s="80">
        <f t="shared" si="5"/>
        <v>8.1</v>
      </c>
      <c r="J51" s="21">
        <v>2</v>
      </c>
      <c r="K51" s="1">
        <f t="shared" si="6"/>
        <v>19.100000000000001</v>
      </c>
      <c r="L51" s="27">
        <f t="shared" si="7"/>
        <v>1.9100000000000001</v>
      </c>
      <c r="M51" s="1">
        <f t="shared" si="8"/>
        <v>21.01</v>
      </c>
      <c r="N51" s="21">
        <v>20</v>
      </c>
      <c r="O51" s="1" t="s">
        <v>120</v>
      </c>
      <c r="P51" s="1" t="s">
        <v>26</v>
      </c>
      <c r="Q51" s="1" t="s">
        <v>121</v>
      </c>
    </row>
    <row r="52" spans="1:17" ht="30" x14ac:dyDescent="0.25">
      <c r="A52" s="16" t="s">
        <v>103</v>
      </c>
      <c r="B52" s="2">
        <v>42581</v>
      </c>
      <c r="C52" s="1">
        <v>8022102</v>
      </c>
      <c r="D52" s="25">
        <v>1</v>
      </c>
      <c r="E52" s="1" t="s">
        <v>122</v>
      </c>
      <c r="F52" s="1" t="s">
        <v>19</v>
      </c>
      <c r="G52" s="1"/>
      <c r="H52" s="1">
        <v>11</v>
      </c>
      <c r="I52" s="17">
        <f t="shared" si="5"/>
        <v>9.9</v>
      </c>
      <c r="J52" s="21">
        <v>2</v>
      </c>
      <c r="K52" s="1">
        <f t="shared" si="6"/>
        <v>22.9</v>
      </c>
      <c r="L52" s="7">
        <f t="shared" si="7"/>
        <v>2.29</v>
      </c>
      <c r="M52" s="1">
        <f t="shared" si="8"/>
        <v>25.189999999999998</v>
      </c>
      <c r="N52" s="21">
        <v>25</v>
      </c>
      <c r="O52" s="1" t="s">
        <v>107</v>
      </c>
      <c r="P52" s="8" t="s">
        <v>123</v>
      </c>
      <c r="Q52" s="1" t="s">
        <v>124</v>
      </c>
    </row>
    <row r="53" spans="1:17" x14ac:dyDescent="0.25">
      <c r="A53" s="16" t="s">
        <v>103</v>
      </c>
      <c r="B53" s="2">
        <v>42581</v>
      </c>
      <c r="C53" s="1">
        <v>8022102</v>
      </c>
      <c r="D53" s="25">
        <v>1</v>
      </c>
      <c r="E53" s="1" t="s">
        <v>125</v>
      </c>
      <c r="F53" s="1" t="s">
        <v>29</v>
      </c>
      <c r="G53" s="1" t="s">
        <v>110</v>
      </c>
      <c r="H53" s="1">
        <v>11</v>
      </c>
      <c r="I53" s="26">
        <f t="shared" si="5"/>
        <v>9.9</v>
      </c>
      <c r="J53" s="21">
        <v>2</v>
      </c>
      <c r="K53" s="1">
        <f t="shared" si="6"/>
        <v>22.9</v>
      </c>
      <c r="L53" s="27">
        <f t="shared" si="7"/>
        <v>2.29</v>
      </c>
      <c r="M53" s="1">
        <f t="shared" si="8"/>
        <v>25.189999999999998</v>
      </c>
      <c r="N53" s="21">
        <v>25</v>
      </c>
      <c r="O53" s="1" t="s">
        <v>126</v>
      </c>
      <c r="P53" s="2">
        <v>42612</v>
      </c>
      <c r="Q53" s="1" t="s">
        <v>127</v>
      </c>
    </row>
    <row r="54" spans="1:17" x14ac:dyDescent="0.25">
      <c r="A54" s="16" t="s">
        <v>103</v>
      </c>
      <c r="B54" s="2">
        <v>42581</v>
      </c>
      <c r="C54" s="1">
        <v>8022102</v>
      </c>
      <c r="D54" s="25">
        <v>1</v>
      </c>
      <c r="E54" s="1" t="s">
        <v>128</v>
      </c>
      <c r="F54" s="1" t="s">
        <v>29</v>
      </c>
      <c r="G54" s="1" t="s">
        <v>24</v>
      </c>
      <c r="H54" s="1">
        <v>11</v>
      </c>
      <c r="I54" s="26">
        <f t="shared" si="5"/>
        <v>9.9</v>
      </c>
      <c r="J54" s="21">
        <v>2</v>
      </c>
      <c r="K54" s="1">
        <f t="shared" si="6"/>
        <v>22.9</v>
      </c>
      <c r="L54" s="27">
        <f t="shared" si="7"/>
        <v>2.29</v>
      </c>
      <c r="M54" s="1">
        <f t="shared" si="8"/>
        <v>25.189999999999998</v>
      </c>
      <c r="N54" s="21">
        <v>25</v>
      </c>
      <c r="O54" s="1" t="s">
        <v>126</v>
      </c>
      <c r="P54" s="2">
        <v>42612</v>
      </c>
      <c r="Q54" s="1" t="s">
        <v>127</v>
      </c>
    </row>
    <row r="55" spans="1:17" x14ac:dyDescent="0.25">
      <c r="A55" s="16" t="s">
        <v>103</v>
      </c>
      <c r="B55" s="2">
        <v>42581</v>
      </c>
      <c r="C55" s="1">
        <v>113001</v>
      </c>
      <c r="D55" s="25">
        <v>1</v>
      </c>
      <c r="E55" s="1" t="s">
        <v>129</v>
      </c>
      <c r="F55" s="1" t="s">
        <v>29</v>
      </c>
      <c r="G55" s="1" t="s">
        <v>24</v>
      </c>
      <c r="H55" s="1">
        <v>10.5</v>
      </c>
      <c r="I55" s="26">
        <f t="shared" si="5"/>
        <v>9.4500000000000011</v>
      </c>
      <c r="J55" s="21">
        <v>2</v>
      </c>
      <c r="K55" s="1">
        <f t="shared" si="6"/>
        <v>21.950000000000003</v>
      </c>
      <c r="L55" s="27">
        <f t="shared" si="7"/>
        <v>2.1950000000000003</v>
      </c>
      <c r="M55" s="1">
        <f t="shared" si="8"/>
        <v>24.145000000000003</v>
      </c>
      <c r="N55" s="21">
        <v>24</v>
      </c>
      <c r="O55" s="1" t="s">
        <v>104</v>
      </c>
      <c r="P55" s="1" t="s">
        <v>130</v>
      </c>
      <c r="Q55" s="1" t="s">
        <v>106</v>
      </c>
    </row>
    <row r="56" spans="1:17" x14ac:dyDescent="0.25">
      <c r="A56" s="16" t="s">
        <v>103</v>
      </c>
      <c r="B56" s="2">
        <v>42581</v>
      </c>
      <c r="C56" s="1">
        <v>113001</v>
      </c>
      <c r="D56" s="25">
        <v>1</v>
      </c>
      <c r="E56" s="1" t="s">
        <v>129</v>
      </c>
      <c r="F56" s="1" t="s">
        <v>19</v>
      </c>
      <c r="G56" s="1" t="s">
        <v>110</v>
      </c>
      <c r="H56" s="1">
        <v>10.5</v>
      </c>
      <c r="I56" s="26">
        <f t="shared" si="5"/>
        <v>9.4500000000000011</v>
      </c>
      <c r="J56" s="21">
        <v>2</v>
      </c>
      <c r="K56" s="1">
        <f t="shared" si="6"/>
        <v>21.950000000000003</v>
      </c>
      <c r="L56" s="27">
        <f t="shared" si="7"/>
        <v>2.1950000000000003</v>
      </c>
      <c r="M56" s="1">
        <f t="shared" si="8"/>
        <v>24.145000000000003</v>
      </c>
      <c r="N56" s="21">
        <v>24</v>
      </c>
      <c r="O56" s="1" t="s">
        <v>111</v>
      </c>
      <c r="P56" s="1" t="s">
        <v>108</v>
      </c>
      <c r="Q56" s="1" t="s">
        <v>131</v>
      </c>
    </row>
    <row r="57" spans="1:17" x14ac:dyDescent="0.25">
      <c r="A57" s="16" t="s">
        <v>103</v>
      </c>
      <c r="B57" s="2">
        <v>42572</v>
      </c>
      <c r="C57" s="45">
        <v>82120654</v>
      </c>
      <c r="D57" s="25">
        <v>1</v>
      </c>
      <c r="E57" s="1" t="s">
        <v>132</v>
      </c>
      <c r="F57" s="1" t="s">
        <v>65</v>
      </c>
      <c r="G57" s="1" t="s">
        <v>110</v>
      </c>
      <c r="H57" s="1">
        <v>38.61</v>
      </c>
      <c r="I57" s="26">
        <f t="shared" si="5"/>
        <v>34.749000000000002</v>
      </c>
      <c r="J57" s="21">
        <v>7.4</v>
      </c>
      <c r="K57" s="1">
        <f t="shared" si="6"/>
        <v>80.759</v>
      </c>
      <c r="L57" s="27">
        <f t="shared" si="7"/>
        <v>8.0759000000000007</v>
      </c>
      <c r="M57" s="1">
        <f t="shared" si="8"/>
        <v>88.834900000000005</v>
      </c>
      <c r="N57" s="21">
        <v>60</v>
      </c>
      <c r="O57" s="1" t="s">
        <v>133</v>
      </c>
      <c r="P57" s="1" t="s">
        <v>134</v>
      </c>
      <c r="Q57" s="1" t="s">
        <v>135</v>
      </c>
    </row>
    <row r="58" spans="1:17" x14ac:dyDescent="0.25">
      <c r="A58" s="16" t="s">
        <v>103</v>
      </c>
      <c r="B58" s="2">
        <v>42581</v>
      </c>
      <c r="C58" s="45">
        <v>110</v>
      </c>
      <c r="D58" s="25">
        <v>1</v>
      </c>
      <c r="E58" s="1" t="s">
        <v>136</v>
      </c>
      <c r="F58" s="1" t="s">
        <v>52</v>
      </c>
      <c r="G58" s="1" t="s">
        <v>110</v>
      </c>
      <c r="H58" s="1">
        <v>35</v>
      </c>
      <c r="I58" s="26">
        <f t="shared" si="5"/>
        <v>31.5</v>
      </c>
      <c r="J58" s="21">
        <v>7.4</v>
      </c>
      <c r="K58" s="1">
        <f t="shared" si="6"/>
        <v>73.900000000000006</v>
      </c>
      <c r="L58" s="27">
        <f t="shared" si="7"/>
        <v>7.3900000000000006</v>
      </c>
      <c r="M58" s="1">
        <f t="shared" si="8"/>
        <v>81.290000000000006</v>
      </c>
      <c r="N58" s="21">
        <v>65</v>
      </c>
      <c r="O58" s="1" t="s">
        <v>137</v>
      </c>
      <c r="P58" s="1" t="s">
        <v>26</v>
      </c>
      <c r="Q58" s="1" t="s">
        <v>138</v>
      </c>
    </row>
    <row r="59" spans="1:17" x14ac:dyDescent="0.25">
      <c r="A59" s="16" t="s">
        <v>103</v>
      </c>
      <c r="B59" s="2">
        <v>42581</v>
      </c>
      <c r="C59" s="1" t="s">
        <v>139</v>
      </c>
      <c r="D59" s="25">
        <v>1</v>
      </c>
      <c r="E59" s="1" t="s">
        <v>140</v>
      </c>
      <c r="F59" s="1" t="s">
        <v>29</v>
      </c>
      <c r="G59" s="1" t="s">
        <v>24</v>
      </c>
      <c r="H59" s="1">
        <v>27</v>
      </c>
      <c r="I59" s="26">
        <f t="shared" si="5"/>
        <v>24.3</v>
      </c>
      <c r="J59" s="21">
        <v>7.4</v>
      </c>
      <c r="K59" s="1">
        <f t="shared" si="6"/>
        <v>58.7</v>
      </c>
      <c r="L59" s="27">
        <f t="shared" si="7"/>
        <v>5.870000000000001</v>
      </c>
      <c r="M59" s="1">
        <f t="shared" si="8"/>
        <v>64.570000000000007</v>
      </c>
      <c r="N59" s="21">
        <v>50</v>
      </c>
      <c r="O59" s="1" t="s">
        <v>126</v>
      </c>
      <c r="P59" s="2">
        <v>42612</v>
      </c>
      <c r="Q59" s="1" t="s">
        <v>127</v>
      </c>
    </row>
    <row r="60" spans="1:17" ht="60" x14ac:dyDescent="0.25">
      <c r="A60" s="16" t="s">
        <v>103</v>
      </c>
      <c r="B60" s="2">
        <v>42572</v>
      </c>
      <c r="C60" s="1">
        <v>5002642</v>
      </c>
      <c r="D60" s="25">
        <v>1</v>
      </c>
      <c r="E60" s="1" t="s">
        <v>141</v>
      </c>
      <c r="F60" s="1" t="s">
        <v>19</v>
      </c>
      <c r="G60" s="1" t="s">
        <v>24</v>
      </c>
      <c r="H60" s="1">
        <v>41.23</v>
      </c>
      <c r="I60" s="26">
        <f t="shared" si="5"/>
        <v>37.106999999999999</v>
      </c>
      <c r="J60" s="21">
        <v>7.4</v>
      </c>
      <c r="K60" s="1">
        <f t="shared" si="6"/>
        <v>85.736999999999995</v>
      </c>
      <c r="L60" s="27">
        <f t="shared" si="7"/>
        <v>8.5737000000000005</v>
      </c>
      <c r="M60" s="1">
        <f t="shared" si="8"/>
        <v>94.310699999999997</v>
      </c>
      <c r="N60" s="21">
        <v>80</v>
      </c>
      <c r="O60" s="1" t="s">
        <v>142</v>
      </c>
      <c r="P60" s="8" t="s">
        <v>143</v>
      </c>
      <c r="Q60" s="1" t="s">
        <v>35</v>
      </c>
    </row>
    <row r="61" spans="1:17" x14ac:dyDescent="0.25">
      <c r="A61" s="1" t="s">
        <v>103</v>
      </c>
      <c r="B61" s="2">
        <v>42572</v>
      </c>
      <c r="C61" s="45">
        <v>5002642</v>
      </c>
      <c r="D61" s="25">
        <v>1</v>
      </c>
      <c r="E61" s="1" t="s">
        <v>144</v>
      </c>
      <c r="F61" s="1" t="s">
        <v>52</v>
      </c>
      <c r="G61" s="1"/>
      <c r="H61" s="1">
        <v>41.23</v>
      </c>
      <c r="I61" s="80">
        <f t="shared" si="5"/>
        <v>37.106999999999999</v>
      </c>
      <c r="J61" s="21">
        <v>7.4</v>
      </c>
      <c r="K61" s="1">
        <f t="shared" si="6"/>
        <v>85.736999999999995</v>
      </c>
      <c r="L61" s="27">
        <f t="shared" si="7"/>
        <v>8.5737000000000005</v>
      </c>
      <c r="M61" s="1">
        <f t="shared" si="8"/>
        <v>94.310699999999997</v>
      </c>
      <c r="N61" s="21">
        <v>80</v>
      </c>
      <c r="O61" s="1" t="s">
        <v>120</v>
      </c>
      <c r="P61" s="1" t="s">
        <v>26</v>
      </c>
      <c r="Q61" s="1" t="s">
        <v>121</v>
      </c>
    </row>
    <row r="62" spans="1:17" x14ac:dyDescent="0.25">
      <c r="A62" s="1" t="s">
        <v>103</v>
      </c>
      <c r="B62" s="2">
        <v>42581</v>
      </c>
      <c r="C62" s="1">
        <v>140</v>
      </c>
      <c r="D62" s="25">
        <v>1</v>
      </c>
      <c r="E62" s="1" t="s">
        <v>145</v>
      </c>
      <c r="F62" s="1" t="s">
        <v>19</v>
      </c>
      <c r="G62" s="1"/>
      <c r="H62" s="1">
        <v>35</v>
      </c>
      <c r="I62" s="17">
        <f t="shared" si="5"/>
        <v>31.5</v>
      </c>
      <c r="J62" s="21">
        <v>7.4</v>
      </c>
      <c r="K62" s="1">
        <f t="shared" si="6"/>
        <v>73.900000000000006</v>
      </c>
      <c r="L62" s="45">
        <f t="shared" si="7"/>
        <v>7.3900000000000006</v>
      </c>
      <c r="M62" s="1">
        <f t="shared" si="8"/>
        <v>81.290000000000006</v>
      </c>
      <c r="N62" s="21">
        <v>70</v>
      </c>
      <c r="O62" s="1"/>
      <c r="P62" s="8"/>
      <c r="Q62" s="1"/>
    </row>
    <row r="63" spans="1:17" ht="30" x14ac:dyDescent="0.25">
      <c r="A63" s="1" t="s">
        <v>103</v>
      </c>
      <c r="B63" s="2">
        <v>42581</v>
      </c>
      <c r="C63" s="1">
        <v>71605</v>
      </c>
      <c r="D63" s="25">
        <v>1</v>
      </c>
      <c r="E63" s="1" t="s">
        <v>146</v>
      </c>
      <c r="F63" s="1" t="s">
        <v>29</v>
      </c>
      <c r="G63" s="1" t="s">
        <v>110</v>
      </c>
      <c r="H63" s="1">
        <v>35</v>
      </c>
      <c r="I63" s="26">
        <f t="shared" si="5"/>
        <v>31.5</v>
      </c>
      <c r="J63" s="21">
        <v>7.4</v>
      </c>
      <c r="K63" s="1">
        <f t="shared" si="6"/>
        <v>73.900000000000006</v>
      </c>
      <c r="L63" s="27">
        <f t="shared" si="7"/>
        <v>7.3900000000000006</v>
      </c>
      <c r="M63" s="1">
        <f t="shared" si="8"/>
        <v>81.290000000000006</v>
      </c>
      <c r="N63" s="21">
        <v>70</v>
      </c>
      <c r="O63" s="1" t="s">
        <v>147</v>
      </c>
      <c r="P63" s="8" t="s">
        <v>148</v>
      </c>
      <c r="Q63" s="1" t="s">
        <v>87</v>
      </c>
    </row>
    <row r="64" spans="1:17" x14ac:dyDescent="0.25">
      <c r="A64" s="1" t="s">
        <v>103</v>
      </c>
      <c r="B64" s="2">
        <v>42572</v>
      </c>
      <c r="C64" s="1">
        <v>3200054</v>
      </c>
      <c r="D64" s="25">
        <v>1</v>
      </c>
      <c r="E64" s="1" t="s">
        <v>149</v>
      </c>
      <c r="F64" s="1" t="s">
        <v>52</v>
      </c>
      <c r="G64" s="1" t="s">
        <v>24</v>
      </c>
      <c r="H64" s="1">
        <v>25.13</v>
      </c>
      <c r="I64" s="6">
        <f t="shared" si="5"/>
        <v>22.617000000000001</v>
      </c>
      <c r="J64" s="21">
        <v>7.4</v>
      </c>
      <c r="K64" s="1">
        <f t="shared" si="6"/>
        <v>55.147000000000006</v>
      </c>
      <c r="L64" s="7">
        <f t="shared" si="7"/>
        <v>5.5147000000000013</v>
      </c>
      <c r="M64" s="1">
        <f t="shared" si="8"/>
        <v>60.66170000000001</v>
      </c>
      <c r="N64" s="21">
        <v>55</v>
      </c>
      <c r="O64" s="1" t="s">
        <v>113</v>
      </c>
      <c r="P64" s="1" t="s">
        <v>134</v>
      </c>
      <c r="Q64" s="1" t="s">
        <v>150</v>
      </c>
    </row>
    <row r="65" spans="1:17" ht="45" x14ac:dyDescent="0.25">
      <c r="A65" s="1" t="s">
        <v>103</v>
      </c>
      <c r="B65" s="2">
        <v>42572</v>
      </c>
      <c r="C65" s="1">
        <v>5002475</v>
      </c>
      <c r="D65" s="25">
        <v>1</v>
      </c>
      <c r="E65" s="1" t="s">
        <v>151</v>
      </c>
      <c r="F65" s="1" t="s">
        <v>29</v>
      </c>
      <c r="G65" s="1" t="s">
        <v>110</v>
      </c>
      <c r="H65" s="1">
        <v>44.03</v>
      </c>
      <c r="I65" s="6">
        <f t="shared" si="5"/>
        <v>39.627000000000002</v>
      </c>
      <c r="J65" s="21">
        <v>7.4</v>
      </c>
      <c r="K65" s="1">
        <f t="shared" si="6"/>
        <v>91.057000000000002</v>
      </c>
      <c r="L65" s="7">
        <f t="shared" si="7"/>
        <v>9.1057000000000006</v>
      </c>
      <c r="M65" s="1">
        <f t="shared" si="8"/>
        <v>100.1627</v>
      </c>
      <c r="N65" s="21">
        <v>95</v>
      </c>
      <c r="O65" s="1" t="s">
        <v>152</v>
      </c>
      <c r="P65" s="8" t="s">
        <v>153</v>
      </c>
      <c r="Q65" s="8" t="s">
        <v>154</v>
      </c>
    </row>
    <row r="66" spans="1:17" ht="60" x14ac:dyDescent="0.25">
      <c r="A66" s="1" t="s">
        <v>103</v>
      </c>
      <c r="B66" s="2">
        <v>42572</v>
      </c>
      <c r="C66" s="1">
        <v>1011754</v>
      </c>
      <c r="D66" s="25">
        <v>1</v>
      </c>
      <c r="E66" s="1" t="s">
        <v>155</v>
      </c>
      <c r="F66" s="1" t="s">
        <v>29</v>
      </c>
      <c r="G66" s="1" t="s">
        <v>110</v>
      </c>
      <c r="H66" s="1">
        <v>35.909999999999997</v>
      </c>
      <c r="I66" s="26">
        <f t="shared" si="5"/>
        <v>32.318999999999996</v>
      </c>
      <c r="J66" s="21">
        <v>7.4</v>
      </c>
      <c r="K66" s="1">
        <f t="shared" si="6"/>
        <v>75.628999999999991</v>
      </c>
      <c r="L66" s="27">
        <f t="shared" si="7"/>
        <v>7.5628999999999991</v>
      </c>
      <c r="M66" s="1">
        <f t="shared" si="8"/>
        <v>83.19189999999999</v>
      </c>
      <c r="N66" s="21">
        <v>80</v>
      </c>
      <c r="O66" s="1" t="s">
        <v>156</v>
      </c>
      <c r="P66" s="8" t="s">
        <v>143</v>
      </c>
      <c r="Q66" s="1" t="s">
        <v>63</v>
      </c>
    </row>
    <row r="67" spans="1:17" x14ac:dyDescent="0.25">
      <c r="A67" s="82" t="s">
        <v>103</v>
      </c>
      <c r="B67" s="83">
        <v>42572</v>
      </c>
      <c r="C67" s="84">
        <v>1011654</v>
      </c>
      <c r="D67" s="85">
        <v>1</v>
      </c>
      <c r="E67" s="82" t="s">
        <v>157</v>
      </c>
      <c r="F67" s="82" t="s">
        <v>19</v>
      </c>
      <c r="G67" s="82"/>
      <c r="H67" s="1">
        <v>40.409999999999997</v>
      </c>
      <c r="I67" s="80">
        <f t="shared" si="5"/>
        <v>36.369</v>
      </c>
      <c r="J67" s="21">
        <v>7.4</v>
      </c>
      <c r="K67" s="1">
        <f t="shared" si="6"/>
        <v>84.179000000000002</v>
      </c>
      <c r="L67" s="27">
        <f t="shared" si="7"/>
        <v>8.4179000000000013</v>
      </c>
      <c r="M67" s="1">
        <f t="shared" si="8"/>
        <v>92.596900000000005</v>
      </c>
      <c r="N67" s="86">
        <v>90</v>
      </c>
      <c r="O67" s="84" t="s">
        <v>96</v>
      </c>
      <c r="P67" s="84" t="s">
        <v>26</v>
      </c>
      <c r="Q67" s="84" t="s">
        <v>85</v>
      </c>
    </row>
    <row r="68" spans="1:17" x14ac:dyDescent="0.25">
      <c r="A68" s="1" t="s">
        <v>103</v>
      </c>
      <c r="B68" s="2">
        <v>42572</v>
      </c>
      <c r="C68" s="45">
        <v>2800018</v>
      </c>
      <c r="D68" s="25">
        <v>1</v>
      </c>
      <c r="E68" s="1" t="s">
        <v>158</v>
      </c>
      <c r="F68" s="1" t="s">
        <v>29</v>
      </c>
      <c r="G68" s="1"/>
      <c r="H68" s="1">
        <v>35.01</v>
      </c>
      <c r="I68" s="80">
        <f t="shared" ref="I68:I99" si="9">H68*$I$2</f>
        <v>31.509</v>
      </c>
      <c r="J68" s="21">
        <v>7.4</v>
      </c>
      <c r="K68" s="1">
        <f t="shared" ref="K68:K95" si="10">J68+I68+H68</f>
        <v>73.918999999999997</v>
      </c>
      <c r="L68" s="45">
        <f t="shared" ref="L68:L99" si="11">K68*$L$2</f>
        <v>7.3918999999999997</v>
      </c>
      <c r="M68" s="1">
        <f t="shared" ref="M68:M99" si="12">K68+L68</f>
        <v>81.310900000000004</v>
      </c>
      <c r="N68" s="21">
        <v>80</v>
      </c>
      <c r="O68" s="1"/>
      <c r="P68" s="1"/>
      <c r="Q68" s="1"/>
    </row>
    <row r="69" spans="1:17" x14ac:dyDescent="0.25">
      <c r="A69" s="1" t="s">
        <v>103</v>
      </c>
      <c r="B69" s="2">
        <v>42572</v>
      </c>
      <c r="C69" s="1">
        <v>3200053</v>
      </c>
      <c r="D69" s="25">
        <v>1</v>
      </c>
      <c r="E69" s="1" t="s">
        <v>159</v>
      </c>
      <c r="F69" s="1" t="s">
        <v>52</v>
      </c>
      <c r="G69" s="1" t="s">
        <v>24</v>
      </c>
      <c r="H69" s="1">
        <v>23.03</v>
      </c>
      <c r="I69" s="6">
        <f t="shared" si="9"/>
        <v>20.727</v>
      </c>
      <c r="J69" s="21">
        <v>7.4</v>
      </c>
      <c r="K69" s="1">
        <f t="shared" si="10"/>
        <v>51.157000000000004</v>
      </c>
      <c r="L69" s="7">
        <f t="shared" si="11"/>
        <v>5.1157000000000004</v>
      </c>
      <c r="M69" s="1">
        <f t="shared" si="12"/>
        <v>56.2727</v>
      </c>
      <c r="N69" s="21">
        <v>55</v>
      </c>
      <c r="O69" s="1" t="s">
        <v>113</v>
      </c>
      <c r="P69" s="1" t="s">
        <v>134</v>
      </c>
      <c r="Q69" s="1" t="s">
        <v>150</v>
      </c>
    </row>
    <row r="70" spans="1:17" x14ac:dyDescent="0.25">
      <c r="A70" s="1" t="s">
        <v>103</v>
      </c>
      <c r="B70" s="2">
        <v>42572</v>
      </c>
      <c r="C70" s="1">
        <v>5002472</v>
      </c>
      <c r="D70" s="25">
        <v>1</v>
      </c>
      <c r="E70" s="1" t="s">
        <v>160</v>
      </c>
      <c r="F70" s="1" t="s">
        <v>52</v>
      </c>
      <c r="G70" s="1" t="s">
        <v>110</v>
      </c>
      <c r="H70" s="1">
        <v>34.93</v>
      </c>
      <c r="I70" s="6">
        <f t="shared" si="9"/>
        <v>31.437000000000001</v>
      </c>
      <c r="J70" s="21">
        <v>7.4</v>
      </c>
      <c r="K70" s="1">
        <f t="shared" si="10"/>
        <v>73.766999999999996</v>
      </c>
      <c r="L70" s="7">
        <f t="shared" si="11"/>
        <v>7.3766999999999996</v>
      </c>
      <c r="M70" s="1">
        <f t="shared" si="12"/>
        <v>81.143699999999995</v>
      </c>
      <c r="N70" s="21">
        <v>80</v>
      </c>
      <c r="O70" s="1" t="s">
        <v>161</v>
      </c>
      <c r="P70" s="1" t="s">
        <v>108</v>
      </c>
      <c r="Q70" s="1" t="s">
        <v>54</v>
      </c>
    </row>
    <row r="71" spans="1:17" ht="45" x14ac:dyDescent="0.25">
      <c r="A71" s="1" t="s">
        <v>103</v>
      </c>
      <c r="B71" s="2">
        <v>42572</v>
      </c>
      <c r="C71" s="1">
        <v>1010855</v>
      </c>
      <c r="D71" s="25">
        <v>1</v>
      </c>
      <c r="E71" s="1" t="s">
        <v>162</v>
      </c>
      <c r="F71" s="1" t="s">
        <v>29</v>
      </c>
      <c r="G71" s="1" t="s">
        <v>110</v>
      </c>
      <c r="H71" s="1">
        <v>39.51</v>
      </c>
      <c r="I71" s="6">
        <f t="shared" si="9"/>
        <v>35.558999999999997</v>
      </c>
      <c r="J71" s="21">
        <v>7.4</v>
      </c>
      <c r="K71" s="1">
        <f t="shared" si="10"/>
        <v>82.468999999999994</v>
      </c>
      <c r="L71" s="7">
        <f t="shared" si="11"/>
        <v>8.2469000000000001</v>
      </c>
      <c r="M71" s="1">
        <f t="shared" si="12"/>
        <v>90.715899999999991</v>
      </c>
      <c r="N71" s="21">
        <v>90</v>
      </c>
      <c r="O71" s="1" t="s">
        <v>152</v>
      </c>
      <c r="P71" s="8" t="s">
        <v>153</v>
      </c>
      <c r="Q71" s="8" t="s">
        <v>154</v>
      </c>
    </row>
    <row r="72" spans="1:17" x14ac:dyDescent="0.25">
      <c r="A72" s="1" t="s">
        <v>103</v>
      </c>
      <c r="B72" s="2">
        <v>42572</v>
      </c>
      <c r="C72" s="1">
        <v>1010993</v>
      </c>
      <c r="D72" s="25">
        <v>1</v>
      </c>
      <c r="E72" s="1" t="s">
        <v>163</v>
      </c>
      <c r="F72" s="1" t="s">
        <v>29</v>
      </c>
      <c r="G72" s="1" t="s">
        <v>24</v>
      </c>
      <c r="H72" s="1">
        <v>39.51</v>
      </c>
      <c r="I72" s="6">
        <f t="shared" si="9"/>
        <v>35.558999999999997</v>
      </c>
      <c r="J72" s="21">
        <v>7.4</v>
      </c>
      <c r="K72" s="1">
        <f t="shared" si="10"/>
        <v>82.468999999999994</v>
      </c>
      <c r="L72" s="7">
        <f t="shared" si="11"/>
        <v>8.2469000000000001</v>
      </c>
      <c r="M72" s="1">
        <f t="shared" si="12"/>
        <v>90.715899999999991</v>
      </c>
      <c r="N72" s="21">
        <v>90</v>
      </c>
      <c r="O72" s="1" t="s">
        <v>113</v>
      </c>
      <c r="P72" s="1" t="s">
        <v>134</v>
      </c>
      <c r="Q72" s="1" t="s">
        <v>150</v>
      </c>
    </row>
    <row r="73" spans="1:17" x14ac:dyDescent="0.25">
      <c r="A73" s="82" t="s">
        <v>103</v>
      </c>
      <c r="B73" s="83">
        <v>42572</v>
      </c>
      <c r="C73" s="84">
        <v>1011692</v>
      </c>
      <c r="D73" s="85">
        <v>1</v>
      </c>
      <c r="E73" s="82" t="s">
        <v>164</v>
      </c>
      <c r="F73" s="82" t="s">
        <v>19</v>
      </c>
      <c r="G73" s="82"/>
      <c r="H73" s="1">
        <v>41.31</v>
      </c>
      <c r="I73" s="80">
        <f t="shared" si="9"/>
        <v>37.179000000000002</v>
      </c>
      <c r="J73" s="21">
        <v>7.4</v>
      </c>
      <c r="K73" s="1">
        <f t="shared" si="10"/>
        <v>85.88900000000001</v>
      </c>
      <c r="L73" s="27">
        <f t="shared" si="11"/>
        <v>8.5889000000000006</v>
      </c>
      <c r="M73" s="1">
        <f t="shared" si="12"/>
        <v>94.477900000000005</v>
      </c>
      <c r="N73" s="86">
        <v>94</v>
      </c>
      <c r="O73" s="82" t="s">
        <v>165</v>
      </c>
      <c r="P73" s="82" t="s">
        <v>26</v>
      </c>
      <c r="Q73" s="82" t="s">
        <v>59</v>
      </c>
    </row>
    <row r="74" spans="1:17" x14ac:dyDescent="0.25">
      <c r="A74" s="1" t="s">
        <v>103</v>
      </c>
      <c r="B74" s="2">
        <v>42572</v>
      </c>
      <c r="C74" s="45">
        <v>1011542</v>
      </c>
      <c r="D74" s="25">
        <v>1</v>
      </c>
      <c r="E74" s="1" t="s">
        <v>166</v>
      </c>
      <c r="F74" s="1" t="s">
        <v>65</v>
      </c>
      <c r="G74" s="1" t="s">
        <v>110</v>
      </c>
      <c r="H74" s="1">
        <v>29.61</v>
      </c>
      <c r="I74" s="80">
        <f t="shared" si="9"/>
        <v>26.649000000000001</v>
      </c>
      <c r="J74" s="21">
        <v>7.4</v>
      </c>
      <c r="K74" s="1">
        <f t="shared" si="10"/>
        <v>63.658999999999999</v>
      </c>
      <c r="L74" s="27">
        <f t="shared" si="11"/>
        <v>6.3658999999999999</v>
      </c>
      <c r="M74" s="1">
        <f t="shared" si="12"/>
        <v>70.024900000000002</v>
      </c>
      <c r="N74" s="21">
        <v>70</v>
      </c>
      <c r="O74" s="45" t="s">
        <v>66</v>
      </c>
      <c r="P74" s="45" t="s">
        <v>26</v>
      </c>
      <c r="Q74" s="45" t="s">
        <v>67</v>
      </c>
    </row>
    <row r="75" spans="1:17" ht="60" x14ac:dyDescent="0.25">
      <c r="A75" s="1" t="s">
        <v>103</v>
      </c>
      <c r="B75" s="2">
        <v>42581</v>
      </c>
      <c r="C75" s="1" t="s">
        <v>167</v>
      </c>
      <c r="D75" s="25">
        <v>1</v>
      </c>
      <c r="E75" s="8" t="s">
        <v>168</v>
      </c>
      <c r="F75" s="1" t="s">
        <v>19</v>
      </c>
      <c r="G75" s="1" t="s">
        <v>110</v>
      </c>
      <c r="H75" s="1">
        <v>15</v>
      </c>
      <c r="I75" s="26">
        <f t="shared" si="9"/>
        <v>13.5</v>
      </c>
      <c r="J75" s="21">
        <v>7.4</v>
      </c>
      <c r="K75" s="1">
        <f t="shared" si="10"/>
        <v>35.9</v>
      </c>
      <c r="L75" s="27">
        <f t="shared" si="11"/>
        <v>3.59</v>
      </c>
      <c r="M75" s="1">
        <f t="shared" si="12"/>
        <v>39.489999999999995</v>
      </c>
      <c r="N75" s="21">
        <v>40</v>
      </c>
      <c r="O75" s="1" t="s">
        <v>142</v>
      </c>
      <c r="P75" s="8" t="s">
        <v>143</v>
      </c>
      <c r="Q75" s="1" t="s">
        <v>35</v>
      </c>
    </row>
    <row r="76" spans="1:17" ht="60" x14ac:dyDescent="0.25">
      <c r="A76" s="1" t="s">
        <v>103</v>
      </c>
      <c r="B76" s="2">
        <v>42581</v>
      </c>
      <c r="C76" s="1" t="s">
        <v>167</v>
      </c>
      <c r="D76" s="25">
        <v>1</v>
      </c>
      <c r="E76" s="1" t="s">
        <v>169</v>
      </c>
      <c r="F76" s="1" t="s">
        <v>29</v>
      </c>
      <c r="G76" s="1" t="s">
        <v>24</v>
      </c>
      <c r="H76" s="1">
        <v>15</v>
      </c>
      <c r="I76" s="26">
        <f t="shared" si="9"/>
        <v>13.5</v>
      </c>
      <c r="J76" s="21">
        <v>7.4</v>
      </c>
      <c r="K76" s="1">
        <f t="shared" si="10"/>
        <v>35.9</v>
      </c>
      <c r="L76" s="27">
        <f t="shared" si="11"/>
        <v>3.59</v>
      </c>
      <c r="M76" s="1">
        <f t="shared" si="12"/>
        <v>39.489999999999995</v>
      </c>
      <c r="N76" s="21">
        <v>40</v>
      </c>
      <c r="O76" s="1" t="s">
        <v>156</v>
      </c>
      <c r="P76" s="8" t="s">
        <v>143</v>
      </c>
      <c r="Q76" s="1" t="s">
        <v>63</v>
      </c>
    </row>
    <row r="77" spans="1:17" x14ac:dyDescent="0.25">
      <c r="A77" s="1" t="s">
        <v>103</v>
      </c>
      <c r="B77" s="2">
        <v>42572</v>
      </c>
      <c r="C77" s="1">
        <v>901211444</v>
      </c>
      <c r="D77" s="25">
        <v>1</v>
      </c>
      <c r="E77" s="1" t="s">
        <v>170</v>
      </c>
      <c r="F77" s="1" t="s">
        <v>19</v>
      </c>
      <c r="G77" s="1"/>
      <c r="H77" s="1">
        <v>34.11</v>
      </c>
      <c r="I77" s="80">
        <f t="shared" si="9"/>
        <v>30.699000000000002</v>
      </c>
      <c r="J77" s="21">
        <v>7.4</v>
      </c>
      <c r="K77" s="1">
        <f t="shared" si="10"/>
        <v>72.209000000000003</v>
      </c>
      <c r="L77" s="45">
        <f t="shared" si="11"/>
        <v>7.2209000000000003</v>
      </c>
      <c r="M77" s="1">
        <f t="shared" si="12"/>
        <v>79.429900000000004</v>
      </c>
      <c r="N77" s="21">
        <v>80</v>
      </c>
      <c r="O77" s="1"/>
      <c r="P77" s="1"/>
      <c r="Q77" s="1"/>
    </row>
    <row r="78" spans="1:17" ht="60" x14ac:dyDescent="0.25">
      <c r="A78" s="1" t="s">
        <v>103</v>
      </c>
      <c r="B78" s="2">
        <v>42572</v>
      </c>
      <c r="C78" s="1">
        <v>1010845</v>
      </c>
      <c r="D78" s="25">
        <v>1</v>
      </c>
      <c r="E78" s="1" t="s">
        <v>171</v>
      </c>
      <c r="F78" s="1" t="s">
        <v>19</v>
      </c>
      <c r="G78" s="1" t="s">
        <v>110</v>
      </c>
      <c r="H78" s="1">
        <v>34.11</v>
      </c>
      <c r="I78" s="26">
        <f t="shared" si="9"/>
        <v>30.699000000000002</v>
      </c>
      <c r="J78" s="21">
        <v>7.4</v>
      </c>
      <c r="K78" s="1">
        <f t="shared" si="10"/>
        <v>72.209000000000003</v>
      </c>
      <c r="L78" s="27">
        <f t="shared" si="11"/>
        <v>7.2209000000000003</v>
      </c>
      <c r="M78" s="1">
        <f t="shared" si="12"/>
        <v>79.429900000000004</v>
      </c>
      <c r="N78" s="21">
        <v>80</v>
      </c>
      <c r="O78" s="1" t="s">
        <v>147</v>
      </c>
      <c r="P78" s="8" t="s">
        <v>143</v>
      </c>
      <c r="Q78" s="1" t="s">
        <v>172</v>
      </c>
    </row>
    <row r="79" spans="1:17" ht="30" x14ac:dyDescent="0.25">
      <c r="A79" s="1" t="s">
        <v>103</v>
      </c>
      <c r="B79" s="2">
        <v>42572</v>
      </c>
      <c r="C79" s="1">
        <v>1010845</v>
      </c>
      <c r="D79" s="25">
        <v>1</v>
      </c>
      <c r="E79" s="1" t="s">
        <v>173</v>
      </c>
      <c r="F79" s="1" t="s">
        <v>52</v>
      </c>
      <c r="G79" s="1" t="s">
        <v>24</v>
      </c>
      <c r="H79" s="1">
        <v>34.11</v>
      </c>
      <c r="I79" s="26">
        <f t="shared" si="9"/>
        <v>30.699000000000002</v>
      </c>
      <c r="J79" s="21">
        <v>7.4</v>
      </c>
      <c r="K79" s="1">
        <f t="shared" si="10"/>
        <v>72.209000000000003</v>
      </c>
      <c r="L79" s="27">
        <f t="shared" si="11"/>
        <v>7.2209000000000003</v>
      </c>
      <c r="M79" s="1">
        <f t="shared" si="12"/>
        <v>79.429900000000004</v>
      </c>
      <c r="N79" s="21">
        <v>80</v>
      </c>
      <c r="O79" s="1" t="s">
        <v>174</v>
      </c>
      <c r="P79" s="8" t="s">
        <v>175</v>
      </c>
      <c r="Q79" s="1" t="s">
        <v>176</v>
      </c>
    </row>
    <row r="80" spans="1:17" ht="30" x14ac:dyDescent="0.25">
      <c r="A80" s="1" t="s">
        <v>103</v>
      </c>
      <c r="B80" s="2">
        <v>42572</v>
      </c>
      <c r="C80" s="1">
        <v>1011808</v>
      </c>
      <c r="D80" s="25">
        <v>1</v>
      </c>
      <c r="E80" s="1" t="s">
        <v>177</v>
      </c>
      <c r="F80" s="1" t="s">
        <v>52</v>
      </c>
      <c r="G80" s="1" t="s">
        <v>24</v>
      </c>
      <c r="H80" s="1">
        <v>34.11</v>
      </c>
      <c r="I80" s="26">
        <f t="shared" si="9"/>
        <v>30.699000000000002</v>
      </c>
      <c r="J80" s="21">
        <v>7.4</v>
      </c>
      <c r="K80" s="1">
        <f t="shared" si="10"/>
        <v>72.209000000000003</v>
      </c>
      <c r="L80" s="27">
        <f t="shared" si="11"/>
        <v>7.2209000000000003</v>
      </c>
      <c r="M80" s="1">
        <f t="shared" si="12"/>
        <v>79.429900000000004</v>
      </c>
      <c r="N80" s="21">
        <v>80</v>
      </c>
      <c r="O80" s="1" t="s">
        <v>174</v>
      </c>
      <c r="P80" s="8" t="s">
        <v>175</v>
      </c>
      <c r="Q80" s="1" t="s">
        <v>176</v>
      </c>
    </row>
    <row r="81" spans="1:17" x14ac:dyDescent="0.25">
      <c r="A81" s="1" t="s">
        <v>103</v>
      </c>
      <c r="B81" s="2">
        <v>42572</v>
      </c>
      <c r="C81" s="45">
        <v>1010845</v>
      </c>
      <c r="D81" s="25">
        <v>1</v>
      </c>
      <c r="E81" s="1" t="s">
        <v>178</v>
      </c>
      <c r="F81" s="1" t="s">
        <v>29</v>
      </c>
      <c r="G81" s="1" t="s">
        <v>24</v>
      </c>
      <c r="H81" s="1">
        <v>34.11</v>
      </c>
      <c r="I81" s="26">
        <f t="shared" si="9"/>
        <v>30.699000000000002</v>
      </c>
      <c r="J81" s="21">
        <v>7.4</v>
      </c>
      <c r="K81" s="1">
        <f t="shared" si="10"/>
        <v>72.209000000000003</v>
      </c>
      <c r="L81" s="27">
        <f t="shared" si="11"/>
        <v>7.2209000000000003</v>
      </c>
      <c r="M81" s="1">
        <f t="shared" si="12"/>
        <v>79.429900000000004</v>
      </c>
      <c r="N81" s="21">
        <v>80</v>
      </c>
      <c r="O81" s="1" t="s">
        <v>179</v>
      </c>
      <c r="P81" s="1" t="s">
        <v>134</v>
      </c>
      <c r="Q81" s="1" t="s">
        <v>135</v>
      </c>
    </row>
    <row r="82" spans="1:17" ht="30" x14ac:dyDescent="0.25">
      <c r="A82" s="1" t="s">
        <v>103</v>
      </c>
      <c r="B82" s="2">
        <v>42572</v>
      </c>
      <c r="C82" s="1">
        <v>1011540</v>
      </c>
      <c r="D82" s="25">
        <v>1</v>
      </c>
      <c r="E82" s="1" t="s">
        <v>180</v>
      </c>
      <c r="F82" s="1" t="s">
        <v>19</v>
      </c>
      <c r="G82" s="1" t="s">
        <v>24</v>
      </c>
      <c r="H82" s="1">
        <v>34.11</v>
      </c>
      <c r="I82" s="6">
        <f t="shared" si="9"/>
        <v>30.699000000000002</v>
      </c>
      <c r="J82" s="21">
        <v>7.4</v>
      </c>
      <c r="K82" s="1">
        <f t="shared" si="10"/>
        <v>72.209000000000003</v>
      </c>
      <c r="L82" s="7">
        <f t="shared" si="11"/>
        <v>7.2209000000000003</v>
      </c>
      <c r="M82" s="1">
        <f t="shared" si="12"/>
        <v>79.429900000000004</v>
      </c>
      <c r="N82" s="21">
        <v>80</v>
      </c>
      <c r="O82" s="1" t="s">
        <v>181</v>
      </c>
      <c r="P82" s="8" t="s">
        <v>148</v>
      </c>
      <c r="Q82" s="8" t="s">
        <v>182</v>
      </c>
    </row>
    <row r="83" spans="1:17" s="39" customFormat="1" ht="30" x14ac:dyDescent="0.25">
      <c r="A83" s="1" t="s">
        <v>103</v>
      </c>
      <c r="B83" s="2">
        <v>42572</v>
      </c>
      <c r="C83" s="1">
        <v>1011101</v>
      </c>
      <c r="D83" s="25">
        <v>1</v>
      </c>
      <c r="E83" s="1" t="s">
        <v>183</v>
      </c>
      <c r="F83" s="1" t="s">
        <v>19</v>
      </c>
      <c r="G83" s="1" t="s">
        <v>24</v>
      </c>
      <c r="H83" s="1">
        <v>24.45</v>
      </c>
      <c r="I83" s="26">
        <f t="shared" si="9"/>
        <v>22.004999999999999</v>
      </c>
      <c r="J83" s="21">
        <v>7.4</v>
      </c>
      <c r="K83" s="1">
        <f t="shared" si="10"/>
        <v>53.855000000000004</v>
      </c>
      <c r="L83" s="27">
        <f t="shared" si="11"/>
        <v>5.3855000000000004</v>
      </c>
      <c r="M83" s="1">
        <f t="shared" si="12"/>
        <v>59.240500000000004</v>
      </c>
      <c r="N83" s="21">
        <v>60</v>
      </c>
      <c r="O83" s="1" t="s">
        <v>142</v>
      </c>
      <c r="P83" s="31" t="s">
        <v>184</v>
      </c>
      <c r="Q83" s="1" t="s">
        <v>40</v>
      </c>
    </row>
    <row r="84" spans="1:17" s="39" customFormat="1" x14ac:dyDescent="0.25">
      <c r="A84" s="1" t="s">
        <v>103</v>
      </c>
      <c r="B84" s="2">
        <v>42572</v>
      </c>
      <c r="C84" s="1">
        <v>1011644</v>
      </c>
      <c r="D84" s="25">
        <v>1</v>
      </c>
      <c r="E84" s="1" t="s">
        <v>185</v>
      </c>
      <c r="F84" s="1" t="s">
        <v>19</v>
      </c>
      <c r="G84" s="1" t="s">
        <v>24</v>
      </c>
      <c r="H84" s="1">
        <v>24.45</v>
      </c>
      <c r="I84" s="26">
        <f t="shared" si="9"/>
        <v>22.004999999999999</v>
      </c>
      <c r="J84" s="21">
        <v>7.4</v>
      </c>
      <c r="K84" s="1">
        <f t="shared" si="10"/>
        <v>53.855000000000004</v>
      </c>
      <c r="L84" s="27">
        <f t="shared" si="11"/>
        <v>5.3855000000000004</v>
      </c>
      <c r="M84" s="1">
        <f t="shared" si="12"/>
        <v>59.240500000000004</v>
      </c>
      <c r="N84" s="21">
        <v>60</v>
      </c>
      <c r="O84" s="1" t="s">
        <v>186</v>
      </c>
      <c r="P84" s="31">
        <v>42597</v>
      </c>
      <c r="Q84" s="1" t="s">
        <v>187</v>
      </c>
    </row>
    <row r="85" spans="1:17" s="39" customFormat="1" x14ac:dyDescent="0.25">
      <c r="A85" s="1" t="s">
        <v>103</v>
      </c>
      <c r="B85" s="2">
        <v>42572</v>
      </c>
      <c r="C85" s="1">
        <v>1011763</v>
      </c>
      <c r="D85" s="25">
        <v>1</v>
      </c>
      <c r="E85" s="1" t="s">
        <v>188</v>
      </c>
      <c r="F85" s="1" t="s">
        <v>19</v>
      </c>
      <c r="G85" s="1" t="s">
        <v>24</v>
      </c>
      <c r="H85" s="1">
        <v>35.909999999999997</v>
      </c>
      <c r="I85" s="6">
        <f t="shared" si="9"/>
        <v>32.318999999999996</v>
      </c>
      <c r="J85" s="21">
        <v>7.4</v>
      </c>
      <c r="K85" s="1">
        <f t="shared" si="10"/>
        <v>75.628999999999991</v>
      </c>
      <c r="L85" s="7">
        <f t="shared" si="11"/>
        <v>7.5628999999999991</v>
      </c>
      <c r="M85" s="1">
        <f t="shared" si="12"/>
        <v>83.19189999999999</v>
      </c>
      <c r="N85" s="21">
        <v>84</v>
      </c>
      <c r="O85" s="1" t="s">
        <v>161</v>
      </c>
      <c r="P85" s="2" t="s">
        <v>189</v>
      </c>
      <c r="Q85" s="2" t="s">
        <v>190</v>
      </c>
    </row>
    <row r="86" spans="1:17" s="39" customFormat="1" ht="30" x14ac:dyDescent="0.25">
      <c r="A86" s="1" t="s">
        <v>103</v>
      </c>
      <c r="B86" s="2">
        <v>42581</v>
      </c>
      <c r="C86" s="1" t="s">
        <v>167</v>
      </c>
      <c r="D86" s="25">
        <v>1</v>
      </c>
      <c r="E86" s="8" t="s">
        <v>191</v>
      </c>
      <c r="F86" s="1" t="s">
        <v>29</v>
      </c>
      <c r="G86" s="1" t="s">
        <v>110</v>
      </c>
      <c r="H86" s="1">
        <f>15+4.5</f>
        <v>19.5</v>
      </c>
      <c r="I86" s="26">
        <f t="shared" si="9"/>
        <v>17.55</v>
      </c>
      <c r="J86" s="21">
        <v>7.4</v>
      </c>
      <c r="K86" s="1">
        <f t="shared" si="10"/>
        <v>44.45</v>
      </c>
      <c r="L86" s="27">
        <f t="shared" si="11"/>
        <v>4.4450000000000003</v>
      </c>
      <c r="M86" s="1">
        <f t="shared" si="12"/>
        <v>48.895000000000003</v>
      </c>
      <c r="N86" s="21">
        <v>50</v>
      </c>
      <c r="O86" s="1" t="s">
        <v>104</v>
      </c>
      <c r="P86" s="1" t="s">
        <v>26</v>
      </c>
      <c r="Q86" s="1" t="s">
        <v>192</v>
      </c>
    </row>
    <row r="87" spans="1:17" s="39" customFormat="1" x14ac:dyDescent="0.25">
      <c r="A87" s="1" t="s">
        <v>103</v>
      </c>
      <c r="B87" s="2">
        <v>42572</v>
      </c>
      <c r="C87" s="1">
        <v>13110002</v>
      </c>
      <c r="D87" s="25">
        <v>1</v>
      </c>
      <c r="E87" s="1" t="s">
        <v>193</v>
      </c>
      <c r="F87" s="1" t="s">
        <v>52</v>
      </c>
      <c r="G87" s="1" t="s">
        <v>24</v>
      </c>
      <c r="H87" s="1">
        <v>19.45</v>
      </c>
      <c r="I87" s="26">
        <f t="shared" si="9"/>
        <v>17.504999999999999</v>
      </c>
      <c r="J87" s="21">
        <v>7.4</v>
      </c>
      <c r="K87" s="1">
        <f t="shared" si="10"/>
        <v>44.355000000000004</v>
      </c>
      <c r="L87" s="27">
        <f t="shared" si="11"/>
        <v>4.4355000000000002</v>
      </c>
      <c r="M87" s="1">
        <f t="shared" si="12"/>
        <v>48.790500000000002</v>
      </c>
      <c r="N87" s="21">
        <v>50</v>
      </c>
      <c r="O87" s="1" t="s">
        <v>194</v>
      </c>
      <c r="P87" s="2">
        <v>42595</v>
      </c>
      <c r="Q87" s="1" t="s">
        <v>46</v>
      </c>
    </row>
    <row r="88" spans="1:17" s="39" customFormat="1" x14ac:dyDescent="0.25">
      <c r="A88" s="1" t="s">
        <v>103</v>
      </c>
      <c r="B88" s="2">
        <v>42572</v>
      </c>
      <c r="C88" s="1">
        <v>13110002</v>
      </c>
      <c r="D88" s="25">
        <v>1</v>
      </c>
      <c r="E88" s="1" t="s">
        <v>195</v>
      </c>
      <c r="F88" s="1" t="s">
        <v>65</v>
      </c>
      <c r="G88" s="1" t="s">
        <v>110</v>
      </c>
      <c r="H88" s="1">
        <v>19.45</v>
      </c>
      <c r="I88" s="6">
        <f t="shared" si="9"/>
        <v>17.504999999999999</v>
      </c>
      <c r="J88" s="21">
        <v>7.4</v>
      </c>
      <c r="K88" s="1">
        <f t="shared" si="10"/>
        <v>44.355000000000004</v>
      </c>
      <c r="L88" s="7">
        <f t="shared" si="11"/>
        <v>4.4355000000000002</v>
      </c>
      <c r="M88" s="1">
        <f t="shared" si="12"/>
        <v>48.790500000000002</v>
      </c>
      <c r="N88" s="21">
        <v>50</v>
      </c>
      <c r="O88" s="1" t="s">
        <v>196</v>
      </c>
      <c r="P88" s="2">
        <v>42612</v>
      </c>
      <c r="Q88" s="1" t="s">
        <v>197</v>
      </c>
    </row>
    <row r="89" spans="1:17" s="39" customFormat="1" x14ac:dyDescent="0.25">
      <c r="A89" s="1" t="s">
        <v>103</v>
      </c>
      <c r="B89" s="2">
        <v>42581</v>
      </c>
      <c r="C89" s="1">
        <v>96189</v>
      </c>
      <c r="D89" s="25">
        <v>1</v>
      </c>
      <c r="E89" s="1" t="s">
        <v>198</v>
      </c>
      <c r="F89" s="1" t="s">
        <v>19</v>
      </c>
      <c r="G89" s="1" t="s">
        <v>110</v>
      </c>
      <c r="H89" s="1">
        <f>4.5+10</f>
        <v>14.5</v>
      </c>
      <c r="I89" s="26">
        <f t="shared" si="9"/>
        <v>13.05</v>
      </c>
      <c r="J89" s="21">
        <v>7.4</v>
      </c>
      <c r="K89" s="1">
        <f t="shared" si="10"/>
        <v>34.950000000000003</v>
      </c>
      <c r="L89" s="27">
        <f t="shared" si="11"/>
        <v>3.4950000000000006</v>
      </c>
      <c r="M89" s="1">
        <f t="shared" si="12"/>
        <v>38.445</v>
      </c>
      <c r="N89" s="21">
        <v>40</v>
      </c>
      <c r="O89" s="1" t="s">
        <v>199</v>
      </c>
      <c r="P89" s="2">
        <v>42597</v>
      </c>
      <c r="Q89" s="1" t="s">
        <v>98</v>
      </c>
    </row>
    <row r="90" spans="1:17" s="39" customFormat="1" x14ac:dyDescent="0.25">
      <c r="A90" s="1" t="s">
        <v>103</v>
      </c>
      <c r="B90" s="2">
        <v>42581</v>
      </c>
      <c r="C90" s="1">
        <v>96189</v>
      </c>
      <c r="D90" s="25">
        <v>1</v>
      </c>
      <c r="E90" s="1" t="s">
        <v>200</v>
      </c>
      <c r="F90" s="1" t="s">
        <v>19</v>
      </c>
      <c r="G90" s="1" t="s">
        <v>24</v>
      </c>
      <c r="H90" s="1">
        <f>4.5+10</f>
        <v>14.5</v>
      </c>
      <c r="I90" s="26">
        <f t="shared" si="9"/>
        <v>13.05</v>
      </c>
      <c r="J90" s="21">
        <v>7.4</v>
      </c>
      <c r="K90" s="1">
        <f t="shared" si="10"/>
        <v>34.950000000000003</v>
      </c>
      <c r="L90" s="27">
        <f t="shared" si="11"/>
        <v>3.4950000000000006</v>
      </c>
      <c r="M90" s="1">
        <f t="shared" si="12"/>
        <v>38.445</v>
      </c>
      <c r="N90" s="21">
        <v>40</v>
      </c>
      <c r="O90" s="1" t="s">
        <v>201</v>
      </c>
      <c r="P90" s="2">
        <v>42597</v>
      </c>
      <c r="Q90" s="1" t="s">
        <v>202</v>
      </c>
    </row>
    <row r="91" spans="1:17" s="39" customFormat="1" ht="30" x14ac:dyDescent="0.25">
      <c r="A91" s="1" t="s">
        <v>103</v>
      </c>
      <c r="B91" s="2">
        <v>42581</v>
      </c>
      <c r="C91" s="1">
        <v>3455</v>
      </c>
      <c r="D91" s="25">
        <v>1</v>
      </c>
      <c r="E91" s="1" t="s">
        <v>203</v>
      </c>
      <c r="F91" s="1" t="s">
        <v>29</v>
      </c>
      <c r="G91" s="1"/>
      <c r="H91" s="1">
        <v>24</v>
      </c>
      <c r="I91" s="17">
        <f t="shared" si="9"/>
        <v>21.6</v>
      </c>
      <c r="J91" s="21">
        <v>7.4</v>
      </c>
      <c r="K91" s="1">
        <f t="shared" si="10"/>
        <v>53</v>
      </c>
      <c r="L91" s="7">
        <f t="shared" si="11"/>
        <v>5.3000000000000007</v>
      </c>
      <c r="M91" s="1">
        <f t="shared" si="12"/>
        <v>58.3</v>
      </c>
      <c r="N91" s="21">
        <v>60</v>
      </c>
      <c r="O91" s="1" t="s">
        <v>113</v>
      </c>
      <c r="P91" s="8" t="s">
        <v>123</v>
      </c>
      <c r="Q91" s="1" t="s">
        <v>124</v>
      </c>
    </row>
    <row r="92" spans="1:17" s="39" customFormat="1" x14ac:dyDescent="0.25">
      <c r="A92" s="1" t="s">
        <v>103</v>
      </c>
      <c r="B92" s="2">
        <v>42572</v>
      </c>
      <c r="C92" s="45">
        <v>1011784</v>
      </c>
      <c r="D92" s="25">
        <v>1</v>
      </c>
      <c r="E92" s="1" t="s">
        <v>204</v>
      </c>
      <c r="F92" s="1" t="s">
        <v>29</v>
      </c>
      <c r="G92" s="1" t="s">
        <v>24</v>
      </c>
      <c r="H92" s="1">
        <v>18.45</v>
      </c>
      <c r="I92" s="26">
        <f t="shared" si="9"/>
        <v>16.605</v>
      </c>
      <c r="J92" s="21">
        <v>7.4</v>
      </c>
      <c r="K92" s="1">
        <f t="shared" si="10"/>
        <v>42.454999999999998</v>
      </c>
      <c r="L92" s="27">
        <f t="shared" si="11"/>
        <v>4.2454999999999998</v>
      </c>
      <c r="M92" s="1">
        <f t="shared" si="12"/>
        <v>46.700499999999998</v>
      </c>
      <c r="N92" s="21">
        <v>50</v>
      </c>
      <c r="O92" s="1" t="s">
        <v>49</v>
      </c>
      <c r="P92" s="1" t="s">
        <v>26</v>
      </c>
      <c r="Q92" s="1" t="s">
        <v>50</v>
      </c>
    </row>
    <row r="93" spans="1:17" s="39" customFormat="1" x14ac:dyDescent="0.25">
      <c r="A93" s="1" t="s">
        <v>103</v>
      </c>
      <c r="B93" s="2">
        <v>42572</v>
      </c>
      <c r="C93" s="45">
        <v>1011784</v>
      </c>
      <c r="D93" s="25">
        <v>1</v>
      </c>
      <c r="E93" s="1" t="s">
        <v>204</v>
      </c>
      <c r="F93" s="1" t="s">
        <v>52</v>
      </c>
      <c r="G93" s="1"/>
      <c r="H93" s="1">
        <v>18.45</v>
      </c>
      <c r="I93" s="80">
        <f t="shared" si="9"/>
        <v>16.605</v>
      </c>
      <c r="J93" s="21">
        <v>7.4</v>
      </c>
      <c r="K93" s="1">
        <f t="shared" si="10"/>
        <v>42.454999999999998</v>
      </c>
      <c r="L93" s="27">
        <f t="shared" si="11"/>
        <v>4.2454999999999998</v>
      </c>
      <c r="M93" s="1">
        <f t="shared" si="12"/>
        <v>46.700499999999998</v>
      </c>
      <c r="N93" s="21">
        <v>50</v>
      </c>
      <c r="O93" s="1" t="s">
        <v>100</v>
      </c>
      <c r="P93" s="1" t="s">
        <v>26</v>
      </c>
      <c r="Q93" s="1" t="s">
        <v>205</v>
      </c>
    </row>
    <row r="94" spans="1:17" s="39" customFormat="1" ht="30" x14ac:dyDescent="0.25">
      <c r="A94" s="82" t="s">
        <v>103</v>
      </c>
      <c r="B94" s="83">
        <v>42572</v>
      </c>
      <c r="C94" s="84">
        <v>5002474</v>
      </c>
      <c r="D94" s="85">
        <v>1</v>
      </c>
      <c r="E94" s="82" t="s">
        <v>206</v>
      </c>
      <c r="F94" s="82" t="s">
        <v>19</v>
      </c>
      <c r="G94" s="82"/>
      <c r="H94" s="1">
        <v>45.43</v>
      </c>
      <c r="I94" s="80">
        <f t="shared" si="9"/>
        <v>40.887</v>
      </c>
      <c r="J94" s="21">
        <v>7.4</v>
      </c>
      <c r="K94" s="1">
        <f t="shared" si="10"/>
        <v>93.716999999999999</v>
      </c>
      <c r="L94" s="27">
        <f t="shared" si="11"/>
        <v>9.3717000000000006</v>
      </c>
      <c r="M94" s="1">
        <f t="shared" si="12"/>
        <v>103.0887</v>
      </c>
      <c r="N94" s="86">
        <v>110</v>
      </c>
      <c r="O94" s="82" t="s">
        <v>100</v>
      </c>
      <c r="P94" s="8" t="s">
        <v>207</v>
      </c>
      <c r="Q94" s="1" t="s">
        <v>208</v>
      </c>
    </row>
    <row r="95" spans="1:17" s="39" customFormat="1" x14ac:dyDescent="0.25">
      <c r="A95" s="1" t="s">
        <v>103</v>
      </c>
      <c r="B95" s="2">
        <v>42572</v>
      </c>
      <c r="C95" s="45">
        <v>1011631</v>
      </c>
      <c r="D95" s="25">
        <v>1</v>
      </c>
      <c r="E95" s="45" t="s">
        <v>209</v>
      </c>
      <c r="F95" s="1" t="s">
        <v>52</v>
      </c>
      <c r="G95" s="1"/>
      <c r="H95" s="1">
        <v>24.95</v>
      </c>
      <c r="I95" s="80">
        <f t="shared" si="9"/>
        <v>22.454999999999998</v>
      </c>
      <c r="J95" s="21">
        <v>7.4</v>
      </c>
      <c r="K95" s="1">
        <f t="shared" si="10"/>
        <v>54.804999999999993</v>
      </c>
      <c r="L95" s="45">
        <f t="shared" si="11"/>
        <v>5.4804999999999993</v>
      </c>
      <c r="M95" s="1">
        <f t="shared" si="12"/>
        <v>60.285499999999992</v>
      </c>
      <c r="N95" s="21">
        <v>70</v>
      </c>
      <c r="O95" s="1"/>
      <c r="P95" s="1"/>
      <c r="Q95" s="1"/>
    </row>
    <row r="96" spans="1:17" s="39" customFormat="1" x14ac:dyDescent="0.25">
      <c r="A96" s="1" t="s">
        <v>103</v>
      </c>
      <c r="B96" s="2">
        <v>42572</v>
      </c>
      <c r="C96" s="1">
        <v>5002603</v>
      </c>
      <c r="D96" s="25">
        <v>1</v>
      </c>
      <c r="E96" s="1" t="s">
        <v>210</v>
      </c>
      <c r="F96" s="1" t="s">
        <v>52</v>
      </c>
      <c r="G96" s="1" t="s">
        <v>24</v>
      </c>
      <c r="H96" s="1">
        <v>24.45</v>
      </c>
      <c r="I96" s="26">
        <f t="shared" si="9"/>
        <v>22.004999999999999</v>
      </c>
      <c r="J96" s="21">
        <v>7.4</v>
      </c>
      <c r="K96" s="1">
        <f>H96+I96+J96</f>
        <v>53.854999999999997</v>
      </c>
      <c r="L96" s="27">
        <f t="shared" si="11"/>
        <v>5.3855000000000004</v>
      </c>
      <c r="M96" s="1">
        <f t="shared" si="12"/>
        <v>59.240499999999997</v>
      </c>
      <c r="N96" s="21">
        <v>80</v>
      </c>
      <c r="O96" s="1" t="s">
        <v>104</v>
      </c>
      <c r="P96" s="1" t="s">
        <v>105</v>
      </c>
      <c r="Q96" s="1" t="s">
        <v>106</v>
      </c>
    </row>
    <row r="97" spans="1:17" s="39" customFormat="1" x14ac:dyDescent="0.25">
      <c r="A97" s="1" t="s">
        <v>103</v>
      </c>
      <c r="B97" s="2">
        <v>42572</v>
      </c>
      <c r="C97" s="45">
        <v>1011701</v>
      </c>
      <c r="D97" s="25">
        <v>1</v>
      </c>
      <c r="E97" s="45" t="s">
        <v>211</v>
      </c>
      <c r="F97" s="1" t="s">
        <v>52</v>
      </c>
      <c r="G97" s="1"/>
      <c r="H97" s="1">
        <v>18.95</v>
      </c>
      <c r="I97" s="80">
        <f t="shared" si="9"/>
        <v>17.055</v>
      </c>
      <c r="J97" s="21">
        <v>7.4</v>
      </c>
      <c r="K97" s="1">
        <f t="shared" ref="K97:K128" si="13">J97+I97+H97</f>
        <v>43.405000000000001</v>
      </c>
      <c r="L97" s="45">
        <f t="shared" si="11"/>
        <v>4.3405000000000005</v>
      </c>
      <c r="M97" s="1">
        <f t="shared" si="12"/>
        <v>47.7455</v>
      </c>
      <c r="N97" s="21">
        <v>70</v>
      </c>
      <c r="O97" s="1"/>
      <c r="P97" s="1"/>
      <c r="Q97" s="1" t="s">
        <v>212</v>
      </c>
    </row>
    <row r="98" spans="1:17" s="39" customFormat="1" x14ac:dyDescent="0.25">
      <c r="A98" s="1" t="s">
        <v>103</v>
      </c>
      <c r="B98" s="2">
        <v>42572</v>
      </c>
      <c r="C98" s="45">
        <v>1011676</v>
      </c>
      <c r="D98" s="25">
        <v>1</v>
      </c>
      <c r="E98" s="1" t="s">
        <v>213</v>
      </c>
      <c r="F98" s="1" t="s">
        <v>19</v>
      </c>
      <c r="G98" s="1"/>
      <c r="H98" s="1">
        <v>18.45</v>
      </c>
      <c r="I98" s="80">
        <f t="shared" si="9"/>
        <v>16.605</v>
      </c>
      <c r="J98" s="21">
        <v>7.4</v>
      </c>
      <c r="K98" s="1">
        <f t="shared" si="13"/>
        <v>42.454999999999998</v>
      </c>
      <c r="L98" s="45">
        <f t="shared" si="11"/>
        <v>4.2454999999999998</v>
      </c>
      <c r="M98" s="1">
        <f t="shared" si="12"/>
        <v>46.700499999999998</v>
      </c>
      <c r="N98" s="21">
        <v>80</v>
      </c>
      <c r="O98" s="1"/>
      <c r="P98" s="1"/>
      <c r="Q98" s="1" t="s">
        <v>212</v>
      </c>
    </row>
    <row r="99" spans="1:17" x14ac:dyDescent="0.25">
      <c r="A99" s="1" t="s">
        <v>214</v>
      </c>
      <c r="B99" s="2">
        <v>42651</v>
      </c>
      <c r="C99" s="1">
        <v>189</v>
      </c>
      <c r="D99" s="25">
        <v>1</v>
      </c>
      <c r="E99" s="1" t="s">
        <v>215</v>
      </c>
      <c r="F99" s="1" t="s">
        <v>29</v>
      </c>
      <c r="G99" s="1"/>
      <c r="H99" s="1">
        <f>4.5+5.5</f>
        <v>10</v>
      </c>
      <c r="I99" s="1">
        <f t="shared" si="9"/>
        <v>9</v>
      </c>
      <c r="J99" s="42">
        <v>0</v>
      </c>
      <c r="K99" s="1">
        <f t="shared" si="13"/>
        <v>19</v>
      </c>
      <c r="L99" s="45">
        <f t="shared" si="11"/>
        <v>1.9000000000000001</v>
      </c>
      <c r="M99" s="1">
        <f t="shared" si="12"/>
        <v>20.9</v>
      </c>
      <c r="N99" s="21">
        <v>15</v>
      </c>
      <c r="O99" s="1"/>
      <c r="P99" s="1"/>
      <c r="Q99" s="1"/>
    </row>
    <row r="100" spans="1:17" x14ac:dyDescent="0.25">
      <c r="A100" s="1" t="s">
        <v>214</v>
      </c>
      <c r="B100" s="2">
        <v>42651</v>
      </c>
      <c r="C100" s="1">
        <v>189</v>
      </c>
      <c r="D100" s="25">
        <v>1</v>
      </c>
      <c r="E100" s="1" t="s">
        <v>215</v>
      </c>
      <c r="F100" s="1" t="s">
        <v>52</v>
      </c>
      <c r="G100" s="1"/>
      <c r="H100" s="1">
        <f>4.5+5.5</f>
        <v>10</v>
      </c>
      <c r="I100" s="1">
        <f t="shared" ref="I100:I131" si="14">H100*$I$2</f>
        <v>9</v>
      </c>
      <c r="J100" s="42">
        <v>0</v>
      </c>
      <c r="K100" s="1">
        <f t="shared" si="13"/>
        <v>19</v>
      </c>
      <c r="L100" s="45">
        <f t="shared" ref="L100:L131" si="15">K100*$L$2</f>
        <v>1.9000000000000001</v>
      </c>
      <c r="M100" s="1">
        <f t="shared" ref="M100:M127" si="16">K100+L100</f>
        <v>20.9</v>
      </c>
      <c r="N100" s="21">
        <v>15</v>
      </c>
      <c r="O100" s="1"/>
      <c r="P100" s="1"/>
      <c r="Q100" s="1"/>
    </row>
    <row r="101" spans="1:17" x14ac:dyDescent="0.25">
      <c r="A101" s="1" t="s">
        <v>214</v>
      </c>
      <c r="B101" s="2">
        <v>42651</v>
      </c>
      <c r="C101" s="1">
        <v>189</v>
      </c>
      <c r="D101" s="25">
        <v>1</v>
      </c>
      <c r="E101" s="1" t="s">
        <v>216</v>
      </c>
      <c r="F101" s="1" t="s">
        <v>29</v>
      </c>
      <c r="G101" s="1"/>
      <c r="H101" s="1">
        <f>4.5+5.5</f>
        <v>10</v>
      </c>
      <c r="I101" s="1">
        <f t="shared" si="14"/>
        <v>9</v>
      </c>
      <c r="J101" s="42">
        <v>0</v>
      </c>
      <c r="K101" s="1">
        <f t="shared" si="13"/>
        <v>19</v>
      </c>
      <c r="L101" s="45">
        <f t="shared" si="15"/>
        <v>1.9000000000000001</v>
      </c>
      <c r="M101" s="1">
        <f t="shared" si="16"/>
        <v>20.9</v>
      </c>
      <c r="N101" s="21">
        <v>15</v>
      </c>
      <c r="O101" s="1"/>
      <c r="P101" s="1"/>
      <c r="Q101" s="1"/>
    </row>
    <row r="102" spans="1:17" x14ac:dyDescent="0.25">
      <c r="A102" s="1" t="s">
        <v>214</v>
      </c>
      <c r="B102" s="2">
        <v>42651</v>
      </c>
      <c r="C102" s="1">
        <v>189</v>
      </c>
      <c r="D102" s="25">
        <v>1</v>
      </c>
      <c r="E102" s="1" t="s">
        <v>217</v>
      </c>
      <c r="F102" s="1" t="s">
        <v>19</v>
      </c>
      <c r="G102" s="1"/>
      <c r="H102" s="1">
        <f>4.5+5.5</f>
        <v>10</v>
      </c>
      <c r="I102" s="1">
        <f t="shared" si="14"/>
        <v>9</v>
      </c>
      <c r="J102" s="42">
        <v>0</v>
      </c>
      <c r="K102" s="1">
        <f t="shared" si="13"/>
        <v>19</v>
      </c>
      <c r="L102" s="45">
        <f t="shared" si="15"/>
        <v>1.9000000000000001</v>
      </c>
      <c r="M102" s="1">
        <f t="shared" si="16"/>
        <v>20.9</v>
      </c>
      <c r="N102" s="21">
        <v>15</v>
      </c>
      <c r="O102" s="1"/>
      <c r="P102" s="1"/>
      <c r="Q102" s="1"/>
    </row>
    <row r="103" spans="1:17" x14ac:dyDescent="0.25">
      <c r="A103" s="1" t="s">
        <v>214</v>
      </c>
      <c r="B103" s="2">
        <v>42651</v>
      </c>
      <c r="C103" s="1">
        <v>189</v>
      </c>
      <c r="D103" s="25">
        <v>1</v>
      </c>
      <c r="E103" s="1" t="s">
        <v>217</v>
      </c>
      <c r="F103" s="1" t="s">
        <v>52</v>
      </c>
      <c r="G103" s="1"/>
      <c r="H103" s="1">
        <f>4.5+5.5</f>
        <v>10</v>
      </c>
      <c r="I103" s="1">
        <f t="shared" si="14"/>
        <v>9</v>
      </c>
      <c r="J103" s="42">
        <v>0</v>
      </c>
      <c r="K103" s="1">
        <f t="shared" si="13"/>
        <v>19</v>
      </c>
      <c r="L103" s="45">
        <f t="shared" si="15"/>
        <v>1.9000000000000001</v>
      </c>
      <c r="M103" s="1">
        <f t="shared" si="16"/>
        <v>20.9</v>
      </c>
      <c r="N103" s="21">
        <v>15</v>
      </c>
      <c r="O103" s="1"/>
      <c r="P103" s="1"/>
      <c r="Q103" s="1"/>
    </row>
    <row r="104" spans="1:17" x14ac:dyDescent="0.25">
      <c r="A104" s="1" t="s">
        <v>214</v>
      </c>
      <c r="B104" s="2">
        <v>42651</v>
      </c>
      <c r="C104" s="1">
        <v>341</v>
      </c>
      <c r="D104" s="25">
        <v>1</v>
      </c>
      <c r="E104" s="1" t="s">
        <v>218</v>
      </c>
      <c r="F104" s="1" t="s">
        <v>19</v>
      </c>
      <c r="G104" s="1"/>
      <c r="H104" s="1">
        <v>24</v>
      </c>
      <c r="I104" s="1">
        <f t="shared" si="14"/>
        <v>21.6</v>
      </c>
      <c r="J104" s="21">
        <v>0</v>
      </c>
      <c r="K104" s="1">
        <f t="shared" si="13"/>
        <v>45.6</v>
      </c>
      <c r="L104" s="45">
        <f t="shared" si="15"/>
        <v>4.5600000000000005</v>
      </c>
      <c r="M104" s="1">
        <f t="shared" si="16"/>
        <v>50.160000000000004</v>
      </c>
      <c r="N104" s="21">
        <v>50</v>
      </c>
      <c r="O104" s="1"/>
      <c r="P104" s="1"/>
      <c r="Q104" s="1"/>
    </row>
    <row r="105" spans="1:17" x14ac:dyDescent="0.25">
      <c r="A105" s="82" t="s">
        <v>214</v>
      </c>
      <c r="B105" s="2">
        <v>42644</v>
      </c>
      <c r="C105" s="82">
        <v>267</v>
      </c>
      <c r="D105" s="85">
        <v>1</v>
      </c>
      <c r="E105" s="82" t="s">
        <v>219</v>
      </c>
      <c r="F105" s="82" t="s">
        <v>29</v>
      </c>
      <c r="G105" s="82"/>
      <c r="H105" s="1">
        <v>16.5</v>
      </c>
      <c r="I105" s="1">
        <f t="shared" si="14"/>
        <v>14.85</v>
      </c>
      <c r="J105" s="21">
        <v>0</v>
      </c>
      <c r="K105" s="1">
        <f t="shared" si="13"/>
        <v>31.35</v>
      </c>
      <c r="L105" s="7">
        <f t="shared" si="15"/>
        <v>3.1350000000000002</v>
      </c>
      <c r="M105" s="1">
        <f t="shared" si="16"/>
        <v>34.484999999999999</v>
      </c>
      <c r="N105" s="86">
        <v>35</v>
      </c>
      <c r="O105" s="82" t="s">
        <v>220</v>
      </c>
      <c r="P105" s="8" t="s">
        <v>26</v>
      </c>
      <c r="Q105" s="1" t="s">
        <v>221</v>
      </c>
    </row>
    <row r="106" spans="1:17" x14ac:dyDescent="0.25">
      <c r="A106" s="1" t="s">
        <v>214</v>
      </c>
      <c r="B106" s="2">
        <v>42644</v>
      </c>
      <c r="C106" s="1">
        <v>267</v>
      </c>
      <c r="D106" s="25">
        <v>1</v>
      </c>
      <c r="E106" s="1" t="s">
        <v>219</v>
      </c>
      <c r="F106" s="1" t="s">
        <v>19</v>
      </c>
      <c r="G106" s="1"/>
      <c r="H106" s="1">
        <v>16.5</v>
      </c>
      <c r="I106" s="1">
        <f t="shared" si="14"/>
        <v>14.85</v>
      </c>
      <c r="J106" s="21">
        <v>0</v>
      </c>
      <c r="K106" s="1">
        <f t="shared" si="13"/>
        <v>31.35</v>
      </c>
      <c r="L106" s="7">
        <f t="shared" si="15"/>
        <v>3.1350000000000002</v>
      </c>
      <c r="M106" s="1">
        <f t="shared" si="16"/>
        <v>34.484999999999999</v>
      </c>
      <c r="N106" s="21">
        <v>35</v>
      </c>
      <c r="O106" s="1" t="s">
        <v>222</v>
      </c>
      <c r="P106" s="8" t="s">
        <v>26</v>
      </c>
      <c r="Q106" s="1" t="s">
        <v>47</v>
      </c>
    </row>
    <row r="107" spans="1:17" x14ac:dyDescent="0.25">
      <c r="A107" s="1" t="s">
        <v>214</v>
      </c>
      <c r="B107" s="2">
        <v>42651</v>
      </c>
      <c r="C107" s="1">
        <v>374</v>
      </c>
      <c r="D107" s="25">
        <v>1</v>
      </c>
      <c r="E107" s="1" t="s">
        <v>129</v>
      </c>
      <c r="F107" s="1" t="s">
        <v>19</v>
      </c>
      <c r="G107" s="1"/>
      <c r="H107" s="1">
        <v>10.5</v>
      </c>
      <c r="I107" s="1">
        <f t="shared" si="14"/>
        <v>9.4500000000000011</v>
      </c>
      <c r="J107" s="42">
        <v>0</v>
      </c>
      <c r="K107" s="1">
        <f t="shared" si="13"/>
        <v>19.950000000000003</v>
      </c>
      <c r="L107" s="45">
        <f t="shared" si="15"/>
        <v>1.9950000000000003</v>
      </c>
      <c r="M107" s="1">
        <f t="shared" si="16"/>
        <v>21.945000000000004</v>
      </c>
      <c r="N107" s="21">
        <v>24</v>
      </c>
      <c r="O107" s="1"/>
      <c r="P107" s="1"/>
      <c r="Q107" s="1"/>
    </row>
    <row r="108" spans="1:17" x14ac:dyDescent="0.25">
      <c r="A108" s="1" t="s">
        <v>214</v>
      </c>
      <c r="B108" s="2">
        <v>42651</v>
      </c>
      <c r="C108" s="1">
        <v>374</v>
      </c>
      <c r="D108" s="25">
        <v>1</v>
      </c>
      <c r="E108" s="1" t="s">
        <v>129</v>
      </c>
      <c r="F108" s="1" t="s">
        <v>52</v>
      </c>
      <c r="G108" s="1"/>
      <c r="H108" s="1">
        <v>10.5</v>
      </c>
      <c r="I108" s="1">
        <f t="shared" si="14"/>
        <v>9.4500000000000011</v>
      </c>
      <c r="J108" s="42">
        <v>0</v>
      </c>
      <c r="K108" s="1">
        <f t="shared" si="13"/>
        <v>19.950000000000003</v>
      </c>
      <c r="L108" s="45">
        <f t="shared" si="15"/>
        <v>1.9950000000000003</v>
      </c>
      <c r="M108" s="1">
        <f t="shared" si="16"/>
        <v>21.945000000000004</v>
      </c>
      <c r="N108" s="21">
        <v>24</v>
      </c>
      <c r="O108" s="1"/>
      <c r="P108" s="1"/>
      <c r="Q108" s="1"/>
    </row>
    <row r="109" spans="1:17" x14ac:dyDescent="0.25">
      <c r="A109" s="1" t="s">
        <v>214</v>
      </c>
      <c r="B109" s="2">
        <v>42651</v>
      </c>
      <c r="C109" s="1">
        <v>374</v>
      </c>
      <c r="D109" s="25">
        <v>1</v>
      </c>
      <c r="E109" s="1" t="s">
        <v>129</v>
      </c>
      <c r="F109" s="1" t="s">
        <v>65</v>
      </c>
      <c r="G109" s="1"/>
      <c r="H109" s="1">
        <v>10.5</v>
      </c>
      <c r="I109" s="1">
        <f t="shared" si="14"/>
        <v>9.4500000000000011</v>
      </c>
      <c r="J109" s="42">
        <v>0</v>
      </c>
      <c r="K109" s="1">
        <f t="shared" si="13"/>
        <v>19.950000000000003</v>
      </c>
      <c r="L109" s="45">
        <f t="shared" si="15"/>
        <v>1.9950000000000003</v>
      </c>
      <c r="M109" s="1">
        <f t="shared" si="16"/>
        <v>21.945000000000004</v>
      </c>
      <c r="N109" s="21">
        <v>24</v>
      </c>
      <c r="O109" s="1"/>
      <c r="P109" s="1"/>
      <c r="Q109" s="1"/>
    </row>
    <row r="110" spans="1:17" x14ac:dyDescent="0.25">
      <c r="A110" s="1" t="s">
        <v>214</v>
      </c>
      <c r="B110" s="2">
        <v>42651</v>
      </c>
      <c r="C110" s="1">
        <v>36</v>
      </c>
      <c r="D110" s="25">
        <v>1</v>
      </c>
      <c r="E110" s="1" t="s">
        <v>223</v>
      </c>
      <c r="F110" s="1" t="s">
        <v>65</v>
      </c>
      <c r="G110" s="1"/>
      <c r="H110" s="1">
        <v>15</v>
      </c>
      <c r="I110" s="1">
        <f t="shared" si="14"/>
        <v>13.5</v>
      </c>
      <c r="J110" s="42">
        <v>7.4</v>
      </c>
      <c r="K110" s="1">
        <f t="shared" si="13"/>
        <v>35.9</v>
      </c>
      <c r="L110" s="45">
        <f t="shared" si="15"/>
        <v>3.59</v>
      </c>
      <c r="M110" s="1">
        <f t="shared" si="16"/>
        <v>39.489999999999995</v>
      </c>
      <c r="N110" s="21">
        <v>40</v>
      </c>
      <c r="O110" s="1"/>
      <c r="P110" s="1"/>
      <c r="Q110" s="1"/>
    </row>
    <row r="111" spans="1:17" x14ac:dyDescent="0.25">
      <c r="A111" s="1" t="s">
        <v>214</v>
      </c>
      <c r="B111" s="2">
        <v>42651</v>
      </c>
      <c r="C111" s="1">
        <v>36</v>
      </c>
      <c r="D111" s="25">
        <v>1</v>
      </c>
      <c r="E111" s="1" t="s">
        <v>224</v>
      </c>
      <c r="F111" s="1" t="s">
        <v>19</v>
      </c>
      <c r="G111" s="1"/>
      <c r="H111" s="1">
        <v>15</v>
      </c>
      <c r="I111" s="1">
        <f t="shared" si="14"/>
        <v>13.5</v>
      </c>
      <c r="J111" s="42">
        <v>7.4</v>
      </c>
      <c r="K111" s="1">
        <f t="shared" si="13"/>
        <v>35.9</v>
      </c>
      <c r="L111" s="45">
        <f t="shared" si="15"/>
        <v>3.59</v>
      </c>
      <c r="M111" s="1">
        <f t="shared" si="16"/>
        <v>39.489999999999995</v>
      </c>
      <c r="N111" s="21">
        <v>40</v>
      </c>
      <c r="O111" s="1"/>
      <c r="P111" s="1"/>
      <c r="Q111" s="1"/>
    </row>
    <row r="112" spans="1:17" x14ac:dyDescent="0.25">
      <c r="A112" s="113" t="s">
        <v>214</v>
      </c>
      <c r="B112" s="114">
        <v>42662</v>
      </c>
      <c r="C112" s="54">
        <v>3489</v>
      </c>
      <c r="D112" s="115">
        <v>1</v>
      </c>
      <c r="E112" s="53" t="s">
        <v>225</v>
      </c>
      <c r="F112" s="53" t="s">
        <v>19</v>
      </c>
      <c r="G112" s="113"/>
      <c r="H112" s="111">
        <v>69.900000000000006</v>
      </c>
      <c r="I112" s="113">
        <f t="shared" si="14"/>
        <v>62.910000000000004</v>
      </c>
      <c r="J112" s="116">
        <v>7.4</v>
      </c>
      <c r="K112" s="113">
        <f t="shared" si="13"/>
        <v>140.21</v>
      </c>
      <c r="L112" s="113">
        <f t="shared" si="15"/>
        <v>14.021000000000001</v>
      </c>
      <c r="M112" s="113">
        <f t="shared" si="16"/>
        <v>154.23099999999999</v>
      </c>
      <c r="N112" s="116">
        <v>150</v>
      </c>
      <c r="O112" s="113"/>
      <c r="P112" s="113"/>
      <c r="Q112" s="113"/>
    </row>
    <row r="113" spans="1:17" x14ac:dyDescent="0.25">
      <c r="A113" s="113" t="s">
        <v>214</v>
      </c>
      <c r="B113" s="114">
        <v>42662</v>
      </c>
      <c r="C113" s="54">
        <v>3482</v>
      </c>
      <c r="D113" s="115">
        <v>1</v>
      </c>
      <c r="E113" s="53" t="s">
        <v>226</v>
      </c>
      <c r="F113" s="53" t="s">
        <v>19</v>
      </c>
      <c r="G113" s="113"/>
      <c r="H113" s="111">
        <v>52.9</v>
      </c>
      <c r="I113" s="113">
        <f t="shared" si="14"/>
        <v>47.61</v>
      </c>
      <c r="J113" s="116">
        <v>7.4</v>
      </c>
      <c r="K113" s="113">
        <f t="shared" si="13"/>
        <v>107.91</v>
      </c>
      <c r="L113" s="113">
        <f t="shared" si="15"/>
        <v>10.791</v>
      </c>
      <c r="M113" s="113">
        <f t="shared" si="16"/>
        <v>118.70099999999999</v>
      </c>
      <c r="N113" s="116">
        <v>115</v>
      </c>
      <c r="O113" s="113"/>
      <c r="P113" s="113"/>
      <c r="Q113" s="113"/>
    </row>
    <row r="114" spans="1:17" x14ac:dyDescent="0.25">
      <c r="A114" s="113" t="s">
        <v>214</v>
      </c>
      <c r="B114" s="114">
        <v>42662</v>
      </c>
      <c r="C114" s="54">
        <v>3449</v>
      </c>
      <c r="D114" s="115">
        <v>1</v>
      </c>
      <c r="E114" s="53" t="s">
        <v>227</v>
      </c>
      <c r="F114" s="53" t="s">
        <v>19</v>
      </c>
      <c r="G114" s="113"/>
      <c r="H114" s="111">
        <v>35.9</v>
      </c>
      <c r="I114" s="113">
        <f t="shared" si="14"/>
        <v>32.31</v>
      </c>
      <c r="J114" s="116">
        <v>7.4</v>
      </c>
      <c r="K114" s="113">
        <f t="shared" si="13"/>
        <v>75.61</v>
      </c>
      <c r="L114" s="113">
        <f t="shared" si="15"/>
        <v>7.5609999999999999</v>
      </c>
      <c r="M114" s="113">
        <f t="shared" si="16"/>
        <v>83.170999999999992</v>
      </c>
      <c r="N114" s="116">
        <v>80</v>
      </c>
      <c r="O114" s="113"/>
      <c r="P114" s="113"/>
      <c r="Q114" s="113"/>
    </row>
    <row r="115" spans="1:17" x14ac:dyDescent="0.25">
      <c r="A115" s="113" t="s">
        <v>214</v>
      </c>
      <c r="B115" s="114">
        <v>42662</v>
      </c>
      <c r="C115" s="54">
        <v>2980</v>
      </c>
      <c r="D115" s="115">
        <v>1</v>
      </c>
      <c r="E115" s="53" t="s">
        <v>228</v>
      </c>
      <c r="F115" s="53" t="s">
        <v>29</v>
      </c>
      <c r="G115" s="113"/>
      <c r="H115" s="111">
        <v>30</v>
      </c>
      <c r="I115" s="113">
        <f t="shared" si="14"/>
        <v>27</v>
      </c>
      <c r="J115" s="116">
        <v>7.4</v>
      </c>
      <c r="K115" s="113">
        <f t="shared" si="13"/>
        <v>64.400000000000006</v>
      </c>
      <c r="L115" s="113">
        <f t="shared" si="15"/>
        <v>6.4400000000000013</v>
      </c>
      <c r="M115" s="113">
        <f t="shared" si="16"/>
        <v>70.84</v>
      </c>
      <c r="N115" s="116">
        <v>68</v>
      </c>
      <c r="O115" s="113"/>
      <c r="P115" s="113"/>
      <c r="Q115" s="113"/>
    </row>
    <row r="116" spans="1:17" x14ac:dyDescent="0.25">
      <c r="A116" s="113" t="s">
        <v>214</v>
      </c>
      <c r="B116" s="114">
        <v>42662</v>
      </c>
      <c r="C116" s="54">
        <v>2980</v>
      </c>
      <c r="D116" s="115">
        <v>1</v>
      </c>
      <c r="E116" s="53" t="s">
        <v>229</v>
      </c>
      <c r="F116" s="53" t="s">
        <v>52</v>
      </c>
      <c r="G116" s="113"/>
      <c r="H116" s="111">
        <v>30</v>
      </c>
      <c r="I116" s="113">
        <f t="shared" si="14"/>
        <v>27</v>
      </c>
      <c r="J116" s="116">
        <v>7.4</v>
      </c>
      <c r="K116" s="113">
        <f t="shared" si="13"/>
        <v>64.400000000000006</v>
      </c>
      <c r="L116" s="113">
        <f t="shared" si="15"/>
        <v>6.4400000000000013</v>
      </c>
      <c r="M116" s="113">
        <f t="shared" si="16"/>
        <v>70.84</v>
      </c>
      <c r="N116" s="116">
        <v>68</v>
      </c>
      <c r="O116" s="113"/>
      <c r="P116" s="113"/>
      <c r="Q116" s="113"/>
    </row>
    <row r="117" spans="1:17" x14ac:dyDescent="0.25">
      <c r="A117" s="113" t="s">
        <v>214</v>
      </c>
      <c r="B117" s="114">
        <v>42662</v>
      </c>
      <c r="C117" s="54">
        <v>3483</v>
      </c>
      <c r="D117" s="115">
        <v>1</v>
      </c>
      <c r="E117" s="53" t="s">
        <v>230</v>
      </c>
      <c r="F117" s="53" t="s">
        <v>29</v>
      </c>
      <c r="G117" s="113"/>
      <c r="H117" s="111">
        <v>42.9</v>
      </c>
      <c r="I117" s="113">
        <f t="shared" si="14"/>
        <v>38.61</v>
      </c>
      <c r="J117" s="116">
        <v>7.4</v>
      </c>
      <c r="K117" s="113">
        <f t="shared" si="13"/>
        <v>88.91</v>
      </c>
      <c r="L117" s="113">
        <f t="shared" si="15"/>
        <v>8.891</v>
      </c>
      <c r="M117" s="113">
        <f t="shared" si="16"/>
        <v>97.801000000000002</v>
      </c>
      <c r="N117" s="116">
        <v>95</v>
      </c>
      <c r="O117" s="113"/>
      <c r="P117" s="113"/>
      <c r="Q117" s="113"/>
    </row>
    <row r="118" spans="1:17" x14ac:dyDescent="0.25">
      <c r="A118" s="113" t="s">
        <v>214</v>
      </c>
      <c r="B118" s="114">
        <v>42662</v>
      </c>
      <c r="C118" s="54">
        <v>3483</v>
      </c>
      <c r="D118" s="115">
        <v>1</v>
      </c>
      <c r="E118" s="53" t="s">
        <v>227</v>
      </c>
      <c r="F118" s="53" t="s">
        <v>52</v>
      </c>
      <c r="G118" s="113"/>
      <c r="H118" s="111">
        <v>42.9</v>
      </c>
      <c r="I118" s="113">
        <f t="shared" si="14"/>
        <v>38.61</v>
      </c>
      <c r="J118" s="116">
        <v>7.4</v>
      </c>
      <c r="K118" s="113">
        <f t="shared" si="13"/>
        <v>88.91</v>
      </c>
      <c r="L118" s="113">
        <f t="shared" si="15"/>
        <v>8.891</v>
      </c>
      <c r="M118" s="113">
        <f t="shared" si="16"/>
        <v>97.801000000000002</v>
      </c>
      <c r="N118" s="116">
        <v>95</v>
      </c>
      <c r="O118" s="113"/>
      <c r="P118" s="113"/>
      <c r="Q118" s="113"/>
    </row>
    <row r="119" spans="1:17" x14ac:dyDescent="0.25">
      <c r="A119" s="113" t="s">
        <v>214</v>
      </c>
      <c r="B119" s="114">
        <v>42662</v>
      </c>
      <c r="C119" s="54">
        <v>2094</v>
      </c>
      <c r="D119" s="115">
        <v>1</v>
      </c>
      <c r="E119" s="53" t="s">
        <v>225</v>
      </c>
      <c r="F119" s="53" t="s">
        <v>52</v>
      </c>
      <c r="G119" s="113"/>
      <c r="H119" s="111">
        <v>26.9</v>
      </c>
      <c r="I119" s="113">
        <f t="shared" si="14"/>
        <v>24.21</v>
      </c>
      <c r="J119" s="116">
        <v>7.4</v>
      </c>
      <c r="K119" s="113">
        <f t="shared" si="13"/>
        <v>58.51</v>
      </c>
      <c r="L119" s="113">
        <f t="shared" si="15"/>
        <v>5.851</v>
      </c>
      <c r="M119" s="113">
        <f t="shared" si="16"/>
        <v>64.361000000000004</v>
      </c>
      <c r="N119" s="116">
        <v>62</v>
      </c>
      <c r="O119" s="113"/>
      <c r="P119" s="113"/>
      <c r="Q119" s="113"/>
    </row>
    <row r="120" spans="1:17" x14ac:dyDescent="0.25">
      <c r="A120" s="113" t="s">
        <v>214</v>
      </c>
      <c r="B120" s="114">
        <v>42662</v>
      </c>
      <c r="C120" s="54">
        <v>2088</v>
      </c>
      <c r="D120" s="115">
        <v>1</v>
      </c>
      <c r="E120" s="53" t="s">
        <v>231</v>
      </c>
      <c r="F120" s="53" t="s">
        <v>19</v>
      </c>
      <c r="G120" s="113"/>
      <c r="H120" s="111">
        <v>32.9</v>
      </c>
      <c r="I120" s="113">
        <f t="shared" si="14"/>
        <v>29.61</v>
      </c>
      <c r="J120" s="116">
        <v>7.4</v>
      </c>
      <c r="K120" s="113">
        <f t="shared" si="13"/>
        <v>69.91</v>
      </c>
      <c r="L120" s="113">
        <f t="shared" si="15"/>
        <v>6.9909999999999997</v>
      </c>
      <c r="M120" s="113">
        <f t="shared" si="16"/>
        <v>76.900999999999996</v>
      </c>
      <c r="N120" s="116">
        <v>75</v>
      </c>
      <c r="O120" s="113"/>
      <c r="P120" s="113"/>
      <c r="Q120" s="113"/>
    </row>
    <row r="121" spans="1:17" x14ac:dyDescent="0.25">
      <c r="A121" s="113" t="s">
        <v>214</v>
      </c>
      <c r="B121" s="114">
        <v>42662</v>
      </c>
      <c r="C121" s="54">
        <v>2088</v>
      </c>
      <c r="D121" s="25">
        <v>1</v>
      </c>
      <c r="E121" s="53" t="s">
        <v>232</v>
      </c>
      <c r="F121" s="53" t="s">
        <v>52</v>
      </c>
      <c r="G121" s="1"/>
      <c r="H121" s="111">
        <v>32.9</v>
      </c>
      <c r="I121" s="113">
        <f t="shared" si="14"/>
        <v>29.61</v>
      </c>
      <c r="J121" s="116">
        <v>7.4</v>
      </c>
      <c r="K121" s="113">
        <f t="shared" si="13"/>
        <v>69.91</v>
      </c>
      <c r="L121" s="113">
        <f t="shared" si="15"/>
        <v>6.9909999999999997</v>
      </c>
      <c r="M121" s="113">
        <f t="shared" si="16"/>
        <v>76.900999999999996</v>
      </c>
      <c r="N121" s="116">
        <v>75</v>
      </c>
      <c r="O121" s="1"/>
      <c r="P121" s="1"/>
      <c r="Q121" s="1"/>
    </row>
    <row r="122" spans="1:17" x14ac:dyDescent="0.25">
      <c r="A122" s="113" t="s">
        <v>214</v>
      </c>
      <c r="B122" s="114">
        <v>42662</v>
      </c>
      <c r="C122" s="54">
        <v>2088</v>
      </c>
      <c r="D122" s="25">
        <v>1</v>
      </c>
      <c r="E122" s="53" t="s">
        <v>232</v>
      </c>
      <c r="F122" s="53" t="s">
        <v>52</v>
      </c>
      <c r="G122" s="1"/>
      <c r="H122" s="111">
        <v>32.9</v>
      </c>
      <c r="I122" s="113">
        <f t="shared" si="14"/>
        <v>29.61</v>
      </c>
      <c r="J122" s="116">
        <v>7.4</v>
      </c>
      <c r="K122" s="113">
        <f t="shared" si="13"/>
        <v>69.91</v>
      </c>
      <c r="L122" s="113">
        <f t="shared" si="15"/>
        <v>6.9909999999999997</v>
      </c>
      <c r="M122" s="113">
        <f t="shared" si="16"/>
        <v>76.900999999999996</v>
      </c>
      <c r="N122" s="116">
        <v>75</v>
      </c>
      <c r="O122" s="1"/>
      <c r="P122" s="1"/>
      <c r="Q122" s="1"/>
    </row>
    <row r="123" spans="1:17" s="39" customFormat="1" x14ac:dyDescent="0.25">
      <c r="A123" s="113" t="s">
        <v>214</v>
      </c>
      <c r="B123" s="114">
        <v>42662</v>
      </c>
      <c r="C123" s="54">
        <v>3438</v>
      </c>
      <c r="D123" s="115">
        <v>1</v>
      </c>
      <c r="E123" s="53" t="s">
        <v>232</v>
      </c>
      <c r="F123" s="53" t="s">
        <v>52</v>
      </c>
      <c r="G123" s="113"/>
      <c r="H123" s="111">
        <v>39.9</v>
      </c>
      <c r="I123" s="113">
        <f t="shared" si="14"/>
        <v>35.909999999999997</v>
      </c>
      <c r="J123" s="116">
        <v>7.4</v>
      </c>
      <c r="K123" s="113">
        <f t="shared" si="13"/>
        <v>83.21</v>
      </c>
      <c r="L123" s="113">
        <f t="shared" si="15"/>
        <v>8.3209999999999997</v>
      </c>
      <c r="M123" s="113">
        <f t="shared" si="16"/>
        <v>91.530999999999992</v>
      </c>
      <c r="N123" s="116">
        <v>90</v>
      </c>
      <c r="O123" s="113"/>
      <c r="P123" s="113"/>
      <c r="Q123" s="113"/>
    </row>
    <row r="124" spans="1:17" s="39" customFormat="1" x14ac:dyDescent="0.25">
      <c r="A124" s="113" t="s">
        <v>214</v>
      </c>
      <c r="B124" s="114">
        <v>42662</v>
      </c>
      <c r="C124" s="54">
        <v>2059</v>
      </c>
      <c r="D124" s="115">
        <v>1</v>
      </c>
      <c r="E124" s="53" t="s">
        <v>233</v>
      </c>
      <c r="F124" s="53" t="s">
        <v>29</v>
      </c>
      <c r="G124" s="113"/>
      <c r="H124" s="99">
        <v>27.9</v>
      </c>
      <c r="I124" s="113">
        <f t="shared" si="14"/>
        <v>25.11</v>
      </c>
      <c r="J124" s="116">
        <v>7.4</v>
      </c>
      <c r="K124" s="113">
        <f t="shared" si="13"/>
        <v>60.41</v>
      </c>
      <c r="L124" s="113">
        <f t="shared" si="15"/>
        <v>6.0410000000000004</v>
      </c>
      <c r="M124" s="113">
        <f t="shared" si="16"/>
        <v>66.450999999999993</v>
      </c>
      <c r="N124" s="116">
        <v>65</v>
      </c>
      <c r="O124" s="113"/>
      <c r="P124" s="113"/>
      <c r="Q124" s="113"/>
    </row>
    <row r="125" spans="1:17" x14ac:dyDescent="0.25">
      <c r="A125" s="113" t="s">
        <v>214</v>
      </c>
      <c r="B125" s="114">
        <v>42662</v>
      </c>
      <c r="C125" s="54">
        <v>2035</v>
      </c>
      <c r="D125" s="115">
        <v>1</v>
      </c>
      <c r="E125" s="53" t="s">
        <v>234</v>
      </c>
      <c r="F125" s="53" t="s">
        <v>65</v>
      </c>
      <c r="G125" s="113"/>
      <c r="H125" s="111">
        <v>29.9</v>
      </c>
      <c r="I125" s="113">
        <f t="shared" si="14"/>
        <v>26.91</v>
      </c>
      <c r="J125" s="116">
        <v>7.4</v>
      </c>
      <c r="K125" s="113">
        <f t="shared" si="13"/>
        <v>64.210000000000008</v>
      </c>
      <c r="L125" s="113">
        <f t="shared" si="15"/>
        <v>6.4210000000000012</v>
      </c>
      <c r="M125" s="113">
        <f t="shared" si="16"/>
        <v>70.631000000000014</v>
      </c>
      <c r="N125" s="116">
        <v>70</v>
      </c>
      <c r="O125" s="113"/>
      <c r="P125" s="113"/>
      <c r="Q125" s="113"/>
    </row>
    <row r="126" spans="1:17" x14ac:dyDescent="0.25">
      <c r="A126" s="113" t="s">
        <v>214</v>
      </c>
      <c r="B126" s="114">
        <v>42662</v>
      </c>
      <c r="C126" s="54">
        <v>2093</v>
      </c>
      <c r="D126" s="115">
        <v>1</v>
      </c>
      <c r="E126" s="53" t="s">
        <v>235</v>
      </c>
      <c r="F126" s="53" t="s">
        <v>19</v>
      </c>
      <c r="G126" s="113"/>
      <c r="H126" s="111">
        <v>26</v>
      </c>
      <c r="I126" s="113">
        <f t="shared" si="14"/>
        <v>23.400000000000002</v>
      </c>
      <c r="J126" s="116">
        <v>7.4</v>
      </c>
      <c r="K126" s="113">
        <f t="shared" si="13"/>
        <v>56.800000000000004</v>
      </c>
      <c r="L126" s="113">
        <f t="shared" si="15"/>
        <v>5.6800000000000006</v>
      </c>
      <c r="M126" s="113">
        <f t="shared" si="16"/>
        <v>62.480000000000004</v>
      </c>
      <c r="N126" s="116">
        <v>62</v>
      </c>
      <c r="O126" s="113"/>
      <c r="P126" s="113"/>
      <c r="Q126" s="113"/>
    </row>
    <row r="127" spans="1:17" x14ac:dyDescent="0.25">
      <c r="A127" s="113" t="s">
        <v>214</v>
      </c>
      <c r="B127" s="114">
        <v>42662</v>
      </c>
      <c r="C127" s="54">
        <v>2046</v>
      </c>
      <c r="D127" s="115">
        <v>1</v>
      </c>
      <c r="E127" s="53" t="s">
        <v>230</v>
      </c>
      <c r="F127" s="53" t="s">
        <v>29</v>
      </c>
      <c r="G127" s="113"/>
      <c r="H127" s="111">
        <v>24.9</v>
      </c>
      <c r="I127" s="113">
        <f t="shared" si="14"/>
        <v>22.41</v>
      </c>
      <c r="J127" s="116">
        <v>7.4</v>
      </c>
      <c r="K127" s="113">
        <f t="shared" si="13"/>
        <v>54.71</v>
      </c>
      <c r="L127" s="113">
        <f t="shared" si="15"/>
        <v>5.4710000000000001</v>
      </c>
      <c r="M127" s="113">
        <f t="shared" si="16"/>
        <v>60.180999999999997</v>
      </c>
      <c r="N127" s="116">
        <v>60</v>
      </c>
      <c r="O127" s="113"/>
      <c r="P127" s="113"/>
      <c r="Q127" s="113"/>
    </row>
    <row r="128" spans="1:17" x14ac:dyDescent="0.25">
      <c r="A128" s="1" t="s">
        <v>214</v>
      </c>
      <c r="B128" s="2">
        <v>42644</v>
      </c>
      <c r="C128" s="1">
        <v>339</v>
      </c>
      <c r="D128" s="25">
        <v>1</v>
      </c>
      <c r="E128" s="1" t="s">
        <v>236</v>
      </c>
      <c r="F128" s="1" t="s">
        <v>52</v>
      </c>
      <c r="G128" s="1"/>
      <c r="H128" s="1">
        <v>18</v>
      </c>
      <c r="I128" s="1">
        <f t="shared" si="14"/>
        <v>16.2</v>
      </c>
      <c r="J128" s="21">
        <v>7.4</v>
      </c>
      <c r="K128" s="1">
        <f t="shared" si="13"/>
        <v>41.6</v>
      </c>
      <c r="L128" s="45">
        <f t="shared" si="15"/>
        <v>4.16</v>
      </c>
      <c r="M128" s="1">
        <v>18</v>
      </c>
      <c r="N128" s="21">
        <v>18</v>
      </c>
      <c r="O128" s="1" t="s">
        <v>237</v>
      </c>
      <c r="P128" s="8" t="s">
        <v>238</v>
      </c>
      <c r="Q128" s="1" t="s">
        <v>239</v>
      </c>
    </row>
    <row r="129" spans="1:17" x14ac:dyDescent="0.25">
      <c r="A129" s="82" t="s">
        <v>214</v>
      </c>
      <c r="B129" s="2">
        <v>42644</v>
      </c>
      <c r="C129" s="82">
        <v>35</v>
      </c>
      <c r="D129" s="85">
        <v>1</v>
      </c>
      <c r="E129" s="82" t="s">
        <v>240</v>
      </c>
      <c r="F129" s="82" t="s">
        <v>19</v>
      </c>
      <c r="G129" s="82"/>
      <c r="H129" s="1">
        <v>27</v>
      </c>
      <c r="I129" s="1">
        <f t="shared" si="14"/>
        <v>24.3</v>
      </c>
      <c r="J129" s="21">
        <v>7.4</v>
      </c>
      <c r="K129" s="1">
        <f t="shared" ref="K129:K160" si="17">J129+I129+H129</f>
        <v>58.7</v>
      </c>
      <c r="L129" s="7">
        <f t="shared" si="15"/>
        <v>5.870000000000001</v>
      </c>
      <c r="M129" s="1">
        <f t="shared" ref="M129:M150" si="18">K129+L129</f>
        <v>64.570000000000007</v>
      </c>
      <c r="N129" s="86">
        <v>65</v>
      </c>
      <c r="O129" s="82" t="s">
        <v>241</v>
      </c>
      <c r="P129" s="8" t="s">
        <v>26</v>
      </c>
      <c r="Q129" s="1" t="s">
        <v>242</v>
      </c>
    </row>
    <row r="130" spans="1:17" x14ac:dyDescent="0.25">
      <c r="A130" s="82" t="s">
        <v>214</v>
      </c>
      <c r="B130" s="2">
        <v>42644</v>
      </c>
      <c r="C130" s="82">
        <v>36</v>
      </c>
      <c r="D130" s="85">
        <v>1</v>
      </c>
      <c r="E130" s="82" t="s">
        <v>243</v>
      </c>
      <c r="F130" s="82" t="s">
        <v>65</v>
      </c>
      <c r="G130" s="82"/>
      <c r="H130" s="1">
        <v>15</v>
      </c>
      <c r="I130" s="1">
        <f t="shared" si="14"/>
        <v>13.5</v>
      </c>
      <c r="J130" s="21">
        <v>7.4</v>
      </c>
      <c r="K130" s="1">
        <f t="shared" si="17"/>
        <v>35.9</v>
      </c>
      <c r="L130" s="7">
        <f t="shared" si="15"/>
        <v>3.59</v>
      </c>
      <c r="M130" s="1">
        <f t="shared" si="18"/>
        <v>39.489999999999995</v>
      </c>
      <c r="N130" s="86">
        <v>40</v>
      </c>
      <c r="O130" s="82" t="s">
        <v>244</v>
      </c>
      <c r="P130" s="8" t="s">
        <v>26</v>
      </c>
      <c r="Q130" s="1" t="s">
        <v>50</v>
      </c>
    </row>
    <row r="131" spans="1:17" x14ac:dyDescent="0.25">
      <c r="A131" s="82" t="s">
        <v>214</v>
      </c>
      <c r="B131" s="2">
        <v>42644</v>
      </c>
      <c r="C131" s="82">
        <v>36</v>
      </c>
      <c r="D131" s="85">
        <v>1</v>
      </c>
      <c r="E131" s="82" t="s">
        <v>245</v>
      </c>
      <c r="F131" s="82" t="s">
        <v>65</v>
      </c>
      <c r="G131" s="82"/>
      <c r="H131" s="1">
        <v>15</v>
      </c>
      <c r="I131" s="1">
        <f t="shared" si="14"/>
        <v>13.5</v>
      </c>
      <c r="J131" s="21">
        <v>7.4</v>
      </c>
      <c r="K131" s="1">
        <f t="shared" si="17"/>
        <v>35.9</v>
      </c>
      <c r="L131" s="7">
        <f t="shared" si="15"/>
        <v>3.59</v>
      </c>
      <c r="M131" s="1">
        <f t="shared" si="18"/>
        <v>39.489999999999995</v>
      </c>
      <c r="N131" s="86">
        <v>40</v>
      </c>
      <c r="O131" s="82" t="s">
        <v>244</v>
      </c>
      <c r="P131" s="8" t="s">
        <v>26</v>
      </c>
      <c r="Q131" s="1" t="s">
        <v>50</v>
      </c>
    </row>
    <row r="132" spans="1:17" x14ac:dyDescent="0.25">
      <c r="A132" s="82" t="s">
        <v>214</v>
      </c>
      <c r="B132" s="2">
        <v>42644</v>
      </c>
      <c r="C132" s="82">
        <v>36</v>
      </c>
      <c r="D132" s="85">
        <v>1</v>
      </c>
      <c r="E132" s="82" t="s">
        <v>246</v>
      </c>
      <c r="F132" s="82" t="s">
        <v>65</v>
      </c>
      <c r="G132" s="82"/>
      <c r="H132" s="1">
        <v>15</v>
      </c>
      <c r="I132" s="1">
        <f t="shared" ref="I132:I163" si="19">H132*$I$2</f>
        <v>13.5</v>
      </c>
      <c r="J132" s="21">
        <v>7.4</v>
      </c>
      <c r="K132" s="1">
        <f t="shared" si="17"/>
        <v>35.9</v>
      </c>
      <c r="L132" s="7">
        <f t="shared" ref="L132:L163" si="20">K132*$L$2</f>
        <v>3.59</v>
      </c>
      <c r="M132" s="1">
        <f t="shared" si="18"/>
        <v>39.489999999999995</v>
      </c>
      <c r="N132" s="86">
        <v>40</v>
      </c>
      <c r="O132" s="82" t="s">
        <v>247</v>
      </c>
      <c r="P132" s="8" t="s">
        <v>108</v>
      </c>
      <c r="Q132" s="1" t="s">
        <v>248</v>
      </c>
    </row>
    <row r="133" spans="1:17" x14ac:dyDescent="0.25">
      <c r="A133" s="1" t="s">
        <v>214</v>
      </c>
      <c r="B133" s="2">
        <v>42651</v>
      </c>
      <c r="C133" s="1">
        <v>36</v>
      </c>
      <c r="D133" s="25">
        <v>1</v>
      </c>
      <c r="E133" s="1" t="s">
        <v>249</v>
      </c>
      <c r="F133" s="1" t="s">
        <v>65</v>
      </c>
      <c r="G133" s="1"/>
      <c r="H133" s="1">
        <v>15</v>
      </c>
      <c r="I133" s="1">
        <f t="shared" si="19"/>
        <v>13.5</v>
      </c>
      <c r="J133" s="42">
        <v>7.4</v>
      </c>
      <c r="K133" s="1">
        <f t="shared" si="17"/>
        <v>35.9</v>
      </c>
      <c r="L133" s="45">
        <f t="shared" si="20"/>
        <v>3.59</v>
      </c>
      <c r="M133" s="1">
        <f t="shared" si="18"/>
        <v>39.489999999999995</v>
      </c>
      <c r="N133" s="21">
        <v>40</v>
      </c>
      <c r="O133" s="1"/>
      <c r="P133" s="1"/>
      <c r="Q133" s="1"/>
    </row>
    <row r="134" spans="1:17" x14ac:dyDescent="0.25">
      <c r="A134" s="1" t="s">
        <v>214</v>
      </c>
      <c r="B134" s="2">
        <v>42651</v>
      </c>
      <c r="C134" s="1">
        <v>36</v>
      </c>
      <c r="D134" s="25">
        <v>1</v>
      </c>
      <c r="E134" s="1" t="s">
        <v>250</v>
      </c>
      <c r="F134" s="1" t="s">
        <v>65</v>
      </c>
      <c r="G134" s="1"/>
      <c r="H134" s="1">
        <v>15</v>
      </c>
      <c r="I134" s="1">
        <f t="shared" si="19"/>
        <v>13.5</v>
      </c>
      <c r="J134" s="42">
        <v>7.4</v>
      </c>
      <c r="K134" s="1">
        <f t="shared" si="17"/>
        <v>35.9</v>
      </c>
      <c r="L134" s="45">
        <f t="shared" si="20"/>
        <v>3.59</v>
      </c>
      <c r="M134" s="1">
        <f t="shared" si="18"/>
        <v>39.489999999999995</v>
      </c>
      <c r="N134" s="21">
        <v>40</v>
      </c>
      <c r="O134" s="1"/>
      <c r="P134" s="1"/>
      <c r="Q134" s="1"/>
    </row>
    <row r="135" spans="1:17" x14ac:dyDescent="0.25">
      <c r="A135" s="113" t="s">
        <v>214</v>
      </c>
      <c r="B135" s="114">
        <v>42651</v>
      </c>
      <c r="C135" s="113">
        <v>36</v>
      </c>
      <c r="D135" s="115">
        <v>1</v>
      </c>
      <c r="E135" s="113" t="s">
        <v>224</v>
      </c>
      <c r="F135" s="113" t="s">
        <v>19</v>
      </c>
      <c r="G135" s="113"/>
      <c r="H135" s="113">
        <v>15</v>
      </c>
      <c r="I135" s="113">
        <f t="shared" si="19"/>
        <v>13.5</v>
      </c>
      <c r="J135" s="116">
        <v>7.4</v>
      </c>
      <c r="K135" s="113">
        <f t="shared" si="17"/>
        <v>35.9</v>
      </c>
      <c r="L135" s="113">
        <f t="shared" si="20"/>
        <v>3.59</v>
      </c>
      <c r="M135" s="113">
        <f t="shared" si="18"/>
        <v>39.489999999999995</v>
      </c>
      <c r="N135" s="116">
        <v>40</v>
      </c>
      <c r="O135" s="113" t="s">
        <v>251</v>
      </c>
      <c r="P135" s="113" t="s">
        <v>26</v>
      </c>
      <c r="Q135" s="113" t="s">
        <v>252</v>
      </c>
    </row>
    <row r="136" spans="1:17" x14ac:dyDescent="0.25">
      <c r="A136" s="113" t="s">
        <v>214</v>
      </c>
      <c r="B136" s="114">
        <v>42651</v>
      </c>
      <c r="C136" s="113">
        <v>36</v>
      </c>
      <c r="D136" s="115">
        <v>1</v>
      </c>
      <c r="E136" s="113" t="s">
        <v>253</v>
      </c>
      <c r="F136" s="113" t="s">
        <v>19</v>
      </c>
      <c r="G136" s="113"/>
      <c r="H136" s="113">
        <v>15</v>
      </c>
      <c r="I136" s="113">
        <f t="shared" si="19"/>
        <v>13.5</v>
      </c>
      <c r="J136" s="116">
        <v>7.4</v>
      </c>
      <c r="K136" s="113">
        <f t="shared" si="17"/>
        <v>35.9</v>
      </c>
      <c r="L136" s="113">
        <f t="shared" si="20"/>
        <v>3.59</v>
      </c>
      <c r="M136" s="113">
        <f t="shared" si="18"/>
        <v>39.489999999999995</v>
      </c>
      <c r="N136" s="116">
        <v>40</v>
      </c>
      <c r="O136" s="113" t="s">
        <v>251</v>
      </c>
      <c r="P136" s="113" t="s">
        <v>26</v>
      </c>
      <c r="Q136" s="113" t="s">
        <v>252</v>
      </c>
    </row>
    <row r="137" spans="1:17" x14ac:dyDescent="0.25">
      <c r="A137" s="113" t="s">
        <v>214</v>
      </c>
      <c r="B137" s="114">
        <v>42662</v>
      </c>
      <c r="C137" s="54">
        <v>3420</v>
      </c>
      <c r="D137" s="115">
        <v>1</v>
      </c>
      <c r="E137" s="53" t="s">
        <v>230</v>
      </c>
      <c r="F137" s="53" t="s">
        <v>29</v>
      </c>
      <c r="G137" s="113"/>
      <c r="H137" s="111">
        <v>38.9</v>
      </c>
      <c r="I137" s="113">
        <f t="shared" si="19"/>
        <v>35.01</v>
      </c>
      <c r="J137" s="116">
        <v>7.4</v>
      </c>
      <c r="K137" s="113">
        <f t="shared" si="17"/>
        <v>81.31</v>
      </c>
      <c r="L137" s="113">
        <f t="shared" si="20"/>
        <v>8.1310000000000002</v>
      </c>
      <c r="M137" s="113">
        <f t="shared" si="18"/>
        <v>89.441000000000003</v>
      </c>
      <c r="N137" s="116">
        <v>90</v>
      </c>
      <c r="O137" s="113"/>
      <c r="P137" s="113"/>
      <c r="Q137" s="113"/>
    </row>
    <row r="138" spans="1:17" x14ac:dyDescent="0.25">
      <c r="A138" s="1" t="s">
        <v>214</v>
      </c>
      <c r="B138" s="2">
        <v>42644</v>
      </c>
      <c r="C138" s="1">
        <v>96</v>
      </c>
      <c r="D138" s="25">
        <v>1</v>
      </c>
      <c r="E138" s="1" t="s">
        <v>254</v>
      </c>
      <c r="F138" s="1" t="s">
        <v>29</v>
      </c>
      <c r="G138" s="1"/>
      <c r="H138" s="1">
        <f>10+4.5</f>
        <v>14.5</v>
      </c>
      <c r="I138" s="1">
        <f t="shared" si="19"/>
        <v>13.05</v>
      </c>
      <c r="J138" s="21">
        <v>7.4</v>
      </c>
      <c r="K138" s="1">
        <f t="shared" si="17"/>
        <v>34.950000000000003</v>
      </c>
      <c r="L138" s="45">
        <f t="shared" si="20"/>
        <v>3.4950000000000006</v>
      </c>
      <c r="M138" s="1">
        <f t="shared" si="18"/>
        <v>38.445</v>
      </c>
      <c r="N138" s="21">
        <v>40</v>
      </c>
      <c r="O138" s="1"/>
      <c r="P138" s="8"/>
      <c r="Q138" s="1"/>
    </row>
    <row r="139" spans="1:17" x14ac:dyDescent="0.25">
      <c r="A139" s="82" t="s">
        <v>214</v>
      </c>
      <c r="B139" s="2">
        <v>42644</v>
      </c>
      <c r="C139" s="82">
        <v>96</v>
      </c>
      <c r="D139" s="85">
        <v>1</v>
      </c>
      <c r="E139" s="82" t="s">
        <v>255</v>
      </c>
      <c r="F139" s="82" t="s">
        <v>19</v>
      </c>
      <c r="G139" s="82"/>
      <c r="H139" s="1">
        <f>10+4.5</f>
        <v>14.5</v>
      </c>
      <c r="I139" s="1">
        <f t="shared" si="19"/>
        <v>13.05</v>
      </c>
      <c r="J139" s="21">
        <v>7.4</v>
      </c>
      <c r="K139" s="1">
        <f t="shared" si="17"/>
        <v>34.950000000000003</v>
      </c>
      <c r="L139" s="7">
        <f t="shared" si="20"/>
        <v>3.4950000000000006</v>
      </c>
      <c r="M139" s="1">
        <f t="shared" si="18"/>
        <v>38.445</v>
      </c>
      <c r="N139" s="86">
        <v>40</v>
      </c>
      <c r="O139" s="82" t="s">
        <v>256</v>
      </c>
      <c r="P139" s="8" t="s">
        <v>26</v>
      </c>
      <c r="Q139" s="1" t="s">
        <v>257</v>
      </c>
    </row>
    <row r="140" spans="1:17" x14ac:dyDescent="0.25">
      <c r="A140" s="1" t="s">
        <v>214</v>
      </c>
      <c r="B140" s="2">
        <v>42651</v>
      </c>
      <c r="C140" s="1">
        <v>341</v>
      </c>
      <c r="D140" s="25">
        <v>1</v>
      </c>
      <c r="E140" s="1" t="s">
        <v>258</v>
      </c>
      <c r="F140" s="1" t="s">
        <v>19</v>
      </c>
      <c r="G140" s="1"/>
      <c r="H140" s="1">
        <f>10+4.5</f>
        <v>14.5</v>
      </c>
      <c r="I140" s="1">
        <f t="shared" si="19"/>
        <v>13.05</v>
      </c>
      <c r="J140" s="42">
        <v>7.4</v>
      </c>
      <c r="K140" s="1">
        <f t="shared" si="17"/>
        <v>34.950000000000003</v>
      </c>
      <c r="L140" s="45">
        <f t="shared" si="20"/>
        <v>3.4950000000000006</v>
      </c>
      <c r="M140" s="1">
        <f t="shared" si="18"/>
        <v>38.445</v>
      </c>
      <c r="N140" s="21">
        <v>40</v>
      </c>
      <c r="O140" s="1"/>
      <c r="P140" s="1"/>
      <c r="Q140" s="1"/>
    </row>
    <row r="141" spans="1:17" x14ac:dyDescent="0.25">
      <c r="A141" s="1" t="s">
        <v>214</v>
      </c>
      <c r="B141" s="2">
        <v>42651</v>
      </c>
      <c r="C141" s="1">
        <v>341</v>
      </c>
      <c r="D141" s="25">
        <v>1</v>
      </c>
      <c r="E141" s="1" t="s">
        <v>259</v>
      </c>
      <c r="F141" s="1" t="s">
        <v>19</v>
      </c>
      <c r="G141" s="1"/>
      <c r="H141" s="1">
        <f>10+4.5</f>
        <v>14.5</v>
      </c>
      <c r="I141" s="1">
        <f t="shared" si="19"/>
        <v>13.05</v>
      </c>
      <c r="J141" s="42">
        <v>7.4</v>
      </c>
      <c r="K141" s="1">
        <f t="shared" si="17"/>
        <v>34.950000000000003</v>
      </c>
      <c r="L141" s="7">
        <f t="shared" si="20"/>
        <v>3.4950000000000006</v>
      </c>
      <c r="M141" s="1">
        <f t="shared" si="18"/>
        <v>38.445</v>
      </c>
      <c r="N141" s="21">
        <v>40</v>
      </c>
      <c r="O141" s="1" t="s">
        <v>260</v>
      </c>
      <c r="P141" s="1" t="s">
        <v>26</v>
      </c>
      <c r="Q141" s="1" t="s">
        <v>261</v>
      </c>
    </row>
    <row r="142" spans="1:17" x14ac:dyDescent="0.25">
      <c r="A142" s="1" t="s">
        <v>214</v>
      </c>
      <c r="B142" s="2">
        <v>42651</v>
      </c>
      <c r="C142" s="1">
        <v>341</v>
      </c>
      <c r="D142" s="25">
        <v>1</v>
      </c>
      <c r="E142" s="1" t="s">
        <v>262</v>
      </c>
      <c r="F142" s="1" t="s">
        <v>19</v>
      </c>
      <c r="G142" s="1"/>
      <c r="H142" s="1">
        <f>10+4.5</f>
        <v>14.5</v>
      </c>
      <c r="I142" s="1">
        <f t="shared" si="19"/>
        <v>13.05</v>
      </c>
      <c r="J142" s="42">
        <v>7.4</v>
      </c>
      <c r="K142" s="1">
        <f t="shared" si="17"/>
        <v>34.950000000000003</v>
      </c>
      <c r="L142" s="45">
        <f t="shared" si="20"/>
        <v>3.4950000000000006</v>
      </c>
      <c r="M142" s="1">
        <f t="shared" si="18"/>
        <v>38.445</v>
      </c>
      <c r="N142" s="21">
        <v>40</v>
      </c>
      <c r="O142" s="1"/>
      <c r="P142" s="1"/>
      <c r="Q142" s="1"/>
    </row>
    <row r="143" spans="1:17" x14ac:dyDescent="0.25">
      <c r="A143" s="113" t="s">
        <v>214</v>
      </c>
      <c r="B143" s="114">
        <v>42662</v>
      </c>
      <c r="C143" s="54">
        <v>2177</v>
      </c>
      <c r="D143" s="115">
        <v>1</v>
      </c>
      <c r="E143" s="53" t="s">
        <v>263</v>
      </c>
      <c r="F143" s="53" t="s">
        <v>19</v>
      </c>
      <c r="G143" s="113"/>
      <c r="H143" s="111">
        <v>24</v>
      </c>
      <c r="I143" s="113">
        <f t="shared" si="19"/>
        <v>21.6</v>
      </c>
      <c r="J143" s="116">
        <v>7.4</v>
      </c>
      <c r="K143" s="113">
        <f t="shared" si="17"/>
        <v>53</v>
      </c>
      <c r="L143" s="113">
        <f t="shared" si="20"/>
        <v>5.3000000000000007</v>
      </c>
      <c r="M143" s="113">
        <f t="shared" si="18"/>
        <v>58.3</v>
      </c>
      <c r="N143" s="116">
        <v>62</v>
      </c>
      <c r="O143" s="113"/>
      <c r="P143" s="113"/>
      <c r="Q143" s="113"/>
    </row>
    <row r="144" spans="1:17" x14ac:dyDescent="0.25">
      <c r="A144" s="113" t="s">
        <v>214</v>
      </c>
      <c r="B144" s="114">
        <v>42662</v>
      </c>
      <c r="C144" s="54">
        <v>2113</v>
      </c>
      <c r="D144" s="115">
        <v>1</v>
      </c>
      <c r="E144" s="53" t="s">
        <v>225</v>
      </c>
      <c r="F144" s="53" t="s">
        <v>19</v>
      </c>
      <c r="G144" s="113"/>
      <c r="H144" s="111">
        <v>69.900000000000006</v>
      </c>
      <c r="I144" s="113">
        <f t="shared" si="19"/>
        <v>62.910000000000004</v>
      </c>
      <c r="J144" s="116">
        <v>7.4</v>
      </c>
      <c r="K144" s="113">
        <f t="shared" si="17"/>
        <v>140.21</v>
      </c>
      <c r="L144" s="113">
        <f t="shared" si="20"/>
        <v>14.021000000000001</v>
      </c>
      <c r="M144" s="113">
        <f t="shared" si="18"/>
        <v>154.23099999999999</v>
      </c>
      <c r="N144" s="116">
        <v>160</v>
      </c>
      <c r="O144" s="113"/>
      <c r="P144" s="113"/>
      <c r="Q144" s="113"/>
    </row>
    <row r="145" spans="1:17" x14ac:dyDescent="0.25">
      <c r="A145" s="113" t="s">
        <v>214</v>
      </c>
      <c r="B145" s="114">
        <v>42662</v>
      </c>
      <c r="C145" s="54">
        <v>466</v>
      </c>
      <c r="D145" s="115">
        <v>1</v>
      </c>
      <c r="E145" s="53" t="s">
        <v>227</v>
      </c>
      <c r="F145" s="53" t="s">
        <v>52</v>
      </c>
      <c r="G145" s="113"/>
      <c r="H145" s="111">
        <v>21.9</v>
      </c>
      <c r="I145" s="113">
        <f t="shared" si="19"/>
        <v>19.71</v>
      </c>
      <c r="J145" s="116">
        <v>7.4</v>
      </c>
      <c r="K145" s="113">
        <f t="shared" si="17"/>
        <v>49.01</v>
      </c>
      <c r="L145" s="113">
        <f t="shared" si="20"/>
        <v>4.9009999999999998</v>
      </c>
      <c r="M145" s="113">
        <f t="shared" si="18"/>
        <v>53.911000000000001</v>
      </c>
      <c r="N145" s="116">
        <v>60</v>
      </c>
      <c r="O145" s="113"/>
      <c r="P145" s="113"/>
      <c r="Q145" s="113"/>
    </row>
    <row r="146" spans="1:17" s="117" customFormat="1" x14ac:dyDescent="0.25">
      <c r="A146" s="82" t="s">
        <v>214</v>
      </c>
      <c r="B146" s="2">
        <v>42644</v>
      </c>
      <c r="C146" s="82">
        <v>339</v>
      </c>
      <c r="D146" s="85">
        <v>1</v>
      </c>
      <c r="E146" s="82" t="s">
        <v>236</v>
      </c>
      <c r="F146" s="82" t="s">
        <v>19</v>
      </c>
      <c r="G146" s="82"/>
      <c r="H146" s="1">
        <v>18</v>
      </c>
      <c r="I146" s="1">
        <f t="shared" si="19"/>
        <v>16.2</v>
      </c>
      <c r="J146" s="21">
        <v>7.4</v>
      </c>
      <c r="K146" s="1">
        <f t="shared" si="17"/>
        <v>41.6</v>
      </c>
      <c r="L146" s="7">
        <f t="shared" si="20"/>
        <v>4.16</v>
      </c>
      <c r="M146" s="1">
        <f t="shared" si="18"/>
        <v>45.760000000000005</v>
      </c>
      <c r="N146" s="86">
        <v>60</v>
      </c>
      <c r="O146" s="82" t="s">
        <v>264</v>
      </c>
      <c r="P146" s="8" t="s">
        <v>26</v>
      </c>
      <c r="Q146" s="1" t="s">
        <v>265</v>
      </c>
    </row>
    <row r="147" spans="1:17" x14ac:dyDescent="0.25">
      <c r="A147" s="1" t="s">
        <v>214</v>
      </c>
      <c r="B147" s="2">
        <v>42644</v>
      </c>
      <c r="C147" s="1">
        <v>339</v>
      </c>
      <c r="D147" s="25">
        <v>1</v>
      </c>
      <c r="E147" s="1" t="s">
        <v>236</v>
      </c>
      <c r="F147" s="1" t="s">
        <v>19</v>
      </c>
      <c r="G147" s="1"/>
      <c r="H147" s="1">
        <v>18</v>
      </c>
      <c r="I147" s="1">
        <f t="shared" si="19"/>
        <v>16.2</v>
      </c>
      <c r="J147" s="21">
        <v>7.4</v>
      </c>
      <c r="K147" s="1">
        <f t="shared" si="17"/>
        <v>41.6</v>
      </c>
      <c r="L147" s="45">
        <f t="shared" si="20"/>
        <v>4.16</v>
      </c>
      <c r="M147" s="1">
        <f t="shared" si="18"/>
        <v>45.760000000000005</v>
      </c>
      <c r="N147" s="21">
        <v>60</v>
      </c>
      <c r="O147" s="1" t="s">
        <v>266</v>
      </c>
      <c r="P147" s="8"/>
      <c r="Q147" s="1"/>
    </row>
    <row r="148" spans="1:17" x14ac:dyDescent="0.25">
      <c r="A148" s="82" t="s">
        <v>214</v>
      </c>
      <c r="B148" s="2">
        <v>42644</v>
      </c>
      <c r="C148" s="82"/>
      <c r="D148" s="85"/>
      <c r="E148" s="82" t="s">
        <v>267</v>
      </c>
      <c r="F148" s="82" t="s">
        <v>19</v>
      </c>
      <c r="G148" s="82"/>
      <c r="H148" s="1">
        <f>4.5+5.5</f>
        <v>10</v>
      </c>
      <c r="I148" s="1">
        <f t="shared" si="19"/>
        <v>9</v>
      </c>
      <c r="J148" s="21">
        <v>0</v>
      </c>
      <c r="K148" s="1">
        <f t="shared" si="17"/>
        <v>19</v>
      </c>
      <c r="L148" s="7">
        <f t="shared" si="20"/>
        <v>1.9000000000000001</v>
      </c>
      <c r="M148" s="1">
        <f t="shared" si="18"/>
        <v>20.9</v>
      </c>
      <c r="N148" s="86">
        <v>15</v>
      </c>
      <c r="O148" s="82" t="s">
        <v>268</v>
      </c>
      <c r="P148" s="8" t="s">
        <v>26</v>
      </c>
      <c r="Q148" s="1" t="s">
        <v>269</v>
      </c>
    </row>
    <row r="149" spans="1:17" x14ac:dyDescent="0.25">
      <c r="A149" s="82" t="s">
        <v>214</v>
      </c>
      <c r="B149" s="2">
        <v>42644</v>
      </c>
      <c r="C149" s="82"/>
      <c r="D149" s="85"/>
      <c r="E149" s="82" t="s">
        <v>267</v>
      </c>
      <c r="F149" s="82" t="s">
        <v>19</v>
      </c>
      <c r="G149" s="82"/>
      <c r="H149" s="1">
        <f>4.5+5.5</f>
        <v>10</v>
      </c>
      <c r="I149" s="1">
        <f t="shared" si="19"/>
        <v>9</v>
      </c>
      <c r="J149" s="21">
        <v>0</v>
      </c>
      <c r="K149" s="1">
        <f t="shared" si="17"/>
        <v>19</v>
      </c>
      <c r="L149" s="7">
        <f t="shared" si="20"/>
        <v>1.9000000000000001</v>
      </c>
      <c r="M149" s="1">
        <f t="shared" si="18"/>
        <v>20.9</v>
      </c>
      <c r="N149" s="86">
        <v>15</v>
      </c>
      <c r="O149" s="82" t="s">
        <v>268</v>
      </c>
      <c r="P149" s="8" t="s">
        <v>26</v>
      </c>
      <c r="Q149" s="1" t="s">
        <v>269</v>
      </c>
    </row>
    <row r="150" spans="1:17" x14ac:dyDescent="0.25">
      <c r="A150" s="1" t="s">
        <v>214</v>
      </c>
      <c r="B150" s="2">
        <v>42644</v>
      </c>
      <c r="C150" s="1"/>
      <c r="D150" s="25">
        <v>1</v>
      </c>
      <c r="E150" s="1" t="s">
        <v>267</v>
      </c>
      <c r="F150" s="1" t="s">
        <v>29</v>
      </c>
      <c r="G150" s="1"/>
      <c r="H150" s="1">
        <f>4.5+5.5</f>
        <v>10</v>
      </c>
      <c r="I150" s="1">
        <f t="shared" si="19"/>
        <v>9</v>
      </c>
      <c r="J150" s="21">
        <v>0</v>
      </c>
      <c r="K150" s="1">
        <f t="shared" si="17"/>
        <v>19</v>
      </c>
      <c r="L150" s="7">
        <f t="shared" si="20"/>
        <v>1.9000000000000001</v>
      </c>
      <c r="M150" s="1">
        <f t="shared" si="18"/>
        <v>20.9</v>
      </c>
      <c r="N150" s="21">
        <v>15</v>
      </c>
      <c r="O150" s="1" t="s">
        <v>241</v>
      </c>
      <c r="P150" s="8" t="s">
        <v>26</v>
      </c>
      <c r="Q150" s="1" t="s">
        <v>242</v>
      </c>
    </row>
    <row r="151" spans="1:17" x14ac:dyDescent="0.25">
      <c r="A151" s="1" t="s">
        <v>270</v>
      </c>
      <c r="B151" s="2">
        <v>42619</v>
      </c>
      <c r="C151" s="1" t="s">
        <v>271</v>
      </c>
      <c r="D151" s="25">
        <v>1</v>
      </c>
      <c r="E151" s="1" t="s">
        <v>272</v>
      </c>
      <c r="F151" s="1" t="s">
        <v>19</v>
      </c>
      <c r="G151" s="1"/>
      <c r="H151" s="1">
        <v>7.9</v>
      </c>
      <c r="I151" s="1">
        <f t="shared" si="19"/>
        <v>7.11</v>
      </c>
      <c r="J151" s="21">
        <v>0</v>
      </c>
      <c r="K151" s="1">
        <f t="shared" si="17"/>
        <v>15.010000000000002</v>
      </c>
      <c r="L151" s="45">
        <f t="shared" si="20"/>
        <v>1.5010000000000003</v>
      </c>
      <c r="M151" s="1">
        <v>7.9</v>
      </c>
      <c r="N151" s="42">
        <v>7.9</v>
      </c>
      <c r="O151" s="1" t="s">
        <v>237</v>
      </c>
      <c r="P151" s="1" t="s">
        <v>238</v>
      </c>
      <c r="Q151" s="1" t="s">
        <v>273</v>
      </c>
    </row>
    <row r="152" spans="1:17" x14ac:dyDescent="0.25">
      <c r="A152" s="1" t="s">
        <v>270</v>
      </c>
      <c r="B152" s="2">
        <v>42619</v>
      </c>
      <c r="C152" s="1" t="s">
        <v>271</v>
      </c>
      <c r="D152" s="25">
        <v>1</v>
      </c>
      <c r="E152" s="1" t="s">
        <v>272</v>
      </c>
      <c r="F152" s="1" t="s">
        <v>19</v>
      </c>
      <c r="G152" s="1"/>
      <c r="H152" s="1">
        <v>7.9</v>
      </c>
      <c r="I152" s="1">
        <f t="shared" si="19"/>
        <v>7.11</v>
      </c>
      <c r="J152" s="21">
        <v>0</v>
      </c>
      <c r="K152" s="1">
        <f t="shared" si="17"/>
        <v>15.010000000000002</v>
      </c>
      <c r="L152" s="45">
        <f t="shared" si="20"/>
        <v>1.5010000000000003</v>
      </c>
      <c r="M152" s="1">
        <f t="shared" ref="M152:M177" si="21">K152+L152</f>
        <v>16.511000000000003</v>
      </c>
      <c r="N152" s="42">
        <v>18</v>
      </c>
      <c r="O152" s="1"/>
      <c r="P152" s="1"/>
      <c r="Q152" s="1"/>
    </row>
    <row r="153" spans="1:17" x14ac:dyDescent="0.25">
      <c r="A153" s="1" t="s">
        <v>270</v>
      </c>
      <c r="B153" s="2">
        <v>42619</v>
      </c>
      <c r="C153" s="1" t="s">
        <v>271</v>
      </c>
      <c r="D153" s="25">
        <v>1</v>
      </c>
      <c r="E153" s="1" t="s">
        <v>272</v>
      </c>
      <c r="F153" s="1" t="s">
        <v>19</v>
      </c>
      <c r="G153" s="1"/>
      <c r="H153" s="1">
        <v>7.9</v>
      </c>
      <c r="I153" s="1">
        <f t="shared" si="19"/>
        <v>7.11</v>
      </c>
      <c r="J153" s="21">
        <v>0</v>
      </c>
      <c r="K153" s="1">
        <f t="shared" si="17"/>
        <v>15.010000000000002</v>
      </c>
      <c r="L153" s="45">
        <f t="shared" si="20"/>
        <v>1.5010000000000003</v>
      </c>
      <c r="M153" s="1">
        <f t="shared" si="21"/>
        <v>16.511000000000003</v>
      </c>
      <c r="N153" s="42">
        <v>18</v>
      </c>
      <c r="O153" s="1"/>
      <c r="P153" s="1"/>
      <c r="Q153" s="1"/>
    </row>
    <row r="154" spans="1:17" x14ac:dyDescent="0.25">
      <c r="A154" s="82" t="s">
        <v>270</v>
      </c>
      <c r="B154" s="83">
        <v>42619</v>
      </c>
      <c r="C154" s="82">
        <v>309</v>
      </c>
      <c r="D154" s="85">
        <v>1</v>
      </c>
      <c r="E154" s="82" t="s">
        <v>30</v>
      </c>
      <c r="F154" s="82" t="s">
        <v>31</v>
      </c>
      <c r="G154" s="82"/>
      <c r="H154" s="1">
        <v>2.0499999999999998</v>
      </c>
      <c r="I154" s="1">
        <f t="shared" si="19"/>
        <v>1.845</v>
      </c>
      <c r="J154" s="21">
        <v>0</v>
      </c>
      <c r="K154" s="1">
        <f t="shared" si="17"/>
        <v>3.8949999999999996</v>
      </c>
      <c r="L154" s="7">
        <f t="shared" si="20"/>
        <v>0.38949999999999996</v>
      </c>
      <c r="M154" s="1">
        <f t="shared" si="21"/>
        <v>4.2844999999999995</v>
      </c>
      <c r="N154" s="86">
        <v>7.5</v>
      </c>
      <c r="O154" s="82" t="s">
        <v>274</v>
      </c>
      <c r="P154" s="82" t="s">
        <v>26</v>
      </c>
      <c r="Q154" s="1" t="s">
        <v>275</v>
      </c>
    </row>
    <row r="155" spans="1:17" x14ac:dyDescent="0.25">
      <c r="A155" s="1" t="s">
        <v>270</v>
      </c>
      <c r="B155" s="2">
        <v>42619</v>
      </c>
      <c r="C155" s="1">
        <v>309</v>
      </c>
      <c r="D155" s="25">
        <v>1</v>
      </c>
      <c r="E155" s="1" t="s">
        <v>30</v>
      </c>
      <c r="F155" s="1" t="s">
        <v>31</v>
      </c>
      <c r="G155" s="1"/>
      <c r="H155" s="1">
        <v>5</v>
      </c>
      <c r="I155" s="1">
        <f t="shared" si="19"/>
        <v>4.5</v>
      </c>
      <c r="J155" s="21">
        <v>0</v>
      </c>
      <c r="K155" s="1">
        <f t="shared" si="17"/>
        <v>9.5</v>
      </c>
      <c r="L155" s="45">
        <f t="shared" si="20"/>
        <v>0.95000000000000007</v>
      </c>
      <c r="M155" s="1">
        <f t="shared" si="21"/>
        <v>10.45</v>
      </c>
      <c r="N155" s="21">
        <v>15</v>
      </c>
      <c r="O155" s="1"/>
      <c r="P155" s="1"/>
      <c r="Q155" s="1"/>
    </row>
    <row r="156" spans="1:17" x14ac:dyDescent="0.25">
      <c r="A156" s="82" t="s">
        <v>270</v>
      </c>
      <c r="B156" s="83">
        <v>42619</v>
      </c>
      <c r="C156" s="82">
        <v>310</v>
      </c>
      <c r="D156" s="85">
        <v>1</v>
      </c>
      <c r="E156" s="82" t="s">
        <v>30</v>
      </c>
      <c r="F156" s="82" t="s">
        <v>31</v>
      </c>
      <c r="G156" s="82"/>
      <c r="H156" s="1">
        <v>5</v>
      </c>
      <c r="I156" s="1">
        <f t="shared" si="19"/>
        <v>4.5</v>
      </c>
      <c r="J156" s="21">
        <v>0</v>
      </c>
      <c r="K156" s="1">
        <f t="shared" si="17"/>
        <v>9.5</v>
      </c>
      <c r="L156" s="7">
        <f t="shared" si="20"/>
        <v>0.95000000000000007</v>
      </c>
      <c r="M156" s="1">
        <f t="shared" si="21"/>
        <v>10.45</v>
      </c>
      <c r="N156" s="86">
        <v>20</v>
      </c>
      <c r="O156" s="82" t="s">
        <v>276</v>
      </c>
      <c r="P156" s="1" t="s">
        <v>26</v>
      </c>
      <c r="Q156" s="1" t="s">
        <v>277</v>
      </c>
    </row>
    <row r="157" spans="1:17" s="117" customFormat="1" x14ac:dyDescent="0.25">
      <c r="A157" s="1" t="s">
        <v>270</v>
      </c>
      <c r="B157" s="2">
        <v>42619</v>
      </c>
      <c r="C157" s="1">
        <v>310</v>
      </c>
      <c r="D157" s="25">
        <v>1</v>
      </c>
      <c r="E157" s="1" t="s">
        <v>30</v>
      </c>
      <c r="F157" s="1" t="s">
        <v>31</v>
      </c>
      <c r="G157" s="1"/>
      <c r="H157" s="1">
        <v>5</v>
      </c>
      <c r="I157" s="1">
        <f t="shared" si="19"/>
        <v>4.5</v>
      </c>
      <c r="J157" s="21">
        <v>0</v>
      </c>
      <c r="K157" s="1">
        <f t="shared" si="17"/>
        <v>9.5</v>
      </c>
      <c r="L157" s="45">
        <f t="shared" si="20"/>
        <v>0.95000000000000007</v>
      </c>
      <c r="M157" s="1">
        <f t="shared" si="21"/>
        <v>10.45</v>
      </c>
      <c r="N157" s="21">
        <v>20</v>
      </c>
      <c r="O157" s="1"/>
      <c r="P157" s="1"/>
      <c r="Q157" s="1"/>
    </row>
    <row r="158" spans="1:17" s="117" customFormat="1" x14ac:dyDescent="0.25">
      <c r="A158" s="82" t="s">
        <v>270</v>
      </c>
      <c r="B158" s="83">
        <v>42619</v>
      </c>
      <c r="C158" s="82">
        <v>309</v>
      </c>
      <c r="D158" s="85">
        <v>1</v>
      </c>
      <c r="E158" s="82" t="s">
        <v>30</v>
      </c>
      <c r="F158" s="82" t="s">
        <v>31</v>
      </c>
      <c r="G158" s="82"/>
      <c r="H158" s="1">
        <v>5</v>
      </c>
      <c r="I158" s="1">
        <f t="shared" si="19"/>
        <v>4.5</v>
      </c>
      <c r="J158" s="21">
        <v>0</v>
      </c>
      <c r="K158" s="1">
        <f t="shared" si="17"/>
        <v>9.5</v>
      </c>
      <c r="L158" s="7">
        <f t="shared" si="20"/>
        <v>0.95000000000000007</v>
      </c>
      <c r="M158" s="1">
        <f t="shared" si="21"/>
        <v>10.45</v>
      </c>
      <c r="N158" s="86">
        <v>22.5</v>
      </c>
      <c r="O158" s="82" t="s">
        <v>274</v>
      </c>
      <c r="P158" s="82" t="s">
        <v>26</v>
      </c>
      <c r="Q158" s="1" t="s">
        <v>269</v>
      </c>
    </row>
    <row r="159" spans="1:17" s="117" customFormat="1" x14ac:dyDescent="0.25">
      <c r="A159" s="1" t="s">
        <v>270</v>
      </c>
      <c r="B159" s="2">
        <v>42619</v>
      </c>
      <c r="C159" s="1">
        <v>373001</v>
      </c>
      <c r="D159" s="25">
        <v>1</v>
      </c>
      <c r="E159" s="1" t="s">
        <v>278</v>
      </c>
      <c r="F159" s="1" t="s">
        <v>29</v>
      </c>
      <c r="G159" s="1"/>
      <c r="H159" s="1">
        <v>29.9</v>
      </c>
      <c r="I159" s="1">
        <f t="shared" si="19"/>
        <v>26.91</v>
      </c>
      <c r="J159" s="21">
        <v>7.4</v>
      </c>
      <c r="K159" s="1">
        <f t="shared" si="17"/>
        <v>64.210000000000008</v>
      </c>
      <c r="L159" s="45">
        <f t="shared" si="20"/>
        <v>6.4210000000000012</v>
      </c>
      <c r="M159" s="1">
        <f t="shared" si="21"/>
        <v>70.631000000000014</v>
      </c>
      <c r="N159" s="42">
        <v>60</v>
      </c>
      <c r="O159" s="1"/>
      <c r="P159" s="1"/>
      <c r="Q159" s="1"/>
    </row>
    <row r="160" spans="1:17" s="117" customFormat="1" x14ac:dyDescent="0.25">
      <c r="A160" s="1" t="s">
        <v>270</v>
      </c>
      <c r="B160" s="2">
        <v>42619</v>
      </c>
      <c r="C160" s="1">
        <v>4335</v>
      </c>
      <c r="D160" s="25">
        <v>1</v>
      </c>
      <c r="E160" s="1" t="s">
        <v>279</v>
      </c>
      <c r="F160" s="1" t="s">
        <v>19</v>
      </c>
      <c r="G160" s="1"/>
      <c r="H160" s="1">
        <v>29.9</v>
      </c>
      <c r="I160" s="1">
        <f t="shared" si="19"/>
        <v>26.91</v>
      </c>
      <c r="J160" s="21">
        <v>7.4</v>
      </c>
      <c r="K160" s="1">
        <f t="shared" si="17"/>
        <v>64.210000000000008</v>
      </c>
      <c r="L160" s="45">
        <f t="shared" si="20"/>
        <v>6.4210000000000012</v>
      </c>
      <c r="M160" s="1">
        <f t="shared" si="21"/>
        <v>70.631000000000014</v>
      </c>
      <c r="N160" s="42">
        <v>60</v>
      </c>
      <c r="O160" s="1"/>
      <c r="P160" s="1"/>
      <c r="Q160" s="1"/>
    </row>
    <row r="161" spans="1:17" s="117" customFormat="1" x14ac:dyDescent="0.25">
      <c r="A161" s="45" t="s">
        <v>270</v>
      </c>
      <c r="B161" s="43">
        <v>42627</v>
      </c>
      <c r="C161" s="45"/>
      <c r="D161" s="81">
        <v>1</v>
      </c>
      <c r="E161" s="45" t="s">
        <v>280</v>
      </c>
      <c r="F161" s="84" t="s">
        <v>19</v>
      </c>
      <c r="G161" s="45"/>
      <c r="H161" s="42">
        <v>30</v>
      </c>
      <c r="I161" s="45">
        <f t="shared" si="19"/>
        <v>27</v>
      </c>
      <c r="J161" s="42">
        <v>7.4</v>
      </c>
      <c r="K161" s="45">
        <f t="shared" ref="K161:K177" si="22">J161+I161+H161</f>
        <v>64.400000000000006</v>
      </c>
      <c r="L161" s="45">
        <f t="shared" si="20"/>
        <v>6.4400000000000013</v>
      </c>
      <c r="M161" s="45">
        <f t="shared" si="21"/>
        <v>70.84</v>
      </c>
      <c r="N161" s="89">
        <v>65</v>
      </c>
      <c r="O161" s="84" t="s">
        <v>281</v>
      </c>
      <c r="P161" s="84" t="s">
        <v>26</v>
      </c>
      <c r="Q161" s="84" t="s">
        <v>242</v>
      </c>
    </row>
    <row r="162" spans="1:17" s="117" customFormat="1" x14ac:dyDescent="0.25">
      <c r="A162" s="45" t="s">
        <v>270</v>
      </c>
      <c r="B162" s="43">
        <v>42627</v>
      </c>
      <c r="C162" s="45"/>
      <c r="D162" s="81">
        <v>1</v>
      </c>
      <c r="E162" s="45"/>
      <c r="F162" s="45" t="s">
        <v>52</v>
      </c>
      <c r="G162" s="45"/>
      <c r="H162" s="42">
        <v>30</v>
      </c>
      <c r="I162" s="45">
        <f t="shared" si="19"/>
        <v>27</v>
      </c>
      <c r="J162" s="42">
        <v>7.4</v>
      </c>
      <c r="K162" s="45">
        <f t="shared" si="22"/>
        <v>64.400000000000006</v>
      </c>
      <c r="L162" s="45">
        <f t="shared" si="20"/>
        <v>6.4400000000000013</v>
      </c>
      <c r="M162" s="45">
        <f t="shared" si="21"/>
        <v>70.84</v>
      </c>
      <c r="N162" s="42">
        <v>65</v>
      </c>
      <c r="O162" s="45"/>
      <c r="P162" s="45"/>
      <c r="Q162" s="45"/>
    </row>
    <row r="163" spans="1:17" s="117" customFormat="1" x14ac:dyDescent="0.25">
      <c r="A163" s="45" t="s">
        <v>270</v>
      </c>
      <c r="B163" s="43">
        <v>42627</v>
      </c>
      <c r="C163" s="45">
        <v>2088</v>
      </c>
      <c r="D163" s="81">
        <v>1</v>
      </c>
      <c r="E163" s="45" t="s">
        <v>68</v>
      </c>
      <c r="F163" s="84" t="s">
        <v>19</v>
      </c>
      <c r="G163" s="45"/>
      <c r="H163" s="45">
        <v>32.9</v>
      </c>
      <c r="I163" s="45">
        <f t="shared" si="19"/>
        <v>29.61</v>
      </c>
      <c r="J163" s="42">
        <v>7.4</v>
      </c>
      <c r="K163" s="45">
        <f t="shared" si="22"/>
        <v>69.91</v>
      </c>
      <c r="L163" s="45">
        <f t="shared" si="20"/>
        <v>6.9909999999999997</v>
      </c>
      <c r="M163" s="45">
        <f t="shared" si="21"/>
        <v>76.900999999999996</v>
      </c>
      <c r="N163" s="89">
        <v>75</v>
      </c>
      <c r="O163" s="84" t="s">
        <v>276</v>
      </c>
      <c r="P163" s="84" t="s">
        <v>26</v>
      </c>
      <c r="Q163" s="45" t="s">
        <v>70</v>
      </c>
    </row>
    <row r="164" spans="1:17" s="117" customFormat="1" x14ac:dyDescent="0.25">
      <c r="A164" s="45" t="s">
        <v>270</v>
      </c>
      <c r="B164" s="43">
        <v>42627</v>
      </c>
      <c r="C164" s="45">
        <v>2088</v>
      </c>
      <c r="D164" s="81">
        <v>1</v>
      </c>
      <c r="E164" s="45" t="s">
        <v>68</v>
      </c>
      <c r="F164" s="84" t="s">
        <v>19</v>
      </c>
      <c r="G164" s="45"/>
      <c r="H164" s="45">
        <v>32.9</v>
      </c>
      <c r="I164" s="45">
        <f t="shared" ref="I164:I177" si="23">H164*$I$2</f>
        <v>29.61</v>
      </c>
      <c r="J164" s="42">
        <v>7.4</v>
      </c>
      <c r="K164" s="45">
        <f t="shared" si="22"/>
        <v>69.91</v>
      </c>
      <c r="L164" s="45">
        <f t="shared" ref="L164:L177" si="24">K164*$L$2</f>
        <v>6.9909999999999997</v>
      </c>
      <c r="M164" s="45">
        <f t="shared" si="21"/>
        <v>76.900999999999996</v>
      </c>
      <c r="N164" s="89">
        <v>75</v>
      </c>
      <c r="O164" s="84" t="s">
        <v>276</v>
      </c>
      <c r="P164" s="84" t="s">
        <v>26</v>
      </c>
      <c r="Q164" s="45" t="s">
        <v>282</v>
      </c>
    </row>
    <row r="165" spans="1:17" s="117" customFormat="1" x14ac:dyDescent="0.25">
      <c r="A165" s="45" t="s">
        <v>270</v>
      </c>
      <c r="B165" s="43">
        <v>42627</v>
      </c>
      <c r="C165" s="45">
        <v>2088</v>
      </c>
      <c r="D165" s="81">
        <v>1</v>
      </c>
      <c r="E165" s="45" t="s">
        <v>68</v>
      </c>
      <c r="F165" s="84" t="s">
        <v>19</v>
      </c>
      <c r="G165" s="45"/>
      <c r="H165" s="45">
        <v>32.9</v>
      </c>
      <c r="I165" s="45">
        <f t="shared" si="23"/>
        <v>29.61</v>
      </c>
      <c r="J165" s="42">
        <v>7.4</v>
      </c>
      <c r="K165" s="45">
        <f t="shared" si="22"/>
        <v>69.91</v>
      </c>
      <c r="L165" s="45">
        <f t="shared" si="24"/>
        <v>6.9909999999999997</v>
      </c>
      <c r="M165" s="45">
        <f t="shared" si="21"/>
        <v>76.900999999999996</v>
      </c>
      <c r="N165" s="89">
        <v>75</v>
      </c>
      <c r="O165" s="84" t="s">
        <v>283</v>
      </c>
      <c r="P165" s="84" t="s">
        <v>26</v>
      </c>
      <c r="Q165" s="45" t="s">
        <v>284</v>
      </c>
    </row>
    <row r="166" spans="1:17" s="117" customFormat="1" x14ac:dyDescent="0.25">
      <c r="A166" s="45" t="s">
        <v>270</v>
      </c>
      <c r="B166" s="43">
        <v>42627</v>
      </c>
      <c r="C166" s="45">
        <v>2088</v>
      </c>
      <c r="D166" s="81">
        <v>1</v>
      </c>
      <c r="E166" s="45" t="s">
        <v>68</v>
      </c>
      <c r="F166" s="45" t="s">
        <v>52</v>
      </c>
      <c r="G166" s="45"/>
      <c r="H166" s="45">
        <v>32.9</v>
      </c>
      <c r="I166" s="45">
        <f t="shared" si="23"/>
        <v>29.61</v>
      </c>
      <c r="J166" s="42">
        <v>7.4</v>
      </c>
      <c r="K166" s="45">
        <f t="shared" si="22"/>
        <v>69.91</v>
      </c>
      <c r="L166" s="45">
        <f t="shared" si="24"/>
        <v>6.9909999999999997</v>
      </c>
      <c r="M166" s="45">
        <f t="shared" si="21"/>
        <v>76.900999999999996</v>
      </c>
      <c r="N166" s="89">
        <v>75</v>
      </c>
      <c r="O166" s="84" t="s">
        <v>283</v>
      </c>
      <c r="P166" s="84" t="s">
        <v>26</v>
      </c>
      <c r="Q166" s="45" t="s">
        <v>285</v>
      </c>
    </row>
    <row r="167" spans="1:17" s="117" customFormat="1" x14ac:dyDescent="0.25">
      <c r="A167" s="1" t="s">
        <v>270</v>
      </c>
      <c r="B167" s="2">
        <v>42637</v>
      </c>
      <c r="C167" s="1"/>
      <c r="D167" s="25">
        <v>1</v>
      </c>
      <c r="E167" s="1" t="s">
        <v>286</v>
      </c>
      <c r="F167" s="1" t="s">
        <v>31</v>
      </c>
      <c r="G167" s="1"/>
      <c r="H167" s="1">
        <v>2.9</v>
      </c>
      <c r="I167" s="1">
        <f t="shared" si="23"/>
        <v>2.61</v>
      </c>
      <c r="J167" s="21">
        <v>7.4</v>
      </c>
      <c r="K167" s="1">
        <f t="shared" si="22"/>
        <v>12.91</v>
      </c>
      <c r="L167" s="45">
        <f t="shared" si="24"/>
        <v>1.2910000000000001</v>
      </c>
      <c r="M167" s="1">
        <f t="shared" si="21"/>
        <v>14.201000000000001</v>
      </c>
      <c r="N167" s="21">
        <v>15</v>
      </c>
      <c r="O167" s="1"/>
      <c r="P167" s="8"/>
      <c r="Q167" s="1"/>
    </row>
    <row r="168" spans="1:17" s="117" customFormat="1" ht="45" x14ac:dyDescent="0.25">
      <c r="A168" s="82" t="s">
        <v>270</v>
      </c>
      <c r="B168" s="83">
        <v>42619</v>
      </c>
      <c r="C168" s="82">
        <v>64</v>
      </c>
      <c r="D168" s="85">
        <v>1</v>
      </c>
      <c r="E168" s="82" t="s">
        <v>287</v>
      </c>
      <c r="F168" s="82" t="s">
        <v>19</v>
      </c>
      <c r="G168" s="82"/>
      <c r="H168" s="1">
        <v>13.9</v>
      </c>
      <c r="I168" s="1">
        <f t="shared" si="23"/>
        <v>12.51</v>
      </c>
      <c r="J168" s="21">
        <v>7.4</v>
      </c>
      <c r="K168" s="1">
        <f t="shared" si="22"/>
        <v>33.81</v>
      </c>
      <c r="L168" s="7">
        <f t="shared" si="24"/>
        <v>3.3810000000000002</v>
      </c>
      <c r="M168" s="1">
        <f t="shared" si="21"/>
        <v>37.191000000000003</v>
      </c>
      <c r="N168" s="86">
        <v>40</v>
      </c>
      <c r="O168" s="82" t="s">
        <v>100</v>
      </c>
      <c r="P168" s="8" t="s">
        <v>101</v>
      </c>
      <c r="Q168" s="1" t="s">
        <v>102</v>
      </c>
    </row>
    <row r="169" spans="1:17" s="117" customFormat="1" ht="30" x14ac:dyDescent="0.25">
      <c r="A169" s="82" t="s">
        <v>270</v>
      </c>
      <c r="B169" s="83">
        <v>42619</v>
      </c>
      <c r="C169" s="82">
        <v>64</v>
      </c>
      <c r="D169" s="85">
        <v>1</v>
      </c>
      <c r="E169" s="82" t="s">
        <v>288</v>
      </c>
      <c r="F169" s="82" t="s">
        <v>19</v>
      </c>
      <c r="G169" s="82"/>
      <c r="H169" s="1">
        <v>13.9</v>
      </c>
      <c r="I169" s="1">
        <f t="shared" si="23"/>
        <v>12.51</v>
      </c>
      <c r="J169" s="21">
        <v>7.4</v>
      </c>
      <c r="K169" s="1">
        <f t="shared" si="22"/>
        <v>33.81</v>
      </c>
      <c r="L169" s="7">
        <f t="shared" si="24"/>
        <v>3.3810000000000002</v>
      </c>
      <c r="M169" s="1">
        <f t="shared" si="21"/>
        <v>37.191000000000003</v>
      </c>
      <c r="N169" s="86">
        <v>40</v>
      </c>
      <c r="O169" s="82" t="s">
        <v>100</v>
      </c>
      <c r="P169" s="8" t="s">
        <v>207</v>
      </c>
      <c r="Q169" s="1" t="s">
        <v>252</v>
      </c>
    </row>
    <row r="170" spans="1:17" s="117" customFormat="1" ht="30" x14ac:dyDescent="0.25">
      <c r="A170" s="82" t="s">
        <v>270</v>
      </c>
      <c r="B170" s="83">
        <v>42619</v>
      </c>
      <c r="C170" s="82">
        <v>64</v>
      </c>
      <c r="D170" s="85">
        <v>1</v>
      </c>
      <c r="E170" s="82" t="s">
        <v>289</v>
      </c>
      <c r="F170" s="82" t="s">
        <v>19</v>
      </c>
      <c r="G170" s="82"/>
      <c r="H170" s="1">
        <v>13.9</v>
      </c>
      <c r="I170" s="1">
        <f t="shared" si="23"/>
        <v>12.51</v>
      </c>
      <c r="J170" s="21">
        <v>7.4</v>
      </c>
      <c r="K170" s="1">
        <f t="shared" si="22"/>
        <v>33.81</v>
      </c>
      <c r="L170" s="7">
        <f t="shared" si="24"/>
        <v>3.3810000000000002</v>
      </c>
      <c r="M170" s="1">
        <f t="shared" si="21"/>
        <v>37.191000000000003</v>
      </c>
      <c r="N170" s="86">
        <v>40</v>
      </c>
      <c r="O170" s="82" t="s">
        <v>100</v>
      </c>
      <c r="P170" s="8" t="s">
        <v>207</v>
      </c>
      <c r="Q170" s="1" t="s">
        <v>80</v>
      </c>
    </row>
    <row r="171" spans="1:17" s="117" customFormat="1" ht="30" x14ac:dyDescent="0.25">
      <c r="A171" s="82" t="s">
        <v>270</v>
      </c>
      <c r="B171" s="83">
        <v>42619</v>
      </c>
      <c r="C171" s="82">
        <v>64</v>
      </c>
      <c r="D171" s="85">
        <v>1</v>
      </c>
      <c r="E171" s="82" t="s">
        <v>290</v>
      </c>
      <c r="F171" s="82" t="s">
        <v>19</v>
      </c>
      <c r="G171" s="82"/>
      <c r="H171" s="1">
        <v>13.9</v>
      </c>
      <c r="I171" s="1">
        <f t="shared" si="23"/>
        <v>12.51</v>
      </c>
      <c r="J171" s="21">
        <v>7.4</v>
      </c>
      <c r="K171" s="1">
        <f t="shared" si="22"/>
        <v>33.81</v>
      </c>
      <c r="L171" s="7">
        <f t="shared" si="24"/>
        <v>3.3810000000000002</v>
      </c>
      <c r="M171" s="1">
        <f t="shared" si="21"/>
        <v>37.191000000000003</v>
      </c>
      <c r="N171" s="86">
        <v>40</v>
      </c>
      <c r="O171" s="82" t="s">
        <v>100</v>
      </c>
      <c r="P171" s="8" t="s">
        <v>207</v>
      </c>
      <c r="Q171" s="1" t="s">
        <v>291</v>
      </c>
    </row>
    <row r="172" spans="1:17" s="117" customFormat="1" x14ac:dyDescent="0.25">
      <c r="A172" s="82" t="s">
        <v>270</v>
      </c>
      <c r="B172" s="2">
        <v>42637</v>
      </c>
      <c r="C172" s="82">
        <v>64</v>
      </c>
      <c r="D172" s="85">
        <v>1</v>
      </c>
      <c r="E172" s="82" t="s">
        <v>292</v>
      </c>
      <c r="F172" s="82" t="s">
        <v>29</v>
      </c>
      <c r="G172" s="82"/>
      <c r="H172" s="1">
        <v>13.9</v>
      </c>
      <c r="I172" s="1">
        <f t="shared" si="23"/>
        <v>12.51</v>
      </c>
      <c r="J172" s="21">
        <v>7.4</v>
      </c>
      <c r="K172" s="1">
        <f t="shared" si="22"/>
        <v>33.81</v>
      </c>
      <c r="L172" s="7">
        <f t="shared" si="24"/>
        <v>3.3810000000000002</v>
      </c>
      <c r="M172" s="1">
        <f t="shared" si="21"/>
        <v>37.191000000000003</v>
      </c>
      <c r="N172" s="86">
        <v>40</v>
      </c>
      <c r="O172" s="82" t="s">
        <v>293</v>
      </c>
      <c r="P172" s="8" t="s">
        <v>26</v>
      </c>
      <c r="Q172" s="1" t="s">
        <v>294</v>
      </c>
    </row>
    <row r="173" spans="1:17" s="117" customFormat="1" x14ac:dyDescent="0.25">
      <c r="A173" s="1" t="s">
        <v>270</v>
      </c>
      <c r="B173" s="2">
        <v>42637</v>
      </c>
      <c r="C173" s="1">
        <v>64</v>
      </c>
      <c r="D173" s="25">
        <v>1</v>
      </c>
      <c r="E173" s="1" t="s">
        <v>288</v>
      </c>
      <c r="F173" s="1" t="s">
        <v>29</v>
      </c>
      <c r="G173" s="82"/>
      <c r="H173" s="1">
        <v>13.9</v>
      </c>
      <c r="I173" s="1">
        <f t="shared" si="23"/>
        <v>12.51</v>
      </c>
      <c r="J173" s="21">
        <v>7.4</v>
      </c>
      <c r="K173" s="1">
        <f t="shared" si="22"/>
        <v>33.81</v>
      </c>
      <c r="L173" s="45">
        <f t="shared" si="24"/>
        <v>3.3810000000000002</v>
      </c>
      <c r="M173" s="1">
        <f t="shared" si="21"/>
        <v>37.191000000000003</v>
      </c>
      <c r="N173" s="86">
        <v>40</v>
      </c>
      <c r="O173" s="82"/>
      <c r="P173" s="8"/>
      <c r="Q173" s="1"/>
    </row>
    <row r="174" spans="1:17" s="117" customFormat="1" x14ac:dyDescent="0.25">
      <c r="A174" s="1" t="s">
        <v>270</v>
      </c>
      <c r="B174" s="2">
        <v>42637</v>
      </c>
      <c r="C174" s="1"/>
      <c r="D174" s="25">
        <v>1</v>
      </c>
      <c r="E174" s="1" t="s">
        <v>18</v>
      </c>
      <c r="F174" s="1" t="s">
        <v>29</v>
      </c>
      <c r="G174" s="1"/>
      <c r="H174" s="1">
        <v>13.9</v>
      </c>
      <c r="I174" s="1">
        <f t="shared" si="23"/>
        <v>12.51</v>
      </c>
      <c r="J174" s="21">
        <v>7.4</v>
      </c>
      <c r="K174" s="1">
        <f t="shared" si="22"/>
        <v>33.81</v>
      </c>
      <c r="L174" s="7">
        <f t="shared" si="24"/>
        <v>3.3810000000000002</v>
      </c>
      <c r="M174" s="1">
        <f t="shared" si="21"/>
        <v>37.191000000000003</v>
      </c>
      <c r="N174" s="21">
        <v>40</v>
      </c>
      <c r="O174" s="1" t="s">
        <v>295</v>
      </c>
      <c r="P174" s="1" t="s">
        <v>26</v>
      </c>
      <c r="Q174" s="1" t="s">
        <v>261</v>
      </c>
    </row>
    <row r="175" spans="1:17" s="117" customFormat="1" x14ac:dyDescent="0.25">
      <c r="A175" s="82" t="s">
        <v>270</v>
      </c>
      <c r="B175" s="83">
        <v>42619</v>
      </c>
      <c r="C175" s="90" t="s">
        <v>296</v>
      </c>
      <c r="D175" s="85">
        <v>1</v>
      </c>
      <c r="E175" s="82" t="s">
        <v>297</v>
      </c>
      <c r="F175" s="82" t="s">
        <v>65</v>
      </c>
      <c r="G175" s="82"/>
      <c r="H175" s="1">
        <v>24.9</v>
      </c>
      <c r="I175" s="1">
        <f t="shared" si="23"/>
        <v>22.41</v>
      </c>
      <c r="J175" s="21">
        <v>7.4</v>
      </c>
      <c r="K175" s="1">
        <f t="shared" si="22"/>
        <v>54.71</v>
      </c>
      <c r="L175" s="7">
        <f t="shared" si="24"/>
        <v>5.4710000000000001</v>
      </c>
      <c r="M175" s="1">
        <f t="shared" si="21"/>
        <v>60.180999999999997</v>
      </c>
      <c r="N175" s="86">
        <v>70</v>
      </c>
      <c r="O175" s="82" t="s">
        <v>298</v>
      </c>
      <c r="P175" s="82" t="s">
        <v>26</v>
      </c>
      <c r="Q175" s="82" t="s">
        <v>221</v>
      </c>
    </row>
    <row r="176" spans="1:17" x14ac:dyDescent="0.25">
      <c r="A176" s="1" t="s">
        <v>270</v>
      </c>
      <c r="B176" s="2">
        <v>42619</v>
      </c>
      <c r="C176" s="1">
        <v>71605</v>
      </c>
      <c r="D176" s="25">
        <v>1</v>
      </c>
      <c r="E176" s="1" t="s">
        <v>299</v>
      </c>
      <c r="F176" s="1" t="s">
        <v>29</v>
      </c>
      <c r="G176" s="1"/>
      <c r="H176" s="1">
        <v>24.9</v>
      </c>
      <c r="I176" s="1">
        <f t="shared" si="23"/>
        <v>22.41</v>
      </c>
      <c r="J176" s="21">
        <v>7.4</v>
      </c>
      <c r="K176" s="1">
        <f t="shared" si="22"/>
        <v>54.71</v>
      </c>
      <c r="L176" s="7">
        <f t="shared" si="24"/>
        <v>5.4710000000000001</v>
      </c>
      <c r="M176" s="1">
        <f t="shared" si="21"/>
        <v>60.180999999999997</v>
      </c>
      <c r="N176" s="21">
        <v>70</v>
      </c>
      <c r="O176" s="82" t="s">
        <v>300</v>
      </c>
      <c r="P176" s="91" t="s">
        <v>26</v>
      </c>
      <c r="Q176" s="1" t="s">
        <v>43</v>
      </c>
    </row>
    <row r="177" spans="1:17" x14ac:dyDescent="0.25">
      <c r="A177" s="1" t="s">
        <v>270</v>
      </c>
      <c r="B177" s="2">
        <v>42619</v>
      </c>
      <c r="C177" s="1">
        <v>71605</v>
      </c>
      <c r="D177" s="25">
        <v>1</v>
      </c>
      <c r="E177" s="1" t="s">
        <v>301</v>
      </c>
      <c r="F177" s="1" t="s">
        <v>65</v>
      </c>
      <c r="G177" s="1"/>
      <c r="H177" s="1">
        <v>24.9</v>
      </c>
      <c r="I177" s="1">
        <f t="shared" si="23"/>
        <v>22.41</v>
      </c>
      <c r="J177" s="21">
        <v>7.4</v>
      </c>
      <c r="K177" s="1">
        <f t="shared" si="22"/>
        <v>54.71</v>
      </c>
      <c r="L177" s="7">
        <f t="shared" si="24"/>
        <v>5.4710000000000001</v>
      </c>
      <c r="M177" s="1">
        <f t="shared" si="21"/>
        <v>60.180999999999997</v>
      </c>
      <c r="N177" s="21">
        <v>70</v>
      </c>
      <c r="O177" s="82" t="s">
        <v>302</v>
      </c>
      <c r="P177" s="91" t="s">
        <v>26</v>
      </c>
      <c r="Q177" s="1" t="s">
        <v>303</v>
      </c>
    </row>
    <row r="178" spans="1:17" x14ac:dyDescent="0.25">
      <c r="N178" s="5"/>
    </row>
  </sheetData>
  <autoFilter ref="A3:Q177" xr:uid="{00000000-0009-0000-0000-000000000000}">
    <sortState xmlns:xlrd2="http://schemas.microsoft.com/office/spreadsheetml/2017/richdata2" ref="A4:Q177">
      <sortCondition ref="A3:A177"/>
    </sortState>
  </autoFilter>
  <conditionalFormatting sqref="O122 O95:O113 O140:O156 O158:O65536 O1:O93">
    <cfRule type="containsText" dxfId="26" priority="22" operator="containsText" text="Vendido">
      <formula>NOT(ISERROR(SEARCH("Vendido",O1)))</formula>
    </cfRule>
  </conditionalFormatting>
  <conditionalFormatting sqref="O115">
    <cfRule type="containsText" dxfId="25" priority="21" operator="containsText" text="Vendido">
      <formula>NOT(ISERROR(SEARCH("Vendido",O115)))</formula>
    </cfRule>
  </conditionalFormatting>
  <conditionalFormatting sqref="O114">
    <cfRule type="containsText" dxfId="24" priority="20" operator="containsText" text="Vendido">
      <formula>NOT(ISERROR(SEARCH("Vendido",O114)))</formula>
    </cfRule>
  </conditionalFormatting>
  <conditionalFormatting sqref="O120">
    <cfRule type="containsText" dxfId="23" priority="19" operator="containsText" text="Vendido">
      <formula>NOT(ISERROR(SEARCH("Vendido",O120)))</formula>
    </cfRule>
  </conditionalFormatting>
  <conditionalFormatting sqref="O121">
    <cfRule type="containsText" dxfId="22" priority="18" operator="containsText" text="Vendido">
      <formula>NOT(ISERROR(SEARCH("Vendido",O121)))</formula>
    </cfRule>
  </conditionalFormatting>
  <conditionalFormatting sqref="O116:O119">
    <cfRule type="containsText" dxfId="21" priority="17" operator="containsText" text="Vendido">
      <formula>NOT(ISERROR(SEARCH("Vendido",O116)))</formula>
    </cfRule>
  </conditionalFormatting>
  <conditionalFormatting sqref="O94">
    <cfRule type="containsText" dxfId="20" priority="16" operator="containsText" text="Vendido">
      <formula>NOT(ISERROR(SEARCH("Vendido",O94)))</formula>
    </cfRule>
  </conditionalFormatting>
  <conditionalFormatting sqref="O123">
    <cfRule type="containsText" dxfId="19" priority="15" operator="containsText" text="Vendido">
      <formula>NOT(ISERROR(SEARCH("Vendido",O123)))</formula>
    </cfRule>
  </conditionalFormatting>
  <conditionalFormatting sqref="O124">
    <cfRule type="containsText" dxfId="18" priority="14" operator="containsText" text="Vendido">
      <formula>NOT(ISERROR(SEARCH("Vendido",O124)))</formula>
    </cfRule>
  </conditionalFormatting>
  <conditionalFormatting sqref="O126:O128">
    <cfRule type="containsText" dxfId="17" priority="13" operator="containsText" text="Vendido">
      <formula>NOT(ISERROR(SEARCH("Vendido",O126)))</formula>
    </cfRule>
  </conditionalFormatting>
  <conditionalFormatting sqref="O125">
    <cfRule type="containsText" dxfId="16" priority="12" operator="containsText" text="Vendido">
      <formula>NOT(ISERROR(SEARCH("Vendido",O125)))</formula>
    </cfRule>
  </conditionalFormatting>
  <conditionalFormatting sqref="O130:O138">
    <cfRule type="containsText" dxfId="15" priority="11" operator="containsText" text="Vendido">
      <formula>NOT(ISERROR(SEARCH("Vendido",O130)))</formula>
    </cfRule>
  </conditionalFormatting>
  <conditionalFormatting sqref="O139">
    <cfRule type="containsText" dxfId="14" priority="10" operator="containsText" text="Vendido">
      <formula>NOT(ISERROR(SEARCH("Vendido",O139)))</formula>
    </cfRule>
  </conditionalFormatting>
  <conditionalFormatting sqref="O129">
    <cfRule type="containsText" dxfId="13" priority="9" operator="containsText" text="Vendido">
      <formula>NOT(ISERROR(SEARCH("Vendido",O129)))</formula>
    </cfRule>
  </conditionalFormatting>
  <conditionalFormatting sqref="O119">
    <cfRule type="containsText" dxfId="12" priority="8" operator="containsText" text="Vendido">
      <formula>NOT(ISERROR(SEARCH("Vendido",O119)))</formula>
    </cfRule>
  </conditionalFormatting>
  <conditionalFormatting sqref="O157">
    <cfRule type="containsText" dxfId="11" priority="7" operator="containsText" text="Vendido">
      <formula>NOT(ISERROR(SEARCH("Vendido",O157)))</formula>
    </cfRule>
  </conditionalFormatting>
  <conditionalFormatting sqref="Q146">
    <cfRule type="containsText" dxfId="10" priority="6" operator="containsText" text="Vendido">
      <formula>NOT(ISERROR(SEARCH("Vendido",Q146)))</formula>
    </cfRule>
  </conditionalFormatting>
  <conditionalFormatting sqref="O157">
    <cfRule type="containsText" dxfId="9" priority="5" operator="containsText" text="Vendido">
      <formula>NOT(ISERROR(SEARCH("Vendido",O157)))</formula>
    </cfRule>
  </conditionalFormatting>
  <conditionalFormatting sqref="Q157">
    <cfRule type="containsText" dxfId="8" priority="4" operator="containsText" text="Vendido">
      <formula>NOT(ISERROR(SEARCH("Vendido",Q157)))</formula>
    </cfRule>
  </conditionalFormatting>
  <conditionalFormatting sqref="O158:O175">
    <cfRule type="containsText" dxfId="7" priority="3" operator="containsText" text="Vendido">
      <formula>NOT(ISERROR(SEARCH("Vendido",O158)))</formula>
    </cfRule>
  </conditionalFormatting>
  <conditionalFormatting sqref="O158:O175">
    <cfRule type="containsText" dxfId="6" priority="2" operator="containsText" text="Vendido">
      <formula>NOT(ISERROR(SEARCH("Vendido",O158)))</formula>
    </cfRule>
  </conditionalFormatting>
  <conditionalFormatting sqref="Q158:Q175">
    <cfRule type="containsText" dxfId="5" priority="1" operator="containsText" text="Vendido">
      <formula>NOT(ISERROR(SEARCH("Vendido",Q158)))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7"/>
  <sheetViews>
    <sheetView tabSelected="1" topLeftCell="A2" zoomScale="80" zoomScaleNormal="80" workbookViewId="0">
      <pane ySplit="1" topLeftCell="A3" activePane="bottomLeft" state="frozen"/>
      <selection activeCell="A2" sqref="A2"/>
      <selection pane="bottomLeft" activeCell="D20" sqref="D20"/>
    </sheetView>
  </sheetViews>
  <sheetFormatPr defaultRowHeight="15" x14ac:dyDescent="0.25"/>
  <cols>
    <col min="1" max="1" width="16.7109375" style="135" bestFit="1" customWidth="1"/>
    <col min="2" max="3" width="46.140625" style="5" customWidth="1"/>
    <col min="4" max="4" width="14.42578125" style="19" customWidth="1"/>
    <col min="5" max="5" width="21.28515625" customWidth="1"/>
    <col min="6" max="9" width="9.140625" customWidth="1"/>
  </cols>
  <sheetData>
    <row r="1" spans="1:4" hidden="1" x14ac:dyDescent="0.25">
      <c r="D1" s="120">
        <f>SUM(D3:D9)</f>
        <v>484</v>
      </c>
    </row>
    <row r="2" spans="1:4" s="28" customFormat="1" ht="30" x14ac:dyDescent="0.25">
      <c r="A2" s="136" t="s">
        <v>2</v>
      </c>
      <c r="B2" s="4" t="s">
        <v>4</v>
      </c>
      <c r="C2" s="4" t="s">
        <v>656</v>
      </c>
      <c r="D2" s="122" t="s">
        <v>13</v>
      </c>
    </row>
    <row r="3" spans="1:4" ht="19.149999999999999" customHeight="1" x14ac:dyDescent="0.25">
      <c r="A3" s="137">
        <v>5002</v>
      </c>
      <c r="B3" s="1" t="s">
        <v>210</v>
      </c>
      <c r="C3" s="137">
        <v>120</v>
      </c>
      <c r="D3" s="123">
        <v>80</v>
      </c>
    </row>
    <row r="4" spans="1:4" ht="19.149999999999999" customHeight="1" x14ac:dyDescent="0.25">
      <c r="A4" s="138">
        <v>2642</v>
      </c>
      <c r="B4" s="1" t="s">
        <v>144</v>
      </c>
      <c r="C4" s="137">
        <v>52</v>
      </c>
      <c r="D4" s="123">
        <v>80</v>
      </c>
    </row>
    <row r="5" spans="1:4" ht="19.149999999999999" customHeight="1" x14ac:dyDescent="0.25">
      <c r="A5" s="141">
        <v>2201</v>
      </c>
      <c r="B5" s="113" t="s">
        <v>304</v>
      </c>
      <c r="C5" s="139">
        <v>30</v>
      </c>
      <c r="D5" s="113">
        <v>90</v>
      </c>
    </row>
    <row r="6" spans="1:4" ht="19.149999999999999" customHeight="1" x14ac:dyDescent="0.25">
      <c r="A6" s="138">
        <v>2019</v>
      </c>
      <c r="B6" s="45" t="s">
        <v>55</v>
      </c>
      <c r="C6" s="138">
        <v>84</v>
      </c>
      <c r="D6" s="121">
        <v>100</v>
      </c>
    </row>
    <row r="7" spans="1:4" ht="19.149999999999999" customHeight="1" x14ac:dyDescent="0.25">
      <c r="A7" s="137">
        <v>1130</v>
      </c>
      <c r="B7" s="1" t="s">
        <v>129</v>
      </c>
      <c r="C7" s="137">
        <v>75</v>
      </c>
      <c r="D7" s="123">
        <v>24</v>
      </c>
    </row>
    <row r="8" spans="1:4" ht="19.149999999999999" customHeight="1" x14ac:dyDescent="0.25">
      <c r="A8" s="137">
        <v>6815</v>
      </c>
      <c r="B8" s="1" t="s">
        <v>94</v>
      </c>
      <c r="C8" s="137">
        <v>68</v>
      </c>
      <c r="D8" s="123">
        <v>30</v>
      </c>
    </row>
    <row r="9" spans="1:4" ht="19.149999999999999" customHeight="1" x14ac:dyDescent="0.25">
      <c r="A9" s="137">
        <v>2436</v>
      </c>
      <c r="B9" s="1" t="s">
        <v>51</v>
      </c>
      <c r="C9" s="137">
        <v>89</v>
      </c>
      <c r="D9" s="123">
        <v>80</v>
      </c>
    </row>
    <row r="10" spans="1:4" ht="19.149999999999999" customHeight="1" x14ac:dyDescent="0.25">
      <c r="A10" s="137">
        <v>2046</v>
      </c>
      <c r="B10" s="1" t="s">
        <v>37</v>
      </c>
      <c r="C10" s="137">
        <v>140</v>
      </c>
      <c r="D10" s="123">
        <v>80</v>
      </c>
    </row>
    <row r="11" spans="1:4" ht="19.149999999999999" customHeight="1" x14ac:dyDescent="0.25">
      <c r="A11" s="137">
        <v>2475</v>
      </c>
      <c r="B11" s="1" t="s">
        <v>151</v>
      </c>
      <c r="C11" s="137">
        <v>72</v>
      </c>
      <c r="D11" s="123">
        <v>95</v>
      </c>
    </row>
    <row r="12" spans="1:4" ht="19.149999999999999" customHeight="1" x14ac:dyDescent="0.25">
      <c r="A12" s="138">
        <v>2470</v>
      </c>
      <c r="B12" s="1" t="s">
        <v>206</v>
      </c>
      <c r="C12" s="137">
        <v>40</v>
      </c>
      <c r="D12" s="123">
        <v>34</v>
      </c>
    </row>
    <row r="13" spans="1:4" ht="19.149999999999999" customHeight="1" x14ac:dyDescent="0.25">
      <c r="A13" s="137">
        <v>2472</v>
      </c>
      <c r="B13" s="1" t="s">
        <v>160</v>
      </c>
      <c r="C13" s="137">
        <v>32</v>
      </c>
      <c r="D13" s="123">
        <v>80</v>
      </c>
    </row>
    <row r="14" spans="1:4" ht="19.149999999999999" customHeight="1" x14ac:dyDescent="0.25">
      <c r="A14" s="137">
        <v>100</v>
      </c>
      <c r="B14" s="1" t="s">
        <v>657</v>
      </c>
      <c r="C14" s="137">
        <v>11</v>
      </c>
      <c r="D14" s="123">
        <v>20</v>
      </c>
    </row>
    <row r="15" spans="1:4" ht="19.149999999999999" customHeight="1" x14ac:dyDescent="0.25">
      <c r="A15" s="137"/>
      <c r="B15" s="1"/>
      <c r="C15" s="137"/>
      <c r="D15" s="123"/>
    </row>
    <row r="16" spans="1:4" ht="19.149999999999999" customHeight="1" x14ac:dyDescent="0.25">
      <c r="D16" s="156"/>
    </row>
    <row r="17" spans="1:4" ht="19.149999999999999" customHeight="1" x14ac:dyDescent="0.25">
      <c r="D17" s="156"/>
    </row>
    <row r="18" spans="1:4" ht="19.149999999999999" customHeight="1" x14ac:dyDescent="0.25">
      <c r="D18" s="156"/>
    </row>
    <row r="19" spans="1:4" ht="19.149999999999999" customHeight="1" x14ac:dyDescent="0.25">
      <c r="D19" s="157"/>
    </row>
    <row r="20" spans="1:4" ht="19.149999999999999" customHeight="1" x14ac:dyDescent="0.25">
      <c r="A20" s="158"/>
      <c r="B20" s="40"/>
      <c r="C20" s="40"/>
      <c r="D20" s="159"/>
    </row>
    <row r="21" spans="1:4" ht="19.149999999999999" customHeight="1" x14ac:dyDescent="0.25">
      <c r="D21" s="156"/>
    </row>
    <row r="22" spans="1:4" ht="19.149999999999999" customHeight="1" x14ac:dyDescent="0.25">
      <c r="D22" s="156"/>
    </row>
    <row r="23" spans="1:4" ht="19.149999999999999" customHeight="1" x14ac:dyDescent="0.25">
      <c r="D23" s="156"/>
    </row>
    <row r="24" spans="1:4" ht="19.149999999999999" customHeight="1" x14ac:dyDescent="0.25">
      <c r="A24" s="155"/>
      <c r="D24" s="156"/>
    </row>
    <row r="25" spans="1:4" ht="19.149999999999999" customHeight="1" x14ac:dyDescent="0.25">
      <c r="A25" s="158"/>
      <c r="B25" s="40"/>
      <c r="C25" s="40"/>
      <c r="D25" s="159"/>
    </row>
    <row r="26" spans="1:4" ht="19.149999999999999" customHeight="1" x14ac:dyDescent="0.25">
      <c r="D26" s="156"/>
    </row>
    <row r="27" spans="1:4" ht="19.149999999999999" customHeight="1" x14ac:dyDescent="0.25">
      <c r="A27" s="57"/>
      <c r="B27" s="57"/>
      <c r="C27" s="57"/>
      <c r="D27" s="57"/>
    </row>
    <row r="28" spans="1:4" ht="19.149999999999999" customHeight="1" x14ac:dyDescent="0.25">
      <c r="A28" s="57"/>
      <c r="B28" s="57"/>
      <c r="C28" s="57"/>
      <c r="D28" s="57"/>
    </row>
    <row r="29" spans="1:4" ht="19.149999999999999" customHeight="1" x14ac:dyDescent="0.25">
      <c r="A29" s="154"/>
      <c r="B29" s="154"/>
      <c r="C29" s="154"/>
      <c r="D29" s="154"/>
    </row>
    <row r="30" spans="1:4" ht="19.149999999999999" customHeight="1" x14ac:dyDescent="0.25">
      <c r="A30" s="5"/>
      <c r="D30" s="5"/>
    </row>
    <row r="31" spans="1:4" ht="19.149999999999999" customHeight="1" x14ac:dyDescent="0.25">
      <c r="A31" s="5"/>
      <c r="D31" s="5"/>
    </row>
    <row r="32" spans="1:4" ht="19.149999999999999" customHeight="1" x14ac:dyDescent="0.25">
      <c r="A32" s="57"/>
      <c r="B32" s="57"/>
      <c r="C32" s="57"/>
      <c r="D32" s="57"/>
    </row>
    <row r="33" spans="1:4" ht="19.149999999999999" customHeight="1" x14ac:dyDescent="0.25">
      <c r="A33" s="154"/>
      <c r="B33" s="154"/>
      <c r="C33" s="154"/>
      <c r="D33" s="154"/>
    </row>
    <row r="34" spans="1:4" ht="19.149999999999999" customHeight="1" x14ac:dyDescent="0.25">
      <c r="A34" s="154"/>
      <c r="B34" s="154"/>
      <c r="C34" s="154"/>
      <c r="D34" s="154"/>
    </row>
    <row r="35" spans="1:4" ht="19.149999999999999" customHeight="1" x14ac:dyDescent="0.25">
      <c r="A35" s="154"/>
      <c r="B35" s="154"/>
      <c r="C35" s="154"/>
      <c r="D35" s="154"/>
    </row>
    <row r="36" spans="1:4" ht="19.149999999999999" customHeight="1" x14ac:dyDescent="0.25">
      <c r="A36" s="154"/>
      <c r="B36" s="154"/>
      <c r="C36" s="154"/>
      <c r="D36" s="154"/>
    </row>
    <row r="37" spans="1:4" ht="19.149999999999999" customHeight="1" x14ac:dyDescent="0.25">
      <c r="A37" s="57"/>
      <c r="B37" s="57"/>
      <c r="C37" s="57"/>
      <c r="D37" s="57"/>
    </row>
    <row r="38" spans="1:4" ht="19.149999999999999" customHeight="1" x14ac:dyDescent="0.25">
      <c r="A38" s="57"/>
      <c r="B38" s="57"/>
      <c r="C38" s="57"/>
      <c r="D38" s="57"/>
    </row>
    <row r="39" spans="1:4" ht="19.149999999999999" customHeight="1" x14ac:dyDescent="0.25">
      <c r="A39" s="57"/>
      <c r="B39" s="57"/>
      <c r="C39" s="57"/>
      <c r="D39" s="57"/>
    </row>
    <row r="40" spans="1:4" s="39" customFormat="1" ht="19.149999999999999" customHeight="1" x14ac:dyDescent="0.25">
      <c r="A40" s="5"/>
      <c r="B40" s="5"/>
      <c r="C40" s="5"/>
      <c r="D40" s="5"/>
    </row>
    <row r="41" spans="1:4" s="39" customFormat="1" ht="19.149999999999999" customHeight="1" x14ac:dyDescent="0.25">
      <c r="A41" s="57"/>
      <c r="B41" s="57"/>
      <c r="C41" s="57"/>
      <c r="D41" s="57"/>
    </row>
    <row r="42" spans="1:4" s="39" customFormat="1" ht="19.149999999999999" customHeight="1" x14ac:dyDescent="0.25">
      <c r="A42" s="5"/>
      <c r="B42" s="5"/>
      <c r="C42" s="5"/>
      <c r="D42" s="5"/>
    </row>
    <row r="43" spans="1:4" ht="19.149999999999999" customHeight="1" x14ac:dyDescent="0.25">
      <c r="A43" s="154"/>
      <c r="B43" s="154"/>
      <c r="C43" s="154"/>
      <c r="D43" s="154"/>
    </row>
    <row r="44" spans="1:4" ht="19.149999999999999" customHeight="1" x14ac:dyDescent="0.25">
      <c r="A44" s="5"/>
      <c r="D44" s="5"/>
    </row>
    <row r="45" spans="1:4" ht="19.149999999999999" customHeight="1" x14ac:dyDescent="0.25">
      <c r="A45" s="154"/>
      <c r="B45" s="154"/>
      <c r="C45" s="154"/>
      <c r="D45" s="154"/>
    </row>
    <row r="46" spans="1:4" ht="19.149999999999999" customHeight="1" x14ac:dyDescent="0.25">
      <c r="A46" s="5"/>
      <c r="D46" s="5"/>
    </row>
    <row r="47" spans="1:4" ht="19.149999999999999" customHeight="1" x14ac:dyDescent="0.25">
      <c r="A47" s="5"/>
      <c r="D47" s="5"/>
    </row>
    <row r="48" spans="1:4" ht="19.149999999999999" customHeight="1" x14ac:dyDescent="0.25">
      <c r="A48" s="5"/>
      <c r="D48" s="5"/>
    </row>
    <row r="49" spans="1:4" ht="19.149999999999999" customHeight="1" x14ac:dyDescent="0.25">
      <c r="A49" s="57"/>
      <c r="B49" s="57"/>
      <c r="C49" s="57"/>
      <c r="D49" s="57"/>
    </row>
    <row r="50" spans="1:4" ht="19.149999999999999" customHeight="1" x14ac:dyDescent="0.25">
      <c r="A50" s="155"/>
      <c r="D50" s="156"/>
    </row>
    <row r="51" spans="1:4" ht="19.149999999999999" customHeight="1" x14ac:dyDescent="0.25">
      <c r="D51" s="156"/>
    </row>
    <row r="52" spans="1:4" ht="18.75" customHeight="1" x14ac:dyDescent="0.25">
      <c r="A52" s="155"/>
      <c r="B52" s="57"/>
      <c r="C52" s="57"/>
      <c r="D52" s="157"/>
    </row>
    <row r="53" spans="1:4" ht="18.75" customHeight="1" x14ac:dyDescent="0.25">
      <c r="A53" s="158"/>
      <c r="B53" s="40"/>
      <c r="C53" s="40"/>
      <c r="D53" s="159"/>
    </row>
    <row r="54" spans="1:4" ht="18.75" customHeight="1" x14ac:dyDescent="0.25">
      <c r="D54" s="156"/>
    </row>
    <row r="55" spans="1:4" s="39" customFormat="1" ht="18.75" customHeight="1" x14ac:dyDescent="0.25">
      <c r="A55" s="135"/>
      <c r="B55" s="5"/>
      <c r="C55" s="5"/>
      <c r="D55" s="156"/>
    </row>
    <row r="56" spans="1:4" ht="18.75" customHeight="1" x14ac:dyDescent="0.25">
      <c r="D56" s="156"/>
    </row>
    <row r="57" spans="1:4" s="39" customFormat="1" ht="18.75" customHeight="1" x14ac:dyDescent="0.25">
      <c r="A57" s="135"/>
      <c r="B57" s="5"/>
      <c r="C57" s="5"/>
      <c r="D57" s="156"/>
    </row>
    <row r="58" spans="1:4" s="39" customFormat="1" ht="18.75" customHeight="1" x14ac:dyDescent="0.25">
      <c r="A58" s="155"/>
      <c r="B58" s="5"/>
      <c r="C58" s="5"/>
      <c r="D58" s="156"/>
    </row>
    <row r="59" spans="1:4" s="39" customFormat="1" ht="18.75" customHeight="1" x14ac:dyDescent="0.25">
      <c r="A59" s="135"/>
      <c r="B59" s="5"/>
      <c r="C59" s="5"/>
      <c r="D59" s="156"/>
    </row>
    <row r="60" spans="1:4" ht="18.75" customHeight="1" x14ac:dyDescent="0.25">
      <c r="A60" s="158"/>
      <c r="B60" s="40"/>
      <c r="C60" s="40"/>
      <c r="D60" s="159"/>
    </row>
    <row r="61" spans="1:4" ht="18.75" customHeight="1" x14ac:dyDescent="0.25">
      <c r="A61" s="160"/>
      <c r="B61" s="154"/>
      <c r="C61" s="154"/>
      <c r="D61" s="154"/>
    </row>
    <row r="62" spans="1:4" ht="18.75" customHeight="1" x14ac:dyDescent="0.25">
      <c r="A62" s="158"/>
      <c r="B62" s="40"/>
      <c r="C62" s="40"/>
      <c r="D62" s="159"/>
    </row>
    <row r="63" spans="1:4" ht="18.75" customHeight="1" x14ac:dyDescent="0.25">
      <c r="D63" s="156"/>
    </row>
    <row r="64" spans="1:4" ht="18.75" customHeight="1" x14ac:dyDescent="0.25">
      <c r="A64" s="158"/>
      <c r="B64" s="40"/>
      <c r="C64" s="40"/>
      <c r="D64" s="159"/>
    </row>
    <row r="65" spans="1:4" ht="18.75" customHeight="1" x14ac:dyDescent="0.25">
      <c r="A65" s="158"/>
      <c r="B65" s="161"/>
      <c r="C65" s="161"/>
      <c r="D65" s="159"/>
    </row>
    <row r="66" spans="1:4" ht="18.75" customHeight="1" x14ac:dyDescent="0.25">
      <c r="D66" s="162"/>
    </row>
    <row r="67" spans="1:4" s="117" customFormat="1" ht="18.75" hidden="1" customHeight="1" x14ac:dyDescent="0.25"/>
    <row r="68" spans="1:4" s="117" customFormat="1" ht="19.149999999999999" customHeight="1" x14ac:dyDescent="0.25"/>
    <row r="69" spans="1:4" s="117" customFormat="1" ht="19.149999999999999" customHeight="1" x14ac:dyDescent="0.25"/>
    <row r="70" spans="1:4" s="117" customFormat="1" ht="19.149999999999999" customHeight="1" x14ac:dyDescent="0.25"/>
    <row r="71" spans="1:4" s="117" customFormat="1" ht="19.149999999999999" customHeight="1" x14ac:dyDescent="0.25"/>
    <row r="72" spans="1:4" s="117" customFormat="1" ht="19.149999999999999" customHeight="1" x14ac:dyDescent="0.25"/>
    <row r="73" spans="1:4" s="117" customFormat="1" ht="19.149999999999999" customHeight="1" x14ac:dyDescent="0.25"/>
    <row r="74" spans="1:4" s="117" customFormat="1" ht="19.149999999999999" customHeight="1" x14ac:dyDescent="0.25"/>
    <row r="75" spans="1:4" ht="19.149999999999999" customHeight="1" x14ac:dyDescent="0.25">
      <c r="D75" s="162"/>
    </row>
    <row r="76" spans="1:4" ht="19.149999999999999" customHeight="1" x14ac:dyDescent="0.25">
      <c r="D76" s="162"/>
    </row>
    <row r="77" spans="1:4" ht="19.149999999999999" customHeight="1" x14ac:dyDescent="0.25">
      <c r="D77" s="162"/>
    </row>
    <row r="78" spans="1:4" ht="19.149999999999999" customHeight="1" x14ac:dyDescent="0.25">
      <c r="D78" s="162"/>
    </row>
    <row r="79" spans="1:4" ht="19.149999999999999" customHeight="1" x14ac:dyDescent="0.25">
      <c r="D79" s="162"/>
    </row>
    <row r="80" spans="1:4" ht="19.149999999999999" customHeight="1" x14ac:dyDescent="0.25">
      <c r="D80" s="162"/>
    </row>
    <row r="81" spans="4:4" ht="19.149999999999999" customHeight="1" x14ac:dyDescent="0.25">
      <c r="D81" s="162"/>
    </row>
    <row r="82" spans="4:4" ht="19.149999999999999" customHeight="1" x14ac:dyDescent="0.25">
      <c r="D82" s="162"/>
    </row>
    <row r="83" spans="4:4" ht="19.149999999999999" customHeight="1" x14ac:dyDescent="0.25">
      <c r="D83" s="162"/>
    </row>
    <row r="84" spans="4:4" ht="19.149999999999999" customHeight="1" x14ac:dyDescent="0.25">
      <c r="D84" s="162"/>
    </row>
    <row r="85" spans="4:4" ht="19.149999999999999" customHeight="1" x14ac:dyDescent="0.25"/>
    <row r="86" spans="4:4" ht="19.149999999999999" customHeight="1" x14ac:dyDescent="0.25"/>
    <row r="87" spans="4:4" ht="19.149999999999999" customHeight="1" x14ac:dyDescent="0.25"/>
  </sheetData>
  <autoFilter ref="A2:D87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6"/>
  <sheetViews>
    <sheetView topLeftCell="A3" workbookViewId="0">
      <pane xSplit="2" ySplit="2" topLeftCell="C5" activePane="bottomRight" state="frozen"/>
      <selection pane="topRight" activeCell="C3" sqref="C3"/>
      <selection pane="bottomLeft" activeCell="A5" sqref="A5"/>
      <selection pane="bottomRight" activeCell="J20" sqref="J20"/>
    </sheetView>
  </sheetViews>
  <sheetFormatPr defaultRowHeight="15" outlineLevelCol="1" x14ac:dyDescent="0.25"/>
  <cols>
    <col min="2" max="2" width="22" style="10" bestFit="1" customWidth="1"/>
    <col min="3" max="3" width="14" style="10" bestFit="1" customWidth="1"/>
    <col min="4" max="4" width="8.28515625" style="10" customWidth="1" outlineLevel="1"/>
    <col min="5" max="5" width="13.42578125" style="10" customWidth="1" outlineLevel="1"/>
    <col min="6" max="6" width="11.140625" style="10" customWidth="1" outlineLevel="1"/>
    <col min="7" max="7" width="13.28515625" style="37" customWidth="1" outlineLevel="1"/>
    <col min="8" max="8" width="9.42578125" style="10" customWidth="1" outlineLevel="1"/>
    <col min="9" max="9" width="15.140625" style="10" hidden="1" customWidth="1"/>
    <col min="10" max="10" width="5.42578125" customWidth="1"/>
    <col min="11" max="17" width="4.42578125" customWidth="1"/>
    <col min="18" max="18" width="3.7109375" customWidth="1"/>
    <col min="19" max="19" width="4.85546875" customWidth="1"/>
    <col min="20" max="20" width="4.140625" customWidth="1"/>
  </cols>
  <sheetData>
    <row r="1" spans="1:9" hidden="1" x14ac:dyDescent="0.25"/>
    <row r="2" spans="1:9" hidden="1" x14ac:dyDescent="0.25"/>
    <row r="4" spans="1:9" s="28" customFormat="1" ht="30" x14ac:dyDescent="0.25">
      <c r="A4" s="29" t="s">
        <v>318</v>
      </c>
      <c r="B4" s="29" t="s">
        <v>319</v>
      </c>
      <c r="C4" s="64" t="s">
        <v>320</v>
      </c>
      <c r="D4" s="29" t="s">
        <v>321</v>
      </c>
      <c r="E4" s="30" t="s">
        <v>322</v>
      </c>
      <c r="F4" s="30" t="s">
        <v>323</v>
      </c>
      <c r="G4" s="38" t="s">
        <v>324</v>
      </c>
      <c r="H4" s="30" t="s">
        <v>325</v>
      </c>
      <c r="I4" s="75" t="s">
        <v>326</v>
      </c>
    </row>
    <row r="5" spans="1:9" s="131" customFormat="1" x14ac:dyDescent="0.25">
      <c r="A5" s="45" t="s">
        <v>327</v>
      </c>
      <c r="B5" s="45" t="s">
        <v>328</v>
      </c>
      <c r="C5" s="45" t="s">
        <v>212</v>
      </c>
      <c r="D5" s="45" t="s">
        <v>329</v>
      </c>
      <c r="E5" s="45" t="s">
        <v>330</v>
      </c>
      <c r="F5" s="43">
        <v>42485</v>
      </c>
      <c r="G5" s="63" t="s">
        <v>331</v>
      </c>
      <c r="H5" s="45" t="s">
        <v>52</v>
      </c>
      <c r="I5" s="76" t="s">
        <v>161</v>
      </c>
    </row>
    <row r="6" spans="1:9" s="57" customFormat="1" ht="30" x14ac:dyDescent="0.25">
      <c r="A6" s="45" t="s">
        <v>332</v>
      </c>
      <c r="B6" s="46" t="s">
        <v>333</v>
      </c>
      <c r="C6" s="45" t="s">
        <v>212</v>
      </c>
      <c r="D6" s="45" t="s">
        <v>334</v>
      </c>
      <c r="E6" s="45" t="s">
        <v>335</v>
      </c>
      <c r="F6" s="43">
        <v>42599</v>
      </c>
      <c r="G6" s="63" t="s">
        <v>336</v>
      </c>
      <c r="H6" s="45" t="s">
        <v>19</v>
      </c>
      <c r="I6" s="77" t="s">
        <v>181</v>
      </c>
    </row>
    <row r="7" spans="1:9" s="57" customFormat="1" x14ac:dyDescent="0.25">
      <c r="A7" s="45" t="s">
        <v>337</v>
      </c>
      <c r="B7" s="45" t="s">
        <v>338</v>
      </c>
      <c r="C7" s="45" t="s">
        <v>212</v>
      </c>
      <c r="D7" s="45" t="s">
        <v>334</v>
      </c>
      <c r="E7" s="45" t="s">
        <v>339</v>
      </c>
      <c r="F7" s="43"/>
      <c r="G7" s="63"/>
      <c r="H7" s="45" t="s">
        <v>29</v>
      </c>
      <c r="I7" s="76" t="s">
        <v>152</v>
      </c>
    </row>
    <row r="8" spans="1:9" s="57" customFormat="1" x14ac:dyDescent="0.25">
      <c r="A8" s="45" t="s">
        <v>340</v>
      </c>
      <c r="B8" s="45" t="s">
        <v>341</v>
      </c>
      <c r="C8" s="45" t="s">
        <v>238</v>
      </c>
      <c r="D8" s="45" t="s">
        <v>329</v>
      </c>
      <c r="E8" s="45" t="s">
        <v>342</v>
      </c>
      <c r="F8" s="43">
        <v>42655</v>
      </c>
      <c r="G8" s="63" t="s">
        <v>343</v>
      </c>
      <c r="H8" s="45" t="s">
        <v>29</v>
      </c>
      <c r="I8" s="77" t="s">
        <v>161</v>
      </c>
    </row>
    <row r="9" spans="1:9" s="57" customFormat="1" x14ac:dyDescent="0.25">
      <c r="A9" s="45" t="s">
        <v>344</v>
      </c>
      <c r="B9" s="45" t="s">
        <v>345</v>
      </c>
      <c r="C9" s="45" t="s">
        <v>212</v>
      </c>
      <c r="D9" s="45" t="s">
        <v>329</v>
      </c>
      <c r="E9" s="45" t="s">
        <v>346</v>
      </c>
      <c r="F9" s="43">
        <v>42721</v>
      </c>
      <c r="G9" s="63" t="s">
        <v>347</v>
      </c>
      <c r="H9" s="45" t="s">
        <v>65</v>
      </c>
      <c r="I9" s="76" t="s">
        <v>196</v>
      </c>
    </row>
    <row r="10" spans="1:9" s="57" customFormat="1" x14ac:dyDescent="0.25">
      <c r="A10" s="45" t="s">
        <v>348</v>
      </c>
      <c r="B10" s="45" t="s">
        <v>349</v>
      </c>
      <c r="C10" s="45" t="s">
        <v>306</v>
      </c>
      <c r="D10" s="45" t="s">
        <v>350</v>
      </c>
      <c r="E10" s="45" t="s">
        <v>351</v>
      </c>
      <c r="F10" s="45"/>
      <c r="G10" s="63"/>
      <c r="H10" s="45" t="s">
        <v>312</v>
      </c>
      <c r="I10" s="77" t="s">
        <v>113</v>
      </c>
    </row>
    <row r="11" spans="1:9" s="57" customFormat="1" x14ac:dyDescent="0.25">
      <c r="A11" s="45" t="s">
        <v>352</v>
      </c>
      <c r="B11" s="45" t="s">
        <v>353</v>
      </c>
      <c r="C11" s="45" t="s">
        <v>212</v>
      </c>
      <c r="D11" s="45" t="s">
        <v>329</v>
      </c>
      <c r="E11" s="45" t="s">
        <v>354</v>
      </c>
      <c r="F11" s="43">
        <v>42472</v>
      </c>
      <c r="G11" s="63" t="s">
        <v>331</v>
      </c>
      <c r="H11" s="45" t="s">
        <v>31</v>
      </c>
      <c r="I11" s="76" t="s">
        <v>113</v>
      </c>
    </row>
    <row r="12" spans="1:9" s="57" customFormat="1" x14ac:dyDescent="0.25">
      <c r="A12" s="45" t="s">
        <v>355</v>
      </c>
      <c r="B12" s="45" t="s">
        <v>265</v>
      </c>
      <c r="C12" s="45" t="s">
        <v>306</v>
      </c>
      <c r="D12" s="45" t="s">
        <v>329</v>
      </c>
      <c r="E12" s="45" t="s">
        <v>356</v>
      </c>
      <c r="F12" s="43">
        <v>42606</v>
      </c>
      <c r="G12" s="63" t="s">
        <v>336</v>
      </c>
      <c r="H12" s="45" t="s">
        <v>19</v>
      </c>
      <c r="I12" s="77" t="s">
        <v>107</v>
      </c>
    </row>
    <row r="13" spans="1:9" s="57" customFormat="1" x14ac:dyDescent="0.25">
      <c r="A13" s="45" t="s">
        <v>357</v>
      </c>
      <c r="B13" s="45" t="s">
        <v>358</v>
      </c>
      <c r="C13" s="45" t="s">
        <v>238</v>
      </c>
      <c r="D13" s="45" t="s">
        <v>329</v>
      </c>
      <c r="E13" s="45" t="s">
        <v>359</v>
      </c>
      <c r="F13" s="43">
        <v>42621</v>
      </c>
      <c r="G13" s="97" t="s">
        <v>360</v>
      </c>
      <c r="H13" s="45" t="s">
        <v>31</v>
      </c>
      <c r="I13" s="76" t="s">
        <v>107</v>
      </c>
    </row>
    <row r="14" spans="1:9" s="57" customFormat="1" x14ac:dyDescent="0.25">
      <c r="A14" s="45" t="s">
        <v>361</v>
      </c>
      <c r="B14" s="45" t="s">
        <v>362</v>
      </c>
      <c r="C14" s="45" t="s">
        <v>212</v>
      </c>
      <c r="D14" s="45" t="s">
        <v>363</v>
      </c>
      <c r="E14" s="45" t="s">
        <v>364</v>
      </c>
      <c r="F14" s="43">
        <v>42665</v>
      </c>
      <c r="G14" s="63" t="s">
        <v>343</v>
      </c>
      <c r="H14" s="45" t="s">
        <v>19</v>
      </c>
      <c r="I14" s="77" t="s">
        <v>104</v>
      </c>
    </row>
    <row r="15" spans="1:9" s="57" customFormat="1" x14ac:dyDescent="0.25">
      <c r="A15" s="44" t="s">
        <v>365</v>
      </c>
      <c r="B15" s="45" t="s">
        <v>366</v>
      </c>
      <c r="C15" s="45" t="s">
        <v>306</v>
      </c>
      <c r="D15" s="45" t="s">
        <v>350</v>
      </c>
      <c r="E15" s="45" t="s">
        <v>367</v>
      </c>
      <c r="F15" s="43">
        <v>42657</v>
      </c>
      <c r="G15" s="63" t="s">
        <v>343</v>
      </c>
      <c r="H15" s="45" t="s">
        <v>368</v>
      </c>
      <c r="I15" s="78" t="s">
        <v>104</v>
      </c>
    </row>
    <row r="16" spans="1:9" s="57" customFormat="1" x14ac:dyDescent="0.25">
      <c r="A16" s="45" t="s">
        <v>369</v>
      </c>
      <c r="B16" s="45" t="s">
        <v>192</v>
      </c>
      <c r="C16" s="45" t="s">
        <v>238</v>
      </c>
      <c r="D16" s="45" t="s">
        <v>370</v>
      </c>
      <c r="E16" s="45"/>
      <c r="F16" s="45"/>
      <c r="G16" s="63"/>
      <c r="H16" s="45" t="s">
        <v>29</v>
      </c>
      <c r="I16" s="79" t="s">
        <v>104</v>
      </c>
    </row>
    <row r="17" spans="1:9" s="57" customFormat="1" x14ac:dyDescent="0.25">
      <c r="A17" s="45" t="s">
        <v>371</v>
      </c>
      <c r="B17" s="45" t="s">
        <v>372</v>
      </c>
      <c r="C17" s="45" t="s">
        <v>212</v>
      </c>
      <c r="D17" s="45" t="s">
        <v>334</v>
      </c>
      <c r="E17" s="45" t="s">
        <v>373</v>
      </c>
      <c r="F17" s="43">
        <v>42474</v>
      </c>
      <c r="G17" s="63" t="s">
        <v>331</v>
      </c>
      <c r="H17" s="45" t="s">
        <v>19</v>
      </c>
      <c r="I17" s="78" t="s">
        <v>104</v>
      </c>
    </row>
    <row r="18" spans="1:9" s="57" customFormat="1" x14ac:dyDescent="0.25">
      <c r="A18" s="128" t="s">
        <v>374</v>
      </c>
      <c r="B18" s="128" t="s">
        <v>375</v>
      </c>
      <c r="C18" s="128" t="s">
        <v>212</v>
      </c>
      <c r="D18" s="128" t="s">
        <v>334</v>
      </c>
      <c r="E18" s="128" t="s">
        <v>376</v>
      </c>
      <c r="F18" s="129">
        <v>42410</v>
      </c>
      <c r="G18" s="130" t="s">
        <v>377</v>
      </c>
      <c r="H18" s="128" t="s">
        <v>19</v>
      </c>
      <c r="I18" s="126" t="s">
        <v>199</v>
      </c>
    </row>
    <row r="19" spans="1:9" s="57" customFormat="1" x14ac:dyDescent="0.25">
      <c r="A19" s="45" t="s">
        <v>378</v>
      </c>
      <c r="B19" s="45" t="s">
        <v>80</v>
      </c>
      <c r="C19" s="45" t="s">
        <v>238</v>
      </c>
      <c r="D19" s="45" t="s">
        <v>334</v>
      </c>
      <c r="E19" s="45" t="s">
        <v>379</v>
      </c>
      <c r="F19" s="43">
        <v>42501</v>
      </c>
      <c r="G19" s="63" t="s">
        <v>380</v>
      </c>
      <c r="H19" s="45" t="s">
        <v>19</v>
      </c>
      <c r="I19" s="78" t="s">
        <v>201</v>
      </c>
    </row>
    <row r="20" spans="1:9" s="57" customFormat="1" x14ac:dyDescent="0.25">
      <c r="A20" s="45" t="s">
        <v>381</v>
      </c>
      <c r="B20" s="45" t="s">
        <v>382</v>
      </c>
      <c r="C20" s="45" t="s">
        <v>212</v>
      </c>
      <c r="D20" s="45" t="s">
        <v>383</v>
      </c>
      <c r="E20" s="45" t="s">
        <v>384</v>
      </c>
      <c r="F20" s="43">
        <v>42587</v>
      </c>
      <c r="G20" s="63" t="s">
        <v>336</v>
      </c>
      <c r="H20" s="45" t="s">
        <v>29</v>
      </c>
      <c r="I20" s="79" t="s">
        <v>201</v>
      </c>
    </row>
    <row r="21" spans="1:9" s="57" customFormat="1" x14ac:dyDescent="0.25">
      <c r="A21" s="45" t="s">
        <v>385</v>
      </c>
      <c r="B21" s="45" t="s">
        <v>386</v>
      </c>
      <c r="C21" s="45" t="s">
        <v>238</v>
      </c>
      <c r="D21" s="45" t="s">
        <v>334</v>
      </c>
      <c r="E21" s="45"/>
      <c r="F21" s="45"/>
      <c r="G21" s="63"/>
      <c r="H21" s="45" t="s">
        <v>31</v>
      </c>
      <c r="I21" s="78" t="s">
        <v>387</v>
      </c>
    </row>
    <row r="22" spans="1:9" s="57" customFormat="1" x14ac:dyDescent="0.25">
      <c r="A22" s="45" t="s">
        <v>388</v>
      </c>
      <c r="B22" s="45" t="s">
        <v>308</v>
      </c>
      <c r="C22" s="45" t="s">
        <v>212</v>
      </c>
      <c r="D22" s="45" t="s">
        <v>383</v>
      </c>
      <c r="E22" s="45" t="s">
        <v>389</v>
      </c>
      <c r="F22" s="43">
        <v>42682</v>
      </c>
      <c r="G22" s="63" t="s">
        <v>390</v>
      </c>
      <c r="H22" s="45" t="s">
        <v>52</v>
      </c>
      <c r="I22" s="79" t="s">
        <v>391</v>
      </c>
    </row>
    <row r="23" spans="1:9" s="57" customFormat="1" x14ac:dyDescent="0.25">
      <c r="A23" s="45" t="s">
        <v>392</v>
      </c>
      <c r="B23" s="45" t="s">
        <v>131</v>
      </c>
      <c r="C23" s="45" t="s">
        <v>238</v>
      </c>
      <c r="D23" s="45" t="s">
        <v>383</v>
      </c>
      <c r="E23" s="45"/>
      <c r="F23" s="45"/>
      <c r="G23" s="63"/>
      <c r="H23" s="45" t="s">
        <v>19</v>
      </c>
      <c r="I23" s="78" t="s">
        <v>391</v>
      </c>
    </row>
    <row r="24" spans="1:9" s="57" customFormat="1" x14ac:dyDescent="0.25">
      <c r="A24" s="45" t="s">
        <v>393</v>
      </c>
      <c r="B24" s="45" t="s">
        <v>394</v>
      </c>
      <c r="C24" s="45" t="s">
        <v>212</v>
      </c>
      <c r="D24" s="45" t="s">
        <v>334</v>
      </c>
      <c r="E24" s="45" t="s">
        <v>395</v>
      </c>
      <c r="F24" s="43">
        <v>42684</v>
      </c>
      <c r="G24" s="63" t="s">
        <v>390</v>
      </c>
      <c r="H24" s="45" t="s">
        <v>29</v>
      </c>
      <c r="I24" s="127" t="s">
        <v>396</v>
      </c>
    </row>
    <row r="25" spans="1:9" s="57" customFormat="1" x14ac:dyDescent="0.25">
      <c r="A25" s="45" t="s">
        <v>397</v>
      </c>
      <c r="B25" s="45" t="s">
        <v>398</v>
      </c>
      <c r="C25" s="45" t="s">
        <v>212</v>
      </c>
      <c r="D25" s="45" t="s">
        <v>334</v>
      </c>
      <c r="E25" s="45" t="s">
        <v>399</v>
      </c>
      <c r="F25" s="45"/>
      <c r="G25" s="63" t="s">
        <v>347</v>
      </c>
      <c r="H25" s="45" t="s">
        <v>29</v>
      </c>
      <c r="I25" s="127" t="s">
        <v>400</v>
      </c>
    </row>
    <row r="26" spans="1:9" s="57" customFormat="1" x14ac:dyDescent="0.25">
      <c r="A26" s="45" t="s">
        <v>401</v>
      </c>
      <c r="B26" s="45" t="s">
        <v>402</v>
      </c>
      <c r="C26" s="45" t="s">
        <v>212</v>
      </c>
      <c r="D26" s="45" t="s">
        <v>334</v>
      </c>
      <c r="E26" s="45" t="s">
        <v>403</v>
      </c>
      <c r="F26" s="45"/>
      <c r="G26" s="63"/>
      <c r="H26" s="45" t="s">
        <v>19</v>
      </c>
      <c r="I26" s="127" t="s">
        <v>400</v>
      </c>
    </row>
    <row r="27" spans="1:9" s="57" customFormat="1" x14ac:dyDescent="0.25">
      <c r="A27" s="45" t="s">
        <v>404</v>
      </c>
      <c r="B27" s="45" t="s">
        <v>187</v>
      </c>
      <c r="C27" s="45" t="s">
        <v>212</v>
      </c>
      <c r="D27" s="45" t="s">
        <v>334</v>
      </c>
      <c r="E27" s="45" t="s">
        <v>405</v>
      </c>
      <c r="F27" s="45"/>
      <c r="G27" s="63"/>
      <c r="H27" s="45" t="s">
        <v>19</v>
      </c>
      <c r="I27" s="127" t="s">
        <v>174</v>
      </c>
    </row>
    <row r="28" spans="1:9" s="57" customFormat="1" x14ac:dyDescent="0.25">
      <c r="A28" s="45" t="s">
        <v>406</v>
      </c>
      <c r="B28" s="45" t="s">
        <v>407</v>
      </c>
      <c r="C28" s="45" t="s">
        <v>212</v>
      </c>
      <c r="D28" s="45" t="s">
        <v>334</v>
      </c>
      <c r="E28" s="45" t="s">
        <v>408</v>
      </c>
      <c r="F28" s="45"/>
      <c r="G28" s="63"/>
      <c r="H28" s="45" t="s">
        <v>52</v>
      </c>
      <c r="I28" s="127" t="s">
        <v>174</v>
      </c>
    </row>
    <row r="29" spans="1:9" s="57" customFormat="1" x14ac:dyDescent="0.25">
      <c r="A29" s="45" t="s">
        <v>409</v>
      </c>
      <c r="B29" s="45" t="s">
        <v>33</v>
      </c>
      <c r="C29" s="45" t="s">
        <v>238</v>
      </c>
      <c r="D29" s="45" t="s">
        <v>334</v>
      </c>
      <c r="E29" s="45"/>
      <c r="F29" s="45"/>
      <c r="G29" s="63"/>
      <c r="H29" s="45" t="s">
        <v>31</v>
      </c>
      <c r="I29" s="127" t="s">
        <v>174</v>
      </c>
    </row>
    <row r="30" spans="1:9" s="57" customFormat="1" x14ac:dyDescent="0.25">
      <c r="A30" s="45" t="s">
        <v>410</v>
      </c>
      <c r="B30" s="45" t="s">
        <v>411</v>
      </c>
      <c r="C30" s="45" t="s">
        <v>238</v>
      </c>
      <c r="D30" s="45" t="s">
        <v>334</v>
      </c>
      <c r="E30" s="45"/>
      <c r="F30" s="45"/>
      <c r="G30" s="63"/>
      <c r="H30" s="45" t="s">
        <v>31</v>
      </c>
    </row>
    <row r="31" spans="1:9" s="57" customFormat="1" x14ac:dyDescent="0.25">
      <c r="A31" s="45" t="s">
        <v>412</v>
      </c>
      <c r="B31" s="45" t="s">
        <v>413</v>
      </c>
      <c r="C31" s="45" t="s">
        <v>306</v>
      </c>
      <c r="D31" s="45" t="s">
        <v>334</v>
      </c>
      <c r="E31" s="45" t="s">
        <v>414</v>
      </c>
      <c r="F31" s="45" t="s">
        <v>415</v>
      </c>
      <c r="G31" s="63" t="s">
        <v>416</v>
      </c>
      <c r="H31" s="45" t="s">
        <v>19</v>
      </c>
    </row>
    <row r="32" spans="1:9" s="57" customFormat="1" x14ac:dyDescent="0.25">
      <c r="A32" s="45" t="s">
        <v>417</v>
      </c>
      <c r="B32" s="54" t="s">
        <v>418</v>
      </c>
      <c r="C32" s="45" t="s">
        <v>238</v>
      </c>
      <c r="D32" s="45" t="s">
        <v>334</v>
      </c>
      <c r="E32" s="45" t="s">
        <v>419</v>
      </c>
      <c r="F32" s="45"/>
      <c r="G32" s="63"/>
      <c r="H32" s="45" t="s">
        <v>31</v>
      </c>
    </row>
    <row r="33" spans="1:8" s="57" customFormat="1" x14ac:dyDescent="0.25">
      <c r="A33" s="45" t="s">
        <v>420</v>
      </c>
      <c r="B33" s="54" t="s">
        <v>135</v>
      </c>
      <c r="C33" s="45" t="s">
        <v>212</v>
      </c>
      <c r="D33" s="45" t="s">
        <v>334</v>
      </c>
      <c r="E33" s="45" t="s">
        <v>421</v>
      </c>
      <c r="F33" s="45" t="s">
        <v>422</v>
      </c>
      <c r="G33" s="63" t="s">
        <v>416</v>
      </c>
      <c r="H33" s="45" t="s">
        <v>29</v>
      </c>
    </row>
    <row r="34" spans="1:8" s="57" customFormat="1" x14ac:dyDescent="0.25">
      <c r="A34" s="45" t="s">
        <v>423</v>
      </c>
      <c r="B34" s="54" t="s">
        <v>313</v>
      </c>
      <c r="C34" s="45" t="s">
        <v>212</v>
      </c>
      <c r="D34" s="45" t="s">
        <v>334</v>
      </c>
      <c r="E34" s="45"/>
      <c r="F34" s="45" t="s">
        <v>424</v>
      </c>
      <c r="G34" s="63" t="s">
        <v>380</v>
      </c>
      <c r="H34" s="45" t="s">
        <v>52</v>
      </c>
    </row>
    <row r="35" spans="1:8" s="57" customFormat="1" x14ac:dyDescent="0.25">
      <c r="A35" s="45" t="s">
        <v>425</v>
      </c>
      <c r="B35" s="119" t="s">
        <v>426</v>
      </c>
      <c r="C35" s="45" t="s">
        <v>212</v>
      </c>
      <c r="D35" s="45" t="s">
        <v>334</v>
      </c>
      <c r="E35" s="45" t="s">
        <v>427</v>
      </c>
      <c r="F35" s="43">
        <v>42625</v>
      </c>
      <c r="G35" s="97" t="s">
        <v>360</v>
      </c>
      <c r="H35" s="45" t="s">
        <v>19</v>
      </c>
    </row>
    <row r="36" spans="1:8" s="57" customFormat="1" x14ac:dyDescent="0.25">
      <c r="A36" s="45" t="s">
        <v>428</v>
      </c>
      <c r="B36" s="45" t="s">
        <v>429</v>
      </c>
      <c r="C36" s="45"/>
      <c r="D36" s="45" t="s">
        <v>430</v>
      </c>
      <c r="E36" s="45"/>
      <c r="F36" s="43">
        <v>42583</v>
      </c>
      <c r="G36" s="63" t="s">
        <v>336</v>
      </c>
      <c r="H36" s="45" t="s">
        <v>52</v>
      </c>
    </row>
    <row r="37" spans="1:8" s="57" customFormat="1" x14ac:dyDescent="0.25">
      <c r="A37" s="45" t="s">
        <v>431</v>
      </c>
      <c r="B37" s="45" t="s">
        <v>432</v>
      </c>
      <c r="C37" s="45" t="s">
        <v>212</v>
      </c>
      <c r="D37" s="45" t="s">
        <v>334</v>
      </c>
      <c r="E37" s="45" t="s">
        <v>433</v>
      </c>
      <c r="F37" s="43">
        <v>42413</v>
      </c>
      <c r="G37" s="63" t="s">
        <v>377</v>
      </c>
      <c r="H37" s="45" t="s">
        <v>434</v>
      </c>
    </row>
    <row r="38" spans="1:8" s="57" customFormat="1" x14ac:dyDescent="0.25">
      <c r="A38" s="45" t="s">
        <v>435</v>
      </c>
      <c r="B38" s="45" t="s">
        <v>90</v>
      </c>
      <c r="C38" s="45" t="s">
        <v>212</v>
      </c>
      <c r="D38" s="45" t="s">
        <v>334</v>
      </c>
      <c r="E38" s="43" t="s">
        <v>436</v>
      </c>
      <c r="F38" s="43">
        <v>42409</v>
      </c>
      <c r="G38" s="63" t="s">
        <v>377</v>
      </c>
      <c r="H38" s="45" t="s">
        <v>65</v>
      </c>
    </row>
    <row r="39" spans="1:8" s="57" customFormat="1" x14ac:dyDescent="0.25">
      <c r="A39" s="45" t="s">
        <v>437</v>
      </c>
      <c r="B39" s="45" t="s">
        <v>50</v>
      </c>
      <c r="C39" s="45" t="s">
        <v>212</v>
      </c>
      <c r="D39" s="45" t="s">
        <v>334</v>
      </c>
      <c r="E39" s="43" t="s">
        <v>438</v>
      </c>
      <c r="F39" s="43"/>
      <c r="G39" s="63"/>
      <c r="H39" s="45" t="s">
        <v>29</v>
      </c>
    </row>
    <row r="40" spans="1:8" s="57" customFormat="1" x14ac:dyDescent="0.25">
      <c r="A40" s="45" t="s">
        <v>439</v>
      </c>
      <c r="B40" s="45" t="s">
        <v>440</v>
      </c>
      <c r="C40" s="45" t="s">
        <v>306</v>
      </c>
      <c r="D40" s="45" t="s">
        <v>334</v>
      </c>
      <c r="E40" s="45" t="s">
        <v>441</v>
      </c>
      <c r="F40" s="43">
        <v>42494</v>
      </c>
      <c r="G40" s="63" t="s">
        <v>380</v>
      </c>
      <c r="H40" s="45" t="s">
        <v>19</v>
      </c>
    </row>
    <row r="41" spans="1:8" s="57" customFormat="1" x14ac:dyDescent="0.25">
      <c r="A41" s="45" t="s">
        <v>442</v>
      </c>
      <c r="B41" s="45" t="s">
        <v>443</v>
      </c>
      <c r="C41" s="45" t="s">
        <v>212</v>
      </c>
      <c r="D41" s="45" t="s">
        <v>334</v>
      </c>
      <c r="E41" s="45" t="s">
        <v>444</v>
      </c>
      <c r="F41" s="43">
        <v>42460</v>
      </c>
      <c r="G41" s="63" t="s">
        <v>416</v>
      </c>
      <c r="H41" s="45" t="s">
        <v>445</v>
      </c>
    </row>
    <row r="42" spans="1:8" s="57" customFormat="1" x14ac:dyDescent="0.25">
      <c r="A42" s="45" t="s">
        <v>446</v>
      </c>
      <c r="B42" s="45" t="s">
        <v>447</v>
      </c>
      <c r="C42" s="45" t="s">
        <v>212</v>
      </c>
      <c r="D42" s="45" t="s">
        <v>334</v>
      </c>
      <c r="E42" s="45" t="s">
        <v>448</v>
      </c>
      <c r="F42" s="43">
        <v>42460</v>
      </c>
      <c r="G42" s="63" t="s">
        <v>416</v>
      </c>
      <c r="H42" s="45" t="s">
        <v>19</v>
      </c>
    </row>
    <row r="43" spans="1:8" s="57" customFormat="1" x14ac:dyDescent="0.25">
      <c r="A43" s="45" t="s">
        <v>449</v>
      </c>
      <c r="B43" s="45" t="s">
        <v>208</v>
      </c>
      <c r="C43" s="45" t="s">
        <v>212</v>
      </c>
      <c r="D43" s="45" t="s">
        <v>334</v>
      </c>
      <c r="E43" s="45" t="s">
        <v>450</v>
      </c>
      <c r="F43" s="43">
        <v>42635</v>
      </c>
      <c r="G43" s="97" t="s">
        <v>360</v>
      </c>
      <c r="H43" s="45" t="s">
        <v>19</v>
      </c>
    </row>
    <row r="44" spans="1:8" s="57" customFormat="1" x14ac:dyDescent="0.25">
      <c r="A44" s="45" t="s">
        <v>451</v>
      </c>
      <c r="B44" s="45" t="s">
        <v>102</v>
      </c>
      <c r="C44" s="45" t="s">
        <v>212</v>
      </c>
      <c r="D44" s="45" t="s">
        <v>334</v>
      </c>
      <c r="E44" s="45" t="s">
        <v>452</v>
      </c>
      <c r="F44" s="43">
        <v>42587</v>
      </c>
      <c r="G44" s="63" t="s">
        <v>336</v>
      </c>
      <c r="H44" s="45" t="s">
        <v>19</v>
      </c>
    </row>
    <row r="45" spans="1:8" s="57" customFormat="1" x14ac:dyDescent="0.25">
      <c r="A45" s="45" t="s">
        <v>453</v>
      </c>
      <c r="B45" s="45" t="s">
        <v>454</v>
      </c>
      <c r="C45" s="45" t="s">
        <v>212</v>
      </c>
      <c r="D45" s="45" t="s">
        <v>334</v>
      </c>
      <c r="E45" s="45" t="s">
        <v>455</v>
      </c>
      <c r="F45" s="43">
        <v>42647</v>
      </c>
      <c r="G45" s="63" t="s">
        <v>343</v>
      </c>
      <c r="H45" s="45" t="s">
        <v>19</v>
      </c>
    </row>
    <row r="46" spans="1:8" s="57" customFormat="1" x14ac:dyDescent="0.25">
      <c r="A46" s="45" t="s">
        <v>456</v>
      </c>
      <c r="B46" s="45" t="s">
        <v>457</v>
      </c>
      <c r="C46" s="45" t="s">
        <v>212</v>
      </c>
      <c r="D46" s="45" t="s">
        <v>334</v>
      </c>
      <c r="E46" s="45" t="s">
        <v>458</v>
      </c>
      <c r="F46" s="43">
        <v>42697</v>
      </c>
      <c r="G46" s="63" t="s">
        <v>390</v>
      </c>
      <c r="H46" s="45" t="s">
        <v>19</v>
      </c>
    </row>
    <row r="47" spans="1:8" s="57" customFormat="1" x14ac:dyDescent="0.25">
      <c r="A47" s="45" t="s">
        <v>459</v>
      </c>
      <c r="B47" s="45" t="s">
        <v>460</v>
      </c>
      <c r="C47" s="45" t="s">
        <v>212</v>
      </c>
      <c r="D47" s="45" t="s">
        <v>334</v>
      </c>
      <c r="E47" s="45" t="s">
        <v>461</v>
      </c>
      <c r="F47" s="43">
        <v>42443</v>
      </c>
      <c r="G47" s="63" t="s">
        <v>416</v>
      </c>
      <c r="H47" s="45" t="s">
        <v>19</v>
      </c>
    </row>
    <row r="48" spans="1:8" x14ac:dyDescent="0.25">
      <c r="A48" s="95" t="s">
        <v>462</v>
      </c>
      <c r="B48" s="54" t="s">
        <v>463</v>
      </c>
      <c r="C48" s="45" t="s">
        <v>212</v>
      </c>
      <c r="D48" s="54" t="s">
        <v>334</v>
      </c>
      <c r="E48" s="54" t="s">
        <v>464</v>
      </c>
      <c r="F48" s="96">
        <v>42632</v>
      </c>
      <c r="G48" s="97" t="s">
        <v>360</v>
      </c>
      <c r="H48" s="9" t="s">
        <v>52</v>
      </c>
    </row>
    <row r="49" spans="1:8" x14ac:dyDescent="0.25">
      <c r="A49" s="95" t="s">
        <v>465</v>
      </c>
      <c r="B49" s="54" t="s">
        <v>466</v>
      </c>
      <c r="C49" s="45" t="s">
        <v>212</v>
      </c>
      <c r="D49" s="54" t="s">
        <v>334</v>
      </c>
      <c r="E49" s="54" t="s">
        <v>467</v>
      </c>
      <c r="F49" s="96">
        <v>42535</v>
      </c>
      <c r="G49" s="97" t="s">
        <v>468</v>
      </c>
      <c r="H49" s="9" t="s">
        <v>19</v>
      </c>
    </row>
    <row r="50" spans="1:8" x14ac:dyDescent="0.25">
      <c r="A50" s="45" t="s">
        <v>469</v>
      </c>
      <c r="B50" s="54" t="s">
        <v>74</v>
      </c>
      <c r="C50" s="45" t="s">
        <v>212</v>
      </c>
      <c r="D50" s="54" t="s">
        <v>334</v>
      </c>
      <c r="E50" s="9" t="s">
        <v>470</v>
      </c>
      <c r="F50" s="65">
        <v>42690</v>
      </c>
      <c r="G50" s="98" t="s">
        <v>390</v>
      </c>
      <c r="H50" s="9" t="s">
        <v>29</v>
      </c>
    </row>
    <row r="51" spans="1:8" x14ac:dyDescent="0.25">
      <c r="A51" s="45" t="s">
        <v>471</v>
      </c>
      <c r="B51" s="54" t="s">
        <v>472</v>
      </c>
      <c r="C51" s="45" t="s">
        <v>238</v>
      </c>
      <c r="D51" s="54" t="s">
        <v>334</v>
      </c>
      <c r="E51" s="9" t="s">
        <v>473</v>
      </c>
      <c r="F51" s="65">
        <v>42509</v>
      </c>
      <c r="G51" s="98" t="s">
        <v>380</v>
      </c>
      <c r="H51" s="9" t="s">
        <v>29</v>
      </c>
    </row>
    <row r="52" spans="1:8" x14ac:dyDescent="0.25">
      <c r="A52" s="45" t="s">
        <v>474</v>
      </c>
      <c r="B52" s="54" t="s">
        <v>475</v>
      </c>
      <c r="C52" s="45" t="s">
        <v>212</v>
      </c>
      <c r="D52" s="54" t="s">
        <v>334</v>
      </c>
      <c r="E52" s="9" t="s">
        <v>455</v>
      </c>
      <c r="F52" s="65">
        <v>42581</v>
      </c>
      <c r="G52" s="98" t="s">
        <v>476</v>
      </c>
      <c r="H52" s="9" t="s">
        <v>29</v>
      </c>
    </row>
    <row r="53" spans="1:8" x14ac:dyDescent="0.25">
      <c r="A53" s="45" t="s">
        <v>477</v>
      </c>
      <c r="B53" s="9" t="s">
        <v>478</v>
      </c>
      <c r="C53" s="9" t="s">
        <v>212</v>
      </c>
      <c r="D53" s="9" t="s">
        <v>334</v>
      </c>
      <c r="E53" s="9"/>
      <c r="F53" s="65">
        <v>42698</v>
      </c>
      <c r="G53" s="98" t="s">
        <v>390</v>
      </c>
      <c r="H53" s="9" t="s">
        <v>19</v>
      </c>
    </row>
    <row r="54" spans="1:8" x14ac:dyDescent="0.25">
      <c r="A54" s="45" t="s">
        <v>479</v>
      </c>
      <c r="B54" s="9" t="s">
        <v>480</v>
      </c>
      <c r="C54" s="9" t="s">
        <v>212</v>
      </c>
      <c r="D54" s="9" t="s">
        <v>481</v>
      </c>
      <c r="E54" s="9" t="s">
        <v>482</v>
      </c>
      <c r="F54" s="65">
        <v>42601</v>
      </c>
      <c r="G54" s="63" t="s">
        <v>336</v>
      </c>
      <c r="H54" s="9" t="s">
        <v>19</v>
      </c>
    </row>
    <row r="55" spans="1:8" x14ac:dyDescent="0.25">
      <c r="A55" s="45" t="s">
        <v>483</v>
      </c>
      <c r="B55" s="9" t="s">
        <v>484</v>
      </c>
      <c r="C55" s="9" t="s">
        <v>238</v>
      </c>
      <c r="D55" s="9" t="s">
        <v>334</v>
      </c>
      <c r="E55" s="9" t="s">
        <v>485</v>
      </c>
      <c r="F55" s="65"/>
      <c r="G55" s="98"/>
      <c r="H55" s="9" t="s">
        <v>19</v>
      </c>
    </row>
    <row r="56" spans="1:8" x14ac:dyDescent="0.25">
      <c r="A56" s="45" t="s">
        <v>486</v>
      </c>
      <c r="B56" s="9" t="s">
        <v>487</v>
      </c>
      <c r="C56" s="9" t="s">
        <v>238</v>
      </c>
      <c r="D56" s="9" t="s">
        <v>329</v>
      </c>
      <c r="E56" s="9"/>
      <c r="F56" s="65">
        <v>42683</v>
      </c>
      <c r="G56" s="98" t="s">
        <v>390</v>
      </c>
      <c r="H56" s="9" t="s">
        <v>19</v>
      </c>
    </row>
    <row r="57" spans="1:8" x14ac:dyDescent="0.25">
      <c r="A57" s="45" t="s">
        <v>488</v>
      </c>
      <c r="B57" s="9" t="s">
        <v>489</v>
      </c>
      <c r="C57" s="9" t="s">
        <v>238</v>
      </c>
      <c r="D57" s="9" t="s">
        <v>334</v>
      </c>
      <c r="E57" s="9"/>
      <c r="F57" s="65"/>
      <c r="G57" s="98"/>
      <c r="H57" s="9" t="s">
        <v>65</v>
      </c>
    </row>
    <row r="58" spans="1:8" x14ac:dyDescent="0.25">
      <c r="A58" s="45" t="s">
        <v>490</v>
      </c>
      <c r="B58" s="9" t="s">
        <v>491</v>
      </c>
      <c r="C58" s="9" t="s">
        <v>212</v>
      </c>
      <c r="D58" s="9" t="s">
        <v>334</v>
      </c>
      <c r="E58" s="9" t="s">
        <v>492</v>
      </c>
      <c r="F58" s="65">
        <v>42713</v>
      </c>
      <c r="G58" s="98" t="s">
        <v>347</v>
      </c>
      <c r="H58" s="9" t="s">
        <v>65</v>
      </c>
    </row>
    <row r="59" spans="1:8" x14ac:dyDescent="0.25">
      <c r="A59" s="95" t="s">
        <v>493</v>
      </c>
      <c r="B59" s="113" t="s">
        <v>315</v>
      </c>
      <c r="C59" s="9" t="s">
        <v>212</v>
      </c>
      <c r="D59" s="9" t="s">
        <v>334</v>
      </c>
      <c r="E59" s="9" t="s">
        <v>494</v>
      </c>
      <c r="F59" s="65">
        <v>42564</v>
      </c>
      <c r="G59" s="98" t="s">
        <v>476</v>
      </c>
      <c r="H59" s="9" t="s">
        <v>19</v>
      </c>
    </row>
    <row r="60" spans="1:8" x14ac:dyDescent="0.25">
      <c r="A60" s="95" t="s">
        <v>495</v>
      </c>
      <c r="B60" s="113" t="s">
        <v>311</v>
      </c>
      <c r="C60" s="9" t="s">
        <v>212</v>
      </c>
      <c r="D60" s="9" t="s">
        <v>334</v>
      </c>
      <c r="E60" s="9" t="s">
        <v>496</v>
      </c>
      <c r="F60" s="65">
        <v>42455</v>
      </c>
      <c r="G60" s="98" t="s">
        <v>416</v>
      </c>
      <c r="H60" s="9" t="s">
        <v>29</v>
      </c>
    </row>
    <row r="61" spans="1:8" x14ac:dyDescent="0.25">
      <c r="A61" s="140" t="s">
        <v>497</v>
      </c>
      <c r="B61" s="113" t="s">
        <v>307</v>
      </c>
      <c r="C61" s="9"/>
      <c r="D61" s="9"/>
      <c r="E61" s="9"/>
      <c r="F61" s="65"/>
      <c r="G61" s="98"/>
      <c r="H61" s="9"/>
    </row>
    <row r="62" spans="1:8" x14ac:dyDescent="0.25">
      <c r="A62" s="140" t="s">
        <v>498</v>
      </c>
      <c r="B62" s="9" t="s">
        <v>310</v>
      </c>
      <c r="C62" s="9"/>
      <c r="D62" s="9" t="s">
        <v>334</v>
      </c>
      <c r="E62" s="9"/>
      <c r="F62" s="9"/>
      <c r="G62" s="98"/>
      <c r="H62" s="9" t="s">
        <v>29</v>
      </c>
    </row>
    <row r="63" spans="1:8" x14ac:dyDescent="0.25">
      <c r="A63" s="140" t="s">
        <v>499</v>
      </c>
      <c r="B63" s="9" t="s">
        <v>500</v>
      </c>
      <c r="C63" s="9"/>
      <c r="D63" s="9" t="s">
        <v>501</v>
      </c>
      <c r="E63" s="9" t="s">
        <v>502</v>
      </c>
      <c r="F63" s="9"/>
      <c r="G63" s="98"/>
      <c r="H63" s="9" t="s">
        <v>312</v>
      </c>
    </row>
    <row r="64" spans="1:8" x14ac:dyDescent="0.25">
      <c r="A64" s="140" t="s">
        <v>503</v>
      </c>
      <c r="B64" s="9" t="s">
        <v>316</v>
      </c>
      <c r="C64" s="9"/>
      <c r="D64" s="9" t="s">
        <v>334</v>
      </c>
      <c r="E64" s="9" t="s">
        <v>504</v>
      </c>
      <c r="F64" s="9"/>
      <c r="G64" s="98"/>
      <c r="H64" s="9" t="s">
        <v>29</v>
      </c>
    </row>
    <row r="65" spans="1:8" x14ac:dyDescent="0.25">
      <c r="A65" s="140" t="s">
        <v>505</v>
      </c>
      <c r="B65" s="9" t="s">
        <v>506</v>
      </c>
      <c r="C65" s="9"/>
      <c r="D65" s="9" t="s">
        <v>334</v>
      </c>
      <c r="E65" s="9" t="s">
        <v>507</v>
      </c>
      <c r="F65" s="9"/>
      <c r="G65" s="98"/>
      <c r="H65" s="9" t="s">
        <v>29</v>
      </c>
    </row>
    <row r="66" spans="1:8" x14ac:dyDescent="0.25">
      <c r="A66" s="140" t="s">
        <v>508</v>
      </c>
      <c r="B66" s="9" t="s">
        <v>509</v>
      </c>
      <c r="C66" s="9" t="s">
        <v>212</v>
      </c>
      <c r="D66" s="9" t="s">
        <v>334</v>
      </c>
      <c r="E66" s="9" t="s">
        <v>510</v>
      </c>
      <c r="F66" s="9"/>
      <c r="G66" s="98"/>
      <c r="H66" s="9" t="s">
        <v>29</v>
      </c>
    </row>
  </sheetData>
  <autoFilter ref="A4:I66" xr:uid="{00000000-0009-0000-0000-000002000000}">
    <sortState xmlns:xlrd2="http://schemas.microsoft.com/office/spreadsheetml/2017/richdata2" ref="A5:I61">
      <sortCondition ref="A4:A60"/>
    </sortState>
  </autoFilter>
  <conditionalFormatting sqref="I19 I7 I5 I9 I11 I13 I15 I17 I21 I23">
    <cfRule type="containsText" dxfId="4" priority="3" operator="containsText" text="Vendido">
      <formula>NOT(ISERROR(SEARCH("Vendido",I5)))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S212"/>
  <sheetViews>
    <sheetView zoomScale="110" zoomScaleNormal="110" workbookViewId="0">
      <pane xSplit="2" ySplit="4" topLeftCell="C177" activePane="bottomRight" state="frozen"/>
      <selection pane="topRight" activeCell="C3" sqref="C3"/>
      <selection pane="bottomLeft" activeCell="A5" sqref="A5"/>
      <selection pane="bottomRight" activeCell="H214" sqref="H214"/>
    </sheetView>
  </sheetViews>
  <sheetFormatPr defaultColWidth="9.140625" defaultRowHeight="15" x14ac:dyDescent="0.25"/>
  <cols>
    <col min="1" max="1" width="9.42578125" style="39" bestFit="1" customWidth="1"/>
    <col min="2" max="2" width="28.42578125" style="40" customWidth="1"/>
    <col min="3" max="3" width="15.140625" style="67" bestFit="1" customWidth="1"/>
    <col min="4" max="4" width="12.140625" style="49" bestFit="1" customWidth="1"/>
    <col min="5" max="5" width="13" style="57" customWidth="1"/>
    <col min="6" max="6" width="12.140625" style="32" bestFit="1" customWidth="1"/>
    <col min="7" max="7" width="11.42578125" style="74" customWidth="1"/>
    <col min="8" max="8" width="13.140625" style="49" bestFit="1" customWidth="1"/>
    <col min="9" max="9" width="11.7109375" style="50" bestFit="1" customWidth="1"/>
    <col min="10" max="10" width="36.42578125" style="93" customWidth="1"/>
    <col min="11" max="11" width="15.42578125" style="103" bestFit="1" customWidth="1"/>
    <col min="12" max="12" width="5.85546875" style="39" customWidth="1"/>
    <col min="13" max="13" width="10.7109375" style="39" bestFit="1" customWidth="1"/>
    <col min="14" max="16" width="12.140625" style="39" bestFit="1" customWidth="1"/>
    <col min="17" max="17" width="12.140625" style="39" customWidth="1"/>
    <col min="18" max="18" width="9.140625" style="39"/>
    <col min="19" max="19" width="22.28515625" style="39" bestFit="1" customWidth="1"/>
    <col min="20" max="16384" width="9.140625" style="39"/>
  </cols>
  <sheetData>
    <row r="2" spans="1:17" x14ac:dyDescent="0.25">
      <c r="G2" s="40"/>
    </row>
    <row r="3" spans="1:17" ht="15.75" thickBot="1" x14ac:dyDescent="0.3">
      <c r="D3" s="39"/>
      <c r="E3" s="66"/>
      <c r="F3" s="35">
        <f>SUM(F5:F101)</f>
        <v>4164.42</v>
      </c>
      <c r="G3" s="70"/>
      <c r="H3" s="41"/>
      <c r="I3" s="62"/>
      <c r="J3" s="92"/>
      <c r="K3" s="104"/>
    </row>
    <row r="4" spans="1:17" s="61" customFormat="1" ht="30" customHeight="1" x14ac:dyDescent="0.25">
      <c r="A4" s="58" t="s">
        <v>511</v>
      </c>
      <c r="B4" s="58" t="s">
        <v>319</v>
      </c>
      <c r="C4" s="68" t="s">
        <v>512</v>
      </c>
      <c r="D4" s="59" t="s">
        <v>513</v>
      </c>
      <c r="E4" s="51" t="s">
        <v>514</v>
      </c>
      <c r="F4" s="59" t="s">
        <v>515</v>
      </c>
      <c r="G4" s="68" t="s">
        <v>516</v>
      </c>
      <c r="H4" s="59" t="s">
        <v>517</v>
      </c>
      <c r="I4" s="60" t="s">
        <v>14</v>
      </c>
      <c r="J4" s="102" t="s">
        <v>518</v>
      </c>
      <c r="K4" s="105" t="s">
        <v>519</v>
      </c>
      <c r="M4" s="10"/>
      <c r="N4" s="163" t="s">
        <v>520</v>
      </c>
      <c r="O4" s="164"/>
    </row>
    <row r="5" spans="1:17" s="57" customFormat="1" hidden="1" x14ac:dyDescent="0.25">
      <c r="A5" s="47" t="s">
        <v>369</v>
      </c>
      <c r="B5" s="45" t="s">
        <v>192</v>
      </c>
      <c r="C5" s="69">
        <v>42584</v>
      </c>
      <c r="D5" s="48">
        <v>50</v>
      </c>
      <c r="E5" s="45" t="s">
        <v>26</v>
      </c>
      <c r="F5" s="33">
        <v>50</v>
      </c>
      <c r="G5" s="69">
        <v>42612</v>
      </c>
      <c r="H5" s="42" t="s">
        <v>521</v>
      </c>
      <c r="I5" s="44" t="s">
        <v>522</v>
      </c>
      <c r="J5" s="101" t="s">
        <v>523</v>
      </c>
      <c r="K5" s="106" t="s">
        <v>336</v>
      </c>
      <c r="M5" s="142" t="s">
        <v>324</v>
      </c>
      <c r="N5" s="143" t="s">
        <v>524</v>
      </c>
      <c r="O5" s="144" t="s">
        <v>522</v>
      </c>
      <c r="P5" s="145" t="s">
        <v>525</v>
      </c>
      <c r="Q5" s="62"/>
    </row>
    <row r="6" spans="1:17" s="57" customFormat="1" hidden="1" x14ac:dyDescent="0.25">
      <c r="A6" s="45" t="s">
        <v>431</v>
      </c>
      <c r="B6" s="45" t="s">
        <v>432</v>
      </c>
      <c r="C6" s="69">
        <v>42613</v>
      </c>
      <c r="D6" s="55">
        <f>60+70</f>
        <v>130</v>
      </c>
      <c r="E6" s="45" t="s">
        <v>26</v>
      </c>
      <c r="F6" s="36">
        <v>50</v>
      </c>
      <c r="G6" s="71">
        <v>42673</v>
      </c>
      <c r="H6" s="55" t="s">
        <v>526</v>
      </c>
      <c r="I6" s="56" t="s">
        <v>522</v>
      </c>
      <c r="J6" s="100" t="s">
        <v>527</v>
      </c>
      <c r="K6" s="106" t="s">
        <v>343</v>
      </c>
      <c r="M6" s="84" t="s">
        <v>528</v>
      </c>
      <c r="N6" s="150">
        <f>SUMIFS($F:$F,$H:$H,"Julho",$I:$I,"Aguardando")</f>
        <v>0</v>
      </c>
      <c r="O6" s="151">
        <f>SUMIFS($F:$F,$H:$H,"Julho",$I:$I,"Pago")</f>
        <v>225.1</v>
      </c>
      <c r="P6" s="134">
        <f t="shared" ref="P6:P11" si="0">O6+N6</f>
        <v>225.1</v>
      </c>
      <c r="Q6" s="132"/>
    </row>
    <row r="7" spans="1:17" s="57" customFormat="1" hidden="1" x14ac:dyDescent="0.25">
      <c r="A7" s="45" t="s">
        <v>477</v>
      </c>
      <c r="B7" s="9" t="s">
        <v>529</v>
      </c>
      <c r="C7" s="69">
        <v>42641</v>
      </c>
      <c r="D7" s="55">
        <v>194</v>
      </c>
      <c r="E7" s="45" t="s">
        <v>26</v>
      </c>
      <c r="F7" s="36">
        <v>94</v>
      </c>
      <c r="G7" s="71">
        <v>42673</v>
      </c>
      <c r="H7" s="55" t="s">
        <v>530</v>
      </c>
      <c r="I7" s="56" t="s">
        <v>522</v>
      </c>
      <c r="J7" s="100" t="s">
        <v>531</v>
      </c>
      <c r="K7" s="106" t="s">
        <v>343</v>
      </c>
      <c r="M7" s="82" t="s">
        <v>521</v>
      </c>
      <c r="N7" s="150">
        <f>SUMIFS($F:$F,$H:$H,"Agosto",$I:$I,"Aguardando")</f>
        <v>0</v>
      </c>
      <c r="O7" s="151" t="e">
        <f>SUMIFS($F:$F,$H:$H,"Agosto",$I:$I,"Pago")</f>
        <v>#REF!</v>
      </c>
      <c r="P7" s="134" t="e">
        <f t="shared" si="0"/>
        <v>#REF!</v>
      </c>
      <c r="Q7" s="132"/>
    </row>
    <row r="8" spans="1:17" s="57" customFormat="1" hidden="1" x14ac:dyDescent="0.25">
      <c r="A8" s="47" t="s">
        <v>388</v>
      </c>
      <c r="B8" s="45" t="s">
        <v>532</v>
      </c>
      <c r="C8" s="69">
        <v>42589</v>
      </c>
      <c r="D8" s="48">
        <v>50</v>
      </c>
      <c r="E8" s="45" t="s">
        <v>26</v>
      </c>
      <c r="F8" s="33">
        <v>50</v>
      </c>
      <c r="G8" s="69">
        <v>42597</v>
      </c>
      <c r="H8" s="42" t="s">
        <v>521</v>
      </c>
      <c r="I8" s="44" t="s">
        <v>522</v>
      </c>
      <c r="J8" s="101" t="s">
        <v>533</v>
      </c>
      <c r="K8" s="107" t="s">
        <v>336</v>
      </c>
      <c r="M8" s="82" t="s">
        <v>534</v>
      </c>
      <c r="N8" s="150">
        <f>SUMIFS($F:$F,$H:$H,"Setembro",$I:$I,"Aguardando")</f>
        <v>0</v>
      </c>
      <c r="O8" s="151">
        <f>SUMIFS($F:$F,$H:$H,"Setembro",$I:$I,"Pago")</f>
        <v>2127.2800000000002</v>
      </c>
      <c r="P8" s="134">
        <f t="shared" si="0"/>
        <v>2127.2800000000002</v>
      </c>
      <c r="Q8" s="132"/>
    </row>
    <row r="9" spans="1:17" s="57" customFormat="1" hidden="1" x14ac:dyDescent="0.25">
      <c r="A9" s="47" t="s">
        <v>385</v>
      </c>
      <c r="B9" s="45" t="s">
        <v>386</v>
      </c>
      <c r="C9" s="69">
        <v>42588</v>
      </c>
      <c r="D9" s="48">
        <v>15</v>
      </c>
      <c r="E9" s="45" t="s">
        <v>26</v>
      </c>
      <c r="F9" s="33">
        <v>15</v>
      </c>
      <c r="G9" s="69">
        <v>42597</v>
      </c>
      <c r="H9" s="42" t="s">
        <v>521</v>
      </c>
      <c r="I9" s="44" t="s">
        <v>522</v>
      </c>
      <c r="J9" s="101" t="s">
        <v>535</v>
      </c>
      <c r="K9" s="107" t="s">
        <v>336</v>
      </c>
      <c r="M9" s="82" t="s">
        <v>530</v>
      </c>
      <c r="N9" s="150">
        <f>SUMIFS($F:$F,$H:$H,"Outubro",$I:$I,"Aguardando")</f>
        <v>0</v>
      </c>
      <c r="O9" s="151">
        <f>SUMIFS($F:$F,$H:$H,"Outubro",$I:$I,"Pago")</f>
        <v>1345.36</v>
      </c>
      <c r="P9" s="134">
        <f t="shared" si="0"/>
        <v>1345.36</v>
      </c>
      <c r="Q9" s="132"/>
    </row>
    <row r="10" spans="1:17" s="57" customFormat="1" hidden="1" x14ac:dyDescent="0.25">
      <c r="A10" s="47" t="s">
        <v>397</v>
      </c>
      <c r="B10" s="45" t="s">
        <v>398</v>
      </c>
      <c r="C10" s="69">
        <v>42592</v>
      </c>
      <c r="D10" s="48">
        <v>70</v>
      </c>
      <c r="E10" s="45" t="s">
        <v>26</v>
      </c>
      <c r="F10" s="33">
        <v>40</v>
      </c>
      <c r="G10" s="69">
        <v>42612</v>
      </c>
      <c r="H10" s="42" t="s">
        <v>521</v>
      </c>
      <c r="I10" s="44" t="s">
        <v>522</v>
      </c>
      <c r="J10" s="101" t="s">
        <v>536</v>
      </c>
      <c r="K10" s="107" t="s">
        <v>360</v>
      </c>
      <c r="M10" s="82" t="s">
        <v>537</v>
      </c>
      <c r="N10" s="150">
        <f>SUMIFS($F:$F,$H:$H,"Novembro",$I:$I,"Aguardando")</f>
        <v>0</v>
      </c>
      <c r="O10" s="151">
        <f>SUMIFS($F:$F,$H:$H,"Novembro",$I:$I,"Pago")</f>
        <v>1282.58</v>
      </c>
      <c r="P10" s="134">
        <f t="shared" si="0"/>
        <v>1282.58</v>
      </c>
      <c r="Q10" s="132"/>
    </row>
    <row r="11" spans="1:17" s="57" customFormat="1" hidden="1" x14ac:dyDescent="0.25">
      <c r="A11" s="47" t="s">
        <v>404</v>
      </c>
      <c r="B11" s="45" t="s">
        <v>187</v>
      </c>
      <c r="C11" s="69">
        <v>42594</v>
      </c>
      <c r="D11" s="48">
        <v>60</v>
      </c>
      <c r="E11" s="45" t="s">
        <v>26</v>
      </c>
      <c r="F11" s="33">
        <v>60</v>
      </c>
      <c r="G11" s="69">
        <v>42597</v>
      </c>
      <c r="H11" s="42" t="s">
        <v>521</v>
      </c>
      <c r="I11" s="44" t="s">
        <v>522</v>
      </c>
      <c r="J11" s="101" t="s">
        <v>538</v>
      </c>
      <c r="K11" s="107" t="s">
        <v>336</v>
      </c>
      <c r="M11" s="82" t="s">
        <v>539</v>
      </c>
      <c r="N11" s="150">
        <f>SUMIFS($F:$F,$H:$H,"Dezembro",$I:$I,"Aguardando")</f>
        <v>0</v>
      </c>
      <c r="O11" s="151">
        <f>SUMIFS($F:$F,$H:$H,"Dezembro",$I:$I,"Pago")</f>
        <v>1000.5600000000001</v>
      </c>
      <c r="P11" s="134">
        <f t="shared" si="0"/>
        <v>1000.5600000000001</v>
      </c>
      <c r="Q11" s="132"/>
    </row>
    <row r="12" spans="1:17" s="57" customFormat="1" hidden="1" x14ac:dyDescent="0.25">
      <c r="A12" s="47"/>
      <c r="B12" s="45"/>
      <c r="C12" s="69"/>
      <c r="D12" s="48"/>
      <c r="E12" s="45"/>
      <c r="F12" s="33"/>
      <c r="G12" s="69"/>
      <c r="H12" s="42"/>
      <c r="I12" s="44"/>
      <c r="J12" s="101"/>
      <c r="K12" s="107"/>
      <c r="M12" s="82" t="s">
        <v>540</v>
      </c>
      <c r="N12" s="150">
        <f>SUMIFS($F:$F,$H:$H,"janeiro",$I:$I,"Aguardando")</f>
        <v>222.16666666666666</v>
      </c>
      <c r="O12" s="151">
        <f>SUMIFS($F:$F,$H:$H,"janeiro",$I:$I,"Pago")</f>
        <v>1215.75</v>
      </c>
      <c r="P12" s="134">
        <f>O12+N12</f>
        <v>1437.9166666666667</v>
      </c>
      <c r="Q12" s="132"/>
    </row>
    <row r="13" spans="1:17" s="57" customFormat="1" hidden="1" x14ac:dyDescent="0.25">
      <c r="A13" s="47" t="s">
        <v>404</v>
      </c>
      <c r="B13" s="45" t="s">
        <v>187</v>
      </c>
      <c r="C13" s="69">
        <v>42598</v>
      </c>
      <c r="D13" s="48">
        <v>70</v>
      </c>
      <c r="E13" s="45" t="s">
        <v>26</v>
      </c>
      <c r="F13" s="33">
        <v>70</v>
      </c>
      <c r="G13" s="69">
        <v>42612</v>
      </c>
      <c r="H13" s="42" t="s">
        <v>521</v>
      </c>
      <c r="I13" s="44" t="s">
        <v>522</v>
      </c>
      <c r="J13" s="101" t="s">
        <v>541</v>
      </c>
      <c r="K13" s="107" t="s">
        <v>360</v>
      </c>
      <c r="M13" s="152" t="s">
        <v>542</v>
      </c>
      <c r="N13" s="150">
        <f>SUMIFS($F:$F,$H:$H,"fevereiro",$I:$I,"Aguardando")</f>
        <v>510.83333333333337</v>
      </c>
      <c r="O13" s="151">
        <f>SUMIFS($F:$F,$H:$H,"fevereiro",$I:$I,"Pago")</f>
        <v>85</v>
      </c>
      <c r="P13" s="134">
        <f>O13+N13</f>
        <v>595.83333333333337</v>
      </c>
      <c r="Q13" s="133"/>
    </row>
    <row r="14" spans="1:17" s="57" customFormat="1" hidden="1" x14ac:dyDescent="0.25">
      <c r="A14" s="45" t="s">
        <v>344</v>
      </c>
      <c r="B14" s="45" t="s">
        <v>543</v>
      </c>
      <c r="C14" s="69">
        <v>42581</v>
      </c>
      <c r="D14" s="42" t="e">
        <f>SUMIFS(MERCADORIAS!$D:$D,MERCADORIAS!#REF!,"Eliana")</f>
        <v>#REF!</v>
      </c>
      <c r="E14" s="45" t="s">
        <v>26</v>
      </c>
      <c r="F14" s="33">
        <v>25</v>
      </c>
      <c r="G14" s="69">
        <v>42612</v>
      </c>
      <c r="H14" s="42" t="s">
        <v>521</v>
      </c>
      <c r="I14" s="44" t="s">
        <v>522</v>
      </c>
      <c r="J14" s="101" t="s">
        <v>523</v>
      </c>
      <c r="K14" s="106" t="s">
        <v>336</v>
      </c>
      <c r="M14" s="152" t="s">
        <v>544</v>
      </c>
      <c r="N14" s="150">
        <f>SUMIFS($F:$F,$H:$H,"março",$I:$I,"Aguardando")</f>
        <v>0</v>
      </c>
      <c r="O14" s="151">
        <f>SUMIFS($F:$F,$H:$H,"março",$I:$I,"Pago")</f>
        <v>0</v>
      </c>
      <c r="P14" s="134">
        <f>O14+N14</f>
        <v>0</v>
      </c>
    </row>
    <row r="15" spans="1:17" s="57" customFormat="1" ht="15.75" hidden="1" thickBot="1" x14ac:dyDescent="0.3">
      <c r="A15" s="53" t="s">
        <v>412</v>
      </c>
      <c r="B15" s="45" t="s">
        <v>413</v>
      </c>
      <c r="C15" s="69">
        <v>42675</v>
      </c>
      <c r="D15" s="55">
        <v>75</v>
      </c>
      <c r="E15" s="54" t="s">
        <v>26</v>
      </c>
      <c r="F15" s="34">
        <v>75</v>
      </c>
      <c r="G15" s="71">
        <v>42704</v>
      </c>
      <c r="H15" s="42" t="s">
        <v>537</v>
      </c>
      <c r="I15" s="44" t="s">
        <v>522</v>
      </c>
      <c r="J15" s="100" t="s">
        <v>545</v>
      </c>
      <c r="K15" s="106" t="s">
        <v>546</v>
      </c>
      <c r="M15" s="146" t="s">
        <v>547</v>
      </c>
      <c r="N15" s="147">
        <f>SUM(N8:N13)</f>
        <v>733</v>
      </c>
      <c r="O15" s="148">
        <f>SUM(O8:O13)</f>
        <v>7056.5300000000007</v>
      </c>
      <c r="P15" s="149">
        <f>SUM(P8:P13)</f>
        <v>7789.5300000000007</v>
      </c>
    </row>
    <row r="16" spans="1:17" s="57" customFormat="1" hidden="1" x14ac:dyDescent="0.25">
      <c r="A16" s="47" t="s">
        <v>401</v>
      </c>
      <c r="B16" s="45" t="s">
        <v>402</v>
      </c>
      <c r="C16" s="69">
        <v>42592</v>
      </c>
      <c r="D16" s="48">
        <v>80</v>
      </c>
      <c r="E16" s="45" t="s">
        <v>26</v>
      </c>
      <c r="F16" s="33">
        <v>20</v>
      </c>
      <c r="G16" s="69">
        <v>42612</v>
      </c>
      <c r="H16" s="42" t="s">
        <v>521</v>
      </c>
      <c r="I16" s="44" t="s">
        <v>522</v>
      </c>
      <c r="J16" s="101" t="s">
        <v>548</v>
      </c>
      <c r="K16" s="107" t="s">
        <v>336</v>
      </c>
    </row>
    <row r="17" spans="1:19" s="57" customFormat="1" hidden="1" x14ac:dyDescent="0.25">
      <c r="A17" s="47" t="s">
        <v>401</v>
      </c>
      <c r="B17" s="45" t="s">
        <v>402</v>
      </c>
      <c r="C17" s="69">
        <v>42592</v>
      </c>
      <c r="D17" s="48">
        <v>80</v>
      </c>
      <c r="E17" s="45" t="s">
        <v>26</v>
      </c>
      <c r="F17" s="33">
        <v>40</v>
      </c>
      <c r="G17" s="69">
        <v>42597</v>
      </c>
      <c r="H17" s="42" t="s">
        <v>521</v>
      </c>
      <c r="I17" s="44" t="s">
        <v>522</v>
      </c>
      <c r="J17" s="101" t="s">
        <v>536</v>
      </c>
      <c r="K17" s="107" t="s">
        <v>360</v>
      </c>
    </row>
    <row r="18" spans="1:19" s="57" customFormat="1" hidden="1" x14ac:dyDescent="0.25">
      <c r="A18" s="45" t="s">
        <v>425</v>
      </c>
      <c r="B18" s="54" t="s">
        <v>426</v>
      </c>
      <c r="C18" s="69">
        <v>42705</v>
      </c>
      <c r="D18" s="55">
        <v>80</v>
      </c>
      <c r="E18" s="45" t="s">
        <v>26</v>
      </c>
      <c r="F18" s="34">
        <v>50</v>
      </c>
      <c r="G18" s="71">
        <v>42705</v>
      </c>
      <c r="H18" s="42" t="s">
        <v>539</v>
      </c>
      <c r="I18" s="44" t="s">
        <v>522</v>
      </c>
      <c r="J18" s="101" t="s">
        <v>549</v>
      </c>
      <c r="K18" s="107" t="s">
        <v>546</v>
      </c>
    </row>
    <row r="19" spans="1:19" s="57" customFormat="1" hidden="1" x14ac:dyDescent="0.25">
      <c r="A19" s="47" t="s">
        <v>374</v>
      </c>
      <c r="B19" s="45" t="s">
        <v>375</v>
      </c>
      <c r="C19" s="69">
        <v>42585</v>
      </c>
      <c r="D19" s="48">
        <v>40</v>
      </c>
      <c r="E19" s="45" t="s">
        <v>26</v>
      </c>
      <c r="F19" s="33">
        <v>20</v>
      </c>
      <c r="G19" s="69">
        <v>42597</v>
      </c>
      <c r="H19" s="42" t="s">
        <v>521</v>
      </c>
      <c r="I19" s="44" t="s">
        <v>522</v>
      </c>
      <c r="J19" s="101" t="s">
        <v>535</v>
      </c>
      <c r="K19" s="107" t="s">
        <v>336</v>
      </c>
    </row>
    <row r="20" spans="1:19" s="57" customFormat="1" hidden="1" x14ac:dyDescent="0.25">
      <c r="A20" s="47" t="s">
        <v>374</v>
      </c>
      <c r="B20" s="45" t="s">
        <v>375</v>
      </c>
      <c r="C20" s="69">
        <v>42585</v>
      </c>
      <c r="D20" s="48">
        <v>40</v>
      </c>
      <c r="E20" s="45" t="s">
        <v>26</v>
      </c>
      <c r="F20" s="33">
        <v>20</v>
      </c>
      <c r="G20" s="69">
        <v>42612</v>
      </c>
      <c r="H20" s="42" t="s">
        <v>521</v>
      </c>
      <c r="I20" s="44" t="s">
        <v>522</v>
      </c>
      <c r="J20" s="101" t="s">
        <v>550</v>
      </c>
      <c r="K20" s="107" t="s">
        <v>336</v>
      </c>
    </row>
    <row r="21" spans="1:19" s="57" customFormat="1" hidden="1" x14ac:dyDescent="0.25">
      <c r="A21" s="47" t="s">
        <v>393</v>
      </c>
      <c r="B21" s="45" t="s">
        <v>394</v>
      </c>
      <c r="C21" s="69">
        <v>42591</v>
      </c>
      <c r="D21" s="48">
        <v>120</v>
      </c>
      <c r="E21" s="45" t="s">
        <v>26</v>
      </c>
      <c r="F21" s="34">
        <v>30</v>
      </c>
      <c r="G21" s="69">
        <v>42612</v>
      </c>
      <c r="H21" s="42" t="s">
        <v>521</v>
      </c>
      <c r="I21" s="44" t="s">
        <v>522</v>
      </c>
      <c r="J21" s="101" t="s">
        <v>551</v>
      </c>
      <c r="K21" s="107" t="s">
        <v>336</v>
      </c>
      <c r="Q21" s="94"/>
    </row>
    <row r="22" spans="1:19" s="57" customFormat="1" hidden="1" x14ac:dyDescent="0.25">
      <c r="A22" s="45" t="s">
        <v>423</v>
      </c>
      <c r="B22" s="54" t="s">
        <v>313</v>
      </c>
      <c r="C22" s="69" t="s">
        <v>552</v>
      </c>
      <c r="D22" s="55">
        <v>65</v>
      </c>
      <c r="E22" s="45" t="s">
        <v>26</v>
      </c>
      <c r="F22" s="34">
        <v>65</v>
      </c>
      <c r="G22" s="71" t="s">
        <v>553</v>
      </c>
      <c r="H22" s="42" t="s">
        <v>521</v>
      </c>
      <c r="I22" s="44" t="s">
        <v>522</v>
      </c>
      <c r="J22" s="100" t="s">
        <v>554</v>
      </c>
      <c r="K22" s="107" t="s">
        <v>336</v>
      </c>
    </row>
    <row r="23" spans="1:19" s="57" customFormat="1" hidden="1" x14ac:dyDescent="0.25">
      <c r="A23" s="47" t="s">
        <v>393</v>
      </c>
      <c r="B23" s="45" t="s">
        <v>394</v>
      </c>
      <c r="C23" s="69">
        <v>42591</v>
      </c>
      <c r="D23" s="48">
        <v>120</v>
      </c>
      <c r="E23" s="45" t="s">
        <v>26</v>
      </c>
      <c r="F23" s="34">
        <v>30</v>
      </c>
      <c r="G23" s="69">
        <v>42597</v>
      </c>
      <c r="H23" s="42" t="s">
        <v>521</v>
      </c>
      <c r="I23" s="44" t="s">
        <v>522</v>
      </c>
      <c r="J23" s="101" t="s">
        <v>536</v>
      </c>
      <c r="K23" s="107" t="s">
        <v>360</v>
      </c>
      <c r="N23" s="94"/>
      <c r="Q23" s="94"/>
    </row>
    <row r="24" spans="1:19" s="57" customFormat="1" hidden="1" x14ac:dyDescent="0.25">
      <c r="A24" s="47" t="s">
        <v>369</v>
      </c>
      <c r="B24" s="45" t="s">
        <v>192</v>
      </c>
      <c r="C24" s="69">
        <v>42669</v>
      </c>
      <c r="D24" s="48">
        <v>80</v>
      </c>
      <c r="E24" s="45" t="s">
        <v>26</v>
      </c>
      <c r="F24" s="33">
        <v>40</v>
      </c>
      <c r="G24" s="69">
        <v>42689</v>
      </c>
      <c r="H24" s="42" t="s">
        <v>537</v>
      </c>
      <c r="I24" s="44" t="s">
        <v>522</v>
      </c>
      <c r="J24" s="101" t="s">
        <v>555</v>
      </c>
      <c r="K24" s="106" t="s">
        <v>546</v>
      </c>
    </row>
    <row r="25" spans="1:19" s="57" customFormat="1" hidden="1" x14ac:dyDescent="0.25">
      <c r="A25" s="45" t="s">
        <v>409</v>
      </c>
      <c r="B25" s="45" t="s">
        <v>556</v>
      </c>
      <c r="C25" s="69">
        <v>42599</v>
      </c>
      <c r="D25" s="55">
        <v>15</v>
      </c>
      <c r="E25" s="45" t="s">
        <v>26</v>
      </c>
      <c r="F25" s="36">
        <v>15</v>
      </c>
      <c r="G25" s="69">
        <v>42612</v>
      </c>
      <c r="H25" s="42" t="s">
        <v>521</v>
      </c>
      <c r="I25" s="44" t="s">
        <v>522</v>
      </c>
      <c r="J25" s="100" t="s">
        <v>557</v>
      </c>
      <c r="K25" s="107" t="s">
        <v>360</v>
      </c>
      <c r="N25" s="94"/>
      <c r="Q25" s="94"/>
    </row>
    <row r="26" spans="1:19" s="57" customFormat="1" hidden="1" x14ac:dyDescent="0.25">
      <c r="A26" s="47" t="s">
        <v>374</v>
      </c>
      <c r="B26" s="45" t="s">
        <v>375</v>
      </c>
      <c r="C26" s="69" t="s">
        <v>558</v>
      </c>
      <c r="D26" s="48">
        <v>60</v>
      </c>
      <c r="E26" s="45" t="s">
        <v>26</v>
      </c>
      <c r="F26" s="34">
        <v>30</v>
      </c>
      <c r="G26" s="69" t="s">
        <v>559</v>
      </c>
      <c r="H26" s="42" t="s">
        <v>534</v>
      </c>
      <c r="I26" s="44" t="s">
        <v>522</v>
      </c>
      <c r="J26" s="100" t="s">
        <v>560</v>
      </c>
      <c r="K26" s="107" t="s">
        <v>360</v>
      </c>
    </row>
    <row r="27" spans="1:19" s="57" customFormat="1" hidden="1" x14ac:dyDescent="0.25">
      <c r="A27" s="47" t="s">
        <v>374</v>
      </c>
      <c r="B27" s="45" t="s">
        <v>375</v>
      </c>
      <c r="C27" s="69" t="s">
        <v>558</v>
      </c>
      <c r="D27" s="48">
        <v>60</v>
      </c>
      <c r="E27" s="45" t="s">
        <v>26</v>
      </c>
      <c r="F27" s="34">
        <v>30</v>
      </c>
      <c r="G27" s="71" t="s">
        <v>561</v>
      </c>
      <c r="H27" s="55" t="s">
        <v>534</v>
      </c>
      <c r="I27" s="56" t="s">
        <v>522</v>
      </c>
      <c r="J27" s="100" t="s">
        <v>562</v>
      </c>
      <c r="K27" s="107" t="s">
        <v>360</v>
      </c>
    </row>
    <row r="28" spans="1:19" s="57" customFormat="1" hidden="1" x14ac:dyDescent="0.25">
      <c r="A28" s="45" t="s">
        <v>488</v>
      </c>
      <c r="B28" s="9" t="s">
        <v>489</v>
      </c>
      <c r="C28" s="69">
        <v>42656</v>
      </c>
      <c r="D28" s="55">
        <v>40</v>
      </c>
      <c r="E28" s="45" t="s">
        <v>108</v>
      </c>
      <c r="F28" s="36">
        <v>40</v>
      </c>
      <c r="G28" s="71">
        <v>42657</v>
      </c>
      <c r="H28" s="55" t="s">
        <v>530</v>
      </c>
      <c r="I28" s="56" t="s">
        <v>522</v>
      </c>
      <c r="J28" s="100" t="s">
        <v>563</v>
      </c>
      <c r="K28" s="106" t="s">
        <v>343</v>
      </c>
    </row>
    <row r="29" spans="1:19" s="57" customFormat="1" hidden="1" x14ac:dyDescent="0.25">
      <c r="A29" s="47" t="s">
        <v>378</v>
      </c>
      <c r="B29" s="45" t="s">
        <v>80</v>
      </c>
      <c r="C29" s="69">
        <v>42586</v>
      </c>
      <c r="D29" s="48">
        <v>40</v>
      </c>
      <c r="E29" s="45" t="s">
        <v>26</v>
      </c>
      <c r="F29" s="33">
        <v>20</v>
      </c>
      <c r="G29" s="69">
        <v>42597</v>
      </c>
      <c r="H29" s="42" t="s">
        <v>521</v>
      </c>
      <c r="I29" s="44" t="s">
        <v>522</v>
      </c>
      <c r="J29" s="101" t="s">
        <v>564</v>
      </c>
      <c r="K29" s="107" t="s">
        <v>336</v>
      </c>
    </row>
    <row r="30" spans="1:19" s="57" customFormat="1" hidden="1" x14ac:dyDescent="0.25">
      <c r="A30" s="47" t="s">
        <v>378</v>
      </c>
      <c r="B30" s="45" t="s">
        <v>80</v>
      </c>
      <c r="C30" s="69">
        <v>42586</v>
      </c>
      <c r="D30" s="48">
        <v>40</v>
      </c>
      <c r="E30" s="45" t="s">
        <v>26</v>
      </c>
      <c r="F30" s="33">
        <v>20</v>
      </c>
      <c r="G30" s="69">
        <v>42612</v>
      </c>
      <c r="H30" s="42" t="s">
        <v>521</v>
      </c>
      <c r="I30" s="44" t="s">
        <v>522</v>
      </c>
      <c r="J30" s="101" t="s">
        <v>536</v>
      </c>
      <c r="K30" s="107" t="s">
        <v>360</v>
      </c>
      <c r="N30" s="39"/>
      <c r="O30" s="39"/>
      <c r="P30" s="39"/>
      <c r="Q30" s="39"/>
    </row>
    <row r="31" spans="1:19" s="57" customFormat="1" hidden="1" x14ac:dyDescent="0.25">
      <c r="A31" s="45" t="s">
        <v>406</v>
      </c>
      <c r="B31" s="45" t="s">
        <v>176</v>
      </c>
      <c r="C31" s="69">
        <v>42594</v>
      </c>
      <c r="D31" s="42">
        <v>160</v>
      </c>
      <c r="E31" s="45" t="s">
        <v>26</v>
      </c>
      <c r="F31" s="33">
        <v>80</v>
      </c>
      <c r="G31" s="69">
        <v>42612</v>
      </c>
      <c r="H31" s="42" t="s">
        <v>521</v>
      </c>
      <c r="I31" s="44" t="s">
        <v>522</v>
      </c>
      <c r="J31" s="101" t="s">
        <v>536</v>
      </c>
      <c r="K31" s="107" t="s">
        <v>360</v>
      </c>
      <c r="N31" s="39"/>
      <c r="O31" s="39"/>
      <c r="P31" s="39"/>
      <c r="Q31" s="39"/>
      <c r="R31" s="39"/>
      <c r="S31" s="39"/>
    </row>
    <row r="32" spans="1:19" s="57" customFormat="1" hidden="1" x14ac:dyDescent="0.25">
      <c r="A32" s="45" t="s">
        <v>332</v>
      </c>
      <c r="B32" s="46" t="s">
        <v>565</v>
      </c>
      <c r="C32" s="69">
        <v>42579</v>
      </c>
      <c r="D32" s="42" t="e">
        <f>SUMIFS(MERCADORIAS!$D:$D,MERCADORIAS!#REF!,"maria aparecida")</f>
        <v>#REF!</v>
      </c>
      <c r="E32" s="45" t="s">
        <v>26</v>
      </c>
      <c r="F32" s="33">
        <v>40</v>
      </c>
      <c r="G32" s="69">
        <v>42597</v>
      </c>
      <c r="H32" s="42" t="s">
        <v>521</v>
      </c>
      <c r="I32" s="44" t="s">
        <v>522</v>
      </c>
      <c r="J32" s="101" t="s">
        <v>533</v>
      </c>
      <c r="K32" s="107" t="s">
        <v>336</v>
      </c>
      <c r="N32" s="39"/>
      <c r="O32" s="39"/>
      <c r="P32" s="39"/>
      <c r="Q32" s="39"/>
      <c r="R32" s="39"/>
      <c r="S32" s="39"/>
    </row>
    <row r="33" spans="1:19" s="57" customFormat="1" hidden="1" x14ac:dyDescent="0.25">
      <c r="A33" s="45" t="s">
        <v>332</v>
      </c>
      <c r="B33" s="46" t="s">
        <v>565</v>
      </c>
      <c r="C33" s="69">
        <v>42579</v>
      </c>
      <c r="D33" s="42" t="e">
        <f>SUMIFS(MERCADORIAS!$D:$D,MERCADORIAS!#REF!,"maria aparecida")</f>
        <v>#REF!</v>
      </c>
      <c r="E33" s="45" t="s">
        <v>26</v>
      </c>
      <c r="F33" s="33">
        <v>40</v>
      </c>
      <c r="G33" s="69">
        <v>42612</v>
      </c>
      <c r="H33" s="42" t="s">
        <v>521</v>
      </c>
      <c r="I33" s="44" t="s">
        <v>522</v>
      </c>
      <c r="J33" s="101" t="s">
        <v>536</v>
      </c>
      <c r="K33" s="107" t="s">
        <v>360</v>
      </c>
      <c r="N33" s="39"/>
      <c r="O33" s="39"/>
      <c r="P33" s="39"/>
      <c r="Q33" s="39"/>
      <c r="R33" s="39"/>
      <c r="S33" s="39"/>
    </row>
    <row r="34" spans="1:19" s="57" customFormat="1" hidden="1" x14ac:dyDescent="0.25">
      <c r="A34" s="45" t="s">
        <v>337</v>
      </c>
      <c r="B34" s="45" t="s">
        <v>154</v>
      </c>
      <c r="C34" s="69">
        <v>42578</v>
      </c>
      <c r="D34" s="42" t="e">
        <f>SUMIFS(MERCADORIAS!$D:$D,MERCADORIAS!#REF!,"maria margareth")</f>
        <v>#REF!</v>
      </c>
      <c r="E34" s="45" t="s">
        <v>26</v>
      </c>
      <c r="F34" s="33">
        <v>60</v>
      </c>
      <c r="G34" s="69">
        <v>42597</v>
      </c>
      <c r="H34" s="42" t="s">
        <v>521</v>
      </c>
      <c r="I34" s="44" t="s">
        <v>522</v>
      </c>
      <c r="J34" s="101" t="s">
        <v>533</v>
      </c>
      <c r="K34" s="107" t="s">
        <v>336</v>
      </c>
      <c r="N34" s="39"/>
      <c r="O34" s="39"/>
      <c r="P34" s="39"/>
      <c r="Q34" s="39"/>
      <c r="R34" s="39"/>
      <c r="S34" s="39"/>
    </row>
    <row r="35" spans="1:19" s="57" customFormat="1" hidden="1" x14ac:dyDescent="0.25">
      <c r="A35" s="45" t="s">
        <v>337</v>
      </c>
      <c r="B35" s="45" t="s">
        <v>154</v>
      </c>
      <c r="C35" s="69">
        <v>42578</v>
      </c>
      <c r="D35" s="42" t="e">
        <f>SUMIFS(MERCADORIAS!$D:$D,MERCADORIAS!#REF!,"maria margareth")</f>
        <v>#REF!</v>
      </c>
      <c r="E35" s="45" t="s">
        <v>26</v>
      </c>
      <c r="F35" s="33">
        <v>60</v>
      </c>
      <c r="G35" s="69">
        <v>42612</v>
      </c>
      <c r="H35" s="42" t="s">
        <v>521</v>
      </c>
      <c r="I35" s="44" t="s">
        <v>522</v>
      </c>
      <c r="J35" s="101" t="s">
        <v>536</v>
      </c>
      <c r="K35" s="107" t="s">
        <v>360</v>
      </c>
      <c r="N35" s="39"/>
      <c r="O35" s="39"/>
      <c r="P35" s="39"/>
      <c r="Q35" s="39"/>
      <c r="R35" s="39"/>
      <c r="S35" s="39"/>
    </row>
    <row r="36" spans="1:19" s="57" customFormat="1" hidden="1" x14ac:dyDescent="0.25">
      <c r="A36" s="45" t="s">
        <v>417</v>
      </c>
      <c r="B36" s="54" t="s">
        <v>418</v>
      </c>
      <c r="C36" s="69">
        <v>42600</v>
      </c>
      <c r="D36" s="55">
        <v>7.5</v>
      </c>
      <c r="E36" s="45" t="s">
        <v>108</v>
      </c>
      <c r="F36" s="36">
        <v>7.5</v>
      </c>
      <c r="G36" s="71">
        <v>42600</v>
      </c>
      <c r="H36" s="55" t="s">
        <v>521</v>
      </c>
      <c r="I36" s="56" t="s">
        <v>522</v>
      </c>
      <c r="J36" s="100" t="s">
        <v>566</v>
      </c>
      <c r="K36" s="106" t="s">
        <v>336</v>
      </c>
      <c r="N36" s="39"/>
      <c r="O36" s="39"/>
      <c r="P36" s="39"/>
      <c r="Q36" s="39"/>
      <c r="R36" s="39"/>
      <c r="S36" s="39"/>
    </row>
    <row r="37" spans="1:19" s="57" customFormat="1" hidden="1" x14ac:dyDescent="0.25">
      <c r="A37" s="53" t="s">
        <v>406</v>
      </c>
      <c r="B37" s="54" t="s">
        <v>33</v>
      </c>
      <c r="C37" s="69">
        <v>42597</v>
      </c>
      <c r="D37" s="55">
        <v>15</v>
      </c>
      <c r="E37" s="45" t="s">
        <v>26</v>
      </c>
      <c r="F37" s="36">
        <v>15</v>
      </c>
      <c r="G37" s="71">
        <v>42612</v>
      </c>
      <c r="H37" s="55" t="s">
        <v>521</v>
      </c>
      <c r="I37" s="56" t="s">
        <v>522</v>
      </c>
      <c r="J37" s="100" t="s">
        <v>567</v>
      </c>
      <c r="K37" s="107" t="s">
        <v>360</v>
      </c>
      <c r="N37" s="39"/>
      <c r="O37" s="39"/>
      <c r="P37" s="39"/>
      <c r="Q37" s="39"/>
      <c r="R37" s="39"/>
      <c r="S37" s="39"/>
    </row>
    <row r="38" spans="1:19" s="57" customFormat="1" hidden="1" x14ac:dyDescent="0.25">
      <c r="A38" s="47" t="s">
        <v>369</v>
      </c>
      <c r="B38" s="45" t="s">
        <v>192</v>
      </c>
      <c r="C38" s="69">
        <v>42669</v>
      </c>
      <c r="D38" s="48">
        <v>80</v>
      </c>
      <c r="E38" s="45" t="s">
        <v>26</v>
      </c>
      <c r="F38" s="33">
        <v>40</v>
      </c>
      <c r="G38" s="69">
        <v>42704</v>
      </c>
      <c r="H38" s="42" t="s">
        <v>537</v>
      </c>
      <c r="I38" s="44" t="s">
        <v>522</v>
      </c>
      <c r="J38" s="101" t="s">
        <v>555</v>
      </c>
      <c r="K38" s="106" t="s">
        <v>546</v>
      </c>
      <c r="N38" s="39"/>
      <c r="O38" s="39"/>
      <c r="P38" s="39"/>
      <c r="Q38" s="39"/>
      <c r="R38" s="39"/>
      <c r="S38" s="39"/>
    </row>
    <row r="39" spans="1:19" s="57" customFormat="1" hidden="1" x14ac:dyDescent="0.25">
      <c r="A39" s="52" t="s">
        <v>365</v>
      </c>
      <c r="B39" s="45" t="s">
        <v>366</v>
      </c>
      <c r="C39" s="69">
        <v>42584</v>
      </c>
      <c r="D39" s="48">
        <v>119</v>
      </c>
      <c r="E39" s="45" t="s">
        <v>130</v>
      </c>
      <c r="F39" s="33">
        <v>56.42</v>
      </c>
      <c r="G39" s="69">
        <v>42612</v>
      </c>
      <c r="H39" s="42" t="s">
        <v>521</v>
      </c>
      <c r="I39" s="44" t="s">
        <v>522</v>
      </c>
      <c r="J39" s="101" t="s">
        <v>568</v>
      </c>
      <c r="K39" s="107" t="s">
        <v>360</v>
      </c>
      <c r="N39" s="39"/>
      <c r="O39" s="39"/>
      <c r="P39" s="39"/>
      <c r="Q39" s="39"/>
      <c r="R39" s="39"/>
      <c r="S39" s="39"/>
    </row>
    <row r="40" spans="1:19" s="57" customFormat="1" hidden="1" x14ac:dyDescent="0.25">
      <c r="A40" s="47" t="s">
        <v>361</v>
      </c>
      <c r="B40" s="45" t="s">
        <v>362</v>
      </c>
      <c r="C40" s="69">
        <v>42584</v>
      </c>
      <c r="D40" s="48">
        <v>60</v>
      </c>
      <c r="E40" s="45" t="s">
        <v>26</v>
      </c>
      <c r="F40" s="34">
        <v>30</v>
      </c>
      <c r="G40" s="69">
        <v>42597</v>
      </c>
      <c r="H40" s="42" t="s">
        <v>521</v>
      </c>
      <c r="I40" s="44" t="s">
        <v>522</v>
      </c>
      <c r="J40" s="101" t="s">
        <v>564</v>
      </c>
      <c r="K40" s="107" t="s">
        <v>336</v>
      </c>
      <c r="N40" s="39"/>
      <c r="O40" s="39"/>
      <c r="P40" s="39"/>
      <c r="Q40" s="39"/>
      <c r="R40" s="39"/>
      <c r="S40" s="39"/>
    </row>
    <row r="41" spans="1:19" s="57" customFormat="1" hidden="1" x14ac:dyDescent="0.25">
      <c r="A41" s="45" t="s">
        <v>344</v>
      </c>
      <c r="B41" s="45" t="s">
        <v>543</v>
      </c>
      <c r="C41" s="69">
        <v>42669</v>
      </c>
      <c r="D41" s="55">
        <v>20</v>
      </c>
      <c r="E41" s="45" t="s">
        <v>26</v>
      </c>
      <c r="F41" s="36">
        <v>20</v>
      </c>
      <c r="G41" s="71">
        <v>42704</v>
      </c>
      <c r="H41" s="55" t="s">
        <v>537</v>
      </c>
      <c r="I41" s="44" t="s">
        <v>522</v>
      </c>
      <c r="J41" s="101" t="s">
        <v>555</v>
      </c>
      <c r="K41" s="106" t="s">
        <v>546</v>
      </c>
      <c r="N41" s="39"/>
      <c r="O41" s="39"/>
      <c r="P41" s="39"/>
      <c r="Q41" s="39"/>
      <c r="R41" s="39"/>
      <c r="S41" s="39"/>
    </row>
    <row r="42" spans="1:19" s="57" customFormat="1" hidden="1" x14ac:dyDescent="0.25">
      <c r="A42" s="53" t="s">
        <v>412</v>
      </c>
      <c r="B42" s="45" t="s">
        <v>413</v>
      </c>
      <c r="C42" s="69">
        <v>42601</v>
      </c>
      <c r="D42" s="55">
        <v>95</v>
      </c>
      <c r="E42" s="45" t="s">
        <v>26</v>
      </c>
      <c r="F42" s="34">
        <v>50</v>
      </c>
      <c r="G42" s="71">
        <v>42612</v>
      </c>
      <c r="H42" s="42" t="s">
        <v>521</v>
      </c>
      <c r="I42" s="44" t="s">
        <v>522</v>
      </c>
      <c r="J42" s="100" t="s">
        <v>523</v>
      </c>
      <c r="K42" s="106" t="s">
        <v>336</v>
      </c>
      <c r="N42" s="39"/>
      <c r="O42" s="39"/>
      <c r="P42" s="39"/>
      <c r="Q42" s="39"/>
      <c r="R42" s="39"/>
      <c r="S42" s="39"/>
    </row>
    <row r="43" spans="1:19" s="57" customFormat="1" hidden="1" x14ac:dyDescent="0.25">
      <c r="A43" s="47" t="s">
        <v>392</v>
      </c>
      <c r="B43" s="45" t="s">
        <v>131</v>
      </c>
      <c r="C43" s="69">
        <v>42589</v>
      </c>
      <c r="D43" s="48">
        <v>24</v>
      </c>
      <c r="E43" s="45" t="s">
        <v>134</v>
      </c>
      <c r="F43" s="33">
        <v>24</v>
      </c>
      <c r="G43" s="69">
        <v>42589</v>
      </c>
      <c r="H43" s="42" t="s">
        <v>521</v>
      </c>
      <c r="I43" s="44" t="s">
        <v>522</v>
      </c>
      <c r="J43" s="101"/>
      <c r="K43" s="107" t="s">
        <v>336</v>
      </c>
      <c r="N43" s="39"/>
      <c r="O43" s="39"/>
      <c r="P43" s="39"/>
      <c r="Q43" s="39"/>
      <c r="R43" s="39"/>
      <c r="S43" s="39"/>
    </row>
    <row r="44" spans="1:19" s="57" customFormat="1" hidden="1" x14ac:dyDescent="0.25">
      <c r="A44" s="45" t="s">
        <v>327</v>
      </c>
      <c r="B44" s="45" t="s">
        <v>569</v>
      </c>
      <c r="C44" s="69">
        <v>42604</v>
      </c>
      <c r="D44" s="55">
        <v>80</v>
      </c>
      <c r="E44" s="45" t="s">
        <v>108</v>
      </c>
      <c r="F44" s="34">
        <v>80</v>
      </c>
      <c r="G44" s="71">
        <v>42612</v>
      </c>
      <c r="H44" s="55" t="s">
        <v>521</v>
      </c>
      <c r="I44" s="56" t="s">
        <v>522</v>
      </c>
      <c r="J44" s="100" t="s">
        <v>523</v>
      </c>
      <c r="K44" s="106" t="s">
        <v>336</v>
      </c>
      <c r="N44" s="39"/>
      <c r="O44" s="39"/>
      <c r="P44" s="39"/>
      <c r="Q44" s="39"/>
      <c r="R44" s="39"/>
      <c r="S44" s="39"/>
    </row>
    <row r="45" spans="1:19" s="57" customFormat="1" hidden="1" x14ac:dyDescent="0.25">
      <c r="A45" s="95"/>
      <c r="B45" s="9" t="s">
        <v>570</v>
      </c>
      <c r="C45" s="69">
        <v>42681</v>
      </c>
      <c r="D45" s="55">
        <v>144</v>
      </c>
      <c r="E45" s="45" t="s">
        <v>26</v>
      </c>
      <c r="F45" s="36">
        <f>144-14.4</f>
        <v>129.6</v>
      </c>
      <c r="G45" s="71">
        <v>42705</v>
      </c>
      <c r="H45" s="55" t="s">
        <v>539</v>
      </c>
      <c r="I45" s="44" t="s">
        <v>522</v>
      </c>
      <c r="J45" s="101" t="s">
        <v>571</v>
      </c>
      <c r="K45" s="106" t="s">
        <v>546</v>
      </c>
      <c r="N45" s="39"/>
      <c r="O45" s="39"/>
      <c r="P45" s="39"/>
      <c r="Q45" s="39"/>
      <c r="R45" s="39"/>
      <c r="S45" s="39"/>
    </row>
    <row r="46" spans="1:19" s="57" customFormat="1" hidden="1" x14ac:dyDescent="0.25">
      <c r="A46" s="47" t="s">
        <v>361</v>
      </c>
      <c r="B46" s="45" t="s">
        <v>362</v>
      </c>
      <c r="C46" s="69">
        <v>42597</v>
      </c>
      <c r="D46" s="48">
        <v>18</v>
      </c>
      <c r="E46" s="45" t="s">
        <v>108</v>
      </c>
      <c r="F46" s="33">
        <v>18</v>
      </c>
      <c r="G46" s="69">
        <v>42597</v>
      </c>
      <c r="H46" s="42" t="s">
        <v>521</v>
      </c>
      <c r="I46" s="44" t="s">
        <v>522</v>
      </c>
      <c r="J46" s="101" t="s">
        <v>572</v>
      </c>
      <c r="K46" s="107" t="s">
        <v>336</v>
      </c>
      <c r="N46" s="39"/>
      <c r="O46" s="39"/>
      <c r="P46" s="39"/>
      <c r="Q46" s="39"/>
      <c r="R46" s="39"/>
      <c r="S46" s="39"/>
    </row>
    <row r="47" spans="1:19" s="57" customFormat="1" hidden="1" x14ac:dyDescent="0.25">
      <c r="A47" s="45" t="s">
        <v>573</v>
      </c>
      <c r="B47" s="1" t="s">
        <v>460</v>
      </c>
      <c r="C47" s="69">
        <v>42628</v>
      </c>
      <c r="D47" s="55">
        <v>150</v>
      </c>
      <c r="E47" s="45" t="s">
        <v>26</v>
      </c>
      <c r="F47" s="36">
        <v>78</v>
      </c>
      <c r="G47" s="71">
        <v>42643</v>
      </c>
      <c r="H47" s="55" t="s">
        <v>534</v>
      </c>
      <c r="I47" s="44" t="s">
        <v>522</v>
      </c>
      <c r="J47" s="100" t="s">
        <v>574</v>
      </c>
      <c r="K47" s="106" t="s">
        <v>390</v>
      </c>
      <c r="N47" s="39"/>
      <c r="O47" s="39"/>
      <c r="P47" s="39"/>
      <c r="Q47" s="39"/>
      <c r="R47" s="39"/>
      <c r="S47" s="39"/>
    </row>
    <row r="48" spans="1:19" s="57" customFormat="1" hidden="1" x14ac:dyDescent="0.25">
      <c r="A48" s="95"/>
      <c r="B48" s="9" t="s">
        <v>575</v>
      </c>
      <c r="C48" s="69">
        <v>42681</v>
      </c>
      <c r="D48" s="55">
        <v>62</v>
      </c>
      <c r="E48" s="45" t="s">
        <v>26</v>
      </c>
      <c r="F48" s="36">
        <f>62-6.2</f>
        <v>55.8</v>
      </c>
      <c r="G48" s="71">
        <v>42705</v>
      </c>
      <c r="H48" s="55" t="s">
        <v>539</v>
      </c>
      <c r="I48" s="44" t="s">
        <v>522</v>
      </c>
      <c r="J48" s="101" t="s">
        <v>571</v>
      </c>
      <c r="K48" s="106" t="s">
        <v>546</v>
      </c>
      <c r="N48" s="39"/>
      <c r="O48" s="39"/>
      <c r="P48" s="39"/>
      <c r="Q48" s="39"/>
      <c r="R48" s="39"/>
      <c r="S48" s="39"/>
    </row>
    <row r="49" spans="1:19" s="57" customFormat="1" hidden="1" x14ac:dyDescent="0.25">
      <c r="A49" s="45" t="s">
        <v>423</v>
      </c>
      <c r="B49" s="54" t="s">
        <v>313</v>
      </c>
      <c r="C49" s="69">
        <v>42670</v>
      </c>
      <c r="D49" s="48">
        <v>60</v>
      </c>
      <c r="E49" s="47" t="s">
        <v>26</v>
      </c>
      <c r="F49" s="124">
        <v>50</v>
      </c>
      <c r="G49" s="69">
        <v>42673</v>
      </c>
      <c r="H49" s="55" t="s">
        <v>537</v>
      </c>
      <c r="I49" s="56" t="s">
        <v>522</v>
      </c>
      <c r="J49" s="101" t="s">
        <v>576</v>
      </c>
      <c r="K49" s="107" t="s">
        <v>343</v>
      </c>
      <c r="N49" s="39"/>
      <c r="O49" s="39"/>
      <c r="P49" s="39"/>
      <c r="Q49" s="39"/>
      <c r="R49" s="39"/>
      <c r="S49" s="39"/>
    </row>
    <row r="50" spans="1:19" s="57" customFormat="1" hidden="1" x14ac:dyDescent="0.25">
      <c r="A50" s="45" t="s">
        <v>573</v>
      </c>
      <c r="B50" s="1" t="s">
        <v>460</v>
      </c>
      <c r="C50" s="69">
        <v>42628</v>
      </c>
      <c r="D50" s="55">
        <v>150</v>
      </c>
      <c r="E50" s="45" t="s">
        <v>26</v>
      </c>
      <c r="F50" s="36">
        <v>72</v>
      </c>
      <c r="G50" s="71">
        <v>42639</v>
      </c>
      <c r="H50" s="55" t="s">
        <v>534</v>
      </c>
      <c r="I50" s="44" t="s">
        <v>522</v>
      </c>
      <c r="J50" s="100" t="s">
        <v>577</v>
      </c>
      <c r="K50" s="106" t="s">
        <v>343</v>
      </c>
      <c r="N50" s="39"/>
      <c r="O50" s="39"/>
      <c r="P50" s="39"/>
      <c r="Q50" s="39"/>
      <c r="R50" s="39"/>
      <c r="S50" s="39"/>
    </row>
    <row r="51" spans="1:19" s="57" customFormat="1" hidden="1" x14ac:dyDescent="0.25">
      <c r="A51" s="45" t="s">
        <v>442</v>
      </c>
      <c r="B51" s="45" t="s">
        <v>443</v>
      </c>
      <c r="C51" s="69">
        <v>42621</v>
      </c>
      <c r="D51" s="55">
        <v>100</v>
      </c>
      <c r="E51" s="45" t="s">
        <v>26</v>
      </c>
      <c r="F51" s="34">
        <v>32.5</v>
      </c>
      <c r="G51" s="71">
        <v>42658</v>
      </c>
      <c r="H51" s="55" t="s">
        <v>530</v>
      </c>
      <c r="I51" s="44" t="s">
        <v>522</v>
      </c>
      <c r="J51" s="100" t="s">
        <v>578</v>
      </c>
      <c r="K51" s="106" t="s">
        <v>390</v>
      </c>
      <c r="N51" s="39"/>
      <c r="O51" s="39"/>
      <c r="P51" s="39"/>
      <c r="Q51" s="39"/>
      <c r="R51" s="39"/>
      <c r="S51" s="39"/>
    </row>
    <row r="52" spans="1:19" s="57" customFormat="1" hidden="1" x14ac:dyDescent="0.25">
      <c r="A52" s="47" t="s">
        <v>374</v>
      </c>
      <c r="B52" s="45" t="s">
        <v>375</v>
      </c>
      <c r="C52" s="69">
        <v>42668</v>
      </c>
      <c r="D52" s="48">
        <v>40</v>
      </c>
      <c r="E52" s="45" t="s">
        <v>26</v>
      </c>
      <c r="F52" s="34">
        <v>20</v>
      </c>
      <c r="G52" s="71">
        <v>42673</v>
      </c>
      <c r="H52" s="55" t="s">
        <v>530</v>
      </c>
      <c r="I52" s="56" t="s">
        <v>522</v>
      </c>
      <c r="J52" s="100" t="s">
        <v>579</v>
      </c>
      <c r="K52" s="107" t="s">
        <v>343</v>
      </c>
      <c r="N52" s="39"/>
      <c r="O52" s="39"/>
      <c r="P52" s="39"/>
      <c r="Q52" s="39"/>
      <c r="R52" s="39"/>
      <c r="S52" s="39"/>
    </row>
    <row r="53" spans="1:19" s="57" customFormat="1" hidden="1" x14ac:dyDescent="0.25">
      <c r="A53" s="45" t="s">
        <v>348</v>
      </c>
      <c r="B53" s="45" t="s">
        <v>580</v>
      </c>
      <c r="C53" s="69">
        <v>42582</v>
      </c>
      <c r="D53" s="42" t="e">
        <f>SUMIFS(MERCADORIAS!$D:$D,MERCADORIAS!#REF!,"Tania")</f>
        <v>#REF!</v>
      </c>
      <c r="E53" s="45" t="s">
        <v>134</v>
      </c>
      <c r="F53" s="33">
        <v>97.1</v>
      </c>
      <c r="G53" s="69">
        <v>42582</v>
      </c>
      <c r="H53" s="42" t="s">
        <v>528</v>
      </c>
      <c r="I53" s="44" t="s">
        <v>522</v>
      </c>
      <c r="J53" s="101"/>
      <c r="K53" s="107" t="s">
        <v>336</v>
      </c>
      <c r="M53" s="39"/>
      <c r="N53" s="39"/>
      <c r="O53" s="39"/>
      <c r="P53" s="39"/>
      <c r="Q53" s="39"/>
      <c r="R53" s="39"/>
      <c r="S53" s="39"/>
    </row>
    <row r="54" spans="1:19" hidden="1" x14ac:dyDescent="0.25">
      <c r="A54" s="45" t="s">
        <v>371</v>
      </c>
      <c r="B54" s="45" t="s">
        <v>372</v>
      </c>
      <c r="C54" s="69">
        <v>42646</v>
      </c>
      <c r="D54" s="55">
        <v>30</v>
      </c>
      <c r="E54" s="45" t="s">
        <v>26</v>
      </c>
      <c r="F54" s="36">
        <v>30</v>
      </c>
      <c r="G54" s="71">
        <v>42673</v>
      </c>
      <c r="H54" s="55" t="s">
        <v>530</v>
      </c>
      <c r="I54" s="56" t="s">
        <v>522</v>
      </c>
      <c r="J54" s="100" t="s">
        <v>581</v>
      </c>
      <c r="K54" s="106" t="s">
        <v>582</v>
      </c>
    </row>
    <row r="55" spans="1:19" hidden="1" x14ac:dyDescent="0.25">
      <c r="A55" s="45" t="s">
        <v>437</v>
      </c>
      <c r="B55" s="45" t="s">
        <v>50</v>
      </c>
      <c r="C55" s="69">
        <v>42646</v>
      </c>
      <c r="D55" s="55">
        <v>80</v>
      </c>
      <c r="E55" s="45" t="s">
        <v>26</v>
      </c>
      <c r="F55" s="36">
        <v>50</v>
      </c>
      <c r="G55" s="71">
        <v>42673</v>
      </c>
      <c r="H55" s="55" t="s">
        <v>530</v>
      </c>
      <c r="I55" s="56" t="s">
        <v>522</v>
      </c>
      <c r="J55" s="100" t="s">
        <v>527</v>
      </c>
      <c r="K55" s="106" t="s">
        <v>343</v>
      </c>
    </row>
    <row r="56" spans="1:19" hidden="1" x14ac:dyDescent="0.25">
      <c r="A56" s="45" t="s">
        <v>348</v>
      </c>
      <c r="B56" s="45" t="s">
        <v>580</v>
      </c>
      <c r="C56" s="69">
        <v>42582</v>
      </c>
      <c r="D56" s="42" t="e">
        <f>SUMIFS(MERCADORIAS!$D:$D,MERCADORIAS!#REF!,"Tania")</f>
        <v>#REF!</v>
      </c>
      <c r="E56" s="45" t="s">
        <v>134</v>
      </c>
      <c r="F56" s="34">
        <v>100</v>
      </c>
      <c r="G56" s="69">
        <v>42612</v>
      </c>
      <c r="H56" s="42" t="s">
        <v>521</v>
      </c>
      <c r="I56" s="44" t="s">
        <v>522</v>
      </c>
      <c r="J56" s="101" t="s">
        <v>583</v>
      </c>
      <c r="K56" s="107" t="s">
        <v>343</v>
      </c>
    </row>
    <row r="57" spans="1:19" hidden="1" x14ac:dyDescent="0.25">
      <c r="A57" s="45" t="s">
        <v>469</v>
      </c>
      <c r="B57" s="54" t="s">
        <v>74</v>
      </c>
      <c r="C57" s="69">
        <v>42636</v>
      </c>
      <c r="D57" s="55">
        <f>65+50</f>
        <v>115</v>
      </c>
      <c r="E57" s="45" t="s">
        <v>26</v>
      </c>
      <c r="F57" s="36">
        <v>10</v>
      </c>
      <c r="G57" s="71">
        <v>42658</v>
      </c>
      <c r="H57" s="55" t="s">
        <v>530</v>
      </c>
      <c r="I57" s="56" t="s">
        <v>522</v>
      </c>
      <c r="J57" s="100" t="s">
        <v>584</v>
      </c>
      <c r="K57" s="106" t="s">
        <v>343</v>
      </c>
    </row>
    <row r="58" spans="1:19" hidden="1" x14ac:dyDescent="0.25">
      <c r="A58" s="45" t="s">
        <v>479</v>
      </c>
      <c r="B58" s="9" t="s">
        <v>480</v>
      </c>
      <c r="C58" s="69">
        <v>42645</v>
      </c>
      <c r="D58" s="55">
        <v>105</v>
      </c>
      <c r="E58" s="45" t="s">
        <v>26</v>
      </c>
      <c r="F58" s="36">
        <v>50</v>
      </c>
      <c r="G58" s="71">
        <v>42645</v>
      </c>
      <c r="H58" s="55" t="s">
        <v>530</v>
      </c>
      <c r="I58" s="56" t="s">
        <v>585</v>
      </c>
      <c r="J58" s="100" t="s">
        <v>586</v>
      </c>
      <c r="K58" s="107" t="s">
        <v>360</v>
      </c>
    </row>
    <row r="59" spans="1:19" hidden="1" x14ac:dyDescent="0.25">
      <c r="A59" s="45" t="s">
        <v>355</v>
      </c>
      <c r="B59" s="45" t="s">
        <v>587</v>
      </c>
      <c r="C59" s="69">
        <v>42582</v>
      </c>
      <c r="D59" s="42">
        <v>135</v>
      </c>
      <c r="E59" s="45" t="s">
        <v>26</v>
      </c>
      <c r="F59" s="33">
        <v>35</v>
      </c>
      <c r="G59" s="73">
        <v>42663</v>
      </c>
      <c r="H59" s="42" t="s">
        <v>530</v>
      </c>
      <c r="I59" s="44" t="s">
        <v>522</v>
      </c>
      <c r="J59" s="100" t="s">
        <v>584</v>
      </c>
      <c r="K59" s="107" t="s">
        <v>343</v>
      </c>
    </row>
    <row r="60" spans="1:19" hidden="1" x14ac:dyDescent="0.25">
      <c r="A60" s="47" t="s">
        <v>388</v>
      </c>
      <c r="B60" s="45" t="s">
        <v>532</v>
      </c>
      <c r="C60" s="69">
        <v>42655</v>
      </c>
      <c r="D60" s="48">
        <v>20</v>
      </c>
      <c r="E60" s="45" t="s">
        <v>26</v>
      </c>
      <c r="F60" s="33">
        <v>20</v>
      </c>
      <c r="G60" s="69">
        <v>42673</v>
      </c>
      <c r="H60" s="42" t="s">
        <v>530</v>
      </c>
      <c r="I60" s="44" t="s">
        <v>522</v>
      </c>
      <c r="J60" s="100" t="s">
        <v>584</v>
      </c>
      <c r="K60" s="107" t="s">
        <v>343</v>
      </c>
    </row>
    <row r="61" spans="1:19" hidden="1" x14ac:dyDescent="0.25">
      <c r="A61" s="95" t="s">
        <v>465</v>
      </c>
      <c r="B61" s="9" t="s">
        <v>466</v>
      </c>
      <c r="C61" s="69">
        <v>42628</v>
      </c>
      <c r="D61" s="55">
        <v>75</v>
      </c>
      <c r="E61" s="45" t="s">
        <v>26</v>
      </c>
      <c r="F61" s="36">
        <v>35</v>
      </c>
      <c r="G61" s="71">
        <v>42658</v>
      </c>
      <c r="H61" s="55" t="s">
        <v>530</v>
      </c>
      <c r="I61" s="44" t="s">
        <v>522</v>
      </c>
      <c r="J61" s="100" t="s">
        <v>588</v>
      </c>
      <c r="K61" s="106" t="s">
        <v>343</v>
      </c>
    </row>
    <row r="62" spans="1:19" hidden="1" x14ac:dyDescent="0.25">
      <c r="A62" s="45" t="s">
        <v>437</v>
      </c>
      <c r="B62" s="45" t="s">
        <v>50</v>
      </c>
      <c r="C62" s="69">
        <v>42646</v>
      </c>
      <c r="D62" s="55">
        <v>80</v>
      </c>
      <c r="E62" s="45" t="s">
        <v>26</v>
      </c>
      <c r="F62" s="36">
        <v>30</v>
      </c>
      <c r="G62" s="71">
        <v>42689</v>
      </c>
      <c r="H62" s="55" t="s">
        <v>537</v>
      </c>
      <c r="I62" s="56" t="s">
        <v>522</v>
      </c>
      <c r="J62" s="100" t="s">
        <v>578</v>
      </c>
      <c r="K62" s="106" t="s">
        <v>390</v>
      </c>
    </row>
    <row r="63" spans="1:19" ht="18" hidden="1" customHeight="1" x14ac:dyDescent="0.25">
      <c r="A63" s="45" t="s">
        <v>479</v>
      </c>
      <c r="B63" s="9" t="s">
        <v>480</v>
      </c>
      <c r="C63" s="69">
        <v>42645</v>
      </c>
      <c r="D63" s="55">
        <v>105</v>
      </c>
      <c r="E63" s="45" t="s">
        <v>26</v>
      </c>
      <c r="F63" s="36">
        <v>55</v>
      </c>
      <c r="G63" s="71">
        <v>42658</v>
      </c>
      <c r="H63" s="55" t="s">
        <v>530</v>
      </c>
      <c r="I63" s="56" t="s">
        <v>522</v>
      </c>
      <c r="J63" s="100" t="s">
        <v>589</v>
      </c>
      <c r="K63" s="106" t="s">
        <v>343</v>
      </c>
    </row>
    <row r="64" spans="1:19" hidden="1" x14ac:dyDescent="0.25">
      <c r="A64" s="47" t="s">
        <v>381</v>
      </c>
      <c r="B64" s="45" t="s">
        <v>382</v>
      </c>
      <c r="C64" s="69">
        <v>42586</v>
      </c>
      <c r="D64" s="48">
        <v>100</v>
      </c>
      <c r="E64" s="45" t="s">
        <v>26</v>
      </c>
      <c r="F64" s="33">
        <v>100</v>
      </c>
      <c r="G64" s="69">
        <v>42612</v>
      </c>
      <c r="H64" s="42" t="s">
        <v>521</v>
      </c>
      <c r="I64" s="44" t="s">
        <v>522</v>
      </c>
      <c r="J64" s="101" t="s">
        <v>590</v>
      </c>
      <c r="K64" s="107" t="s">
        <v>343</v>
      </c>
    </row>
    <row r="65" spans="1:11" hidden="1" x14ac:dyDescent="0.25">
      <c r="A65" s="47" t="s">
        <v>393</v>
      </c>
      <c r="B65" s="45" t="s">
        <v>394</v>
      </c>
      <c r="C65" s="69">
        <v>42591</v>
      </c>
      <c r="D65" s="48">
        <v>120</v>
      </c>
      <c r="E65" s="45" t="s">
        <v>26</v>
      </c>
      <c r="F65" s="34">
        <v>50</v>
      </c>
      <c r="G65" s="69">
        <v>42628</v>
      </c>
      <c r="H65" s="42" t="s">
        <v>534</v>
      </c>
      <c r="I65" s="44" t="s">
        <v>522</v>
      </c>
      <c r="J65" s="101" t="s">
        <v>591</v>
      </c>
      <c r="K65" s="107" t="s">
        <v>343</v>
      </c>
    </row>
    <row r="66" spans="1:11" hidden="1" x14ac:dyDescent="0.25">
      <c r="A66" s="45" t="s">
        <v>453</v>
      </c>
      <c r="B66" s="45" t="s">
        <v>454</v>
      </c>
      <c r="C66" s="69">
        <v>42708</v>
      </c>
      <c r="D66" s="55">
        <v>15</v>
      </c>
      <c r="E66" s="45" t="s">
        <v>26</v>
      </c>
      <c r="F66" s="36">
        <v>15</v>
      </c>
      <c r="G66" s="71">
        <v>42719</v>
      </c>
      <c r="H66" s="42" t="s">
        <v>539</v>
      </c>
      <c r="I66" s="56" t="s">
        <v>522</v>
      </c>
      <c r="J66" s="100" t="s">
        <v>592</v>
      </c>
      <c r="K66" s="106" t="s">
        <v>546</v>
      </c>
    </row>
    <row r="67" spans="1:11" hidden="1" x14ac:dyDescent="0.25">
      <c r="A67" s="53"/>
      <c r="B67" s="54" t="s">
        <v>593</v>
      </c>
      <c r="C67" s="69">
        <v>42654</v>
      </c>
      <c r="D67" s="55">
        <v>7.5</v>
      </c>
      <c r="E67" s="45" t="s">
        <v>26</v>
      </c>
      <c r="F67" s="36">
        <v>7.5</v>
      </c>
      <c r="G67" s="71">
        <v>42658</v>
      </c>
      <c r="H67" s="55" t="s">
        <v>526</v>
      </c>
      <c r="I67" s="56" t="s">
        <v>522</v>
      </c>
      <c r="J67" s="100" t="s">
        <v>563</v>
      </c>
      <c r="K67" s="106" t="s">
        <v>343</v>
      </c>
    </row>
    <row r="68" spans="1:11" hidden="1" x14ac:dyDescent="0.25">
      <c r="A68" s="45" t="s">
        <v>425</v>
      </c>
      <c r="B68" s="54" t="s">
        <v>426</v>
      </c>
      <c r="C68" s="69">
        <v>42640</v>
      </c>
      <c r="D68" s="55">
        <v>150</v>
      </c>
      <c r="E68" s="45" t="s">
        <v>26</v>
      </c>
      <c r="F68" s="36">
        <v>75</v>
      </c>
      <c r="G68" s="71">
        <v>42658</v>
      </c>
      <c r="H68" s="55" t="s">
        <v>530</v>
      </c>
      <c r="I68" s="56" t="s">
        <v>522</v>
      </c>
      <c r="J68" s="100" t="s">
        <v>594</v>
      </c>
      <c r="K68" s="106" t="s">
        <v>343</v>
      </c>
    </row>
    <row r="69" spans="1:11" hidden="1" x14ac:dyDescent="0.25">
      <c r="A69" s="45" t="s">
        <v>477</v>
      </c>
      <c r="B69" s="9" t="s">
        <v>529</v>
      </c>
      <c r="C69" s="69">
        <v>42641</v>
      </c>
      <c r="D69" s="55">
        <v>194</v>
      </c>
      <c r="E69" s="45" t="s">
        <v>26</v>
      </c>
      <c r="F69" s="36">
        <v>50</v>
      </c>
      <c r="G69" s="71">
        <v>42658</v>
      </c>
      <c r="H69" s="55" t="s">
        <v>530</v>
      </c>
      <c r="I69" s="56" t="s">
        <v>522</v>
      </c>
      <c r="J69" s="100" t="s">
        <v>595</v>
      </c>
      <c r="K69" s="106" t="s">
        <v>343</v>
      </c>
    </row>
    <row r="70" spans="1:11" hidden="1" x14ac:dyDescent="0.25">
      <c r="A70" s="45" t="s">
        <v>449</v>
      </c>
      <c r="B70" s="1" t="s">
        <v>208</v>
      </c>
      <c r="C70" s="69">
        <v>42622</v>
      </c>
      <c r="D70" s="55">
        <v>110</v>
      </c>
      <c r="E70" s="45" t="s">
        <v>26</v>
      </c>
      <c r="F70" s="36">
        <v>10</v>
      </c>
      <c r="G70" s="71">
        <v>42658</v>
      </c>
      <c r="H70" s="55" t="s">
        <v>530</v>
      </c>
      <c r="I70" s="44" t="s">
        <v>522</v>
      </c>
      <c r="J70" s="100" t="s">
        <v>595</v>
      </c>
      <c r="K70" s="106" t="s">
        <v>343</v>
      </c>
    </row>
    <row r="71" spans="1:11" hidden="1" x14ac:dyDescent="0.25">
      <c r="A71" s="45" t="s">
        <v>439</v>
      </c>
      <c r="B71" s="45" t="s">
        <v>440</v>
      </c>
      <c r="C71" s="69">
        <v>42621</v>
      </c>
      <c r="D71" s="48">
        <v>175</v>
      </c>
      <c r="E71" s="45" t="s">
        <v>26</v>
      </c>
      <c r="F71" s="34">
        <v>75</v>
      </c>
      <c r="G71" s="71">
        <v>42658</v>
      </c>
      <c r="H71" s="55" t="s">
        <v>530</v>
      </c>
      <c r="I71" s="44" t="s">
        <v>522</v>
      </c>
      <c r="J71" s="101" t="s">
        <v>594</v>
      </c>
      <c r="K71" s="107" t="s">
        <v>343</v>
      </c>
    </row>
    <row r="72" spans="1:11" hidden="1" x14ac:dyDescent="0.25">
      <c r="A72" s="45" t="s">
        <v>453</v>
      </c>
      <c r="B72" s="45" t="s">
        <v>454</v>
      </c>
      <c r="C72" s="69">
        <v>42719</v>
      </c>
      <c r="D72" s="55">
        <v>50</v>
      </c>
      <c r="E72" s="45" t="s">
        <v>26</v>
      </c>
      <c r="F72" s="36">
        <v>25</v>
      </c>
      <c r="G72" s="71">
        <v>42719</v>
      </c>
      <c r="H72" s="42" t="s">
        <v>539</v>
      </c>
      <c r="I72" s="56" t="s">
        <v>522</v>
      </c>
      <c r="J72" s="100" t="s">
        <v>592</v>
      </c>
      <c r="K72" s="106" t="s">
        <v>546</v>
      </c>
    </row>
    <row r="73" spans="1:11" hidden="1" x14ac:dyDescent="0.25">
      <c r="A73" s="45" t="s">
        <v>425</v>
      </c>
      <c r="B73" s="54" t="s">
        <v>426</v>
      </c>
      <c r="C73" s="69">
        <v>42640</v>
      </c>
      <c r="D73" s="55">
        <v>150</v>
      </c>
      <c r="E73" s="45" t="s">
        <v>26</v>
      </c>
      <c r="F73" s="36">
        <v>60</v>
      </c>
      <c r="G73" s="71">
        <v>42673</v>
      </c>
      <c r="H73" s="55" t="s">
        <v>530</v>
      </c>
      <c r="I73" s="56" t="s">
        <v>522</v>
      </c>
      <c r="J73" s="110" t="s">
        <v>596</v>
      </c>
      <c r="K73" s="106" t="s">
        <v>343</v>
      </c>
    </row>
    <row r="74" spans="1:11" hidden="1" x14ac:dyDescent="0.25">
      <c r="A74" s="45" t="s">
        <v>474</v>
      </c>
      <c r="B74" s="54" t="s">
        <v>475</v>
      </c>
      <c r="C74" s="69">
        <v>42640</v>
      </c>
      <c r="D74" s="55">
        <v>65</v>
      </c>
      <c r="E74" s="45" t="s">
        <v>26</v>
      </c>
      <c r="F74" s="36">
        <v>40</v>
      </c>
      <c r="G74" s="71">
        <v>42658</v>
      </c>
      <c r="H74" s="55" t="s">
        <v>530</v>
      </c>
      <c r="I74" s="56" t="s">
        <v>522</v>
      </c>
      <c r="J74" s="100" t="s">
        <v>595</v>
      </c>
      <c r="K74" s="106" t="s">
        <v>343</v>
      </c>
    </row>
    <row r="75" spans="1:11" hidden="1" x14ac:dyDescent="0.25">
      <c r="A75" s="45" t="s">
        <v>471</v>
      </c>
      <c r="B75" s="54" t="s">
        <v>472</v>
      </c>
      <c r="C75" s="69">
        <v>42639</v>
      </c>
      <c r="D75" s="55">
        <v>40</v>
      </c>
      <c r="E75" s="45" t="s">
        <v>26</v>
      </c>
      <c r="F75" s="36">
        <v>40</v>
      </c>
      <c r="G75" s="71">
        <v>42658</v>
      </c>
      <c r="H75" s="55" t="s">
        <v>530</v>
      </c>
      <c r="I75" s="56" t="s">
        <v>522</v>
      </c>
      <c r="J75" s="100" t="s">
        <v>595</v>
      </c>
      <c r="K75" s="106" t="s">
        <v>343</v>
      </c>
    </row>
    <row r="76" spans="1:11" hidden="1" x14ac:dyDescent="0.25">
      <c r="A76" s="47" t="s">
        <v>393</v>
      </c>
      <c r="B76" s="45" t="s">
        <v>394</v>
      </c>
      <c r="C76" s="69">
        <v>42591</v>
      </c>
      <c r="D76" s="48">
        <v>120</v>
      </c>
      <c r="E76" s="45" t="s">
        <v>26</v>
      </c>
      <c r="F76" s="34">
        <v>48</v>
      </c>
      <c r="G76" s="69">
        <v>42643</v>
      </c>
      <c r="H76" s="42" t="s">
        <v>534</v>
      </c>
      <c r="I76" s="44" t="s">
        <v>585</v>
      </c>
      <c r="J76" s="101" t="s">
        <v>597</v>
      </c>
      <c r="K76" s="107" t="s">
        <v>343</v>
      </c>
    </row>
    <row r="77" spans="1:11" hidden="1" x14ac:dyDescent="0.25">
      <c r="A77" s="47" t="s">
        <v>397</v>
      </c>
      <c r="B77" s="45" t="s">
        <v>398</v>
      </c>
      <c r="C77" s="69">
        <v>42625</v>
      </c>
      <c r="D77" s="48">
        <v>70</v>
      </c>
      <c r="E77" s="45" t="s">
        <v>26</v>
      </c>
      <c r="F77" s="33">
        <v>50</v>
      </c>
      <c r="G77" s="69">
        <v>42643</v>
      </c>
      <c r="H77" s="42" t="s">
        <v>534</v>
      </c>
      <c r="I77" s="44" t="s">
        <v>522</v>
      </c>
      <c r="J77" s="101" t="s">
        <v>594</v>
      </c>
      <c r="K77" s="107" t="s">
        <v>343</v>
      </c>
    </row>
    <row r="78" spans="1:11" hidden="1" x14ac:dyDescent="0.25">
      <c r="A78" s="45" t="s">
        <v>451</v>
      </c>
      <c r="B78" s="1" t="s">
        <v>102</v>
      </c>
      <c r="C78" s="69">
        <v>42622</v>
      </c>
      <c r="D78" s="55">
        <v>105</v>
      </c>
      <c r="E78" s="45" t="s">
        <v>26</v>
      </c>
      <c r="F78" s="36">
        <v>40</v>
      </c>
      <c r="G78" s="71">
        <v>42663</v>
      </c>
      <c r="H78" s="55" t="s">
        <v>530</v>
      </c>
      <c r="I78" s="44" t="s">
        <v>522</v>
      </c>
      <c r="J78" s="100" t="s">
        <v>598</v>
      </c>
      <c r="K78" s="106" t="s">
        <v>343</v>
      </c>
    </row>
    <row r="79" spans="1:11" hidden="1" x14ac:dyDescent="0.25">
      <c r="A79" s="45" t="s">
        <v>425</v>
      </c>
      <c r="B79" s="54" t="s">
        <v>426</v>
      </c>
      <c r="C79" s="69">
        <v>42671</v>
      </c>
      <c r="D79" s="55">
        <v>60</v>
      </c>
      <c r="E79" s="45" t="s">
        <v>26</v>
      </c>
      <c r="F79" s="34">
        <v>10</v>
      </c>
      <c r="G79" s="71">
        <v>42673</v>
      </c>
      <c r="H79" s="55" t="s">
        <v>530</v>
      </c>
      <c r="I79" s="56" t="s">
        <v>522</v>
      </c>
      <c r="J79" s="100" t="s">
        <v>596</v>
      </c>
      <c r="K79" s="106" t="s">
        <v>343</v>
      </c>
    </row>
    <row r="80" spans="1:11" hidden="1" x14ac:dyDescent="0.25">
      <c r="A80" s="47" t="s">
        <v>397</v>
      </c>
      <c r="B80" s="45" t="s">
        <v>398</v>
      </c>
      <c r="C80" s="69">
        <v>42661</v>
      </c>
      <c r="D80" s="48">
        <v>70</v>
      </c>
      <c r="E80" s="45" t="s">
        <v>26</v>
      </c>
      <c r="F80" s="33">
        <v>50</v>
      </c>
      <c r="G80" s="69">
        <v>42673</v>
      </c>
      <c r="H80" s="42" t="s">
        <v>530</v>
      </c>
      <c r="I80" s="44" t="s">
        <v>522</v>
      </c>
      <c r="J80" s="101" t="s">
        <v>596</v>
      </c>
      <c r="K80" s="107" t="s">
        <v>343</v>
      </c>
    </row>
    <row r="81" spans="1:11" hidden="1" x14ac:dyDescent="0.25">
      <c r="A81" s="45" t="s">
        <v>474</v>
      </c>
      <c r="B81" s="54" t="s">
        <v>475</v>
      </c>
      <c r="C81" s="69">
        <v>42640</v>
      </c>
      <c r="D81" s="55">
        <v>65</v>
      </c>
      <c r="E81" s="45" t="s">
        <v>26</v>
      </c>
      <c r="F81" s="36">
        <v>30</v>
      </c>
      <c r="G81" s="71">
        <v>42673</v>
      </c>
      <c r="H81" s="55" t="s">
        <v>530</v>
      </c>
      <c r="I81" s="56" t="s">
        <v>522</v>
      </c>
      <c r="J81" s="100" t="s">
        <v>599</v>
      </c>
      <c r="K81" s="106" t="s">
        <v>343</v>
      </c>
    </row>
    <row r="82" spans="1:11" hidden="1" x14ac:dyDescent="0.25">
      <c r="A82" s="53" t="s">
        <v>412</v>
      </c>
      <c r="B82" s="45" t="s">
        <v>413</v>
      </c>
      <c r="C82" s="69">
        <v>42670</v>
      </c>
      <c r="D82" s="55">
        <v>100</v>
      </c>
      <c r="E82" s="54" t="s">
        <v>26</v>
      </c>
      <c r="F82" s="34">
        <v>100</v>
      </c>
      <c r="G82" s="71">
        <v>42689</v>
      </c>
      <c r="H82" s="42" t="s">
        <v>537</v>
      </c>
      <c r="I82" s="44" t="s">
        <v>522</v>
      </c>
      <c r="J82" s="100" t="s">
        <v>578</v>
      </c>
      <c r="K82" s="106" t="s">
        <v>390</v>
      </c>
    </row>
    <row r="83" spans="1:11" hidden="1" x14ac:dyDescent="0.25">
      <c r="A83" s="45" t="s">
        <v>451</v>
      </c>
      <c r="B83" s="1" t="s">
        <v>102</v>
      </c>
      <c r="C83" s="69">
        <v>42622</v>
      </c>
      <c r="D83" s="55">
        <v>105</v>
      </c>
      <c r="E83" s="45" t="s">
        <v>26</v>
      </c>
      <c r="F83" s="36">
        <v>35</v>
      </c>
      <c r="G83" s="71">
        <v>42633</v>
      </c>
      <c r="H83" s="55" t="s">
        <v>534</v>
      </c>
      <c r="I83" s="44" t="s">
        <v>522</v>
      </c>
      <c r="J83" s="100" t="s">
        <v>600</v>
      </c>
      <c r="K83" s="107" t="s">
        <v>360</v>
      </c>
    </row>
    <row r="84" spans="1:11" hidden="1" x14ac:dyDescent="0.25">
      <c r="A84" s="95" t="s">
        <v>462</v>
      </c>
      <c r="B84" s="9" t="s">
        <v>463</v>
      </c>
      <c r="C84" s="69">
        <v>42628</v>
      </c>
      <c r="D84" s="55">
        <v>75</v>
      </c>
      <c r="E84" s="45" t="s">
        <v>26</v>
      </c>
      <c r="F84" s="36">
        <v>75</v>
      </c>
      <c r="G84" s="71">
        <v>42643</v>
      </c>
      <c r="H84" s="55" t="s">
        <v>534</v>
      </c>
      <c r="I84" s="44" t="s">
        <v>522</v>
      </c>
      <c r="J84" s="100" t="s">
        <v>562</v>
      </c>
      <c r="K84" s="107" t="s">
        <v>360</v>
      </c>
    </row>
    <row r="85" spans="1:11" hidden="1" x14ac:dyDescent="0.25">
      <c r="A85" s="47" t="s">
        <v>388</v>
      </c>
      <c r="B85" s="45" t="s">
        <v>532</v>
      </c>
      <c r="C85" s="69">
        <v>42604</v>
      </c>
      <c r="D85" s="55">
        <v>65</v>
      </c>
      <c r="E85" s="54" t="s">
        <v>26</v>
      </c>
      <c r="F85" s="36">
        <v>65</v>
      </c>
      <c r="G85" s="69">
        <v>42635</v>
      </c>
      <c r="H85" s="55" t="s">
        <v>534</v>
      </c>
      <c r="I85" s="56" t="s">
        <v>522</v>
      </c>
      <c r="J85" s="101" t="s">
        <v>601</v>
      </c>
      <c r="K85" s="107" t="s">
        <v>360</v>
      </c>
    </row>
    <row r="86" spans="1:11" hidden="1" x14ac:dyDescent="0.25">
      <c r="A86" s="45" t="s">
        <v>469</v>
      </c>
      <c r="B86" s="54" t="s">
        <v>74</v>
      </c>
      <c r="C86" s="69">
        <v>42636</v>
      </c>
      <c r="D86" s="55">
        <f>65+50</f>
        <v>115</v>
      </c>
      <c r="E86" s="45" t="s">
        <v>26</v>
      </c>
      <c r="F86" s="36">
        <v>5</v>
      </c>
      <c r="G86" s="71">
        <v>42689</v>
      </c>
      <c r="H86" s="55" t="s">
        <v>537</v>
      </c>
      <c r="I86" s="56" t="s">
        <v>522</v>
      </c>
      <c r="J86" s="100" t="s">
        <v>602</v>
      </c>
      <c r="K86" s="107" t="s">
        <v>390</v>
      </c>
    </row>
    <row r="87" spans="1:11" hidden="1" x14ac:dyDescent="0.25">
      <c r="A87" s="45" t="s">
        <v>603</v>
      </c>
      <c r="B87" s="1" t="s">
        <v>604</v>
      </c>
      <c r="C87" s="69">
        <v>42622</v>
      </c>
      <c r="D87" s="55">
        <v>40</v>
      </c>
      <c r="E87" s="45" t="s">
        <v>26</v>
      </c>
      <c r="F87" s="36">
        <v>20</v>
      </c>
      <c r="G87" s="71">
        <v>42643</v>
      </c>
      <c r="H87" s="55" t="s">
        <v>534</v>
      </c>
      <c r="I87" s="44" t="s">
        <v>522</v>
      </c>
      <c r="J87" s="100" t="s">
        <v>605</v>
      </c>
      <c r="K87" s="107" t="s">
        <v>360</v>
      </c>
    </row>
    <row r="88" spans="1:11" hidden="1" x14ac:dyDescent="0.25">
      <c r="A88" s="45" t="s">
        <v>603</v>
      </c>
      <c r="B88" s="1" t="s">
        <v>604</v>
      </c>
      <c r="C88" s="69">
        <v>42622</v>
      </c>
      <c r="D88" s="55">
        <v>40</v>
      </c>
      <c r="E88" s="45" t="s">
        <v>26</v>
      </c>
      <c r="F88" s="36">
        <v>20</v>
      </c>
      <c r="G88" s="71">
        <v>42628</v>
      </c>
      <c r="H88" s="55" t="s">
        <v>534</v>
      </c>
      <c r="I88" s="44" t="s">
        <v>522</v>
      </c>
      <c r="J88" s="100" t="s">
        <v>606</v>
      </c>
      <c r="K88" s="107" t="s">
        <v>360</v>
      </c>
    </row>
    <row r="89" spans="1:11" hidden="1" x14ac:dyDescent="0.25">
      <c r="A89" s="45" t="s">
        <v>453</v>
      </c>
      <c r="B89" s="45" t="s">
        <v>607</v>
      </c>
      <c r="C89" s="69">
        <v>42662</v>
      </c>
      <c r="D89" s="55">
        <v>80</v>
      </c>
      <c r="E89" s="45" t="s">
        <v>26</v>
      </c>
      <c r="F89" s="36">
        <v>40</v>
      </c>
      <c r="G89" s="71">
        <v>42673</v>
      </c>
      <c r="H89" s="55" t="s">
        <v>530</v>
      </c>
      <c r="I89" s="44" t="s">
        <v>522</v>
      </c>
      <c r="J89" s="100" t="s">
        <v>599</v>
      </c>
      <c r="K89" s="107" t="s">
        <v>343</v>
      </c>
    </row>
    <row r="90" spans="1:11" hidden="1" x14ac:dyDescent="0.25">
      <c r="A90" s="47" t="s">
        <v>397</v>
      </c>
      <c r="B90" s="45" t="s">
        <v>398</v>
      </c>
      <c r="C90" s="69">
        <v>42592</v>
      </c>
      <c r="D90" s="48">
        <v>70</v>
      </c>
      <c r="E90" s="45" t="s">
        <v>26</v>
      </c>
      <c r="F90" s="33">
        <v>50</v>
      </c>
      <c r="G90" s="69">
        <v>42628</v>
      </c>
      <c r="H90" s="42" t="s">
        <v>534</v>
      </c>
      <c r="I90" s="44" t="s">
        <v>522</v>
      </c>
      <c r="J90" s="101" t="s">
        <v>608</v>
      </c>
      <c r="K90" s="107" t="s">
        <v>360</v>
      </c>
    </row>
    <row r="91" spans="1:11" hidden="1" x14ac:dyDescent="0.25">
      <c r="A91" s="47" t="s">
        <v>404</v>
      </c>
      <c r="B91" s="45" t="s">
        <v>187</v>
      </c>
      <c r="C91" s="69">
        <v>42622</v>
      </c>
      <c r="D91" s="48">
        <v>70</v>
      </c>
      <c r="E91" s="45" t="s">
        <v>26</v>
      </c>
      <c r="F91" s="33">
        <v>70</v>
      </c>
      <c r="G91" s="69">
        <v>42643</v>
      </c>
      <c r="H91" s="42" t="s">
        <v>534</v>
      </c>
      <c r="I91" s="44" t="s">
        <v>522</v>
      </c>
      <c r="J91" s="101" t="s">
        <v>609</v>
      </c>
      <c r="K91" s="107" t="s">
        <v>360</v>
      </c>
    </row>
    <row r="92" spans="1:11" hidden="1" x14ac:dyDescent="0.25">
      <c r="A92" s="45" t="s">
        <v>490</v>
      </c>
      <c r="B92" s="9" t="s">
        <v>491</v>
      </c>
      <c r="C92" s="69">
        <v>42663</v>
      </c>
      <c r="D92" s="55">
        <v>80</v>
      </c>
      <c r="E92" s="45" t="s">
        <v>26</v>
      </c>
      <c r="F92" s="36">
        <v>40</v>
      </c>
      <c r="G92" s="71">
        <v>42673</v>
      </c>
      <c r="H92" s="55" t="s">
        <v>530</v>
      </c>
      <c r="I92" s="44" t="s">
        <v>522</v>
      </c>
      <c r="J92" s="101" t="s">
        <v>596</v>
      </c>
      <c r="K92" s="107" t="s">
        <v>343</v>
      </c>
    </row>
    <row r="93" spans="1:11" hidden="1" x14ac:dyDescent="0.25">
      <c r="A93" s="45" t="s">
        <v>344</v>
      </c>
      <c r="B93" s="45" t="s">
        <v>543</v>
      </c>
      <c r="C93" s="69">
        <v>42581</v>
      </c>
      <c r="D93" s="42" t="e">
        <f>SUMIFS(MERCADORIAS!$D:$D,MERCADORIAS!#REF!,"Eliana")</f>
        <v>#REF!</v>
      </c>
      <c r="E93" s="45" t="s">
        <v>26</v>
      </c>
      <c r="F93" s="33">
        <v>25</v>
      </c>
      <c r="G93" s="69">
        <v>42628</v>
      </c>
      <c r="H93" s="42" t="s">
        <v>534</v>
      </c>
      <c r="I93" s="44" t="s">
        <v>522</v>
      </c>
      <c r="J93" s="101" t="s">
        <v>557</v>
      </c>
      <c r="K93" s="107" t="s">
        <v>360</v>
      </c>
    </row>
    <row r="94" spans="1:11" hidden="1" x14ac:dyDescent="0.25">
      <c r="A94" s="45" t="s">
        <v>344</v>
      </c>
      <c r="B94" s="45" t="s">
        <v>543</v>
      </c>
      <c r="C94" s="69">
        <v>42536</v>
      </c>
      <c r="D94" s="55">
        <v>20</v>
      </c>
      <c r="E94" s="45" t="s">
        <v>26</v>
      </c>
      <c r="F94" s="36">
        <v>20</v>
      </c>
      <c r="G94" s="71">
        <v>42643</v>
      </c>
      <c r="H94" s="55" t="s">
        <v>534</v>
      </c>
      <c r="I94" s="56" t="s">
        <v>522</v>
      </c>
      <c r="J94" s="100" t="s">
        <v>610</v>
      </c>
      <c r="K94" s="107" t="s">
        <v>360</v>
      </c>
    </row>
    <row r="95" spans="1:11" hidden="1" x14ac:dyDescent="0.25">
      <c r="A95" s="45" t="s">
        <v>337</v>
      </c>
      <c r="B95" s="45" t="s">
        <v>154</v>
      </c>
      <c r="C95" s="69">
        <v>42674</v>
      </c>
      <c r="D95" s="42">
        <v>110</v>
      </c>
      <c r="E95" s="45" t="s">
        <v>26</v>
      </c>
      <c r="F95" s="33">
        <v>30</v>
      </c>
      <c r="G95" s="69">
        <v>42719</v>
      </c>
      <c r="H95" s="42" t="s">
        <v>539</v>
      </c>
      <c r="I95" s="44" t="s">
        <v>522</v>
      </c>
      <c r="J95" s="101" t="s">
        <v>611</v>
      </c>
      <c r="K95" s="107" t="s">
        <v>390</v>
      </c>
    </row>
    <row r="96" spans="1:11" hidden="1" x14ac:dyDescent="0.25">
      <c r="A96" s="47" t="s">
        <v>401</v>
      </c>
      <c r="B96" s="45" t="s">
        <v>402</v>
      </c>
      <c r="C96" s="69">
        <v>42592</v>
      </c>
      <c r="D96" s="48">
        <v>80</v>
      </c>
      <c r="E96" s="47" t="s">
        <v>26</v>
      </c>
      <c r="F96" s="33">
        <v>14</v>
      </c>
      <c r="G96" s="69">
        <v>42628</v>
      </c>
      <c r="H96" s="42" t="s">
        <v>534</v>
      </c>
      <c r="I96" s="44" t="s">
        <v>522</v>
      </c>
      <c r="J96" s="101" t="s">
        <v>612</v>
      </c>
      <c r="K96" s="107" t="s">
        <v>360</v>
      </c>
    </row>
    <row r="97" spans="1:11" hidden="1" x14ac:dyDescent="0.25">
      <c r="A97" s="45" t="s">
        <v>425</v>
      </c>
      <c r="B97" s="54" t="s">
        <v>426</v>
      </c>
      <c r="C97" s="69">
        <v>42671</v>
      </c>
      <c r="D97" s="55">
        <v>60</v>
      </c>
      <c r="E97" s="45" t="s">
        <v>26</v>
      </c>
      <c r="F97" s="34">
        <v>50</v>
      </c>
      <c r="G97" s="71">
        <v>42689</v>
      </c>
      <c r="H97" s="42" t="s">
        <v>537</v>
      </c>
      <c r="I97" s="44" t="s">
        <v>522</v>
      </c>
      <c r="J97" s="100" t="s">
        <v>613</v>
      </c>
      <c r="K97" s="107" t="s">
        <v>390</v>
      </c>
    </row>
    <row r="98" spans="1:11" hidden="1" x14ac:dyDescent="0.25">
      <c r="A98" s="140" t="s">
        <v>498</v>
      </c>
      <c r="B98" s="9" t="s">
        <v>314</v>
      </c>
      <c r="C98" s="69">
        <v>42719</v>
      </c>
      <c r="D98" s="55">
        <v>60</v>
      </c>
      <c r="E98" s="45" t="s">
        <v>26</v>
      </c>
      <c r="F98" s="36">
        <v>60</v>
      </c>
      <c r="G98" s="71">
        <v>42719</v>
      </c>
      <c r="H98" s="55" t="s">
        <v>539</v>
      </c>
      <c r="I98" s="56" t="s">
        <v>522</v>
      </c>
      <c r="J98" s="101" t="s">
        <v>592</v>
      </c>
      <c r="K98" s="107" t="s">
        <v>546</v>
      </c>
    </row>
    <row r="99" spans="1:11" hidden="1" x14ac:dyDescent="0.25">
      <c r="A99" s="45" t="s">
        <v>425</v>
      </c>
      <c r="B99" s="54" t="s">
        <v>426</v>
      </c>
      <c r="C99" s="69" t="s">
        <v>558</v>
      </c>
      <c r="D99" s="55">
        <v>70</v>
      </c>
      <c r="E99" s="45" t="s">
        <v>26</v>
      </c>
      <c r="F99" s="34">
        <v>20</v>
      </c>
      <c r="G99" s="71">
        <v>42628</v>
      </c>
      <c r="H99" s="42" t="s">
        <v>534</v>
      </c>
      <c r="I99" s="44" t="s">
        <v>522</v>
      </c>
      <c r="J99" s="100" t="s">
        <v>606</v>
      </c>
      <c r="K99" s="107" t="s">
        <v>360</v>
      </c>
    </row>
    <row r="100" spans="1:11" hidden="1" x14ac:dyDescent="0.25">
      <c r="A100" s="45" t="s">
        <v>469</v>
      </c>
      <c r="B100" s="54" t="s">
        <v>74</v>
      </c>
      <c r="C100" s="69">
        <v>42636</v>
      </c>
      <c r="D100" s="55">
        <f>65+50</f>
        <v>115</v>
      </c>
      <c r="E100" s="45" t="s">
        <v>26</v>
      </c>
      <c r="F100" s="36">
        <v>50</v>
      </c>
      <c r="G100" s="71">
        <v>42673</v>
      </c>
      <c r="H100" s="55" t="s">
        <v>530</v>
      </c>
      <c r="I100" s="56" t="s">
        <v>522</v>
      </c>
      <c r="J100" s="100" t="s">
        <v>614</v>
      </c>
      <c r="K100" s="106" t="s">
        <v>343</v>
      </c>
    </row>
    <row r="101" spans="1:11" hidden="1" x14ac:dyDescent="0.25">
      <c r="A101" s="47" t="s">
        <v>371</v>
      </c>
      <c r="B101" s="45" t="s">
        <v>372</v>
      </c>
      <c r="C101" s="69">
        <v>42584</v>
      </c>
      <c r="D101" s="48">
        <v>120</v>
      </c>
      <c r="E101" s="45" t="s">
        <v>26</v>
      </c>
      <c r="F101" s="33">
        <v>30</v>
      </c>
      <c r="G101" s="69">
        <v>42612</v>
      </c>
      <c r="H101" s="42" t="s">
        <v>521</v>
      </c>
      <c r="I101" s="44" t="s">
        <v>522</v>
      </c>
      <c r="J101" s="101" t="s">
        <v>554</v>
      </c>
      <c r="K101" s="107" t="s">
        <v>336</v>
      </c>
    </row>
    <row r="102" spans="1:11" hidden="1" x14ac:dyDescent="0.25">
      <c r="A102" s="45" t="s">
        <v>439</v>
      </c>
      <c r="B102" s="45" t="s">
        <v>440</v>
      </c>
      <c r="C102" s="69">
        <v>42621</v>
      </c>
      <c r="D102" s="48">
        <v>175</v>
      </c>
      <c r="E102" s="45" t="s">
        <v>26</v>
      </c>
      <c r="F102" s="34">
        <v>50</v>
      </c>
      <c r="G102" s="71">
        <v>42628</v>
      </c>
      <c r="H102" s="55" t="s">
        <v>534</v>
      </c>
      <c r="I102" s="44" t="s">
        <v>522</v>
      </c>
      <c r="J102" s="100" t="s">
        <v>615</v>
      </c>
      <c r="K102" s="107" t="s">
        <v>360</v>
      </c>
    </row>
    <row r="103" spans="1:11" hidden="1" x14ac:dyDescent="0.25">
      <c r="A103" s="45" t="s">
        <v>439</v>
      </c>
      <c r="B103" s="45" t="s">
        <v>440</v>
      </c>
      <c r="C103" s="69">
        <v>42621</v>
      </c>
      <c r="D103" s="48">
        <v>175</v>
      </c>
      <c r="E103" s="45" t="s">
        <v>26</v>
      </c>
      <c r="F103" s="34">
        <v>50</v>
      </c>
      <c r="G103" s="71">
        <v>42643</v>
      </c>
      <c r="H103" s="55" t="s">
        <v>534</v>
      </c>
      <c r="I103" s="44" t="s">
        <v>522</v>
      </c>
      <c r="J103" s="101" t="s">
        <v>616</v>
      </c>
      <c r="K103" s="107" t="s">
        <v>360</v>
      </c>
    </row>
    <row r="104" spans="1:11" hidden="1" x14ac:dyDescent="0.25">
      <c r="A104" s="45" t="s">
        <v>423</v>
      </c>
      <c r="B104" s="54" t="s">
        <v>313</v>
      </c>
      <c r="C104" s="69">
        <v>42628</v>
      </c>
      <c r="D104" s="48">
        <v>75</v>
      </c>
      <c r="E104" s="47" t="s">
        <v>26</v>
      </c>
      <c r="F104" s="33">
        <v>35</v>
      </c>
      <c r="G104" s="69">
        <v>42628</v>
      </c>
      <c r="H104" s="55" t="s">
        <v>534</v>
      </c>
      <c r="I104" s="56" t="s">
        <v>522</v>
      </c>
      <c r="J104" s="101" t="s">
        <v>617</v>
      </c>
      <c r="K104" s="107" t="s">
        <v>360</v>
      </c>
    </row>
    <row r="105" spans="1:11" hidden="1" x14ac:dyDescent="0.25">
      <c r="A105" s="45" t="s">
        <v>423</v>
      </c>
      <c r="B105" s="54" t="s">
        <v>313</v>
      </c>
      <c r="C105" s="69">
        <v>42628</v>
      </c>
      <c r="D105" s="48">
        <v>75</v>
      </c>
      <c r="E105" s="47" t="s">
        <v>26</v>
      </c>
      <c r="F105" s="33">
        <v>40</v>
      </c>
      <c r="G105" s="69">
        <v>42643</v>
      </c>
      <c r="H105" s="55" t="s">
        <v>534</v>
      </c>
      <c r="I105" s="56" t="s">
        <v>522</v>
      </c>
      <c r="J105" s="101" t="s">
        <v>562</v>
      </c>
      <c r="K105" s="107" t="s">
        <v>360</v>
      </c>
    </row>
    <row r="106" spans="1:11" hidden="1" x14ac:dyDescent="0.25">
      <c r="A106" s="95" t="s">
        <v>462</v>
      </c>
      <c r="B106" s="9" t="s">
        <v>463</v>
      </c>
      <c r="C106" s="69">
        <v>42678</v>
      </c>
      <c r="D106" s="55">
        <v>173</v>
      </c>
      <c r="E106" s="45" t="s">
        <v>26</v>
      </c>
      <c r="F106" s="36">
        <v>43.25</v>
      </c>
      <c r="G106" s="71">
        <v>42704</v>
      </c>
      <c r="H106" s="55" t="s">
        <v>537</v>
      </c>
      <c r="I106" s="44" t="s">
        <v>522</v>
      </c>
      <c r="J106" s="100" t="s">
        <v>618</v>
      </c>
      <c r="K106" s="107" t="s">
        <v>390</v>
      </c>
    </row>
    <row r="107" spans="1:11" hidden="1" x14ac:dyDescent="0.25">
      <c r="A107" s="45" t="s">
        <v>446</v>
      </c>
      <c r="B107" s="45" t="s">
        <v>447</v>
      </c>
      <c r="C107" s="69">
        <v>42622</v>
      </c>
      <c r="D107" s="48">
        <v>50</v>
      </c>
      <c r="E107" s="47" t="s">
        <v>26</v>
      </c>
      <c r="F107" s="33">
        <v>50</v>
      </c>
      <c r="G107" s="69">
        <v>42628</v>
      </c>
      <c r="H107" s="42" t="s">
        <v>534</v>
      </c>
      <c r="I107" s="44" t="s">
        <v>522</v>
      </c>
      <c r="J107" s="101" t="s">
        <v>619</v>
      </c>
      <c r="K107" s="107" t="s">
        <v>360</v>
      </c>
    </row>
    <row r="108" spans="1:11" hidden="1" x14ac:dyDescent="0.25">
      <c r="A108" s="47" t="s">
        <v>371</v>
      </c>
      <c r="B108" s="45" t="s">
        <v>372</v>
      </c>
      <c r="C108" s="69">
        <v>42599</v>
      </c>
      <c r="D108" s="48">
        <v>15</v>
      </c>
      <c r="E108" s="45" t="s">
        <v>26</v>
      </c>
      <c r="F108" s="33">
        <v>5</v>
      </c>
      <c r="G108" s="69">
        <v>42612</v>
      </c>
      <c r="H108" s="42" t="s">
        <v>521</v>
      </c>
      <c r="I108" s="44" t="s">
        <v>522</v>
      </c>
      <c r="J108" s="101" t="s">
        <v>554</v>
      </c>
      <c r="K108" s="107" t="s">
        <v>336</v>
      </c>
    </row>
    <row r="109" spans="1:11" hidden="1" x14ac:dyDescent="0.25">
      <c r="A109" s="47" t="s">
        <v>371</v>
      </c>
      <c r="B109" s="45" t="s">
        <v>372</v>
      </c>
      <c r="C109" s="69">
        <v>42584</v>
      </c>
      <c r="D109" s="48">
        <v>120</v>
      </c>
      <c r="E109" s="45" t="s">
        <v>26</v>
      </c>
      <c r="F109" s="33">
        <v>30</v>
      </c>
      <c r="G109" s="69">
        <v>42597</v>
      </c>
      <c r="H109" s="42" t="s">
        <v>521</v>
      </c>
      <c r="I109" s="44" t="s">
        <v>522</v>
      </c>
      <c r="J109" s="101" t="s">
        <v>533</v>
      </c>
      <c r="K109" s="107" t="s">
        <v>336</v>
      </c>
    </row>
    <row r="110" spans="1:11" hidden="1" x14ac:dyDescent="0.25">
      <c r="A110" s="47" t="s">
        <v>371</v>
      </c>
      <c r="B110" s="45" t="s">
        <v>372</v>
      </c>
      <c r="C110" s="69">
        <v>42584</v>
      </c>
      <c r="D110" s="48">
        <v>120</v>
      </c>
      <c r="E110" s="47" t="s">
        <v>26</v>
      </c>
      <c r="F110" s="33">
        <v>30</v>
      </c>
      <c r="G110" s="69">
        <v>42628</v>
      </c>
      <c r="H110" s="42" t="s">
        <v>534</v>
      </c>
      <c r="I110" s="44" t="s">
        <v>522</v>
      </c>
      <c r="J110" s="101" t="s">
        <v>620</v>
      </c>
      <c r="K110" s="107" t="s">
        <v>360</v>
      </c>
    </row>
    <row r="111" spans="1:11" hidden="1" x14ac:dyDescent="0.25">
      <c r="A111" s="47" t="s">
        <v>371</v>
      </c>
      <c r="B111" s="45" t="s">
        <v>372</v>
      </c>
      <c r="C111" s="69">
        <v>42599</v>
      </c>
      <c r="D111" s="48">
        <v>15</v>
      </c>
      <c r="E111" s="47" t="s">
        <v>26</v>
      </c>
      <c r="F111" s="33">
        <v>5</v>
      </c>
      <c r="G111" s="69">
        <v>42628</v>
      </c>
      <c r="H111" s="42" t="s">
        <v>534</v>
      </c>
      <c r="I111" s="44" t="s">
        <v>522</v>
      </c>
      <c r="J111" s="101" t="s">
        <v>620</v>
      </c>
      <c r="K111" s="107" t="s">
        <v>360</v>
      </c>
    </row>
    <row r="112" spans="1:11" hidden="1" x14ac:dyDescent="0.25">
      <c r="A112" s="45" t="s">
        <v>431</v>
      </c>
      <c r="B112" s="45" t="s">
        <v>432</v>
      </c>
      <c r="C112" s="69">
        <v>42613</v>
      </c>
      <c r="D112" s="55">
        <f>60+70</f>
        <v>130</v>
      </c>
      <c r="E112" s="45" t="s">
        <v>26</v>
      </c>
      <c r="F112" s="36">
        <v>40</v>
      </c>
      <c r="G112" s="71">
        <v>42643</v>
      </c>
      <c r="H112" s="55" t="s">
        <v>534</v>
      </c>
      <c r="I112" s="56" t="s">
        <v>522</v>
      </c>
      <c r="J112" s="100" t="s">
        <v>621</v>
      </c>
      <c r="K112" s="107" t="s">
        <v>360</v>
      </c>
    </row>
    <row r="113" spans="1:17" hidden="1" x14ac:dyDescent="0.25">
      <c r="A113" s="47" t="s">
        <v>378</v>
      </c>
      <c r="B113" s="45" t="s">
        <v>80</v>
      </c>
      <c r="C113" s="69">
        <v>42614</v>
      </c>
      <c r="D113" s="48">
        <v>40</v>
      </c>
      <c r="E113" s="45" t="s">
        <v>26</v>
      </c>
      <c r="F113" s="33">
        <v>40</v>
      </c>
      <c r="G113" s="69">
        <v>42643</v>
      </c>
      <c r="H113" s="42" t="s">
        <v>534</v>
      </c>
      <c r="I113" s="56" t="s">
        <v>522</v>
      </c>
      <c r="J113" s="101" t="s">
        <v>616</v>
      </c>
      <c r="K113" s="107" t="s">
        <v>360</v>
      </c>
    </row>
    <row r="114" spans="1:17" hidden="1" x14ac:dyDescent="0.25">
      <c r="A114" s="47" t="s">
        <v>378</v>
      </c>
      <c r="B114" s="45" t="s">
        <v>80</v>
      </c>
      <c r="C114" s="69">
        <v>42614</v>
      </c>
      <c r="D114" s="48">
        <v>40</v>
      </c>
      <c r="E114" s="45" t="s">
        <v>26</v>
      </c>
      <c r="F114" s="33">
        <v>40</v>
      </c>
      <c r="G114" s="69">
        <v>42628</v>
      </c>
      <c r="H114" s="42" t="s">
        <v>534</v>
      </c>
      <c r="I114" s="56" t="s">
        <v>522</v>
      </c>
      <c r="J114" s="101" t="s">
        <v>622</v>
      </c>
      <c r="K114" s="107" t="s">
        <v>360</v>
      </c>
    </row>
    <row r="115" spans="1:17" hidden="1" x14ac:dyDescent="0.25">
      <c r="A115" s="45" t="s">
        <v>469</v>
      </c>
      <c r="B115" s="54" t="s">
        <v>74</v>
      </c>
      <c r="C115" s="69">
        <v>42636</v>
      </c>
      <c r="D115" s="55">
        <f>65+50</f>
        <v>115</v>
      </c>
      <c r="E115" s="45" t="s">
        <v>26</v>
      </c>
      <c r="F115" s="36">
        <v>50</v>
      </c>
      <c r="G115" s="71">
        <v>42643</v>
      </c>
      <c r="H115" s="55" t="s">
        <v>534</v>
      </c>
      <c r="I115" s="56" t="s">
        <v>585</v>
      </c>
      <c r="J115" s="100" t="s">
        <v>616</v>
      </c>
      <c r="K115" s="107" t="s">
        <v>360</v>
      </c>
    </row>
    <row r="116" spans="1:17" hidden="1" x14ac:dyDescent="0.25">
      <c r="A116" s="45" t="s">
        <v>477</v>
      </c>
      <c r="B116" s="9" t="s">
        <v>529</v>
      </c>
      <c r="C116" s="69">
        <v>42641</v>
      </c>
      <c r="D116" s="55">
        <v>194</v>
      </c>
      <c r="E116" s="45" t="s">
        <v>26</v>
      </c>
      <c r="F116" s="36">
        <v>50</v>
      </c>
      <c r="G116" s="71">
        <v>42643</v>
      </c>
      <c r="H116" s="55" t="s">
        <v>534</v>
      </c>
      <c r="I116" s="56" t="s">
        <v>522</v>
      </c>
      <c r="J116" s="100" t="s">
        <v>605</v>
      </c>
      <c r="K116" s="107" t="s">
        <v>360</v>
      </c>
    </row>
    <row r="117" spans="1:17" hidden="1" x14ac:dyDescent="0.25">
      <c r="A117" s="45" t="s">
        <v>406</v>
      </c>
      <c r="B117" s="45" t="s">
        <v>176</v>
      </c>
      <c r="C117" s="69">
        <v>42594</v>
      </c>
      <c r="D117" s="42">
        <v>160</v>
      </c>
      <c r="E117" s="45" t="s">
        <v>26</v>
      </c>
      <c r="F117" s="33">
        <v>80</v>
      </c>
      <c r="G117" s="69">
        <v>42643</v>
      </c>
      <c r="H117" s="42" t="s">
        <v>534</v>
      </c>
      <c r="I117" s="44" t="s">
        <v>522</v>
      </c>
      <c r="J117" s="101" t="s">
        <v>606</v>
      </c>
      <c r="K117" s="107" t="s">
        <v>360</v>
      </c>
    </row>
    <row r="118" spans="1:17" hidden="1" x14ac:dyDescent="0.25">
      <c r="A118" s="45" t="s">
        <v>337</v>
      </c>
      <c r="B118" s="45" t="s">
        <v>154</v>
      </c>
      <c r="C118" s="69">
        <v>42578</v>
      </c>
      <c r="D118" s="42" t="e">
        <f>SUMIFS(MERCADORIAS!$D:$D,MERCADORIAS!#REF!,"maria margareth")</f>
        <v>#REF!</v>
      </c>
      <c r="E118" s="45" t="s">
        <v>26</v>
      </c>
      <c r="F118" s="33">
        <v>65</v>
      </c>
      <c r="G118" s="69">
        <v>42628</v>
      </c>
      <c r="H118" s="42" t="s">
        <v>534</v>
      </c>
      <c r="I118" s="44" t="s">
        <v>522</v>
      </c>
      <c r="J118" s="101" t="s">
        <v>606</v>
      </c>
      <c r="K118" s="107" t="s">
        <v>360</v>
      </c>
    </row>
    <row r="119" spans="1:17" hidden="1" x14ac:dyDescent="0.25">
      <c r="A119" s="45" t="s">
        <v>442</v>
      </c>
      <c r="B119" s="45" t="s">
        <v>443</v>
      </c>
      <c r="C119" s="69">
        <v>42621</v>
      </c>
      <c r="D119" s="55">
        <v>100</v>
      </c>
      <c r="E119" s="45" t="s">
        <v>26</v>
      </c>
      <c r="F119" s="34">
        <v>67.5</v>
      </c>
      <c r="G119" s="71">
        <v>42643</v>
      </c>
      <c r="H119" s="55" t="s">
        <v>534</v>
      </c>
      <c r="I119" s="44" t="s">
        <v>522</v>
      </c>
      <c r="J119" s="100" t="s">
        <v>616</v>
      </c>
      <c r="K119" s="107" t="s">
        <v>360</v>
      </c>
    </row>
    <row r="120" spans="1:17" hidden="1" x14ac:dyDescent="0.25">
      <c r="A120" s="45" t="s">
        <v>355</v>
      </c>
      <c r="B120" s="45" t="s">
        <v>587</v>
      </c>
      <c r="C120" s="69">
        <v>42582</v>
      </c>
      <c r="D120" s="42">
        <v>135</v>
      </c>
      <c r="E120" s="45" t="s">
        <v>26</v>
      </c>
      <c r="F120" s="33">
        <v>50</v>
      </c>
      <c r="G120" s="73">
        <v>42628</v>
      </c>
      <c r="H120" s="42" t="s">
        <v>534</v>
      </c>
      <c r="I120" s="44" t="s">
        <v>522</v>
      </c>
      <c r="J120" s="101" t="s">
        <v>623</v>
      </c>
      <c r="K120" s="107" t="s">
        <v>360</v>
      </c>
    </row>
    <row r="121" spans="1:17" hidden="1" x14ac:dyDescent="0.25">
      <c r="A121" s="45" t="s">
        <v>435</v>
      </c>
      <c r="B121" s="45" t="s">
        <v>90</v>
      </c>
      <c r="C121" s="69">
        <v>42613</v>
      </c>
      <c r="D121" s="55">
        <v>70</v>
      </c>
      <c r="E121" s="45" t="s">
        <v>26</v>
      </c>
      <c r="F121" s="36">
        <v>35</v>
      </c>
      <c r="G121" s="71">
        <v>42643</v>
      </c>
      <c r="H121" s="55" t="s">
        <v>534</v>
      </c>
      <c r="I121" s="56" t="s">
        <v>522</v>
      </c>
      <c r="J121" s="100" t="s">
        <v>624</v>
      </c>
      <c r="K121" s="107" t="s">
        <v>360</v>
      </c>
    </row>
    <row r="122" spans="1:17" hidden="1" x14ac:dyDescent="0.25">
      <c r="A122" s="57" t="s">
        <v>437</v>
      </c>
      <c r="B122" s="57" t="s">
        <v>50</v>
      </c>
      <c r="C122" s="67">
        <v>42614</v>
      </c>
      <c r="D122" s="108">
        <v>90</v>
      </c>
      <c r="E122" s="57" t="s">
        <v>26</v>
      </c>
      <c r="F122" s="109">
        <v>45</v>
      </c>
      <c r="G122" s="74">
        <v>42643</v>
      </c>
      <c r="H122" s="108" t="s">
        <v>534</v>
      </c>
      <c r="I122" s="56" t="s">
        <v>522</v>
      </c>
      <c r="J122" s="110" t="s">
        <v>624</v>
      </c>
      <c r="K122" s="107" t="s">
        <v>360</v>
      </c>
    </row>
    <row r="123" spans="1:17" hidden="1" x14ac:dyDescent="0.25">
      <c r="A123" s="45" t="s">
        <v>437</v>
      </c>
      <c r="B123" s="45" t="s">
        <v>50</v>
      </c>
      <c r="C123" s="69">
        <v>42614</v>
      </c>
      <c r="D123" s="55">
        <v>90</v>
      </c>
      <c r="E123" s="45" t="s">
        <v>26</v>
      </c>
      <c r="F123" s="36">
        <v>45</v>
      </c>
      <c r="G123" s="71">
        <v>42628</v>
      </c>
      <c r="H123" s="55" t="s">
        <v>534</v>
      </c>
      <c r="I123" s="56" t="s">
        <v>522</v>
      </c>
      <c r="J123" s="100" t="s">
        <v>541</v>
      </c>
      <c r="K123" s="107" t="s">
        <v>360</v>
      </c>
    </row>
    <row r="124" spans="1:17" hidden="1" x14ac:dyDescent="0.25">
      <c r="A124" s="45" t="s">
        <v>449</v>
      </c>
      <c r="B124" s="1" t="s">
        <v>208</v>
      </c>
      <c r="C124" s="69">
        <v>42622</v>
      </c>
      <c r="D124" s="55">
        <v>110</v>
      </c>
      <c r="E124" s="45" t="s">
        <v>26</v>
      </c>
      <c r="F124" s="36">
        <v>50</v>
      </c>
      <c r="G124" s="71">
        <v>42643</v>
      </c>
      <c r="H124" s="55" t="s">
        <v>534</v>
      </c>
      <c r="I124" s="44" t="s">
        <v>522</v>
      </c>
      <c r="J124" s="100" t="s">
        <v>605</v>
      </c>
      <c r="K124" s="107" t="s">
        <v>360</v>
      </c>
    </row>
    <row r="125" spans="1:17" hidden="1" x14ac:dyDescent="0.25">
      <c r="A125" s="45" t="s">
        <v>449</v>
      </c>
      <c r="B125" s="1" t="s">
        <v>208</v>
      </c>
      <c r="C125" s="69">
        <v>42622</v>
      </c>
      <c r="D125" s="55">
        <v>110</v>
      </c>
      <c r="E125" s="45" t="s">
        <v>26</v>
      </c>
      <c r="F125" s="36">
        <v>50</v>
      </c>
      <c r="G125" s="71">
        <v>42628</v>
      </c>
      <c r="H125" s="55" t="s">
        <v>534</v>
      </c>
      <c r="I125" s="44" t="s">
        <v>522</v>
      </c>
      <c r="J125" s="100" t="s">
        <v>625</v>
      </c>
      <c r="K125" s="107" t="s">
        <v>360</v>
      </c>
    </row>
    <row r="126" spans="1:17" s="57" customFormat="1" hidden="1" x14ac:dyDescent="0.25">
      <c r="A126" s="45" t="s">
        <v>327</v>
      </c>
      <c r="B126" s="45" t="s">
        <v>569</v>
      </c>
      <c r="C126" s="69">
        <v>42671</v>
      </c>
      <c r="D126" s="42">
        <v>75</v>
      </c>
      <c r="E126" s="45" t="s">
        <v>26</v>
      </c>
      <c r="F126" s="33">
        <v>75</v>
      </c>
      <c r="G126" s="69">
        <v>42689</v>
      </c>
      <c r="H126" s="42" t="s">
        <v>537</v>
      </c>
      <c r="I126" s="44" t="s">
        <v>522</v>
      </c>
      <c r="J126" s="100" t="s">
        <v>626</v>
      </c>
      <c r="K126" s="107" t="s">
        <v>390</v>
      </c>
      <c r="Q126" s="94">
        <f>P114-Q125</f>
        <v>0</v>
      </c>
    </row>
    <row r="127" spans="1:17" hidden="1" x14ac:dyDescent="0.25">
      <c r="A127" s="47" t="s">
        <v>361</v>
      </c>
      <c r="B127" s="45" t="s">
        <v>362</v>
      </c>
      <c r="C127" s="69">
        <v>42604</v>
      </c>
      <c r="D127" s="55">
        <v>80</v>
      </c>
      <c r="E127" s="54" t="s">
        <v>26</v>
      </c>
      <c r="F127" s="34">
        <v>40</v>
      </c>
      <c r="G127" s="71">
        <v>42643</v>
      </c>
      <c r="H127" s="55" t="s">
        <v>534</v>
      </c>
      <c r="I127" s="44" t="s">
        <v>522</v>
      </c>
      <c r="J127" s="100" t="s">
        <v>624</v>
      </c>
      <c r="K127" s="107" t="s">
        <v>360</v>
      </c>
    </row>
    <row r="128" spans="1:17" hidden="1" x14ac:dyDescent="0.25">
      <c r="A128" s="47" t="s">
        <v>361</v>
      </c>
      <c r="B128" s="45" t="s">
        <v>362</v>
      </c>
      <c r="C128" s="69">
        <v>42584</v>
      </c>
      <c r="D128" s="48">
        <v>60</v>
      </c>
      <c r="E128" s="45" t="s">
        <v>26</v>
      </c>
      <c r="F128" s="34">
        <v>70</v>
      </c>
      <c r="G128" s="71">
        <v>42628</v>
      </c>
      <c r="H128" s="55" t="s">
        <v>534</v>
      </c>
      <c r="I128" s="44" t="s">
        <v>522</v>
      </c>
      <c r="J128" s="48" t="s">
        <v>627</v>
      </c>
      <c r="K128" s="107" t="s">
        <v>360</v>
      </c>
    </row>
    <row r="129" spans="1:17" hidden="1" x14ac:dyDescent="0.25">
      <c r="A129" s="53" t="s">
        <v>412</v>
      </c>
      <c r="B129" s="45" t="s">
        <v>413</v>
      </c>
      <c r="C129" s="69">
        <v>42601</v>
      </c>
      <c r="D129" s="55">
        <v>95</v>
      </c>
      <c r="E129" s="54" t="s">
        <v>26</v>
      </c>
      <c r="F129" s="34">
        <v>45</v>
      </c>
      <c r="G129" s="71">
        <v>42628</v>
      </c>
      <c r="H129" s="42" t="s">
        <v>534</v>
      </c>
      <c r="I129" s="44" t="s">
        <v>522</v>
      </c>
      <c r="J129" s="100" t="s">
        <v>628</v>
      </c>
      <c r="K129" s="107" t="s">
        <v>360</v>
      </c>
    </row>
    <row r="130" spans="1:17" hidden="1" x14ac:dyDescent="0.25">
      <c r="A130" s="95" t="s">
        <v>465</v>
      </c>
      <c r="B130" s="9" t="s">
        <v>466</v>
      </c>
      <c r="C130" s="69">
        <v>42628</v>
      </c>
      <c r="D130" s="55">
        <v>75</v>
      </c>
      <c r="E130" s="45" t="s">
        <v>26</v>
      </c>
      <c r="F130" s="36">
        <v>35</v>
      </c>
      <c r="G130" s="71">
        <v>42643</v>
      </c>
      <c r="H130" s="55" t="s">
        <v>534</v>
      </c>
      <c r="I130" s="44" t="s">
        <v>522</v>
      </c>
      <c r="J130" s="100" t="s">
        <v>624</v>
      </c>
      <c r="K130" s="107" t="s">
        <v>360</v>
      </c>
    </row>
    <row r="131" spans="1:17" s="57" customFormat="1" hidden="1" x14ac:dyDescent="0.25">
      <c r="A131" s="45" t="s">
        <v>453</v>
      </c>
      <c r="B131" s="45" t="s">
        <v>607</v>
      </c>
      <c r="C131" s="69">
        <v>42622</v>
      </c>
      <c r="D131" s="55">
        <v>40</v>
      </c>
      <c r="E131" s="45" t="s">
        <v>26</v>
      </c>
      <c r="F131" s="36">
        <v>40</v>
      </c>
      <c r="G131" s="71">
        <v>42643</v>
      </c>
      <c r="H131" s="55" t="s">
        <v>534</v>
      </c>
      <c r="I131" s="44" t="s">
        <v>522</v>
      </c>
      <c r="J131" s="100" t="s">
        <v>629</v>
      </c>
      <c r="K131" s="107" t="s">
        <v>360</v>
      </c>
      <c r="Q131" s="57">
        <f>55+7.5+15</f>
        <v>77.5</v>
      </c>
    </row>
    <row r="132" spans="1:17" s="57" customFormat="1" hidden="1" x14ac:dyDescent="0.25">
      <c r="A132" s="47" t="s">
        <v>393</v>
      </c>
      <c r="B132" s="45" t="s">
        <v>394</v>
      </c>
      <c r="C132" s="69">
        <v>42642</v>
      </c>
      <c r="D132" s="48">
        <v>40</v>
      </c>
      <c r="E132" s="45" t="s">
        <v>26</v>
      </c>
      <c r="F132" s="34">
        <v>50</v>
      </c>
      <c r="G132" s="69">
        <v>42689</v>
      </c>
      <c r="H132" s="42" t="s">
        <v>537</v>
      </c>
      <c r="I132" s="44" t="s">
        <v>522</v>
      </c>
      <c r="J132" s="101" t="s">
        <v>630</v>
      </c>
      <c r="K132" s="107" t="s">
        <v>390</v>
      </c>
      <c r="Q132" s="57">
        <f>55+7.5+15</f>
        <v>77.5</v>
      </c>
    </row>
    <row r="133" spans="1:17" hidden="1" x14ac:dyDescent="0.25">
      <c r="A133" s="45" t="s">
        <v>471</v>
      </c>
      <c r="B133" s="54" t="s">
        <v>472</v>
      </c>
      <c r="C133" s="69">
        <v>42660</v>
      </c>
      <c r="D133" s="55">
        <v>40</v>
      </c>
      <c r="E133" s="45" t="s">
        <v>26</v>
      </c>
      <c r="F133" s="36">
        <v>40</v>
      </c>
      <c r="G133" s="71">
        <v>42673</v>
      </c>
      <c r="H133" s="55" t="s">
        <v>530</v>
      </c>
      <c r="I133" s="56" t="s">
        <v>522</v>
      </c>
      <c r="J133" s="100" t="s">
        <v>614</v>
      </c>
      <c r="K133" s="106" t="s">
        <v>343</v>
      </c>
    </row>
    <row r="134" spans="1:17" hidden="1" x14ac:dyDescent="0.25">
      <c r="A134" s="47" t="s">
        <v>374</v>
      </c>
      <c r="B134" s="45" t="s">
        <v>375</v>
      </c>
      <c r="C134" s="69">
        <v>42668</v>
      </c>
      <c r="D134" s="48">
        <v>40</v>
      </c>
      <c r="E134" s="45" t="s">
        <v>26</v>
      </c>
      <c r="F134" s="34">
        <v>20</v>
      </c>
      <c r="G134" s="71">
        <v>42689</v>
      </c>
      <c r="H134" s="55" t="s">
        <v>537</v>
      </c>
      <c r="I134" s="56" t="s">
        <v>522</v>
      </c>
      <c r="J134" s="100" t="s">
        <v>631</v>
      </c>
      <c r="K134" s="107" t="s">
        <v>390</v>
      </c>
    </row>
    <row r="135" spans="1:17" hidden="1" x14ac:dyDescent="0.25">
      <c r="A135" s="45" t="s">
        <v>486</v>
      </c>
      <c r="B135" s="9" t="s">
        <v>47</v>
      </c>
      <c r="C135" s="69">
        <v>42655</v>
      </c>
      <c r="D135" s="48">
        <v>20</v>
      </c>
      <c r="E135" s="45" t="s">
        <v>26</v>
      </c>
      <c r="F135" s="33">
        <v>20</v>
      </c>
      <c r="G135" s="69">
        <v>42673</v>
      </c>
      <c r="H135" s="42" t="s">
        <v>530</v>
      </c>
      <c r="I135" s="44" t="s">
        <v>522</v>
      </c>
      <c r="J135" s="101" t="s">
        <v>613</v>
      </c>
      <c r="K135" s="107" t="s">
        <v>390</v>
      </c>
    </row>
    <row r="136" spans="1:17" hidden="1" x14ac:dyDescent="0.25">
      <c r="A136" s="45" t="s">
        <v>474</v>
      </c>
      <c r="B136" s="54" t="s">
        <v>475</v>
      </c>
      <c r="C136" s="69">
        <v>42651</v>
      </c>
      <c r="D136" s="55">
        <f>65+15</f>
        <v>80</v>
      </c>
      <c r="E136" s="45" t="s">
        <v>26</v>
      </c>
      <c r="F136" s="36">
        <v>30</v>
      </c>
      <c r="G136" s="71">
        <v>42689</v>
      </c>
      <c r="H136" s="55" t="s">
        <v>537</v>
      </c>
      <c r="I136" s="56" t="s">
        <v>522</v>
      </c>
      <c r="J136" s="100" t="s">
        <v>613</v>
      </c>
      <c r="K136" s="106" t="s">
        <v>390</v>
      </c>
    </row>
    <row r="137" spans="1:17" hidden="1" x14ac:dyDescent="0.25">
      <c r="A137" s="45" t="s">
        <v>337</v>
      </c>
      <c r="B137" s="45" t="s">
        <v>154</v>
      </c>
      <c r="C137" s="69">
        <v>42674</v>
      </c>
      <c r="D137" s="42">
        <v>110</v>
      </c>
      <c r="E137" s="45" t="s">
        <v>26</v>
      </c>
      <c r="F137" s="33">
        <v>50</v>
      </c>
      <c r="G137" s="69">
        <v>42689</v>
      </c>
      <c r="H137" s="42" t="s">
        <v>537</v>
      </c>
      <c r="I137" s="44" t="s">
        <v>522</v>
      </c>
      <c r="J137" s="101" t="s">
        <v>613</v>
      </c>
      <c r="K137" s="107" t="s">
        <v>390</v>
      </c>
    </row>
    <row r="138" spans="1:17" hidden="1" x14ac:dyDescent="0.25">
      <c r="A138" s="47" t="s">
        <v>371</v>
      </c>
      <c r="B138" s="45" t="s">
        <v>372</v>
      </c>
      <c r="C138" s="69">
        <v>42584</v>
      </c>
      <c r="D138" s="48">
        <v>120</v>
      </c>
      <c r="E138" s="47" t="s">
        <v>26</v>
      </c>
      <c r="F138" s="33">
        <v>30</v>
      </c>
      <c r="G138" s="69">
        <v>42643</v>
      </c>
      <c r="H138" s="42" t="s">
        <v>534</v>
      </c>
      <c r="I138" s="44" t="s">
        <v>522</v>
      </c>
      <c r="J138" s="101" t="s">
        <v>562</v>
      </c>
      <c r="K138" s="107" t="s">
        <v>360</v>
      </c>
    </row>
    <row r="139" spans="1:17" hidden="1" x14ac:dyDescent="0.25">
      <c r="A139" s="47" t="s">
        <v>397</v>
      </c>
      <c r="B139" s="45" t="s">
        <v>398</v>
      </c>
      <c r="C139" s="69">
        <v>42592</v>
      </c>
      <c r="D139" s="48">
        <v>70</v>
      </c>
      <c r="E139" s="45" t="s">
        <v>26</v>
      </c>
      <c r="F139" s="33">
        <v>20</v>
      </c>
      <c r="G139" s="69">
        <v>42689</v>
      </c>
      <c r="H139" s="42" t="s">
        <v>537</v>
      </c>
      <c r="I139" s="44" t="s">
        <v>522</v>
      </c>
      <c r="J139" s="101" t="s">
        <v>613</v>
      </c>
      <c r="K139" s="107" t="s">
        <v>390</v>
      </c>
    </row>
    <row r="140" spans="1:17" hidden="1" x14ac:dyDescent="0.25">
      <c r="A140" s="47" t="s">
        <v>393</v>
      </c>
      <c r="B140" s="45" t="s">
        <v>394</v>
      </c>
      <c r="C140" s="69">
        <v>42661</v>
      </c>
      <c r="D140" s="48">
        <v>40</v>
      </c>
      <c r="E140" s="45" t="s">
        <v>26</v>
      </c>
      <c r="F140" s="34"/>
      <c r="G140" s="69"/>
      <c r="H140" s="42"/>
      <c r="I140" s="44"/>
      <c r="J140" s="101" t="s">
        <v>632</v>
      </c>
      <c r="K140" s="107"/>
    </row>
    <row r="141" spans="1:17" hidden="1" x14ac:dyDescent="0.25">
      <c r="A141" s="95" t="s">
        <v>462</v>
      </c>
      <c r="B141" s="9" t="s">
        <v>463</v>
      </c>
      <c r="C141" s="69">
        <v>42678</v>
      </c>
      <c r="D141" s="55">
        <v>173</v>
      </c>
      <c r="E141" s="45" t="s">
        <v>26</v>
      </c>
      <c r="F141" s="36">
        <v>43.25</v>
      </c>
      <c r="G141" s="71">
        <v>42719</v>
      </c>
      <c r="H141" s="55" t="s">
        <v>539</v>
      </c>
      <c r="I141" s="44" t="s">
        <v>522</v>
      </c>
      <c r="J141" s="100" t="s">
        <v>633</v>
      </c>
      <c r="K141" s="106" t="s">
        <v>546</v>
      </c>
    </row>
    <row r="142" spans="1:17" hidden="1" x14ac:dyDescent="0.25">
      <c r="A142" s="95" t="s">
        <v>495</v>
      </c>
      <c r="B142" s="113" t="s">
        <v>311</v>
      </c>
      <c r="C142" s="69">
        <v>42699</v>
      </c>
      <c r="D142" s="55">
        <v>328</v>
      </c>
      <c r="E142" s="45" t="s">
        <v>26</v>
      </c>
      <c r="F142" s="36">
        <v>109.33</v>
      </c>
      <c r="G142" s="71">
        <v>42719</v>
      </c>
      <c r="H142" s="55" t="s">
        <v>539</v>
      </c>
      <c r="I142" s="56" t="s">
        <v>522</v>
      </c>
      <c r="J142" s="100" t="s">
        <v>633</v>
      </c>
      <c r="K142" s="106" t="s">
        <v>546</v>
      </c>
    </row>
    <row r="143" spans="1:17" hidden="1" x14ac:dyDescent="0.25">
      <c r="A143" s="45" t="s">
        <v>425</v>
      </c>
      <c r="B143" s="54" t="s">
        <v>426</v>
      </c>
      <c r="C143" s="69" t="s">
        <v>558</v>
      </c>
      <c r="D143" s="55">
        <v>70</v>
      </c>
      <c r="E143" s="45" t="s">
        <v>26</v>
      </c>
      <c r="F143" s="34">
        <v>50</v>
      </c>
      <c r="G143" s="71" t="s">
        <v>553</v>
      </c>
      <c r="H143" s="42" t="s">
        <v>521</v>
      </c>
      <c r="I143" s="44" t="s">
        <v>522</v>
      </c>
      <c r="J143" s="101" t="s">
        <v>536</v>
      </c>
      <c r="K143" s="107" t="s">
        <v>360</v>
      </c>
    </row>
    <row r="144" spans="1:17" hidden="1" x14ac:dyDescent="0.25">
      <c r="A144" s="47" t="s">
        <v>371</v>
      </c>
      <c r="B144" s="45" t="s">
        <v>372</v>
      </c>
      <c r="C144" s="69">
        <v>42599</v>
      </c>
      <c r="D144" s="48">
        <v>15</v>
      </c>
      <c r="E144" s="47" t="s">
        <v>26</v>
      </c>
      <c r="F144" s="33">
        <v>5</v>
      </c>
      <c r="G144" s="69">
        <v>42643</v>
      </c>
      <c r="H144" s="42" t="s">
        <v>534</v>
      </c>
      <c r="I144" s="44" t="s">
        <v>522</v>
      </c>
      <c r="J144" s="101" t="s">
        <v>562</v>
      </c>
      <c r="K144" s="107" t="s">
        <v>360</v>
      </c>
    </row>
    <row r="145" spans="1:11" hidden="1" x14ac:dyDescent="0.25">
      <c r="A145" s="95" t="s">
        <v>462</v>
      </c>
      <c r="B145" s="9" t="s">
        <v>463</v>
      </c>
      <c r="C145" s="69">
        <v>42678</v>
      </c>
      <c r="D145" s="55">
        <v>173</v>
      </c>
      <c r="E145" s="45" t="s">
        <v>26</v>
      </c>
      <c r="F145" s="36">
        <v>43.25</v>
      </c>
      <c r="G145" s="71">
        <v>42734</v>
      </c>
      <c r="H145" s="55" t="s">
        <v>539</v>
      </c>
      <c r="I145" s="44" t="s">
        <v>522</v>
      </c>
      <c r="J145" s="100" t="s">
        <v>633</v>
      </c>
      <c r="K145" s="106" t="s">
        <v>546</v>
      </c>
    </row>
    <row r="146" spans="1:11" hidden="1" x14ac:dyDescent="0.25">
      <c r="A146" s="45" t="s">
        <v>431</v>
      </c>
      <c r="B146" s="45" t="s">
        <v>432</v>
      </c>
      <c r="C146" s="69">
        <v>42613</v>
      </c>
      <c r="D146" s="55">
        <f>60+70</f>
        <v>130</v>
      </c>
      <c r="E146" s="45" t="s">
        <v>26</v>
      </c>
      <c r="F146" s="36">
        <v>40</v>
      </c>
      <c r="G146" s="71">
        <v>42704</v>
      </c>
      <c r="H146" s="55" t="s">
        <v>537</v>
      </c>
      <c r="I146" s="56" t="s">
        <v>522</v>
      </c>
      <c r="J146" s="100" t="s">
        <v>634</v>
      </c>
      <c r="K146" s="106" t="s">
        <v>390</v>
      </c>
    </row>
    <row r="147" spans="1:11" hidden="1" x14ac:dyDescent="0.25">
      <c r="A147" s="47" t="s">
        <v>378</v>
      </c>
      <c r="B147" s="45" t="s">
        <v>80</v>
      </c>
      <c r="C147" s="69">
        <v>42678</v>
      </c>
      <c r="D147" s="48">
        <f>88+62</f>
        <v>150</v>
      </c>
      <c r="E147" s="45" t="s">
        <v>26</v>
      </c>
      <c r="F147" s="33">
        <f>D147/3</f>
        <v>50</v>
      </c>
      <c r="G147" s="69">
        <v>42719</v>
      </c>
      <c r="H147" s="42" t="s">
        <v>539</v>
      </c>
      <c r="I147" s="56" t="s">
        <v>522</v>
      </c>
      <c r="J147" s="101" t="s">
        <v>635</v>
      </c>
      <c r="K147" s="107" t="s">
        <v>546</v>
      </c>
    </row>
    <row r="148" spans="1:11" hidden="1" x14ac:dyDescent="0.25">
      <c r="A148" s="47" t="s">
        <v>378</v>
      </c>
      <c r="B148" s="45" t="s">
        <v>80</v>
      </c>
      <c r="C148" s="69">
        <v>42678</v>
      </c>
      <c r="D148" s="48">
        <f>88+62</f>
        <v>150</v>
      </c>
      <c r="E148" s="45" t="s">
        <v>26</v>
      </c>
      <c r="F148" s="33">
        <f>D148/3</f>
        <v>50</v>
      </c>
      <c r="G148" s="69">
        <v>42734</v>
      </c>
      <c r="H148" s="42" t="s">
        <v>539</v>
      </c>
      <c r="I148" s="56" t="s">
        <v>522</v>
      </c>
      <c r="J148" s="101" t="s">
        <v>635</v>
      </c>
      <c r="K148" s="107" t="s">
        <v>546</v>
      </c>
    </row>
    <row r="149" spans="1:11" hidden="1" x14ac:dyDescent="0.25">
      <c r="A149" s="47" t="s">
        <v>393</v>
      </c>
      <c r="B149" s="45" t="s">
        <v>394</v>
      </c>
      <c r="C149" s="69">
        <v>42608</v>
      </c>
      <c r="D149" s="48">
        <v>68</v>
      </c>
      <c r="E149" s="45" t="s">
        <v>26</v>
      </c>
      <c r="F149" s="34">
        <v>50</v>
      </c>
      <c r="G149" s="69">
        <v>42673</v>
      </c>
      <c r="H149" s="42" t="s">
        <v>526</v>
      </c>
      <c r="I149" s="44" t="s">
        <v>522</v>
      </c>
      <c r="J149" s="101" t="s">
        <v>614</v>
      </c>
      <c r="K149" s="107" t="s">
        <v>343</v>
      </c>
    </row>
    <row r="150" spans="1:11" hidden="1" x14ac:dyDescent="0.25">
      <c r="A150" s="47" t="s">
        <v>388</v>
      </c>
      <c r="B150" s="45" t="s">
        <v>532</v>
      </c>
      <c r="C150" s="69">
        <v>42665</v>
      </c>
      <c r="D150" s="55">
        <v>88</v>
      </c>
      <c r="E150" s="54" t="s">
        <v>26</v>
      </c>
      <c r="F150" s="36">
        <v>50</v>
      </c>
      <c r="G150" s="69">
        <v>42689</v>
      </c>
      <c r="H150" s="55" t="s">
        <v>537</v>
      </c>
      <c r="I150" s="56" t="s">
        <v>522</v>
      </c>
      <c r="J150" s="101" t="s">
        <v>613</v>
      </c>
      <c r="K150" s="107" t="s">
        <v>390</v>
      </c>
    </row>
    <row r="151" spans="1:11" hidden="1" x14ac:dyDescent="0.25">
      <c r="A151" s="45" t="s">
        <v>451</v>
      </c>
      <c r="B151" s="1" t="s">
        <v>102</v>
      </c>
      <c r="C151" s="69">
        <v>42622</v>
      </c>
      <c r="D151" s="55">
        <v>105</v>
      </c>
      <c r="E151" s="45" t="s">
        <v>26</v>
      </c>
      <c r="F151" s="36">
        <v>30</v>
      </c>
      <c r="G151" s="71">
        <v>42648</v>
      </c>
      <c r="H151" s="55" t="s">
        <v>530</v>
      </c>
      <c r="I151" s="44" t="s">
        <v>522</v>
      </c>
      <c r="J151" s="100" t="s">
        <v>636</v>
      </c>
      <c r="K151" s="106" t="s">
        <v>343</v>
      </c>
    </row>
    <row r="152" spans="1:11" hidden="1" x14ac:dyDescent="0.25">
      <c r="A152" s="45" t="s">
        <v>420</v>
      </c>
      <c r="B152" s="54" t="s">
        <v>135</v>
      </c>
      <c r="C152" s="69">
        <v>42602</v>
      </c>
      <c r="D152" s="55">
        <f>60+80</f>
        <v>140</v>
      </c>
      <c r="E152" s="54" t="s">
        <v>637</v>
      </c>
      <c r="F152" s="36">
        <v>66.36</v>
      </c>
      <c r="G152" s="72">
        <v>42633</v>
      </c>
      <c r="H152" s="42" t="s">
        <v>534</v>
      </c>
      <c r="I152" s="44" t="s">
        <v>522</v>
      </c>
      <c r="J152" s="101"/>
      <c r="K152" s="107" t="s">
        <v>638</v>
      </c>
    </row>
    <row r="153" spans="1:11" hidden="1" x14ac:dyDescent="0.25">
      <c r="A153" s="140" t="s">
        <v>497</v>
      </c>
      <c r="B153" s="113" t="s">
        <v>307</v>
      </c>
      <c r="C153" s="69">
        <v>42714</v>
      </c>
      <c r="D153" s="55">
        <v>30</v>
      </c>
      <c r="E153" s="45" t="s">
        <v>26</v>
      </c>
      <c r="F153" s="36">
        <v>30</v>
      </c>
      <c r="G153" s="71">
        <v>42379</v>
      </c>
      <c r="H153" s="55" t="s">
        <v>540</v>
      </c>
      <c r="I153" s="56" t="s">
        <v>522</v>
      </c>
      <c r="J153" s="100" t="s">
        <v>635</v>
      </c>
      <c r="K153" s="106" t="s">
        <v>546</v>
      </c>
    </row>
    <row r="154" spans="1:11" hidden="1" x14ac:dyDescent="0.25">
      <c r="A154" s="45" t="s">
        <v>423</v>
      </c>
      <c r="B154" s="54" t="s">
        <v>313</v>
      </c>
      <c r="C154" s="69">
        <v>42670</v>
      </c>
      <c r="D154" s="48">
        <v>68</v>
      </c>
      <c r="E154" s="47" t="s">
        <v>26</v>
      </c>
      <c r="F154" s="124">
        <v>78</v>
      </c>
      <c r="G154" s="69">
        <v>42704</v>
      </c>
      <c r="H154" s="55" t="s">
        <v>537</v>
      </c>
      <c r="I154" s="56" t="s">
        <v>522</v>
      </c>
      <c r="J154" s="101" t="s">
        <v>618</v>
      </c>
      <c r="K154" s="107" t="s">
        <v>390</v>
      </c>
    </row>
    <row r="155" spans="1:11" hidden="1" x14ac:dyDescent="0.25">
      <c r="A155" s="45" t="s">
        <v>490</v>
      </c>
      <c r="B155" s="9" t="s">
        <v>491</v>
      </c>
      <c r="C155" s="69">
        <v>42663</v>
      </c>
      <c r="D155" s="55">
        <v>80</v>
      </c>
      <c r="E155" s="45" t="s">
        <v>26</v>
      </c>
      <c r="F155" s="36">
        <v>40</v>
      </c>
      <c r="G155" s="71">
        <v>42704</v>
      </c>
      <c r="H155" s="55" t="s">
        <v>537</v>
      </c>
      <c r="I155" s="44" t="s">
        <v>522</v>
      </c>
      <c r="J155" s="101" t="s">
        <v>611</v>
      </c>
      <c r="K155" s="107" t="s">
        <v>390</v>
      </c>
    </row>
    <row r="156" spans="1:11" hidden="1" x14ac:dyDescent="0.25">
      <c r="A156" s="45" t="s">
        <v>371</v>
      </c>
      <c r="B156" s="45" t="s">
        <v>372</v>
      </c>
      <c r="C156" s="69">
        <v>42654</v>
      </c>
      <c r="D156" s="55">
        <f>20+10</f>
        <v>30</v>
      </c>
      <c r="E156" s="45" t="s">
        <v>26</v>
      </c>
      <c r="F156" s="36">
        <v>30</v>
      </c>
      <c r="G156" s="71">
        <v>42704</v>
      </c>
      <c r="H156" s="55" t="s">
        <v>537</v>
      </c>
      <c r="I156" s="44" t="s">
        <v>522</v>
      </c>
      <c r="J156" s="101" t="s">
        <v>618</v>
      </c>
      <c r="K156" s="106" t="s">
        <v>390</v>
      </c>
    </row>
    <row r="157" spans="1:11" hidden="1" x14ac:dyDescent="0.25">
      <c r="A157" s="47" t="s">
        <v>378</v>
      </c>
      <c r="B157" s="45" t="s">
        <v>80</v>
      </c>
      <c r="C157" s="69">
        <v>42678</v>
      </c>
      <c r="D157" s="48">
        <f>88+62</f>
        <v>150</v>
      </c>
      <c r="E157" s="45" t="s">
        <v>26</v>
      </c>
      <c r="F157" s="33">
        <f>D157/3</f>
        <v>50</v>
      </c>
      <c r="G157" s="69">
        <v>42704</v>
      </c>
      <c r="H157" s="42" t="s">
        <v>537</v>
      </c>
      <c r="I157" s="56" t="s">
        <v>522</v>
      </c>
      <c r="J157" s="101" t="s">
        <v>639</v>
      </c>
      <c r="K157" s="107" t="s">
        <v>390</v>
      </c>
    </row>
    <row r="158" spans="1:11" hidden="1" x14ac:dyDescent="0.25">
      <c r="A158" s="45" t="s">
        <v>337</v>
      </c>
      <c r="B158" s="45" t="s">
        <v>154</v>
      </c>
      <c r="C158" s="69">
        <v>42674</v>
      </c>
      <c r="D158" s="42">
        <v>110</v>
      </c>
      <c r="E158" s="45" t="s">
        <v>26</v>
      </c>
      <c r="F158" s="33">
        <v>30</v>
      </c>
      <c r="G158" s="69">
        <v>42704</v>
      </c>
      <c r="H158" s="42" t="s">
        <v>537</v>
      </c>
      <c r="I158" s="44" t="s">
        <v>522</v>
      </c>
      <c r="J158" s="101" t="s">
        <v>611</v>
      </c>
      <c r="K158" s="107" t="s">
        <v>390</v>
      </c>
    </row>
    <row r="159" spans="1:11" hidden="1" x14ac:dyDescent="0.25">
      <c r="A159" s="45" t="s">
        <v>420</v>
      </c>
      <c r="B159" s="54" t="s">
        <v>135</v>
      </c>
      <c r="C159" s="69">
        <v>42602</v>
      </c>
      <c r="D159" s="55">
        <f>60+80</f>
        <v>140</v>
      </c>
      <c r="E159" s="54" t="s">
        <v>637</v>
      </c>
      <c r="F159" s="36">
        <v>66.36</v>
      </c>
      <c r="G159" s="72">
        <v>42663</v>
      </c>
      <c r="H159" s="42" t="s">
        <v>526</v>
      </c>
      <c r="I159" s="44" t="s">
        <v>522</v>
      </c>
      <c r="J159" s="100"/>
      <c r="K159" s="107" t="s">
        <v>638</v>
      </c>
    </row>
    <row r="160" spans="1:11" hidden="1" x14ac:dyDescent="0.25">
      <c r="A160" s="45" t="s">
        <v>474</v>
      </c>
      <c r="B160" s="54" t="s">
        <v>475</v>
      </c>
      <c r="C160" s="69">
        <v>42651</v>
      </c>
      <c r="D160" s="55">
        <f>65+15</f>
        <v>80</v>
      </c>
      <c r="E160" s="45" t="s">
        <v>26</v>
      </c>
      <c r="F160" s="36">
        <v>45</v>
      </c>
      <c r="G160" s="71">
        <v>42704</v>
      </c>
      <c r="H160" s="55" t="s">
        <v>537</v>
      </c>
      <c r="I160" s="56" t="s">
        <v>522</v>
      </c>
      <c r="J160" s="100" t="s">
        <v>634</v>
      </c>
      <c r="K160" s="106" t="s">
        <v>390</v>
      </c>
    </row>
    <row r="161" spans="1:11" hidden="1" x14ac:dyDescent="0.25">
      <c r="A161" s="47" t="s">
        <v>393</v>
      </c>
      <c r="B161" s="45" t="s">
        <v>394</v>
      </c>
      <c r="C161" s="69">
        <v>42657</v>
      </c>
      <c r="D161" s="48">
        <v>80</v>
      </c>
      <c r="E161" s="45" t="s">
        <v>26</v>
      </c>
      <c r="F161" s="34">
        <v>50</v>
      </c>
      <c r="G161" s="69">
        <v>42704</v>
      </c>
      <c r="H161" s="42" t="s">
        <v>537</v>
      </c>
      <c r="I161" s="44" t="s">
        <v>522</v>
      </c>
      <c r="J161" s="101" t="s">
        <v>640</v>
      </c>
      <c r="K161" s="107" t="s">
        <v>390</v>
      </c>
    </row>
    <row r="162" spans="1:11" hidden="1" x14ac:dyDescent="0.25">
      <c r="A162" s="45" t="s">
        <v>453</v>
      </c>
      <c r="B162" s="45" t="s">
        <v>607</v>
      </c>
      <c r="C162" s="69">
        <v>42662</v>
      </c>
      <c r="D162" s="55">
        <v>80</v>
      </c>
      <c r="E162" s="45" t="s">
        <v>26</v>
      </c>
      <c r="F162" s="36">
        <v>32</v>
      </c>
      <c r="G162" s="71">
        <v>42704</v>
      </c>
      <c r="H162" s="55" t="s">
        <v>537</v>
      </c>
      <c r="I162" s="44" t="s">
        <v>522</v>
      </c>
      <c r="J162" s="100" t="s">
        <v>611</v>
      </c>
      <c r="K162" s="107" t="s">
        <v>390</v>
      </c>
    </row>
    <row r="163" spans="1:11" hidden="1" x14ac:dyDescent="0.25">
      <c r="A163" s="45" t="s">
        <v>371</v>
      </c>
      <c r="B163" s="45" t="s">
        <v>372</v>
      </c>
      <c r="C163" s="69">
        <v>42668</v>
      </c>
      <c r="D163" s="55">
        <v>40</v>
      </c>
      <c r="E163" s="45" t="s">
        <v>26</v>
      </c>
      <c r="F163" s="36">
        <v>30</v>
      </c>
      <c r="G163" s="71">
        <v>42719</v>
      </c>
      <c r="H163" s="55" t="s">
        <v>537</v>
      </c>
      <c r="I163" s="44" t="s">
        <v>522</v>
      </c>
      <c r="J163" s="101" t="s">
        <v>618</v>
      </c>
      <c r="K163" s="106" t="s">
        <v>390</v>
      </c>
    </row>
    <row r="164" spans="1:11" hidden="1" x14ac:dyDescent="0.25">
      <c r="A164" s="45" t="s">
        <v>355</v>
      </c>
      <c r="B164" s="45" t="s">
        <v>587</v>
      </c>
      <c r="C164" s="69">
        <v>42582</v>
      </c>
      <c r="D164" s="42">
        <v>135</v>
      </c>
      <c r="E164" s="45" t="s">
        <v>26</v>
      </c>
      <c r="F164" s="33">
        <v>50</v>
      </c>
      <c r="G164" s="73">
        <v>42602</v>
      </c>
      <c r="H164" s="42" t="s">
        <v>521</v>
      </c>
      <c r="I164" s="44" t="s">
        <v>522</v>
      </c>
      <c r="J164" s="48"/>
      <c r="K164" s="107" t="s">
        <v>638</v>
      </c>
    </row>
    <row r="165" spans="1:11" hidden="1" x14ac:dyDescent="0.25">
      <c r="A165" s="95" t="s">
        <v>495</v>
      </c>
      <c r="B165" s="113" t="s">
        <v>311</v>
      </c>
      <c r="C165" s="69">
        <v>42699</v>
      </c>
      <c r="D165" s="55">
        <v>328</v>
      </c>
      <c r="E165" s="45" t="s">
        <v>26</v>
      </c>
      <c r="F165" s="36">
        <v>109.33</v>
      </c>
      <c r="G165" s="71">
        <v>42704</v>
      </c>
      <c r="H165" s="42" t="s">
        <v>537</v>
      </c>
      <c r="I165" s="56" t="s">
        <v>522</v>
      </c>
      <c r="J165" s="125" t="s">
        <v>618</v>
      </c>
      <c r="K165" s="106" t="s">
        <v>390</v>
      </c>
    </row>
    <row r="166" spans="1:11" hidden="1" x14ac:dyDescent="0.25">
      <c r="A166" s="52" t="s">
        <v>365</v>
      </c>
      <c r="B166" s="45" t="s">
        <v>366</v>
      </c>
      <c r="C166" s="69">
        <v>42584</v>
      </c>
      <c r="D166" s="48">
        <v>119</v>
      </c>
      <c r="E166" s="47" t="s">
        <v>130</v>
      </c>
      <c r="F166" s="33">
        <v>56.42</v>
      </c>
      <c r="G166" s="69">
        <v>42643</v>
      </c>
      <c r="H166" s="42" t="s">
        <v>534</v>
      </c>
      <c r="I166" s="44" t="s">
        <v>522</v>
      </c>
      <c r="J166" s="48"/>
      <c r="K166" s="107" t="s">
        <v>638</v>
      </c>
    </row>
    <row r="167" spans="1:11" hidden="1" x14ac:dyDescent="0.25">
      <c r="A167" s="45" t="s">
        <v>327</v>
      </c>
      <c r="B167" s="45" t="s">
        <v>569</v>
      </c>
      <c r="C167" s="69">
        <v>42575</v>
      </c>
      <c r="D167" s="42" t="e">
        <f>SUMIFS(MERCADORIAS!$D:$D,MERCADORIAS!#REF!,"Rony")</f>
        <v>#REF!</v>
      </c>
      <c r="E167" s="45" t="s">
        <v>108</v>
      </c>
      <c r="F167" s="33">
        <v>80</v>
      </c>
      <c r="G167" s="69">
        <v>42575</v>
      </c>
      <c r="H167" s="42" t="s">
        <v>528</v>
      </c>
      <c r="I167" s="44" t="s">
        <v>522</v>
      </c>
      <c r="J167" s="48"/>
      <c r="K167" s="107" t="s">
        <v>638</v>
      </c>
    </row>
    <row r="168" spans="1:11" hidden="1" x14ac:dyDescent="0.25">
      <c r="A168" s="45" t="s">
        <v>352</v>
      </c>
      <c r="B168" s="45" t="s">
        <v>641</v>
      </c>
      <c r="C168" s="69">
        <v>42582</v>
      </c>
      <c r="D168" s="42" t="e">
        <f>SUMIFS(MERCADORIAS!$D:$D,MERCADORIAS!#REF!,"Solange")</f>
        <v>#REF!</v>
      </c>
      <c r="E168" s="45" t="s">
        <v>108</v>
      </c>
      <c r="F168" s="33">
        <v>48</v>
      </c>
      <c r="G168" s="69">
        <v>42582</v>
      </c>
      <c r="H168" s="42" t="s">
        <v>528</v>
      </c>
      <c r="I168" s="44" t="s">
        <v>522</v>
      </c>
      <c r="J168" s="101"/>
      <c r="K168" s="107" t="s">
        <v>638</v>
      </c>
    </row>
    <row r="169" spans="1:11" hidden="1" x14ac:dyDescent="0.25">
      <c r="A169" s="45" t="s">
        <v>357</v>
      </c>
      <c r="B169" s="45" t="s">
        <v>642</v>
      </c>
      <c r="C169" s="69">
        <v>42582</v>
      </c>
      <c r="D169" s="42" t="e">
        <f>SUMIFS(MERCADORIAS!$D:$D,MERCADORIAS!#REF!,"THEO")</f>
        <v>#REF!</v>
      </c>
      <c r="E169" s="45" t="s">
        <v>108</v>
      </c>
      <c r="F169" s="33" t="e">
        <f>SUMIFS(MERCADORIAS!$D:$D,MERCADORIAS!#REF!,"THEO")</f>
        <v>#REF!</v>
      </c>
      <c r="G169" s="69">
        <v>42587</v>
      </c>
      <c r="H169" s="42" t="s">
        <v>521</v>
      </c>
      <c r="I169" s="44" t="s">
        <v>522</v>
      </c>
      <c r="J169" s="101"/>
      <c r="K169" s="107" t="s">
        <v>638</v>
      </c>
    </row>
    <row r="170" spans="1:11" hidden="1" x14ac:dyDescent="0.25">
      <c r="A170" s="95" t="s">
        <v>495</v>
      </c>
      <c r="B170" s="113" t="s">
        <v>311</v>
      </c>
      <c r="C170" s="69">
        <v>42699</v>
      </c>
      <c r="D170" s="55">
        <v>328</v>
      </c>
      <c r="E170" s="45" t="s">
        <v>26</v>
      </c>
      <c r="F170" s="36">
        <v>109.33</v>
      </c>
      <c r="G170" s="71">
        <v>42734</v>
      </c>
      <c r="H170" s="55" t="s">
        <v>539</v>
      </c>
      <c r="I170" s="56" t="s">
        <v>643</v>
      </c>
      <c r="J170" s="100" t="s">
        <v>305</v>
      </c>
      <c r="K170" s="106" t="s">
        <v>644</v>
      </c>
    </row>
    <row r="171" spans="1:11" hidden="1" x14ac:dyDescent="0.25">
      <c r="A171" s="45" t="s">
        <v>486</v>
      </c>
      <c r="B171" s="9" t="s">
        <v>47</v>
      </c>
      <c r="C171" s="69">
        <v>42714</v>
      </c>
      <c r="D171" s="48">
        <v>35</v>
      </c>
      <c r="E171" s="45" t="s">
        <v>26</v>
      </c>
      <c r="F171" s="33">
        <v>35</v>
      </c>
      <c r="G171" s="69">
        <v>42734</v>
      </c>
      <c r="H171" s="42" t="s">
        <v>539</v>
      </c>
      <c r="I171" s="44" t="s">
        <v>585</v>
      </c>
      <c r="J171" s="48" t="s">
        <v>645</v>
      </c>
      <c r="K171" s="107" t="s">
        <v>644</v>
      </c>
    </row>
    <row r="172" spans="1:11" hidden="1" x14ac:dyDescent="0.25">
      <c r="A172" s="95" t="s">
        <v>493</v>
      </c>
      <c r="B172" s="113" t="s">
        <v>315</v>
      </c>
      <c r="C172" s="69">
        <v>42699</v>
      </c>
      <c r="D172" s="55">
        <v>75</v>
      </c>
      <c r="E172" s="45" t="s">
        <v>26</v>
      </c>
      <c r="F172" s="36">
        <v>75</v>
      </c>
      <c r="G172" s="71">
        <v>42719</v>
      </c>
      <c r="H172" s="55" t="s">
        <v>539</v>
      </c>
      <c r="I172" s="56" t="s">
        <v>522</v>
      </c>
      <c r="J172" s="125" t="s">
        <v>633</v>
      </c>
      <c r="K172" s="106" t="s">
        <v>546</v>
      </c>
    </row>
    <row r="173" spans="1:11" hidden="1" x14ac:dyDescent="0.25">
      <c r="A173" s="95" t="s">
        <v>462</v>
      </c>
      <c r="B173" s="9" t="s">
        <v>463</v>
      </c>
      <c r="C173" s="69">
        <v>42678</v>
      </c>
      <c r="D173" s="55">
        <v>173</v>
      </c>
      <c r="E173" s="45" t="s">
        <v>26</v>
      </c>
      <c r="F173" s="36">
        <v>43.25</v>
      </c>
      <c r="G173" s="71">
        <v>42750</v>
      </c>
      <c r="H173" s="55" t="s">
        <v>540</v>
      </c>
      <c r="I173" s="56" t="s">
        <v>643</v>
      </c>
      <c r="J173" s="100" t="s">
        <v>305</v>
      </c>
      <c r="K173" s="106" t="s">
        <v>644</v>
      </c>
    </row>
    <row r="174" spans="1:11" hidden="1" x14ac:dyDescent="0.25">
      <c r="A174" s="53" t="s">
        <v>428</v>
      </c>
      <c r="B174" s="54" t="s">
        <v>138</v>
      </c>
      <c r="C174" s="69">
        <v>42610</v>
      </c>
      <c r="D174" s="55">
        <v>65</v>
      </c>
      <c r="E174" s="45" t="s">
        <v>26</v>
      </c>
      <c r="F174" s="36">
        <v>65</v>
      </c>
      <c r="G174" s="71">
        <v>42633</v>
      </c>
      <c r="H174" s="55" t="s">
        <v>534</v>
      </c>
      <c r="I174" s="44" t="s">
        <v>646</v>
      </c>
      <c r="J174" s="100"/>
      <c r="K174" s="106"/>
    </row>
    <row r="175" spans="1:11" hidden="1" x14ac:dyDescent="0.25">
      <c r="A175" s="47" t="s">
        <v>388</v>
      </c>
      <c r="B175" s="45" t="s">
        <v>532</v>
      </c>
      <c r="C175" s="69">
        <v>42665</v>
      </c>
      <c r="D175" s="55">
        <v>88</v>
      </c>
      <c r="E175" s="54" t="s">
        <v>26</v>
      </c>
      <c r="F175" s="36">
        <v>50</v>
      </c>
      <c r="G175" s="69">
        <v>42765</v>
      </c>
      <c r="H175" s="55" t="s">
        <v>540</v>
      </c>
      <c r="I175" s="56" t="s">
        <v>522</v>
      </c>
      <c r="J175" s="48" t="s">
        <v>647</v>
      </c>
      <c r="K175" s="107" t="s">
        <v>644</v>
      </c>
    </row>
    <row r="176" spans="1:11" hidden="1" x14ac:dyDescent="0.25">
      <c r="A176" s="47" t="s">
        <v>388</v>
      </c>
      <c r="B176" s="45" t="s">
        <v>532</v>
      </c>
      <c r="C176" s="69">
        <v>42730</v>
      </c>
      <c r="D176" s="55">
        <v>62</v>
      </c>
      <c r="E176" s="54" t="s">
        <v>26</v>
      </c>
      <c r="F176" s="36">
        <v>50</v>
      </c>
      <c r="G176" s="69">
        <v>42794</v>
      </c>
      <c r="H176" s="55" t="s">
        <v>542</v>
      </c>
      <c r="I176" s="44" t="s">
        <v>585</v>
      </c>
      <c r="J176" s="48" t="s">
        <v>645</v>
      </c>
      <c r="K176" s="107" t="s">
        <v>644</v>
      </c>
    </row>
    <row r="177" spans="1:11" x14ac:dyDescent="0.25">
      <c r="A177" s="45" t="s">
        <v>459</v>
      </c>
      <c r="B177" s="45" t="s">
        <v>460</v>
      </c>
      <c r="C177" s="69">
        <v>42754</v>
      </c>
      <c r="D177" s="55">
        <v>111</v>
      </c>
      <c r="E177" s="45" t="s">
        <v>26</v>
      </c>
      <c r="F177" s="36">
        <f>111/2</f>
        <v>55.5</v>
      </c>
      <c r="G177" s="71">
        <v>42781</v>
      </c>
      <c r="H177" s="55" t="s">
        <v>542</v>
      </c>
      <c r="I177" s="56" t="s">
        <v>524</v>
      </c>
      <c r="J177" s="125"/>
      <c r="K177" s="106"/>
    </row>
    <row r="178" spans="1:11" hidden="1" x14ac:dyDescent="0.25">
      <c r="A178" s="45" t="s">
        <v>425</v>
      </c>
      <c r="B178" s="54" t="s">
        <v>426</v>
      </c>
      <c r="C178" s="69">
        <v>42705</v>
      </c>
      <c r="D178" s="55">
        <v>80</v>
      </c>
      <c r="E178" s="45" t="s">
        <v>26</v>
      </c>
      <c r="F178" s="34">
        <v>30</v>
      </c>
      <c r="G178" s="71">
        <v>42719</v>
      </c>
      <c r="H178" s="42" t="s">
        <v>539</v>
      </c>
      <c r="I178" s="56" t="s">
        <v>643</v>
      </c>
      <c r="J178" s="100" t="s">
        <v>317</v>
      </c>
      <c r="K178" s="106" t="s">
        <v>644</v>
      </c>
    </row>
    <row r="179" spans="1:11" hidden="1" x14ac:dyDescent="0.25">
      <c r="A179" s="140" t="s">
        <v>499</v>
      </c>
      <c r="B179" s="9" t="s">
        <v>500</v>
      </c>
      <c r="C179" s="69">
        <v>42719</v>
      </c>
      <c r="D179" s="55">
        <v>148</v>
      </c>
      <c r="E179" s="45" t="s">
        <v>26</v>
      </c>
      <c r="F179" s="36">
        <v>50</v>
      </c>
      <c r="G179" s="71">
        <v>42719</v>
      </c>
      <c r="H179" s="55" t="s">
        <v>539</v>
      </c>
      <c r="I179" s="56" t="s">
        <v>522</v>
      </c>
      <c r="J179" s="125" t="s">
        <v>635</v>
      </c>
      <c r="K179" s="106" t="s">
        <v>546</v>
      </c>
    </row>
    <row r="180" spans="1:11" hidden="1" x14ac:dyDescent="0.25">
      <c r="A180" s="140" t="s">
        <v>499</v>
      </c>
      <c r="B180" s="9" t="s">
        <v>500</v>
      </c>
      <c r="C180" s="69">
        <v>42719</v>
      </c>
      <c r="D180" s="55">
        <v>148</v>
      </c>
      <c r="E180" s="45" t="s">
        <v>26</v>
      </c>
      <c r="F180" s="36">
        <v>49</v>
      </c>
      <c r="G180" s="71">
        <v>42384</v>
      </c>
      <c r="H180" s="55" t="s">
        <v>540</v>
      </c>
      <c r="I180" s="56" t="s">
        <v>643</v>
      </c>
      <c r="J180" s="100" t="s">
        <v>305</v>
      </c>
      <c r="K180" s="106" t="s">
        <v>644</v>
      </c>
    </row>
    <row r="181" spans="1:11" hidden="1" x14ac:dyDescent="0.25">
      <c r="A181" s="140" t="s">
        <v>499</v>
      </c>
      <c r="B181" s="9" t="s">
        <v>500</v>
      </c>
      <c r="C181" s="69">
        <v>42719</v>
      </c>
      <c r="D181" s="55">
        <v>148</v>
      </c>
      <c r="E181" s="45" t="s">
        <v>26</v>
      </c>
      <c r="F181" s="36">
        <v>49</v>
      </c>
      <c r="G181" s="71">
        <v>42765</v>
      </c>
      <c r="H181" s="55" t="s">
        <v>540</v>
      </c>
      <c r="I181" s="56" t="s">
        <v>643</v>
      </c>
      <c r="J181" s="100" t="s">
        <v>305</v>
      </c>
      <c r="K181" s="106" t="s">
        <v>644</v>
      </c>
    </row>
    <row r="182" spans="1:11" x14ac:dyDescent="0.25">
      <c r="A182" s="45" t="s">
        <v>469</v>
      </c>
      <c r="B182" s="54" t="s">
        <v>74</v>
      </c>
      <c r="C182" s="69">
        <v>42754</v>
      </c>
      <c r="D182" s="55">
        <v>99</v>
      </c>
      <c r="E182" s="45" t="s">
        <v>26</v>
      </c>
      <c r="F182" s="36">
        <v>49</v>
      </c>
      <c r="G182" s="71">
        <v>42781</v>
      </c>
      <c r="H182" s="55" t="s">
        <v>542</v>
      </c>
      <c r="I182" s="56" t="s">
        <v>524</v>
      </c>
      <c r="J182" s="125"/>
      <c r="K182" s="106"/>
    </row>
    <row r="183" spans="1:11" x14ac:dyDescent="0.25">
      <c r="A183" s="45" t="s">
        <v>477</v>
      </c>
      <c r="B183" s="9" t="s">
        <v>478</v>
      </c>
      <c r="C183" s="69">
        <v>42755</v>
      </c>
      <c r="D183" s="55">
        <v>315</v>
      </c>
      <c r="E183" s="45" t="s">
        <v>26</v>
      </c>
      <c r="F183" s="36">
        <v>107.5</v>
      </c>
      <c r="G183" s="71">
        <v>42781</v>
      </c>
      <c r="H183" s="55" t="s">
        <v>542</v>
      </c>
      <c r="I183" s="56" t="s">
        <v>524</v>
      </c>
      <c r="J183" s="100"/>
      <c r="K183" s="106"/>
    </row>
    <row r="184" spans="1:11" x14ac:dyDescent="0.25">
      <c r="A184" s="45" t="s">
        <v>477</v>
      </c>
      <c r="B184" s="9" t="s">
        <v>478</v>
      </c>
      <c r="C184" s="69">
        <v>42755</v>
      </c>
      <c r="D184" s="55">
        <v>315</v>
      </c>
      <c r="E184" s="45" t="s">
        <v>26</v>
      </c>
      <c r="F184" s="36">
        <v>107.5</v>
      </c>
      <c r="G184" s="71">
        <v>42793</v>
      </c>
      <c r="H184" s="55" t="s">
        <v>542</v>
      </c>
      <c r="I184" s="56" t="s">
        <v>524</v>
      </c>
      <c r="J184" s="125"/>
      <c r="K184" s="106"/>
    </row>
    <row r="185" spans="1:11" x14ac:dyDescent="0.25">
      <c r="A185" s="45" t="s">
        <v>449</v>
      </c>
      <c r="B185" s="45" t="s">
        <v>208</v>
      </c>
      <c r="C185" s="69">
        <v>42755</v>
      </c>
      <c r="D185" s="55">
        <v>110</v>
      </c>
      <c r="E185" s="45" t="s">
        <v>26</v>
      </c>
      <c r="F185" s="36">
        <v>60</v>
      </c>
      <c r="G185" s="71">
        <v>42781</v>
      </c>
      <c r="H185" s="55" t="s">
        <v>542</v>
      </c>
      <c r="I185" s="56" t="s">
        <v>524</v>
      </c>
      <c r="J185" s="125"/>
      <c r="K185" s="106"/>
    </row>
    <row r="186" spans="1:11" x14ac:dyDescent="0.25">
      <c r="A186" s="47" t="s">
        <v>393</v>
      </c>
      <c r="B186" s="45" t="s">
        <v>394</v>
      </c>
      <c r="C186" s="69">
        <v>42755</v>
      </c>
      <c r="D186" s="55">
        <v>122</v>
      </c>
      <c r="E186" s="45" t="s">
        <v>26</v>
      </c>
      <c r="F186" s="36">
        <f>D186/3</f>
        <v>40.666666666666664</v>
      </c>
      <c r="G186" s="71">
        <v>42781</v>
      </c>
      <c r="H186" s="55" t="s">
        <v>542</v>
      </c>
      <c r="I186" s="56" t="s">
        <v>524</v>
      </c>
      <c r="J186" s="125"/>
      <c r="K186" s="106"/>
    </row>
    <row r="187" spans="1:11" x14ac:dyDescent="0.25">
      <c r="A187" s="47" t="s">
        <v>393</v>
      </c>
      <c r="B187" s="45" t="s">
        <v>394</v>
      </c>
      <c r="C187" s="69">
        <v>42755</v>
      </c>
      <c r="D187" s="55">
        <v>122</v>
      </c>
      <c r="E187" s="45" t="s">
        <v>26</v>
      </c>
      <c r="F187" s="36">
        <f>D187/3</f>
        <v>40.666666666666664</v>
      </c>
      <c r="G187" s="71">
        <v>42793</v>
      </c>
      <c r="H187" s="55" t="s">
        <v>542</v>
      </c>
      <c r="I187" s="56" t="s">
        <v>524</v>
      </c>
      <c r="J187" s="125"/>
      <c r="K187" s="106"/>
    </row>
    <row r="188" spans="1:11" x14ac:dyDescent="0.25">
      <c r="A188" s="140" t="s">
        <v>508</v>
      </c>
      <c r="B188" s="9" t="s">
        <v>509</v>
      </c>
      <c r="C188" s="69">
        <v>42759</v>
      </c>
      <c r="D188" s="55">
        <v>105</v>
      </c>
      <c r="E188" s="45" t="s">
        <v>26</v>
      </c>
      <c r="F188" s="36">
        <v>50</v>
      </c>
      <c r="G188" s="71">
        <v>42781</v>
      </c>
      <c r="H188" s="55" t="s">
        <v>542</v>
      </c>
      <c r="I188" s="56" t="s">
        <v>524</v>
      </c>
      <c r="J188" s="125"/>
      <c r="K188" s="106"/>
    </row>
    <row r="189" spans="1:11" hidden="1" x14ac:dyDescent="0.25">
      <c r="A189" s="45" t="s">
        <v>344</v>
      </c>
      <c r="B189" s="45" t="s">
        <v>345</v>
      </c>
      <c r="C189" s="69">
        <v>42762</v>
      </c>
      <c r="D189" s="55">
        <f>88-17.6</f>
        <v>70.400000000000006</v>
      </c>
      <c r="E189" s="45" t="s">
        <v>26</v>
      </c>
      <c r="F189" s="36">
        <v>35</v>
      </c>
      <c r="G189" s="71">
        <v>42765</v>
      </c>
      <c r="H189" s="55" t="s">
        <v>540</v>
      </c>
      <c r="I189" s="56" t="s">
        <v>522</v>
      </c>
      <c r="J189" s="125" t="s">
        <v>648</v>
      </c>
      <c r="K189" s="106" t="s">
        <v>649</v>
      </c>
    </row>
    <row r="190" spans="1:11" hidden="1" x14ac:dyDescent="0.25">
      <c r="A190" s="45" t="s">
        <v>344</v>
      </c>
      <c r="B190" s="45" t="s">
        <v>345</v>
      </c>
      <c r="C190" s="69">
        <v>42762</v>
      </c>
      <c r="D190" s="55">
        <f>88-17.6</f>
        <v>70.400000000000006</v>
      </c>
      <c r="E190" s="45" t="s">
        <v>26</v>
      </c>
      <c r="F190" s="36">
        <v>35</v>
      </c>
      <c r="G190" s="71">
        <v>42781</v>
      </c>
      <c r="H190" s="55" t="s">
        <v>542</v>
      </c>
      <c r="I190" s="44" t="s">
        <v>585</v>
      </c>
      <c r="J190" s="48" t="s">
        <v>645</v>
      </c>
      <c r="K190" s="107" t="s">
        <v>644</v>
      </c>
    </row>
    <row r="191" spans="1:11" hidden="1" x14ac:dyDescent="0.25">
      <c r="A191" s="95" t="s">
        <v>495</v>
      </c>
      <c r="B191" s="113" t="s">
        <v>311</v>
      </c>
      <c r="C191" s="69">
        <v>42753</v>
      </c>
      <c r="D191" s="55">
        <v>131</v>
      </c>
      <c r="E191" s="45" t="s">
        <v>26</v>
      </c>
      <c r="F191" s="36">
        <v>131</v>
      </c>
      <c r="G191" s="71">
        <v>42765</v>
      </c>
      <c r="H191" s="55" t="s">
        <v>540</v>
      </c>
      <c r="I191" s="56" t="s">
        <v>522</v>
      </c>
      <c r="J191" s="125" t="s">
        <v>650</v>
      </c>
      <c r="K191" s="106" t="s">
        <v>649</v>
      </c>
    </row>
    <row r="192" spans="1:11" x14ac:dyDescent="0.25">
      <c r="A192" s="45" t="s">
        <v>404</v>
      </c>
      <c r="B192" s="9" t="s">
        <v>127</v>
      </c>
      <c r="C192" s="69">
        <v>42754</v>
      </c>
      <c r="D192" s="55">
        <v>72</v>
      </c>
      <c r="E192" s="45" t="s">
        <v>26</v>
      </c>
      <c r="F192" s="36">
        <v>72</v>
      </c>
      <c r="G192" s="71">
        <v>42765</v>
      </c>
      <c r="H192" s="55" t="s">
        <v>540</v>
      </c>
      <c r="I192" s="56" t="s">
        <v>524</v>
      </c>
      <c r="J192" s="125"/>
      <c r="K192" s="106"/>
    </row>
    <row r="193" spans="1:11" hidden="1" x14ac:dyDescent="0.25">
      <c r="A193" s="45" t="s">
        <v>392</v>
      </c>
      <c r="B193" s="45" t="s">
        <v>131</v>
      </c>
      <c r="C193" s="69">
        <v>42714</v>
      </c>
      <c r="D193" s="55">
        <v>39</v>
      </c>
      <c r="E193" s="45" t="s">
        <v>26</v>
      </c>
      <c r="F193" s="36">
        <v>39</v>
      </c>
      <c r="G193" s="71">
        <v>42379</v>
      </c>
      <c r="H193" s="55" t="s">
        <v>540</v>
      </c>
      <c r="I193" s="56" t="s">
        <v>643</v>
      </c>
      <c r="J193" s="100" t="s">
        <v>305</v>
      </c>
      <c r="K193" s="106" t="s">
        <v>644</v>
      </c>
    </row>
    <row r="194" spans="1:11" hidden="1" x14ac:dyDescent="0.25">
      <c r="A194" s="45" t="s">
        <v>459</v>
      </c>
      <c r="B194" s="45" t="s">
        <v>460</v>
      </c>
      <c r="C194" s="69">
        <v>42754</v>
      </c>
      <c r="D194" s="55">
        <v>111</v>
      </c>
      <c r="E194" s="45" t="s">
        <v>26</v>
      </c>
      <c r="F194" s="36">
        <f>111/2</f>
        <v>55.5</v>
      </c>
      <c r="G194" s="71">
        <v>42765</v>
      </c>
      <c r="H194" s="55" t="s">
        <v>540</v>
      </c>
      <c r="I194" s="56" t="s">
        <v>522</v>
      </c>
      <c r="J194" s="125" t="s">
        <v>650</v>
      </c>
      <c r="K194" s="106" t="s">
        <v>649</v>
      </c>
    </row>
    <row r="195" spans="1:11" hidden="1" x14ac:dyDescent="0.25">
      <c r="A195" s="95" t="s">
        <v>493</v>
      </c>
      <c r="B195" s="113" t="s">
        <v>315</v>
      </c>
      <c r="C195" s="69">
        <v>42754</v>
      </c>
      <c r="D195" s="55">
        <v>72</v>
      </c>
      <c r="E195" s="45" t="s">
        <v>26</v>
      </c>
      <c r="F195" s="36">
        <v>72</v>
      </c>
      <c r="G195" s="71">
        <v>42765</v>
      </c>
      <c r="H195" s="55" t="s">
        <v>540</v>
      </c>
      <c r="I195" s="56" t="s">
        <v>522</v>
      </c>
      <c r="J195" s="125" t="s">
        <v>650</v>
      </c>
      <c r="K195" s="106" t="s">
        <v>649</v>
      </c>
    </row>
    <row r="196" spans="1:11" hidden="1" x14ac:dyDescent="0.25">
      <c r="A196" s="45" t="s">
        <v>449</v>
      </c>
      <c r="B196" s="45" t="s">
        <v>208</v>
      </c>
      <c r="C196" s="69">
        <v>42755</v>
      </c>
      <c r="D196" s="55">
        <v>110</v>
      </c>
      <c r="E196" s="45" t="s">
        <v>26</v>
      </c>
      <c r="F196" s="36">
        <v>50</v>
      </c>
      <c r="G196" s="71">
        <v>42765</v>
      </c>
      <c r="H196" s="55" t="s">
        <v>540</v>
      </c>
      <c r="I196" s="56" t="s">
        <v>585</v>
      </c>
      <c r="J196" s="153" t="s">
        <v>651</v>
      </c>
      <c r="K196" s="106" t="s">
        <v>644</v>
      </c>
    </row>
    <row r="197" spans="1:11" x14ac:dyDescent="0.25">
      <c r="A197" s="45" t="s">
        <v>378</v>
      </c>
      <c r="B197" s="45" t="s">
        <v>80</v>
      </c>
      <c r="C197" s="69">
        <v>42754</v>
      </c>
      <c r="D197" s="55">
        <v>55</v>
      </c>
      <c r="E197" s="45" t="s">
        <v>26</v>
      </c>
      <c r="F197" s="36">
        <v>55</v>
      </c>
      <c r="G197" s="71">
        <v>42765</v>
      </c>
      <c r="H197" s="55" t="s">
        <v>540</v>
      </c>
      <c r="I197" s="56" t="s">
        <v>524</v>
      </c>
      <c r="J197" s="125"/>
      <c r="K197" s="106"/>
    </row>
    <row r="198" spans="1:11" hidden="1" x14ac:dyDescent="0.25">
      <c r="A198" s="47" t="s">
        <v>393</v>
      </c>
      <c r="B198" s="45" t="s">
        <v>394</v>
      </c>
      <c r="C198" s="69">
        <v>42657</v>
      </c>
      <c r="D198" s="48">
        <v>80</v>
      </c>
      <c r="E198" s="45" t="s">
        <v>26</v>
      </c>
      <c r="F198" s="34">
        <v>40</v>
      </c>
      <c r="G198" s="69">
        <v>42719</v>
      </c>
      <c r="H198" s="42" t="s">
        <v>539</v>
      </c>
      <c r="I198" s="56" t="s">
        <v>643</v>
      </c>
      <c r="J198" s="100" t="s">
        <v>317</v>
      </c>
      <c r="K198" s="106" t="s">
        <v>644</v>
      </c>
    </row>
    <row r="199" spans="1:11" hidden="1" x14ac:dyDescent="0.25">
      <c r="A199" s="45" t="s">
        <v>469</v>
      </c>
      <c r="B199" s="54" t="s">
        <v>74</v>
      </c>
      <c r="C199" s="69">
        <v>42754</v>
      </c>
      <c r="D199" s="55">
        <v>99</v>
      </c>
      <c r="E199" s="45" t="s">
        <v>26</v>
      </c>
      <c r="F199" s="36">
        <v>50</v>
      </c>
      <c r="G199" s="71">
        <v>42765</v>
      </c>
      <c r="H199" s="55" t="s">
        <v>540</v>
      </c>
      <c r="I199" s="56" t="s">
        <v>522</v>
      </c>
      <c r="J199" s="125" t="s">
        <v>648</v>
      </c>
      <c r="K199" s="106" t="s">
        <v>644</v>
      </c>
    </row>
    <row r="200" spans="1:11" hidden="1" x14ac:dyDescent="0.25">
      <c r="A200" s="45" t="s">
        <v>477</v>
      </c>
      <c r="B200" s="9" t="s">
        <v>478</v>
      </c>
      <c r="C200" s="69">
        <v>42755</v>
      </c>
      <c r="D200" s="55">
        <v>315</v>
      </c>
      <c r="E200" s="45" t="s">
        <v>26</v>
      </c>
      <c r="F200" s="36">
        <v>100</v>
      </c>
      <c r="G200" s="71">
        <v>42765</v>
      </c>
      <c r="H200" s="55" t="s">
        <v>540</v>
      </c>
      <c r="I200" s="56" t="s">
        <v>522</v>
      </c>
      <c r="J200" s="125" t="s">
        <v>650</v>
      </c>
      <c r="K200" s="106" t="s">
        <v>644</v>
      </c>
    </row>
    <row r="201" spans="1:11" hidden="1" x14ac:dyDescent="0.25">
      <c r="A201" s="140" t="s">
        <v>503</v>
      </c>
      <c r="B201" s="9" t="s">
        <v>316</v>
      </c>
      <c r="C201" s="69">
        <v>42754</v>
      </c>
      <c r="D201" s="55">
        <v>32</v>
      </c>
      <c r="E201" s="45" t="s">
        <v>26</v>
      </c>
      <c r="F201" s="36">
        <v>32</v>
      </c>
      <c r="G201" s="71">
        <v>42765</v>
      </c>
      <c r="H201" s="55" t="s">
        <v>540</v>
      </c>
      <c r="I201" s="56" t="s">
        <v>522</v>
      </c>
      <c r="J201" s="125" t="s">
        <v>650</v>
      </c>
      <c r="K201" s="106" t="s">
        <v>649</v>
      </c>
    </row>
    <row r="202" spans="1:11" x14ac:dyDescent="0.25">
      <c r="A202" s="47" t="s">
        <v>393</v>
      </c>
      <c r="B202" s="45" t="s">
        <v>394</v>
      </c>
      <c r="C202" s="69">
        <v>42755</v>
      </c>
      <c r="D202" s="55">
        <v>122</v>
      </c>
      <c r="E202" s="45" t="s">
        <v>26</v>
      </c>
      <c r="F202" s="36">
        <f>D202/3</f>
        <v>40.666666666666664</v>
      </c>
      <c r="G202" s="71">
        <v>42765</v>
      </c>
      <c r="H202" s="55" t="s">
        <v>540</v>
      </c>
      <c r="I202" s="56" t="s">
        <v>524</v>
      </c>
      <c r="J202" s="125"/>
      <c r="K202" s="106"/>
    </row>
    <row r="203" spans="1:11" x14ac:dyDescent="0.25">
      <c r="A203" s="45" t="s">
        <v>412</v>
      </c>
      <c r="B203" s="45" t="s">
        <v>413</v>
      </c>
      <c r="C203" s="69">
        <v>42758</v>
      </c>
      <c r="D203" s="55">
        <f>30-7.5</f>
        <v>22.5</v>
      </c>
      <c r="E203" s="45" t="s">
        <v>26</v>
      </c>
      <c r="F203" s="36">
        <v>22.5</v>
      </c>
      <c r="G203" s="71">
        <v>42765</v>
      </c>
      <c r="H203" s="55" t="s">
        <v>540</v>
      </c>
      <c r="I203" s="56" t="s">
        <v>524</v>
      </c>
      <c r="J203" s="125"/>
      <c r="K203" s="106"/>
    </row>
    <row r="204" spans="1:11" hidden="1" x14ac:dyDescent="0.25">
      <c r="A204" s="140" t="s">
        <v>505</v>
      </c>
      <c r="B204" s="9" t="s">
        <v>506</v>
      </c>
      <c r="C204" s="69">
        <v>42754</v>
      </c>
      <c r="D204" s="55">
        <v>72</v>
      </c>
      <c r="E204" s="45" t="s">
        <v>26</v>
      </c>
      <c r="F204" s="36">
        <v>72</v>
      </c>
      <c r="G204" s="71">
        <v>42765</v>
      </c>
      <c r="H204" s="55" t="s">
        <v>540</v>
      </c>
      <c r="I204" s="56" t="s">
        <v>522</v>
      </c>
      <c r="J204" s="125" t="s">
        <v>650</v>
      </c>
      <c r="K204" s="106" t="s">
        <v>652</v>
      </c>
    </row>
    <row r="205" spans="1:11" hidden="1" x14ac:dyDescent="0.25">
      <c r="A205" s="53" t="s">
        <v>653</v>
      </c>
      <c r="B205" s="54" t="s">
        <v>309</v>
      </c>
      <c r="C205" s="69">
        <v>43099</v>
      </c>
      <c r="D205" s="55">
        <f>30+20+24+15</f>
        <v>89</v>
      </c>
      <c r="E205" s="45" t="s">
        <v>108</v>
      </c>
      <c r="F205" s="36">
        <v>89</v>
      </c>
      <c r="G205" s="71">
        <v>42765</v>
      </c>
      <c r="H205" s="55" t="s">
        <v>540</v>
      </c>
      <c r="I205" s="56" t="s">
        <v>522</v>
      </c>
      <c r="J205" s="125" t="s">
        <v>654</v>
      </c>
      <c r="K205" s="106" t="s">
        <v>644</v>
      </c>
    </row>
    <row r="206" spans="1:11" hidden="1" x14ac:dyDescent="0.25">
      <c r="A206" s="45" t="s">
        <v>371</v>
      </c>
      <c r="B206" s="45" t="s">
        <v>372</v>
      </c>
      <c r="C206" s="69">
        <v>42758</v>
      </c>
      <c r="D206" s="55">
        <f>65-13</f>
        <v>52</v>
      </c>
      <c r="E206" s="45" t="s">
        <v>26</v>
      </c>
      <c r="F206" s="36">
        <v>52</v>
      </c>
      <c r="G206" s="71">
        <v>42765</v>
      </c>
      <c r="H206" s="55" t="s">
        <v>540</v>
      </c>
      <c r="I206" s="56" t="s">
        <v>585</v>
      </c>
      <c r="J206" s="153" t="s">
        <v>651</v>
      </c>
      <c r="K206" s="106" t="s">
        <v>644</v>
      </c>
    </row>
    <row r="207" spans="1:11" hidden="1" x14ac:dyDescent="0.25">
      <c r="A207" s="128" t="s">
        <v>374</v>
      </c>
      <c r="B207" s="128" t="s">
        <v>375</v>
      </c>
      <c r="C207" s="69">
        <v>42758</v>
      </c>
      <c r="D207" s="55">
        <f>80-16</f>
        <v>64</v>
      </c>
      <c r="E207" s="45" t="s">
        <v>26</v>
      </c>
      <c r="F207" s="36">
        <v>64</v>
      </c>
      <c r="G207" s="71">
        <v>42765</v>
      </c>
      <c r="H207" s="55" t="s">
        <v>540</v>
      </c>
      <c r="I207" s="56" t="s">
        <v>585</v>
      </c>
      <c r="J207" s="153" t="s">
        <v>651</v>
      </c>
      <c r="K207" s="106" t="s">
        <v>644</v>
      </c>
    </row>
    <row r="208" spans="1:11" hidden="1" x14ac:dyDescent="0.25">
      <c r="A208" s="45" t="s">
        <v>453</v>
      </c>
      <c r="B208" s="45" t="s">
        <v>454</v>
      </c>
      <c r="C208" s="69">
        <v>42719</v>
      </c>
      <c r="D208" s="55">
        <v>50</v>
      </c>
      <c r="E208" s="45" t="s">
        <v>26</v>
      </c>
      <c r="F208" s="36">
        <v>24</v>
      </c>
      <c r="G208" s="71">
        <v>42750</v>
      </c>
      <c r="H208" s="55" t="s">
        <v>540</v>
      </c>
      <c r="I208" s="56" t="s">
        <v>522</v>
      </c>
      <c r="J208" s="125" t="s">
        <v>650</v>
      </c>
      <c r="K208" s="106" t="s">
        <v>649</v>
      </c>
    </row>
    <row r="209" spans="1:11" hidden="1" x14ac:dyDescent="0.25">
      <c r="A209" s="140" t="s">
        <v>508</v>
      </c>
      <c r="B209" s="9" t="s">
        <v>509</v>
      </c>
      <c r="C209" s="69">
        <v>42759</v>
      </c>
      <c r="D209" s="55">
        <v>105</v>
      </c>
      <c r="E209" s="45" t="s">
        <v>26</v>
      </c>
      <c r="F209" s="36">
        <v>55</v>
      </c>
      <c r="G209" s="71">
        <v>42765</v>
      </c>
      <c r="H209" s="55" t="s">
        <v>540</v>
      </c>
      <c r="I209" s="56" t="s">
        <v>522</v>
      </c>
      <c r="J209" s="125" t="s">
        <v>648</v>
      </c>
      <c r="K209" s="106" t="s">
        <v>644</v>
      </c>
    </row>
    <row r="210" spans="1:11" hidden="1" x14ac:dyDescent="0.25">
      <c r="A210" s="45" t="s">
        <v>406</v>
      </c>
      <c r="B210" s="45" t="s">
        <v>407</v>
      </c>
      <c r="C210" s="69">
        <v>42759</v>
      </c>
      <c r="D210" s="55">
        <f>70-14</f>
        <v>56</v>
      </c>
      <c r="E210" s="45" t="s">
        <v>26</v>
      </c>
      <c r="F210" s="36">
        <v>55</v>
      </c>
      <c r="G210" s="71">
        <v>42765</v>
      </c>
      <c r="H210" s="55" t="s">
        <v>540</v>
      </c>
      <c r="I210" s="56" t="s">
        <v>522</v>
      </c>
      <c r="J210" s="153" t="s">
        <v>651</v>
      </c>
      <c r="K210" s="106" t="s">
        <v>649</v>
      </c>
    </row>
    <row r="211" spans="1:11" hidden="1" x14ac:dyDescent="0.25">
      <c r="A211" s="45" t="s">
        <v>337</v>
      </c>
      <c r="B211" s="45" t="s">
        <v>338</v>
      </c>
      <c r="C211" s="69">
        <v>42762</v>
      </c>
      <c r="D211" s="55">
        <f>24-4.8</f>
        <v>19.2</v>
      </c>
      <c r="E211" s="45" t="s">
        <v>26</v>
      </c>
      <c r="F211" s="36">
        <v>19</v>
      </c>
      <c r="G211" s="71">
        <v>42765</v>
      </c>
      <c r="H211" s="55" t="s">
        <v>540</v>
      </c>
      <c r="I211" s="56" t="s">
        <v>522</v>
      </c>
      <c r="J211" s="125" t="s">
        <v>655</v>
      </c>
      <c r="K211" s="106" t="s">
        <v>649</v>
      </c>
    </row>
    <row r="212" spans="1:11" x14ac:dyDescent="0.25">
      <c r="A212" s="140" t="s">
        <v>498</v>
      </c>
      <c r="B212" s="9" t="s">
        <v>310</v>
      </c>
      <c r="C212" s="69">
        <v>42762</v>
      </c>
      <c r="D212" s="55">
        <v>32</v>
      </c>
      <c r="E212" s="45" t="s">
        <v>26</v>
      </c>
      <c r="F212" s="36">
        <v>32</v>
      </c>
      <c r="G212" s="71">
        <v>42765</v>
      </c>
      <c r="H212" s="55" t="s">
        <v>540</v>
      </c>
      <c r="I212" s="56" t="s">
        <v>524</v>
      </c>
      <c r="J212" s="125"/>
      <c r="K212" s="106"/>
    </row>
  </sheetData>
  <autoFilter ref="A4:K212" xr:uid="{00000000-0009-0000-0000-000003000000}">
    <filterColumn colId="8">
      <filters>
        <filter val="Aguardando"/>
      </filters>
    </filterColumn>
    <sortState xmlns:xlrd2="http://schemas.microsoft.com/office/spreadsheetml/2017/richdata2" ref="A171:K212">
      <sortCondition ref="H4:H212"/>
    </sortState>
  </autoFilter>
  <mergeCells count="1">
    <mergeCell ref="N4:O4"/>
  </mergeCells>
  <conditionalFormatting sqref="C82:C87 C5 C26:C28 C7 C11:C13 C15:C16 C22:C23 C30:C31 C38:C41 C56:C58 C33:C34 C43:C47 C95 C97 C136:C138 C143 C145 C153:C156 C161 C168:C169 C173:C174">
    <cfRule type="containsText" dxfId="3" priority="334" operator="containsText" text="Vendido">
      <formula>NOT(ISERROR(SEARCH("Vendido",C5)))</formula>
    </cfRule>
  </conditionalFormatting>
  <conditionalFormatting sqref="J4:K4 I1:I1048576">
    <cfRule type="containsText" dxfId="2" priority="309" operator="containsText" text="Atrasado">
      <formula>NOT(ISERROR(SEARCH("Atrasado",I1)))</formula>
    </cfRule>
    <cfRule type="containsText" dxfId="1" priority="310" operator="containsText" text="Aguardando">
      <formula>NOT(ISERROR(SEARCH("Aguardando",I1)))</formula>
    </cfRule>
    <cfRule type="containsText" dxfId="0" priority="311" operator="containsText" text="Pago">
      <formula>NOT(ISERROR(SEARCH("Pago",I1)))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MERCADORIAS c brinco</vt:lpstr>
      <vt:lpstr>MERCADORIAS</vt:lpstr>
      <vt:lpstr>CLIENTE</vt:lpstr>
      <vt:lpstr>A receber 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 Cavalcante Rondon</dc:creator>
  <cp:keywords/>
  <dc:description/>
  <cp:lastModifiedBy>Cleidiana Barbosa</cp:lastModifiedBy>
  <cp:revision/>
  <dcterms:created xsi:type="dcterms:W3CDTF">2016-07-14T16:52:01Z</dcterms:created>
  <dcterms:modified xsi:type="dcterms:W3CDTF">2022-12-09T08:34:55Z</dcterms:modified>
  <cp:category/>
  <cp:contentStatus/>
</cp:coreProperties>
</file>