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6" i="1" l="1"/>
  <c r="AG23" i="1"/>
  <c r="AK19" i="1"/>
  <c r="AI9" i="1"/>
  <c r="AM7" i="1"/>
  <c r="AI11" i="1"/>
  <c r="AI4" i="1"/>
  <c r="AG2" i="1"/>
  <c r="CA26" i="1"/>
  <c r="BY26" i="1"/>
  <c r="AQ22" i="1"/>
  <c r="AK7" i="1"/>
  <c r="AI13" i="1"/>
  <c r="AI12" i="1"/>
  <c r="O15" i="1" l="1"/>
  <c r="O24" i="1"/>
  <c r="O6" i="1"/>
  <c r="O12" i="1"/>
  <c r="O4" i="1"/>
  <c r="O3" i="1"/>
  <c r="Q27" i="1" l="1"/>
  <c r="P27" i="1"/>
  <c r="N26" i="1"/>
  <c r="O2" i="1"/>
  <c r="N2" i="1" s="1"/>
  <c r="N3" i="1"/>
  <c r="N4" i="1"/>
  <c r="O5" i="1"/>
  <c r="N5" i="1" s="1"/>
  <c r="N6" i="1"/>
  <c r="O7" i="1"/>
  <c r="N7" i="1" s="1"/>
  <c r="O8" i="1"/>
  <c r="N8" i="1" s="1"/>
  <c r="O9" i="1"/>
  <c r="N9" i="1" s="1"/>
  <c r="O10" i="1"/>
  <c r="N10" i="1" s="1"/>
  <c r="O11" i="1"/>
  <c r="N11" i="1" s="1"/>
  <c r="N12" i="1"/>
  <c r="O13" i="1"/>
  <c r="N13" i="1" s="1"/>
  <c r="O14" i="1"/>
  <c r="N14" i="1" s="1"/>
  <c r="N15" i="1"/>
  <c r="O16" i="1"/>
  <c r="N16" i="1" s="1"/>
  <c r="O17" i="1"/>
  <c r="N17" i="1" s="1"/>
  <c r="O18" i="1"/>
  <c r="N18" i="1" s="1"/>
  <c r="O19" i="1"/>
  <c r="N19" i="1" s="1"/>
  <c r="O20" i="1"/>
  <c r="N20" i="1" s="1"/>
  <c r="O21" i="1"/>
  <c r="N21" i="1" s="1"/>
  <c r="O22" i="1"/>
  <c r="N22" i="1" s="1"/>
  <c r="O23" i="1"/>
  <c r="N23" i="1" s="1"/>
  <c r="N24" i="1"/>
  <c r="O25" i="1"/>
  <c r="N25" i="1" s="1"/>
  <c r="O26" i="1"/>
  <c r="BW26" i="1"/>
  <c r="AE23" i="1"/>
  <c r="AO22" i="1"/>
  <c r="AG18" i="1"/>
  <c r="AK17" i="1"/>
  <c r="AQ14" i="1"/>
  <c r="AO14" i="1"/>
  <c r="BE5" i="1"/>
  <c r="BC5" i="1"/>
  <c r="BU26" i="1"/>
  <c r="BS26" i="1"/>
  <c r="BQ26" i="1"/>
  <c r="BO26" i="1"/>
  <c r="AC23" i="1"/>
  <c r="BM26" i="1"/>
  <c r="AM25" i="1"/>
  <c r="AM22" i="1"/>
  <c r="AK22" i="1"/>
  <c r="AG21" i="1"/>
  <c r="AG14" i="1"/>
  <c r="AG13" i="1"/>
  <c r="AE12" i="1"/>
  <c r="AG10" i="1"/>
  <c r="AK3" i="1"/>
  <c r="AI3" i="1"/>
  <c r="AE2" i="1"/>
  <c r="AG22" i="1"/>
  <c r="AG20" i="1"/>
  <c r="AE15" i="1"/>
  <c r="AE14" i="1"/>
  <c r="AE11" i="1"/>
  <c r="AE9" i="1"/>
  <c r="AG7" i="1"/>
  <c r="BK26" i="1"/>
  <c r="BI26" i="1"/>
  <c r="BG26" i="1"/>
  <c r="BE26" i="1"/>
  <c r="AC22" i="1"/>
  <c r="AC21" i="1"/>
  <c r="AE20" i="1"/>
  <c r="AI19" i="1"/>
  <c r="AE18" i="1"/>
  <c r="AC15" i="1"/>
  <c r="AC13" i="1"/>
  <c r="AE4" i="1"/>
  <c r="AE3" i="1"/>
  <c r="AA2" i="1"/>
  <c r="BC26" i="1"/>
  <c r="BA26" i="1"/>
  <c r="AE25" i="1"/>
  <c r="AK24" i="1"/>
  <c r="AA20" i="1"/>
  <c r="Y20" i="1"/>
  <c r="AY26" i="1"/>
  <c r="W22" i="1"/>
  <c r="W20" i="1"/>
  <c r="AA17" i="1" l="1"/>
  <c r="AC9" i="1"/>
  <c r="AC7" i="1"/>
  <c r="AS5" i="1"/>
  <c r="AA4" i="1"/>
  <c r="Y2" i="1"/>
  <c r="AW26" i="1"/>
  <c r="AU26" i="1"/>
  <c r="AS26" i="1"/>
  <c r="AE16" i="1"/>
  <c r="AA11" i="1"/>
  <c r="Y7" i="1"/>
  <c r="AM5" i="1"/>
  <c r="AG5" i="1" l="1"/>
  <c r="AQ26" i="1"/>
  <c r="AO26" i="1"/>
  <c r="AM26" i="1"/>
  <c r="AA25" i="1"/>
  <c r="Y25" i="1" l="1"/>
  <c r="W23" i="1"/>
  <c r="Y19" i="1"/>
  <c r="Y17" i="1"/>
  <c r="Y16" i="1"/>
  <c r="AA14" i="1"/>
  <c r="Y14" i="1"/>
  <c r="AI5" i="1"/>
  <c r="Y4" i="1"/>
  <c r="Y3" i="1"/>
  <c r="W3" i="1"/>
  <c r="AK26" i="1"/>
  <c r="AI26" i="1"/>
  <c r="AG26" i="1"/>
  <c r="AE26" i="1"/>
  <c r="W25" i="1"/>
  <c r="U23" i="1"/>
  <c r="U19" i="1"/>
  <c r="W16" i="1"/>
  <c r="Y15" i="1"/>
  <c r="W15" i="1"/>
  <c r="AA10" i="1"/>
  <c r="W7" i="1"/>
  <c r="AA5" i="1"/>
  <c r="S3" i="1"/>
  <c r="AC26" i="1"/>
  <c r="AA26" i="1"/>
  <c r="S22" i="1"/>
  <c r="Y18" i="1"/>
  <c r="U16" i="1"/>
  <c r="U14" i="1"/>
  <c r="U12" i="1"/>
  <c r="U11" i="1"/>
  <c r="Y5" i="1"/>
  <c r="S2" i="1"/>
  <c r="Y26" i="1"/>
  <c r="W26" i="1"/>
  <c r="U26" i="1"/>
  <c r="S26" i="1"/>
  <c r="U18" i="1"/>
  <c r="S16" i="1"/>
  <c r="S15" i="1"/>
  <c r="W14" i="1"/>
  <c r="S14" i="1"/>
  <c r="S11" i="1"/>
  <c r="Y10" i="1"/>
  <c r="W10" i="1"/>
  <c r="U10" i="1"/>
  <c r="S10" i="1"/>
  <c r="U9" i="1"/>
  <c r="S9" i="1"/>
  <c r="S7" i="1"/>
  <c r="S5" i="1"/>
  <c r="J25" i="1" l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5" i="1"/>
  <c r="G24" i="1"/>
  <c r="G23" i="1"/>
  <c r="G22" i="1"/>
  <c r="G21" i="1"/>
  <c r="G20" i="1"/>
  <c r="G19" i="1"/>
  <c r="G2" i="1"/>
  <c r="G18" i="1"/>
  <c r="G17" i="1"/>
  <c r="G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K22" i="1" s="1"/>
  <c r="F23" i="1"/>
  <c r="F24" i="1"/>
  <c r="F25" i="1"/>
  <c r="F2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K14" i="1" l="1"/>
  <c r="M14" i="1" s="1"/>
  <c r="K6" i="1"/>
  <c r="K5" i="1"/>
  <c r="M5" i="1" s="1"/>
  <c r="K21" i="1"/>
  <c r="K2" i="1"/>
  <c r="M2" i="1" s="1"/>
  <c r="K18" i="1"/>
  <c r="M18" i="1" s="1"/>
  <c r="K25" i="1"/>
  <c r="K17" i="1"/>
  <c r="M17" i="1" s="1"/>
  <c r="K20" i="1"/>
  <c r="M20" i="1" s="1"/>
  <c r="K10" i="1"/>
  <c r="M10" i="1" s="1"/>
  <c r="K23" i="1"/>
  <c r="K7" i="1"/>
  <c r="M7" i="1" s="1"/>
  <c r="K15" i="1"/>
  <c r="M15" i="1" s="1"/>
  <c r="M23" i="1"/>
  <c r="M25" i="1"/>
  <c r="K9" i="1"/>
  <c r="K16" i="1"/>
  <c r="M21" i="1"/>
  <c r="K13" i="1"/>
  <c r="K24" i="1"/>
  <c r="M6" i="1"/>
  <c r="K12" i="1"/>
  <c r="K4" i="1"/>
  <c r="K8" i="1"/>
  <c r="M22" i="1"/>
  <c r="K19" i="1"/>
  <c r="K11" i="1"/>
  <c r="K3" i="1"/>
  <c r="M24" i="1" l="1"/>
  <c r="M4" i="1"/>
  <c r="M9" i="1"/>
  <c r="M16" i="1"/>
  <c r="M19" i="1"/>
  <c r="M8" i="1"/>
  <c r="M3" i="1"/>
  <c r="M12" i="1"/>
  <c r="M11" i="1"/>
  <c r="M13" i="1"/>
</calcChain>
</file>

<file path=xl/sharedStrings.xml><?xml version="1.0" encoding="utf-8"?>
<sst xmlns="http://schemas.openxmlformats.org/spreadsheetml/2006/main" count="325" uniqueCount="185">
  <si>
    <t>Club</t>
  </si>
  <si>
    <t>Budget</t>
  </si>
  <si>
    <t>Masse Salariale</t>
  </si>
  <si>
    <t>Reste</t>
  </si>
  <si>
    <t>AL</t>
  </si>
  <si>
    <t>ALT</t>
  </si>
  <si>
    <t>APA</t>
  </si>
  <si>
    <t>BRB</t>
  </si>
  <si>
    <t>BSK</t>
  </si>
  <si>
    <t>CAT</t>
  </si>
  <si>
    <t>DKF</t>
  </si>
  <si>
    <t>DKW</t>
  </si>
  <si>
    <t>ED</t>
  </si>
  <si>
    <t>FS</t>
  </si>
  <si>
    <t>GP</t>
  </si>
  <si>
    <t>HTH</t>
  </si>
  <si>
    <t>KAK</t>
  </si>
  <si>
    <t>KH</t>
  </si>
  <si>
    <t>KHR</t>
  </si>
  <si>
    <t>MDL</t>
  </si>
  <si>
    <t>MRB</t>
  </si>
  <si>
    <t>MSL</t>
  </si>
  <si>
    <t>PRG</t>
  </si>
  <si>
    <t>QNL</t>
  </si>
  <si>
    <t>SN</t>
  </si>
  <si>
    <t>TA</t>
  </si>
  <si>
    <t>TLB</t>
  </si>
  <si>
    <t>TO</t>
  </si>
  <si>
    <t>Remarques</t>
  </si>
  <si>
    <t>Revenus</t>
  </si>
  <si>
    <t>/!\</t>
  </si>
  <si>
    <t>Championnat</t>
  </si>
  <si>
    <t>Coupe</t>
  </si>
  <si>
    <t>Prévision vente</t>
  </si>
  <si>
    <t>Prévison Budget</t>
  </si>
  <si>
    <t>Bonus Championnat</t>
  </si>
  <si>
    <t>Bonus Coupe</t>
  </si>
  <si>
    <t>Patassenh</t>
  </si>
  <si>
    <t>Thodenyl</t>
  </si>
  <si>
    <t>Gfird</t>
  </si>
  <si>
    <t>Hirodh</t>
  </si>
  <si>
    <t>Wisspe</t>
  </si>
  <si>
    <t>Chotc</t>
  </si>
  <si>
    <t>Temps réel</t>
  </si>
  <si>
    <t>Retohop</t>
  </si>
  <si>
    <t>Fothoer</t>
  </si>
  <si>
    <t>Rendard</t>
  </si>
  <si>
    <t>Niendi</t>
  </si>
  <si>
    <t>Brendh</t>
  </si>
  <si>
    <t>Brednh</t>
  </si>
  <si>
    <t>Gofedr</t>
  </si>
  <si>
    <t>Saluum</t>
  </si>
  <si>
    <t>Graissus</t>
  </si>
  <si>
    <t>Vide</t>
  </si>
  <si>
    <t>Jlipeov</t>
  </si>
  <si>
    <t>Chebanar</t>
  </si>
  <si>
    <t>Muelhass</t>
  </si>
  <si>
    <t>Zuel Kar</t>
  </si>
  <si>
    <t>Hegard</t>
  </si>
  <si>
    <t>Cloedl</t>
  </si>
  <si>
    <t>Kholkov</t>
  </si>
  <si>
    <t>Wugnik</t>
  </si>
  <si>
    <t>Ghenf</t>
  </si>
  <si>
    <t>Hygz</t>
  </si>
  <si>
    <t>Bragg</t>
  </si>
  <si>
    <t>Dafeor</t>
  </si>
  <si>
    <t>Ghirkhelev</t>
  </si>
  <si>
    <t>Vurhzal</t>
  </si>
  <si>
    <t>Kadraq</t>
  </si>
  <si>
    <t>Ykbiel</t>
  </si>
  <si>
    <t>Vomleth</t>
  </si>
  <si>
    <t>Tretab</t>
  </si>
  <si>
    <t>Ittedr</t>
  </si>
  <si>
    <t>Eskendir</t>
  </si>
  <si>
    <t>Yoenthor</t>
  </si>
  <si>
    <t>Kelter</t>
  </si>
  <si>
    <t>Holothen</t>
  </si>
  <si>
    <t>Puule</t>
  </si>
  <si>
    <t>Woroslaw</t>
  </si>
  <si>
    <t>Khakalkhiev</t>
  </si>
  <si>
    <t>Guido</t>
  </si>
  <si>
    <t>Krakshar</t>
  </si>
  <si>
    <t>Rohr</t>
  </si>
  <si>
    <t>Kuel'hel</t>
  </si>
  <si>
    <t>Dagdear</t>
  </si>
  <si>
    <t>Crepich</t>
  </si>
  <si>
    <t>Hougrap</t>
  </si>
  <si>
    <t>Hugan</t>
  </si>
  <si>
    <t>Daenyl</t>
  </si>
  <si>
    <t>Ryed</t>
  </si>
  <si>
    <t>Dungan</t>
  </si>
  <si>
    <t>Lebel</t>
  </si>
  <si>
    <t>Beragueux</t>
  </si>
  <si>
    <t>Srend</t>
  </si>
  <si>
    <t>Lafael</t>
  </si>
  <si>
    <t>Areniev</t>
  </si>
  <si>
    <t>Cuidal</t>
  </si>
  <si>
    <t>Prass Ta Madir</t>
  </si>
  <si>
    <t>Jaexol</t>
  </si>
  <si>
    <t>Famyed</t>
  </si>
  <si>
    <t>Archaon</t>
  </si>
  <si>
    <t>Garrin</t>
  </si>
  <si>
    <t>Gramoun</t>
  </si>
  <si>
    <t>Xhev El'Huarad</t>
  </si>
  <si>
    <t>Wrenk</t>
  </si>
  <si>
    <t>Harik</t>
  </si>
  <si>
    <t>Zumaen</t>
  </si>
  <si>
    <t>Hakun</t>
  </si>
  <si>
    <t>Glatar</t>
  </si>
  <si>
    <t>Iemloth</t>
  </si>
  <si>
    <t>Choerol</t>
  </si>
  <si>
    <t>Popolat</t>
  </si>
  <si>
    <t>Nyare</t>
  </si>
  <si>
    <t>Modolen</t>
  </si>
  <si>
    <t>Frash Term</t>
  </si>
  <si>
    <t>Habdal</t>
  </si>
  <si>
    <t>Ientl</t>
  </si>
  <si>
    <t>Von Duek</t>
  </si>
  <si>
    <t>Hoerdal</t>
  </si>
  <si>
    <t>Troeditt</t>
  </si>
  <si>
    <t>Hal</t>
  </si>
  <si>
    <t>Jtaren</t>
  </si>
  <si>
    <t>Cathaen</t>
  </si>
  <si>
    <t>Iqatl</t>
  </si>
  <si>
    <t>Farifend</t>
  </si>
  <si>
    <t>Pfessyr</t>
  </si>
  <si>
    <t>Naedol</t>
  </si>
  <si>
    <t>Matafierd</t>
  </si>
  <si>
    <t>Myhed</t>
  </si>
  <si>
    <t>Von Dokhoff</t>
  </si>
  <si>
    <t>Drogard</t>
  </si>
  <si>
    <t>Abden</t>
  </si>
  <si>
    <t>Renkel</t>
  </si>
  <si>
    <t>Taral</t>
  </si>
  <si>
    <t>Ilirh</t>
  </si>
  <si>
    <t>Kledyr</t>
  </si>
  <si>
    <t>Kothenrk</t>
  </si>
  <si>
    <t>Dolean</t>
  </si>
  <si>
    <t>Fretard</t>
  </si>
  <si>
    <t>Fraty</t>
  </si>
  <si>
    <t>Aralt</t>
  </si>
  <si>
    <t>Dendaenol</t>
  </si>
  <si>
    <t>Ilemen</t>
  </si>
  <si>
    <t>Blatir</t>
  </si>
  <si>
    <t>Delelhors</t>
  </si>
  <si>
    <t>Patlop</t>
  </si>
  <si>
    <t>Haloepl</t>
  </si>
  <si>
    <t>Xyos</t>
  </si>
  <si>
    <t>Rhovend</t>
  </si>
  <si>
    <t>Irstolfg</t>
  </si>
  <si>
    <t>Nenoel</t>
  </si>
  <si>
    <t>Sytaeth</t>
  </si>
  <si>
    <t>Luress</t>
  </si>
  <si>
    <t>Lumoor</t>
  </si>
  <si>
    <t>Uulnen</t>
  </si>
  <si>
    <t>Osimpo</t>
  </si>
  <si>
    <t>Sidmuil</t>
  </si>
  <si>
    <t>Nert Kadesh</t>
  </si>
  <si>
    <t>Louesh</t>
  </si>
  <si>
    <t>Metheil</t>
  </si>
  <si>
    <t>Iglidr</t>
  </si>
  <si>
    <t>Lamenoire</t>
  </si>
  <si>
    <t>Bidord</t>
  </si>
  <si>
    <t>Marodard</t>
  </si>
  <si>
    <t>Refed</t>
  </si>
  <si>
    <t>Praedol</t>
  </si>
  <si>
    <t>Flodil</t>
  </si>
  <si>
    <t>Cahen Caher</t>
  </si>
  <si>
    <t>Dépensés</t>
  </si>
  <si>
    <t>Départs</t>
  </si>
  <si>
    <t>Arrivées</t>
  </si>
  <si>
    <t>Dyomendal</t>
  </si>
  <si>
    <t>Dyonmendal</t>
  </si>
  <si>
    <t>Uskass</t>
  </si>
  <si>
    <t>Klendaeth</t>
  </si>
  <si>
    <t>Lyath</t>
  </si>
  <si>
    <t>Erkash</t>
  </si>
  <si>
    <t>Omar</t>
  </si>
  <si>
    <t>Demp</t>
  </si>
  <si>
    <t>Umaan</t>
  </si>
  <si>
    <t>Paezol</t>
  </si>
  <si>
    <t>Merkot</t>
  </si>
  <si>
    <t>Vereneux</t>
  </si>
  <si>
    <t>Psorek</t>
  </si>
  <si>
    <t>Thrond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</si>
</sst>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ck">
        <color theme="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/>
    <xf numFmtId="0" fontId="0" fillId="0" borderId="3" xfId="0" applyBorder="1"/>
    <xf numFmtId="0" fontId="0" fillId="0" borderId="4" xfId="0" applyBorder="1"/>
    <xf numFmtId="0" fontId="2" fillId="2" borderId="2" xfId="2"/>
    <xf numFmtId="0" fontId="1" fillId="0" borderId="1" xfId="1" applyAlignment="1">
      <alignment wrapText="1"/>
    </xf>
    <xf numFmtId="0" fontId="1" fillId="0" borderId="5" xfId="1" applyBorder="1" applyAlignment="1">
      <alignment wrapText="1"/>
    </xf>
    <xf numFmtId="0" fontId="1" fillId="2" borderId="1" xfId="1" applyFill="1" applyAlignment="1">
      <alignment wrapText="1"/>
    </xf>
    <xf numFmtId="0" fontId="3" fillId="3" borderId="0" xfId="3"/>
    <xf numFmtId="0" fontId="4" fillId="4" borderId="0" xfId="4"/>
    <xf numFmtId="0" fontId="1" fillId="0" borderId="1" xfId="1" quotePrefix="1"/>
    <xf numFmtId="0" fontId="1" fillId="0" borderId="1" xfId="1"/>
    <xf numFmtId="0" fontId="1" fillId="0" borderId="7" xfId="1" applyBorder="1" applyAlignment="1">
      <alignment wrapText="1"/>
    </xf>
    <xf numFmtId="0" fontId="0" fillId="0" borderId="6" xfId="0" applyBorder="1"/>
    <xf numFmtId="0" fontId="1" fillId="0" borderId="1" xfId="1" applyBorder="1" applyAlignment="1">
      <alignment wrapText="1"/>
    </xf>
    <xf numFmtId="0" fontId="0" fillId="0" borderId="0" xfId="0" applyBorder="1"/>
    <xf numFmtId="0" fontId="0" fillId="0" borderId="0" xfId="0" applyFill="1" applyBorder="1"/>
  </cellXfs>
  <cellStyles count="5">
    <cellStyle name="Bad" xfId="4" builtinId="27"/>
    <cellStyle name="Calculation" xfId="2" builtinId="22"/>
    <cellStyle name="Good" xfId="3" builtinId="26"/>
    <cellStyle name="Heading 1" xfId="1" builtinId="16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7"/>
  <sheetViews>
    <sheetView tabSelected="1" topLeftCell="A8" zoomScale="85" zoomScaleNormal="85" workbookViewId="0">
      <pane xSplit="1" topLeftCell="AE1" activePane="topRight" state="frozen"/>
      <selection pane="topRight" activeCell="AL16" sqref="AL16"/>
    </sheetView>
  </sheetViews>
  <sheetFormatPr defaultRowHeight="21" thickTop="1" thickBottom="1" x14ac:dyDescent="0.35"/>
  <cols>
    <col min="1" max="1" width="9.140625" style="10"/>
    <col min="2" max="2" width="14.85546875" customWidth="1"/>
    <col min="3" max="3" width="10.7109375" customWidth="1"/>
    <col min="4" max="4" width="11" customWidth="1"/>
    <col min="5" max="5" width="12.42578125" customWidth="1"/>
    <col min="7" max="7" width="17.28515625" customWidth="1"/>
    <col min="9" max="9" width="17.7109375" customWidth="1"/>
    <col min="10" max="10" width="12" customWidth="1"/>
    <col min="11" max="11" width="9.140625" style="3"/>
    <col min="12" max="12" width="13.28515625" customWidth="1"/>
    <col min="13" max="13" width="11.42578125" customWidth="1"/>
    <col min="14" max="14" width="13.42578125" customWidth="1"/>
    <col min="15" max="15" width="9.140625" style="12"/>
    <col min="16" max="16" width="10.5703125" style="14" customWidth="1"/>
    <col min="17" max="17" width="11" style="14" customWidth="1"/>
  </cols>
  <sheetData>
    <row r="1" spans="1:57" s="4" customFormat="1" ht="59.25" thickBot="1" x14ac:dyDescent="0.35">
      <c r="A1" s="4" t="s">
        <v>0</v>
      </c>
      <c r="B1" s="4" t="s">
        <v>28</v>
      </c>
      <c r="C1" s="4" t="s">
        <v>1</v>
      </c>
      <c r="D1" s="4" t="s">
        <v>29</v>
      </c>
      <c r="E1" s="4" t="s">
        <v>2</v>
      </c>
      <c r="F1" s="5" t="s">
        <v>3</v>
      </c>
      <c r="G1" s="4" t="s">
        <v>31</v>
      </c>
      <c r="H1" s="4" t="s">
        <v>32</v>
      </c>
      <c r="I1" s="4" t="s">
        <v>35</v>
      </c>
      <c r="J1" s="4" t="s">
        <v>36</v>
      </c>
      <c r="K1" s="6" t="s">
        <v>3</v>
      </c>
      <c r="L1" s="4" t="s">
        <v>33</v>
      </c>
      <c r="M1" s="4" t="s">
        <v>34</v>
      </c>
      <c r="N1" s="4" t="s">
        <v>168</v>
      </c>
      <c r="O1" s="11" t="s">
        <v>43</v>
      </c>
      <c r="P1" s="13" t="s">
        <v>169</v>
      </c>
      <c r="Q1" s="13" t="s">
        <v>170</v>
      </c>
    </row>
    <row r="2" spans="1:57" thickTop="1" thickBot="1" x14ac:dyDescent="0.35">
      <c r="A2" s="9" t="s">
        <v>4</v>
      </c>
      <c r="C2">
        <v>-118</v>
      </c>
      <c r="D2">
        <v>260</v>
      </c>
      <c r="E2">
        <v>418</v>
      </c>
      <c r="F2" s="1">
        <f>C2+D2-E2</f>
        <v>-276</v>
      </c>
      <c r="G2">
        <f>10+7-1+14+27+15+2+0+21+26+27</f>
        <v>148</v>
      </c>
      <c r="H2">
        <f>4+30+23+13+16+15+23</f>
        <v>124</v>
      </c>
      <c r="I2">
        <v>100</v>
      </c>
      <c r="J2">
        <f>120+30+30+70+100</f>
        <v>350</v>
      </c>
      <c r="K2" s="3">
        <f>F2+G2+H2+I2+J2</f>
        <v>446</v>
      </c>
      <c r="L2">
        <v>740</v>
      </c>
      <c r="M2">
        <f>K2+L2</f>
        <v>1186</v>
      </c>
      <c r="N2">
        <f>K2-O2</f>
        <v>-83</v>
      </c>
      <c r="O2" s="12">
        <f t="shared" ref="O2:O25" si="0">K2+S2+U2+W2+Y2+AA2+AC2+AE2+AG2+AI2+AK2+AM2+AO2+AQ2+AS2+AU2+AW2+AY2+BA2+BC2+BE2+BG2+BI2+BK2+BM2+BO2+BQ2+BS2+BU2+BW2</f>
        <v>529</v>
      </c>
      <c r="P2" s="14">
        <v>4</v>
      </c>
      <c r="Q2" s="14">
        <v>3</v>
      </c>
      <c r="R2" s="8" t="s">
        <v>58</v>
      </c>
      <c r="S2">
        <f>60*0.75</f>
        <v>45</v>
      </c>
      <c r="T2" s="7" t="s">
        <v>59</v>
      </c>
      <c r="U2">
        <v>-202</v>
      </c>
      <c r="V2" s="7" t="s">
        <v>66</v>
      </c>
      <c r="W2">
        <v>-23</v>
      </c>
      <c r="X2" s="8" t="s">
        <v>106</v>
      </c>
      <c r="Y2">
        <f>500*0.75</f>
        <v>375</v>
      </c>
      <c r="Z2" s="8" t="s">
        <v>121</v>
      </c>
      <c r="AA2">
        <f>100*0.75</f>
        <v>75</v>
      </c>
      <c r="AB2" s="7" t="s">
        <v>123</v>
      </c>
      <c r="AC2">
        <v>-352</v>
      </c>
      <c r="AD2" s="8" t="s">
        <v>142</v>
      </c>
      <c r="AE2">
        <f>200*0.75</f>
        <v>150</v>
      </c>
      <c r="AF2" s="8" t="s">
        <v>178</v>
      </c>
      <c r="AG2">
        <f>20*0.75</f>
        <v>15</v>
      </c>
    </row>
    <row r="3" spans="1:57" thickTop="1" thickBot="1" x14ac:dyDescent="0.35">
      <c r="A3" s="9" t="s">
        <v>5</v>
      </c>
      <c r="C3">
        <v>51</v>
      </c>
      <c r="D3">
        <v>400</v>
      </c>
      <c r="E3">
        <v>507</v>
      </c>
      <c r="F3" s="2">
        <f t="shared" ref="F3:F25" si="1">C3+D3-E3</f>
        <v>-56</v>
      </c>
      <c r="G3">
        <f>29+7+30+15+34+30+15+30+19+9+25</f>
        <v>243</v>
      </c>
      <c r="H3">
        <f>31+2+25+14+24+0</f>
        <v>96</v>
      </c>
      <c r="I3">
        <v>200</v>
      </c>
      <c r="J3">
        <f>150+50+50</f>
        <v>250</v>
      </c>
      <c r="K3" s="3">
        <f t="shared" ref="K3:K25" si="2">F3+G3+H3+I3+J3</f>
        <v>733</v>
      </c>
      <c r="L3">
        <v>1581</v>
      </c>
      <c r="M3">
        <f t="shared" ref="M3:M25" si="3">K3+L3</f>
        <v>2314</v>
      </c>
      <c r="N3">
        <f t="shared" ref="N3:N26" si="4">K3-O3</f>
        <v>1289.75</v>
      </c>
      <c r="O3" s="12">
        <f>K3+S3+U3+W3+Y3+AA3+AC3+AE3+AG3+AI3+AK3+AM3+AO3+AS3+AU3+AW3+AY3+BA3+BC3+BE3+BG3+BI3+BK3+BM3+BO3+BQ3+BS3+BU3+BW3</f>
        <v>-556.75</v>
      </c>
      <c r="P3" s="14">
        <v>6</v>
      </c>
      <c r="Q3" s="14">
        <v>6</v>
      </c>
      <c r="R3" s="8" t="s">
        <v>68</v>
      </c>
      <c r="S3">
        <f>249*0.75</f>
        <v>186.75</v>
      </c>
      <c r="T3" s="7" t="s">
        <v>74</v>
      </c>
      <c r="U3">
        <v>-1570</v>
      </c>
      <c r="V3" s="8" t="s">
        <v>82</v>
      </c>
      <c r="W3">
        <f>142*0.75</f>
        <v>106.5</v>
      </c>
      <c r="X3" s="8" t="s">
        <v>83</v>
      </c>
      <c r="Y3">
        <f>100*0.75</f>
        <v>75</v>
      </c>
      <c r="Z3" s="7" t="s">
        <v>89</v>
      </c>
      <c r="AA3">
        <v>-100</v>
      </c>
      <c r="AB3" s="7" t="s">
        <v>90</v>
      </c>
      <c r="AC3">
        <v>-101</v>
      </c>
      <c r="AD3" s="8" t="s">
        <v>122</v>
      </c>
      <c r="AE3">
        <f>398*0.75</f>
        <v>298.5</v>
      </c>
      <c r="AF3" s="7" t="s">
        <v>125</v>
      </c>
      <c r="AG3">
        <v>-200</v>
      </c>
      <c r="AH3" s="8" t="s">
        <v>143</v>
      </c>
      <c r="AI3">
        <f>56*0.75</f>
        <v>42</v>
      </c>
      <c r="AJ3" s="8" t="s">
        <v>144</v>
      </c>
      <c r="AK3">
        <f>142*0.75</f>
        <v>106.5</v>
      </c>
      <c r="AL3" s="7" t="s">
        <v>147</v>
      </c>
      <c r="AM3">
        <v>-50</v>
      </c>
      <c r="AN3" s="7" t="s">
        <v>166</v>
      </c>
      <c r="AO3">
        <v>-84</v>
      </c>
      <c r="AP3" s="7" t="s">
        <v>182</v>
      </c>
      <c r="AQ3">
        <v>-123</v>
      </c>
    </row>
    <row r="4" spans="1:57" thickTop="1" thickBot="1" x14ac:dyDescent="0.35">
      <c r="A4" s="9" t="s">
        <v>6</v>
      </c>
      <c r="C4">
        <v>138</v>
      </c>
      <c r="D4">
        <v>250</v>
      </c>
      <c r="E4">
        <v>314</v>
      </c>
      <c r="F4" s="2">
        <f t="shared" si="1"/>
        <v>74</v>
      </c>
      <c r="G4">
        <f>27+0+24+3+9+13+17+14+15+13-1</f>
        <v>134</v>
      </c>
      <c r="H4">
        <f>29+0+23+17+27+26+2</f>
        <v>124</v>
      </c>
      <c r="I4">
        <v>100</v>
      </c>
      <c r="J4">
        <f>120+30+30+70</f>
        <v>250</v>
      </c>
      <c r="K4" s="3">
        <f t="shared" si="2"/>
        <v>682</v>
      </c>
      <c r="L4">
        <v>691</v>
      </c>
      <c r="M4">
        <f t="shared" si="3"/>
        <v>1373</v>
      </c>
      <c r="N4">
        <f t="shared" si="4"/>
        <v>290.75</v>
      </c>
      <c r="O4" s="12">
        <f>K4+S4+U4+W4+Y4+AA4+AC4+AE4+AG4+AM4+AO4+AQ4+AS4+AU4+AW4+AY4+BA4+BC4+BE4+BG4+BI4+BK4+BM4+BO4+BQ4+BS4+BU4+BW4</f>
        <v>391.25</v>
      </c>
      <c r="P4" s="14">
        <v>4</v>
      </c>
      <c r="Q4" s="14">
        <v>5</v>
      </c>
      <c r="R4" s="7" t="s">
        <v>38</v>
      </c>
      <c r="S4">
        <v>-50</v>
      </c>
      <c r="T4" s="7" t="s">
        <v>46</v>
      </c>
      <c r="U4">
        <v>-242</v>
      </c>
      <c r="V4" s="7" t="s">
        <v>81</v>
      </c>
      <c r="W4">
        <v>-117</v>
      </c>
      <c r="X4" s="8" t="s">
        <v>84</v>
      </c>
      <c r="Y4">
        <f>100*0.75</f>
        <v>75</v>
      </c>
      <c r="Z4" s="8" t="s">
        <v>107</v>
      </c>
      <c r="AA4">
        <f>167*0.75</f>
        <v>125.25</v>
      </c>
      <c r="AB4" s="7" t="s">
        <v>111</v>
      </c>
      <c r="AC4">
        <v>-146</v>
      </c>
      <c r="AD4" s="8" t="s">
        <v>123</v>
      </c>
      <c r="AE4">
        <f>352*0.75</f>
        <v>264</v>
      </c>
      <c r="AF4" s="7" t="s">
        <v>142</v>
      </c>
      <c r="AG4">
        <v>-200</v>
      </c>
      <c r="AH4" s="8" t="s">
        <v>179</v>
      </c>
      <c r="AI4">
        <f>99*0.75</f>
        <v>74.25</v>
      </c>
    </row>
    <row r="5" spans="1:57" thickTop="1" thickBot="1" x14ac:dyDescent="0.35">
      <c r="A5" s="9" t="s">
        <v>7</v>
      </c>
      <c r="C5">
        <v>142</v>
      </c>
      <c r="D5">
        <v>330</v>
      </c>
      <c r="E5">
        <v>290</v>
      </c>
      <c r="F5" s="2">
        <f t="shared" si="1"/>
        <v>182</v>
      </c>
      <c r="G5">
        <f>4+29+15+16+11+25+1+15+24-1+25</f>
        <v>164</v>
      </c>
      <c r="H5">
        <f>26+15+15+26+10</f>
        <v>92</v>
      </c>
      <c r="I5">
        <v>150</v>
      </c>
      <c r="J5">
        <f>120+30</f>
        <v>150</v>
      </c>
      <c r="K5" s="3">
        <f t="shared" si="2"/>
        <v>738</v>
      </c>
      <c r="L5">
        <v>1024</v>
      </c>
      <c r="M5">
        <f t="shared" si="3"/>
        <v>1762</v>
      </c>
      <c r="N5">
        <f t="shared" si="4"/>
        <v>1731.5</v>
      </c>
      <c r="O5" s="12">
        <f t="shared" si="0"/>
        <v>-993.5</v>
      </c>
      <c r="P5" s="15">
        <v>9</v>
      </c>
      <c r="Q5" s="15">
        <v>11</v>
      </c>
      <c r="R5" s="8" t="s">
        <v>37</v>
      </c>
      <c r="S5">
        <f>157*0.75</f>
        <v>117.75</v>
      </c>
      <c r="T5" s="7" t="s">
        <v>42</v>
      </c>
      <c r="U5">
        <v>-200</v>
      </c>
      <c r="V5" s="7" t="s">
        <v>51</v>
      </c>
      <c r="W5">
        <v>-127</v>
      </c>
      <c r="X5" s="8" t="s">
        <v>59</v>
      </c>
      <c r="Y5">
        <f>202*0.75</f>
        <v>151.5</v>
      </c>
      <c r="Z5" s="8" t="s">
        <v>69</v>
      </c>
      <c r="AA5">
        <f>159*0.75</f>
        <v>119.25</v>
      </c>
      <c r="AB5" s="7" t="s">
        <v>73</v>
      </c>
      <c r="AC5">
        <v>-95</v>
      </c>
      <c r="AD5" s="7" t="s">
        <v>80</v>
      </c>
      <c r="AE5">
        <v>-220</v>
      </c>
      <c r="AF5" s="8" t="s">
        <v>85</v>
      </c>
      <c r="AG5">
        <f>100*0.75</f>
        <v>75</v>
      </c>
      <c r="AH5" s="8" t="s">
        <v>86</v>
      </c>
      <c r="AI5">
        <f>393*0.75</f>
        <v>294.75</v>
      </c>
      <c r="AJ5" s="7" t="s">
        <v>91</v>
      </c>
      <c r="AK5">
        <v>-127</v>
      </c>
      <c r="AL5" s="8" t="s">
        <v>98</v>
      </c>
      <c r="AM5">
        <f>221*0.75</f>
        <v>165.75</v>
      </c>
      <c r="AN5" s="7" t="s">
        <v>100</v>
      </c>
      <c r="AO5">
        <v>-1350</v>
      </c>
      <c r="AP5" s="7" t="s">
        <v>103</v>
      </c>
      <c r="AQ5">
        <v>-163</v>
      </c>
      <c r="AR5" s="8" t="s">
        <v>108</v>
      </c>
      <c r="AS5">
        <f>198*0.75</f>
        <v>148.5</v>
      </c>
      <c r="AT5" s="7" t="s">
        <v>117</v>
      </c>
      <c r="AU5">
        <v>-43</v>
      </c>
      <c r="AV5" s="7" t="s">
        <v>133</v>
      </c>
      <c r="AW5">
        <v>-142</v>
      </c>
      <c r="AX5" s="7" t="s">
        <v>145</v>
      </c>
      <c r="AY5">
        <v>-243</v>
      </c>
      <c r="AZ5" s="7" t="s">
        <v>156</v>
      </c>
      <c r="BA5">
        <v>-151</v>
      </c>
      <c r="BB5" s="8" t="s">
        <v>159</v>
      </c>
      <c r="BC5">
        <f>50*0.75</f>
        <v>37.5</v>
      </c>
      <c r="BD5" s="8" t="s">
        <v>160</v>
      </c>
      <c r="BE5">
        <f>26*0.75</f>
        <v>19.5</v>
      </c>
    </row>
    <row r="6" spans="1:57" thickTop="1" thickBot="1" x14ac:dyDescent="0.35">
      <c r="A6" s="9" t="s">
        <v>8</v>
      </c>
      <c r="C6">
        <v>110</v>
      </c>
      <c r="D6">
        <v>180</v>
      </c>
      <c r="E6">
        <v>220</v>
      </c>
      <c r="F6" s="2">
        <f t="shared" si="1"/>
        <v>70</v>
      </c>
      <c r="G6">
        <f>0+27+9+0+13+14+11+0+8+0+9</f>
        <v>91</v>
      </c>
      <c r="H6">
        <f>11-3+10+17+2</f>
        <v>37</v>
      </c>
      <c r="I6">
        <v>50</v>
      </c>
      <c r="J6">
        <f>120+30</f>
        <v>150</v>
      </c>
      <c r="K6" s="3">
        <f t="shared" si="2"/>
        <v>398</v>
      </c>
      <c r="L6">
        <v>62</v>
      </c>
      <c r="M6">
        <f t="shared" si="3"/>
        <v>460</v>
      </c>
      <c r="N6">
        <f t="shared" si="4"/>
        <v>645</v>
      </c>
      <c r="O6" s="12">
        <f>K6+S6+U6+W6+Y6+AA6+AG6+AI6+AK6+AM6+AO6+AQ6+AS6+AU6+AW6+AY6+BA6+BC6+BE6+BG6+BI6+BK6+BM6+BO6+BQ6+BS6+BU6+BW6+AC6+AE6</f>
        <v>-247</v>
      </c>
      <c r="P6" s="15">
        <v>0</v>
      </c>
      <c r="Q6" s="15">
        <v>6</v>
      </c>
      <c r="R6" s="7" t="s">
        <v>39</v>
      </c>
      <c r="S6">
        <v>-20</v>
      </c>
      <c r="T6" s="7" t="s">
        <v>61</v>
      </c>
      <c r="U6">
        <v>-20</v>
      </c>
      <c r="V6" s="7" t="s">
        <v>108</v>
      </c>
      <c r="W6">
        <v>-198</v>
      </c>
      <c r="X6" s="7" t="s">
        <v>162</v>
      </c>
      <c r="Y6">
        <v>-35</v>
      </c>
      <c r="Z6" s="7" t="s">
        <v>164</v>
      </c>
      <c r="AA6">
        <v>-322</v>
      </c>
      <c r="AB6" s="7" t="s">
        <v>171</v>
      </c>
      <c r="AC6">
        <v>-50</v>
      </c>
    </row>
    <row r="7" spans="1:57" thickTop="1" thickBot="1" x14ac:dyDescent="0.35">
      <c r="A7" s="9" t="s">
        <v>9</v>
      </c>
      <c r="C7">
        <v>100</v>
      </c>
      <c r="D7">
        <v>200</v>
      </c>
      <c r="E7">
        <v>112</v>
      </c>
      <c r="F7" s="2">
        <f t="shared" si="1"/>
        <v>188</v>
      </c>
      <c r="G7">
        <f>25+0+6+14+30+27+0+2+1+0+19</f>
        <v>124</v>
      </c>
      <c r="H7">
        <f>8+17+14+2</f>
        <v>41</v>
      </c>
      <c r="I7">
        <v>80</v>
      </c>
      <c r="J7">
        <f>120</f>
        <v>120</v>
      </c>
      <c r="K7" s="3">
        <f t="shared" si="2"/>
        <v>553</v>
      </c>
      <c r="L7">
        <v>440</v>
      </c>
      <c r="M7">
        <f t="shared" si="3"/>
        <v>993</v>
      </c>
      <c r="N7">
        <f t="shared" si="4"/>
        <v>324.25</v>
      </c>
      <c r="O7" s="12">
        <f t="shared" si="0"/>
        <v>228.75</v>
      </c>
      <c r="P7" s="15">
        <v>5</v>
      </c>
      <c r="Q7" s="15">
        <v>4</v>
      </c>
      <c r="R7" s="8" t="s">
        <v>38</v>
      </c>
      <c r="S7">
        <f>50*0.75</f>
        <v>37.5</v>
      </c>
      <c r="T7" s="7" t="s">
        <v>45</v>
      </c>
      <c r="U7">
        <v>-37</v>
      </c>
      <c r="V7" s="8" t="s">
        <v>70</v>
      </c>
      <c r="W7">
        <f>61*0.75</f>
        <v>45.75</v>
      </c>
      <c r="X7" s="8" t="s">
        <v>99</v>
      </c>
      <c r="Y7">
        <f>50*0.75</f>
        <v>37.5</v>
      </c>
      <c r="Z7" s="7" t="s">
        <v>101</v>
      </c>
      <c r="AA7">
        <v>-183</v>
      </c>
      <c r="AB7" s="8" t="s">
        <v>109</v>
      </c>
      <c r="AC7">
        <f>50*0.75</f>
        <v>37.5</v>
      </c>
      <c r="AD7" s="7" t="s">
        <v>110</v>
      </c>
      <c r="AE7">
        <v>-165</v>
      </c>
      <c r="AF7" s="8" t="s">
        <v>135</v>
      </c>
      <c r="AG7">
        <f>50*0.75</f>
        <v>37.5</v>
      </c>
      <c r="AH7" s="7" t="s">
        <v>150</v>
      </c>
      <c r="AI7">
        <v>-243</v>
      </c>
      <c r="AJ7" s="8" t="s">
        <v>174</v>
      </c>
      <c r="AK7">
        <f>94*0.75</f>
        <v>70.5</v>
      </c>
      <c r="AL7" s="8" t="s">
        <v>180</v>
      </c>
      <c r="AM7">
        <f>50*0.75</f>
        <v>37.5</v>
      </c>
    </row>
    <row r="8" spans="1:57" thickTop="1" thickBot="1" x14ac:dyDescent="0.35">
      <c r="A8" s="9" t="s">
        <v>10</v>
      </c>
      <c r="C8">
        <v>12</v>
      </c>
      <c r="D8">
        <v>250</v>
      </c>
      <c r="E8">
        <v>232</v>
      </c>
      <c r="F8" s="2">
        <f t="shared" si="1"/>
        <v>30</v>
      </c>
      <c r="G8">
        <f>10+29+11+17+9+0+0+0+2-1+10</f>
        <v>87</v>
      </c>
      <c r="H8">
        <f>5+24+19+8-1</f>
        <v>55</v>
      </c>
      <c r="I8">
        <v>80</v>
      </c>
      <c r="J8">
        <f>120+30</f>
        <v>150</v>
      </c>
      <c r="K8" s="3">
        <f t="shared" si="2"/>
        <v>402</v>
      </c>
      <c r="L8">
        <v>55</v>
      </c>
      <c r="M8">
        <f t="shared" si="3"/>
        <v>457</v>
      </c>
      <c r="N8">
        <f t="shared" si="4"/>
        <v>811</v>
      </c>
      <c r="O8" s="12">
        <f t="shared" si="0"/>
        <v>-409</v>
      </c>
      <c r="P8" s="15">
        <v>0</v>
      </c>
      <c r="Q8" s="15">
        <v>5</v>
      </c>
      <c r="R8" s="7" t="s">
        <v>92</v>
      </c>
      <c r="S8">
        <v>-100</v>
      </c>
      <c r="T8" s="7" t="s">
        <v>82</v>
      </c>
      <c r="U8">
        <v>-142</v>
      </c>
      <c r="V8" s="7" t="s">
        <v>94</v>
      </c>
      <c r="W8">
        <v>-100</v>
      </c>
      <c r="X8" s="7" t="s">
        <v>99</v>
      </c>
      <c r="Y8">
        <v>-50</v>
      </c>
      <c r="Z8" s="7" t="s">
        <v>138</v>
      </c>
      <c r="AA8">
        <v>-275</v>
      </c>
      <c r="AB8" s="7" t="s">
        <v>174</v>
      </c>
      <c r="AC8">
        <v>-94</v>
      </c>
      <c r="AD8" s="7" t="s">
        <v>175</v>
      </c>
      <c r="AE8">
        <v>-50</v>
      </c>
    </row>
    <row r="9" spans="1:57" thickTop="1" thickBot="1" x14ac:dyDescent="0.35">
      <c r="A9" s="9" t="s">
        <v>11</v>
      </c>
      <c r="C9">
        <v>126</v>
      </c>
      <c r="D9">
        <v>170</v>
      </c>
      <c r="E9">
        <v>409</v>
      </c>
      <c r="F9" s="2">
        <f t="shared" si="1"/>
        <v>-113</v>
      </c>
      <c r="G9">
        <f>24+27+9+27+27+5+41+0-1+27+0</f>
        <v>186</v>
      </c>
      <c r="H9">
        <f>15+17+17+12+10</f>
        <v>71</v>
      </c>
      <c r="I9">
        <v>120</v>
      </c>
      <c r="J9">
        <f>150+50</f>
        <v>200</v>
      </c>
      <c r="K9" s="3">
        <f t="shared" si="2"/>
        <v>464</v>
      </c>
      <c r="L9">
        <v>284</v>
      </c>
      <c r="M9">
        <f t="shared" si="3"/>
        <v>748</v>
      </c>
      <c r="N9">
        <f t="shared" si="4"/>
        <v>15.75</v>
      </c>
      <c r="O9" s="12">
        <f t="shared" si="0"/>
        <v>448.25</v>
      </c>
      <c r="P9" s="15">
        <v>4</v>
      </c>
      <c r="Q9" s="15">
        <v>4</v>
      </c>
      <c r="R9" s="8" t="s">
        <v>39</v>
      </c>
      <c r="S9">
        <f>20*0.75</f>
        <v>15</v>
      </c>
      <c r="T9" s="8" t="s">
        <v>40</v>
      </c>
      <c r="U9">
        <f>50*0.75</f>
        <v>37.5</v>
      </c>
      <c r="V9" s="7" t="s">
        <v>44</v>
      </c>
      <c r="W9">
        <v>-78</v>
      </c>
      <c r="X9" s="7" t="s">
        <v>57</v>
      </c>
      <c r="Y9">
        <v>-47</v>
      </c>
      <c r="Z9" s="7" t="s">
        <v>109</v>
      </c>
      <c r="AA9">
        <v>-50</v>
      </c>
      <c r="AB9" s="8" t="s">
        <v>110</v>
      </c>
      <c r="AC9">
        <f>165*0.75</f>
        <v>123.75</v>
      </c>
      <c r="AD9" s="8" t="s">
        <v>136</v>
      </c>
      <c r="AE9">
        <f>50*0.75</f>
        <v>37.5</v>
      </c>
      <c r="AF9" s="7" t="s">
        <v>139</v>
      </c>
      <c r="AG9">
        <v>-92</v>
      </c>
      <c r="AH9" s="8" t="s">
        <v>181</v>
      </c>
      <c r="AI9">
        <f>50*0.75</f>
        <v>37.5</v>
      </c>
    </row>
    <row r="10" spans="1:57" thickTop="1" thickBot="1" x14ac:dyDescent="0.35">
      <c r="A10" s="9" t="s">
        <v>12</v>
      </c>
      <c r="C10">
        <v>83</v>
      </c>
      <c r="D10">
        <v>290</v>
      </c>
      <c r="E10">
        <v>457</v>
      </c>
      <c r="F10" s="2">
        <f t="shared" si="1"/>
        <v>-84</v>
      </c>
      <c r="G10">
        <f>10+27+19-1+5+5+14+14+10+15-1</f>
        <v>117</v>
      </c>
      <c r="H10">
        <f>13+15+12+13+2</f>
        <v>55</v>
      </c>
      <c r="I10">
        <v>50</v>
      </c>
      <c r="J10">
        <f>120+30</f>
        <v>150</v>
      </c>
      <c r="K10" s="3">
        <f t="shared" si="2"/>
        <v>288</v>
      </c>
      <c r="L10">
        <v>732</v>
      </c>
      <c r="M10">
        <f t="shared" si="3"/>
        <v>1020</v>
      </c>
      <c r="N10">
        <f t="shared" si="4"/>
        <v>-130.5</v>
      </c>
      <c r="O10" s="12">
        <f t="shared" si="0"/>
        <v>418.5</v>
      </c>
      <c r="P10" s="15">
        <v>6</v>
      </c>
      <c r="Q10" s="15">
        <v>5</v>
      </c>
      <c r="R10" s="8" t="s">
        <v>42</v>
      </c>
      <c r="S10">
        <f>200*0.75</f>
        <v>150</v>
      </c>
      <c r="T10" s="8" t="s">
        <v>41</v>
      </c>
      <c r="U10">
        <f>200*0.75</f>
        <v>150</v>
      </c>
      <c r="V10" s="8" t="s">
        <v>44</v>
      </c>
      <c r="W10">
        <f>78*0.75</f>
        <v>58.5</v>
      </c>
      <c r="X10" s="8" t="s">
        <v>45</v>
      </c>
      <c r="Y10">
        <f>37*0.75</f>
        <v>27.75</v>
      </c>
      <c r="Z10" s="8" t="s">
        <v>71</v>
      </c>
      <c r="AA10">
        <f>100*0.75</f>
        <v>75</v>
      </c>
      <c r="AB10" s="7" t="s">
        <v>136</v>
      </c>
      <c r="AC10">
        <v>-50</v>
      </c>
      <c r="AD10" s="7" t="s">
        <v>140</v>
      </c>
      <c r="AE10">
        <v>-151</v>
      </c>
      <c r="AF10" s="8" t="s">
        <v>145</v>
      </c>
      <c r="AG10">
        <f>243*0.75</f>
        <v>182.25</v>
      </c>
      <c r="AH10" s="7" t="s">
        <v>152</v>
      </c>
      <c r="AI10">
        <v>-112</v>
      </c>
      <c r="AJ10" s="7" t="s">
        <v>159</v>
      </c>
      <c r="AK10">
        <v>-50</v>
      </c>
      <c r="AL10" s="7" t="s">
        <v>165</v>
      </c>
      <c r="AM10">
        <v>-100</v>
      </c>
      <c r="AN10" s="7" t="s">
        <v>181</v>
      </c>
      <c r="AO10">
        <v>-50</v>
      </c>
    </row>
    <row r="11" spans="1:57" thickTop="1" thickBot="1" x14ac:dyDescent="0.35">
      <c r="A11" s="9" t="s">
        <v>13</v>
      </c>
      <c r="C11">
        <v>164</v>
      </c>
      <c r="D11">
        <v>250</v>
      </c>
      <c r="E11">
        <v>467</v>
      </c>
      <c r="F11" s="2">
        <f t="shared" si="1"/>
        <v>-53</v>
      </c>
      <c r="G11">
        <f>19+27+26+5+17+25+29+5+8+25+0</f>
        <v>186</v>
      </c>
      <c r="H11">
        <f>17+31+24+14+27+2</f>
        <v>115</v>
      </c>
      <c r="I11">
        <v>150</v>
      </c>
      <c r="J11">
        <f>120+30+30</f>
        <v>180</v>
      </c>
      <c r="K11" s="3">
        <f t="shared" si="2"/>
        <v>578</v>
      </c>
      <c r="L11">
        <v>939</v>
      </c>
      <c r="M11">
        <f t="shared" si="3"/>
        <v>1517</v>
      </c>
      <c r="N11">
        <f t="shared" si="4"/>
        <v>-732.25</v>
      </c>
      <c r="O11" s="12">
        <f t="shared" si="0"/>
        <v>1310.25</v>
      </c>
      <c r="P11" s="15">
        <v>4</v>
      </c>
      <c r="Q11" s="15">
        <v>3</v>
      </c>
      <c r="R11" s="8" t="s">
        <v>46</v>
      </c>
      <c r="S11">
        <f>242*0.75</f>
        <v>181.5</v>
      </c>
      <c r="T11" s="8" t="s">
        <v>60</v>
      </c>
      <c r="U11">
        <f>289*0.75</f>
        <v>216.75</v>
      </c>
      <c r="V11" s="7" t="s">
        <v>76</v>
      </c>
      <c r="W11">
        <v>-136</v>
      </c>
      <c r="X11" s="7" t="s">
        <v>97</v>
      </c>
      <c r="Y11">
        <v>-206</v>
      </c>
      <c r="Z11" s="8" t="s">
        <v>100</v>
      </c>
      <c r="AA11">
        <f>1350*0.75</f>
        <v>1012.5</v>
      </c>
      <c r="AB11" s="7" t="s">
        <v>120</v>
      </c>
      <c r="AC11">
        <v>-210</v>
      </c>
      <c r="AD11" s="8" t="s">
        <v>137</v>
      </c>
      <c r="AE11">
        <f>50*0.75</f>
        <v>37.5</v>
      </c>
      <c r="AF11" s="7" t="s">
        <v>173</v>
      </c>
      <c r="AG11">
        <v>-263</v>
      </c>
      <c r="AH11" s="7" t="s">
        <v>179</v>
      </c>
      <c r="AI11">
        <f>99</f>
        <v>99</v>
      </c>
    </row>
    <row r="12" spans="1:57" thickTop="1" thickBot="1" x14ac:dyDescent="0.35">
      <c r="A12" s="9" t="s">
        <v>14</v>
      </c>
      <c r="C12">
        <v>110</v>
      </c>
      <c r="D12">
        <v>280</v>
      </c>
      <c r="E12">
        <v>282</v>
      </c>
      <c r="F12" s="2">
        <f t="shared" si="1"/>
        <v>108</v>
      </c>
      <c r="G12">
        <f>12+13+10+11+0+10+21+0-1+10+13</f>
        <v>99</v>
      </c>
      <c r="H12">
        <f>10+11-1+0</f>
        <v>20</v>
      </c>
      <c r="I12">
        <v>50</v>
      </c>
      <c r="J12">
        <f>120</f>
        <v>120</v>
      </c>
      <c r="K12" s="3">
        <f t="shared" si="2"/>
        <v>397</v>
      </c>
      <c r="L12">
        <v>205</v>
      </c>
      <c r="M12">
        <f t="shared" si="3"/>
        <v>602</v>
      </c>
      <c r="N12">
        <f t="shared" si="4"/>
        <v>642</v>
      </c>
      <c r="O12" s="12">
        <f>K12++S12+U12+W12+Y12+AA12+AC12+AE12+AG12+AK12+AM12+AO12+AQ12+AS12+AU12+AW12+AY12+BA12+BC12+BE12+BG12+BI12+BK12+BM12+BO12+BQ12+BS12+BU12+BW12</f>
        <v>-245</v>
      </c>
      <c r="P12" s="15">
        <v>3</v>
      </c>
      <c r="Q12" s="15">
        <v>6</v>
      </c>
      <c r="R12" s="7" t="s">
        <v>55</v>
      </c>
      <c r="S12">
        <v>-74</v>
      </c>
      <c r="T12" s="8" t="s">
        <v>61</v>
      </c>
      <c r="U12">
        <f>20*0.75</f>
        <v>15</v>
      </c>
      <c r="V12" s="7" t="s">
        <v>75</v>
      </c>
      <c r="W12">
        <v>-81</v>
      </c>
      <c r="X12" s="7" t="s">
        <v>77</v>
      </c>
      <c r="Y12">
        <v>-236</v>
      </c>
      <c r="Z12" s="7" t="s">
        <v>107</v>
      </c>
      <c r="AA12">
        <v>-167</v>
      </c>
      <c r="AB12" s="7" t="s">
        <v>119</v>
      </c>
      <c r="AC12">
        <v>-250</v>
      </c>
      <c r="AD12" s="8" t="s">
        <v>146</v>
      </c>
      <c r="AE12">
        <f>236*0.75</f>
        <v>177</v>
      </c>
      <c r="AF12" s="7" t="s">
        <v>160</v>
      </c>
      <c r="AG12">
        <v>-26</v>
      </c>
      <c r="AH12" s="8" t="s">
        <v>172</v>
      </c>
      <c r="AI12">
        <f>50*0.75</f>
        <v>37.5</v>
      </c>
    </row>
    <row r="13" spans="1:57" thickTop="1" thickBot="1" x14ac:dyDescent="0.35">
      <c r="A13" s="9" t="s">
        <v>15</v>
      </c>
      <c r="C13">
        <v>-461</v>
      </c>
      <c r="D13">
        <v>270</v>
      </c>
      <c r="E13">
        <v>703</v>
      </c>
      <c r="F13" s="2">
        <f t="shared" si="1"/>
        <v>-894</v>
      </c>
      <c r="G13">
        <f>3+0+2+27+30+0+16+27+2+18+27</f>
        <v>152</v>
      </c>
      <c r="H13">
        <f>10+15+25-1+0</f>
        <v>49</v>
      </c>
      <c r="I13">
        <v>120</v>
      </c>
      <c r="J13">
        <f>150+50</f>
        <v>200</v>
      </c>
      <c r="K13" s="3">
        <f t="shared" si="2"/>
        <v>-373</v>
      </c>
      <c r="L13">
        <v>528</v>
      </c>
      <c r="M13">
        <f t="shared" si="3"/>
        <v>155</v>
      </c>
      <c r="N13">
        <f t="shared" si="4"/>
        <v>1025</v>
      </c>
      <c r="O13" s="12">
        <f t="shared" si="0"/>
        <v>-1398</v>
      </c>
      <c r="P13" s="15">
        <v>2</v>
      </c>
      <c r="Q13" s="15">
        <v>6</v>
      </c>
      <c r="R13" s="7" t="s">
        <v>58</v>
      </c>
      <c r="S13">
        <v>-60</v>
      </c>
      <c r="T13" s="7" t="s">
        <v>63</v>
      </c>
      <c r="U13">
        <v>-50</v>
      </c>
      <c r="V13" s="7" t="s">
        <v>70</v>
      </c>
      <c r="W13">
        <v>-61</v>
      </c>
      <c r="X13" s="7" t="s">
        <v>71</v>
      </c>
      <c r="Y13">
        <v>-100</v>
      </c>
      <c r="Z13" s="7" t="s">
        <v>112</v>
      </c>
      <c r="AA13">
        <v>-165</v>
      </c>
      <c r="AB13" s="8" t="s">
        <v>124</v>
      </c>
      <c r="AC13">
        <f>123*0.75</f>
        <v>92.25</v>
      </c>
      <c r="AD13" s="7" t="s">
        <v>129</v>
      </c>
      <c r="AE13">
        <v>-562</v>
      </c>
      <c r="AF13" s="8" t="s">
        <v>147</v>
      </c>
      <c r="AG13">
        <f>50*0.75</f>
        <v>37.5</v>
      </c>
      <c r="AH13" s="8" t="s">
        <v>173</v>
      </c>
      <c r="AI13">
        <f>263*0.75</f>
        <v>197.25</v>
      </c>
      <c r="AJ13" s="7" t="s">
        <v>184</v>
      </c>
      <c r="AK13">
        <v>-354</v>
      </c>
    </row>
    <row r="14" spans="1:57" thickTop="1" thickBot="1" x14ac:dyDescent="0.35">
      <c r="A14" s="9" t="s">
        <v>16</v>
      </c>
      <c r="C14">
        <v>10</v>
      </c>
      <c r="D14">
        <v>200</v>
      </c>
      <c r="E14">
        <v>686</v>
      </c>
      <c r="F14" s="2">
        <f t="shared" si="1"/>
        <v>-476</v>
      </c>
      <c r="G14">
        <f>43+3+15+21+27+16+25+15+13+3+27</f>
        <v>208</v>
      </c>
      <c r="H14">
        <f>27+7+29+18+27+21+17</f>
        <v>146</v>
      </c>
      <c r="I14">
        <v>150</v>
      </c>
      <c r="J14">
        <f>150+50+50+100+100</f>
        <v>450</v>
      </c>
      <c r="K14" s="3">
        <f t="shared" si="2"/>
        <v>478</v>
      </c>
      <c r="L14">
        <v>2616</v>
      </c>
      <c r="M14">
        <f t="shared" si="3"/>
        <v>3094</v>
      </c>
      <c r="N14">
        <f t="shared" si="4"/>
        <v>-2136.75</v>
      </c>
      <c r="O14" s="12">
        <f t="shared" si="0"/>
        <v>2614.75</v>
      </c>
      <c r="P14" s="15">
        <v>9</v>
      </c>
      <c r="Q14" s="15">
        <v>3</v>
      </c>
      <c r="R14" s="8" t="s">
        <v>47</v>
      </c>
      <c r="S14">
        <f>84*0.75</f>
        <v>63</v>
      </c>
      <c r="T14" s="8" t="s">
        <v>62</v>
      </c>
      <c r="U14">
        <f>200*0.75</f>
        <v>150</v>
      </c>
      <c r="V14" s="8" t="s">
        <v>49</v>
      </c>
      <c r="W14">
        <f>356*0.75</f>
        <v>267</v>
      </c>
      <c r="X14" s="8" t="s">
        <v>87</v>
      </c>
      <c r="Y14">
        <f>113*0.75</f>
        <v>84.75</v>
      </c>
      <c r="Z14" s="8" t="s">
        <v>88</v>
      </c>
      <c r="AA14">
        <f>351*0.75</f>
        <v>263.25</v>
      </c>
      <c r="AB14" s="7" t="s">
        <v>135</v>
      </c>
      <c r="AC14">
        <v>-50</v>
      </c>
      <c r="AD14" s="8" t="s">
        <v>138</v>
      </c>
      <c r="AE14">
        <f>275*0.75</f>
        <v>206.25</v>
      </c>
      <c r="AF14" s="8" t="s">
        <v>148</v>
      </c>
      <c r="AG14">
        <f>1811*0.75</f>
        <v>1358.25</v>
      </c>
      <c r="AJ14" s="7" t="s">
        <v>153</v>
      </c>
      <c r="AK14">
        <v>-688</v>
      </c>
      <c r="AL14" s="7" t="s">
        <v>155</v>
      </c>
      <c r="AM14">
        <v>-297</v>
      </c>
      <c r="AN14" s="8" t="s">
        <v>161</v>
      </c>
      <c r="AO14">
        <f>1004*0.75</f>
        <v>753</v>
      </c>
      <c r="AP14" s="8" t="s">
        <v>162</v>
      </c>
      <c r="AQ14">
        <f>35*0.75</f>
        <v>26.25</v>
      </c>
    </row>
    <row r="15" spans="1:57" thickTop="1" thickBot="1" x14ac:dyDescent="0.35">
      <c r="A15" s="9" t="s">
        <v>17</v>
      </c>
      <c r="C15">
        <v>150</v>
      </c>
      <c r="D15">
        <v>320</v>
      </c>
      <c r="E15">
        <v>466</v>
      </c>
      <c r="F15" s="2">
        <f t="shared" si="1"/>
        <v>4</v>
      </c>
      <c r="G15">
        <f>10+20+12+15+4+10+7+17+25+17+2</f>
        <v>139</v>
      </c>
      <c r="H15">
        <f>29+0+14+17+2</f>
        <v>62</v>
      </c>
      <c r="I15">
        <v>80</v>
      </c>
      <c r="J15">
        <f>150+50</f>
        <v>200</v>
      </c>
      <c r="K15" s="3">
        <f t="shared" si="2"/>
        <v>485</v>
      </c>
      <c r="L15">
        <v>820</v>
      </c>
      <c r="M15">
        <f t="shared" si="3"/>
        <v>1305</v>
      </c>
      <c r="N15">
        <f t="shared" si="4"/>
        <v>696.5</v>
      </c>
      <c r="O15" s="12">
        <f>K15+S15+U15+W15+Y15+AA15+AC15+AE15+AG15+AK15+AM15+AO15+AQ15+AS15+AU15+AW15+AY15+BA15+BC15+BE15+BG15+BI15+BK15+BM15+BO15+BQ15+BS15+BU15+BW15</f>
        <v>-211.5</v>
      </c>
      <c r="P15" s="15">
        <v>6</v>
      </c>
      <c r="Q15" s="15">
        <v>3</v>
      </c>
      <c r="R15" s="8" t="s">
        <v>50</v>
      </c>
      <c r="S15">
        <f>416*0.75</f>
        <v>312</v>
      </c>
      <c r="T15" s="7" t="s">
        <v>60</v>
      </c>
      <c r="U15">
        <v>-289</v>
      </c>
      <c r="V15" s="8" t="s">
        <v>72</v>
      </c>
      <c r="W15">
        <f>143*0.75</f>
        <v>107.25</v>
      </c>
      <c r="X15" s="8" t="s">
        <v>73</v>
      </c>
      <c r="Y15">
        <f>95*0.75</f>
        <v>71.25</v>
      </c>
      <c r="Z15" s="7" t="s">
        <v>87</v>
      </c>
      <c r="AA15">
        <v>-113</v>
      </c>
      <c r="AB15" s="8" t="s">
        <v>125</v>
      </c>
      <c r="AC15">
        <f>200*0.75</f>
        <v>150</v>
      </c>
      <c r="AD15" s="8" t="s">
        <v>139</v>
      </c>
      <c r="AE15">
        <f>92*0.75</f>
        <v>69</v>
      </c>
      <c r="AF15" s="7" t="s">
        <v>161</v>
      </c>
      <c r="AG15">
        <v>-1004</v>
      </c>
    </row>
    <row r="16" spans="1:57" thickTop="1" thickBot="1" x14ac:dyDescent="0.35">
      <c r="A16" s="9" t="s">
        <v>18</v>
      </c>
      <c r="B16" t="s">
        <v>30</v>
      </c>
      <c r="C16">
        <v>-526</v>
      </c>
      <c r="D16">
        <v>280</v>
      </c>
      <c r="E16">
        <v>454</v>
      </c>
      <c r="F16" s="2">
        <f t="shared" si="1"/>
        <v>-700</v>
      </c>
      <c r="G16">
        <f>19+19+12+21+15+18+27+29+31+23+27</f>
        <v>241</v>
      </c>
      <c r="H16">
        <f>4+9+0+12</f>
        <v>25</v>
      </c>
      <c r="I16">
        <v>250</v>
      </c>
      <c r="J16">
        <f>150</f>
        <v>150</v>
      </c>
      <c r="K16" s="3">
        <f t="shared" si="2"/>
        <v>-34</v>
      </c>
      <c r="L16">
        <v>1794</v>
      </c>
      <c r="M16">
        <f t="shared" si="3"/>
        <v>1760</v>
      </c>
      <c r="N16">
        <f t="shared" si="4"/>
        <v>-1081</v>
      </c>
      <c r="O16" s="12">
        <f t="shared" si="0"/>
        <v>1047</v>
      </c>
      <c r="P16" s="15">
        <v>5</v>
      </c>
      <c r="Q16" s="15">
        <v>4</v>
      </c>
      <c r="R16" s="8" t="s">
        <v>51</v>
      </c>
      <c r="S16">
        <f>127*0.75</f>
        <v>95.25</v>
      </c>
      <c r="T16" s="8" t="s">
        <v>63</v>
      </c>
      <c r="U16">
        <f>50*0.75</f>
        <v>37.5</v>
      </c>
      <c r="V16" s="8" t="s">
        <v>74</v>
      </c>
      <c r="W16">
        <f>1570*0.75</f>
        <v>1177.5</v>
      </c>
      <c r="X16" s="8" t="s">
        <v>89</v>
      </c>
      <c r="Y16">
        <f>100*0.75</f>
        <v>75</v>
      </c>
      <c r="Z16" s="7" t="s">
        <v>95</v>
      </c>
      <c r="AA16">
        <v>-50</v>
      </c>
      <c r="AB16" s="7" t="s">
        <v>96</v>
      </c>
      <c r="AC16">
        <v>-293</v>
      </c>
      <c r="AD16" s="8" t="s">
        <v>101</v>
      </c>
      <c r="AE16">
        <f>183*0.75</f>
        <v>137.25</v>
      </c>
      <c r="AF16" s="7" t="s">
        <v>127</v>
      </c>
      <c r="AG16">
        <v>-247</v>
      </c>
      <c r="AH16" s="7" t="s">
        <v>163</v>
      </c>
      <c r="AI16">
        <v>-67</v>
      </c>
      <c r="AJ16" s="7" t="s">
        <v>180</v>
      </c>
      <c r="AK16">
        <v>-50</v>
      </c>
      <c r="AL16" s="8" t="s">
        <v>184</v>
      </c>
      <c r="AM16">
        <f>354*0.75</f>
        <v>265.5</v>
      </c>
    </row>
    <row r="17" spans="1:79" thickTop="1" thickBot="1" x14ac:dyDescent="0.35">
      <c r="A17" s="9" t="s">
        <v>19</v>
      </c>
      <c r="C17">
        <v>11</v>
      </c>
      <c r="D17">
        <v>600</v>
      </c>
      <c r="E17">
        <v>999</v>
      </c>
      <c r="F17" s="2">
        <f t="shared" si="1"/>
        <v>-388</v>
      </c>
      <c r="G17">
        <f>17+21+19+16+12-2+15+0+10+33+30</f>
        <v>171</v>
      </c>
      <c r="H17">
        <f>2+17+2+11</f>
        <v>32</v>
      </c>
      <c r="I17">
        <v>120</v>
      </c>
      <c r="J17">
        <f>150</f>
        <v>150</v>
      </c>
      <c r="K17" s="3">
        <f t="shared" si="2"/>
        <v>85</v>
      </c>
      <c r="L17">
        <v>584</v>
      </c>
      <c r="M17">
        <f t="shared" si="3"/>
        <v>669</v>
      </c>
      <c r="N17">
        <f t="shared" si="4"/>
        <v>944.5</v>
      </c>
      <c r="O17" s="12">
        <f t="shared" si="0"/>
        <v>-859.5</v>
      </c>
      <c r="P17" s="15">
        <v>3</v>
      </c>
      <c r="Q17" s="15">
        <v>7</v>
      </c>
      <c r="R17" s="7" t="s">
        <v>41</v>
      </c>
      <c r="S17">
        <v>-200</v>
      </c>
      <c r="T17" s="7" t="s">
        <v>65</v>
      </c>
      <c r="U17">
        <v>-119</v>
      </c>
      <c r="V17" s="7" t="s">
        <v>72</v>
      </c>
      <c r="W17">
        <v>-143</v>
      </c>
      <c r="X17" s="8" t="s">
        <v>90</v>
      </c>
      <c r="Y17">
        <f>101*0.75</f>
        <v>75.75</v>
      </c>
      <c r="Z17" s="8" t="s">
        <v>111</v>
      </c>
      <c r="AA17">
        <f>146*0.75</f>
        <v>109.5</v>
      </c>
      <c r="AB17" s="7" t="s">
        <v>114</v>
      </c>
      <c r="AC17">
        <v>-258</v>
      </c>
      <c r="AD17" s="7" t="s">
        <v>130</v>
      </c>
      <c r="AE17">
        <v>-112</v>
      </c>
      <c r="AF17" s="7" t="s">
        <v>132</v>
      </c>
      <c r="AG17">
        <v>-181</v>
      </c>
      <c r="AH17" s="7" t="s">
        <v>157</v>
      </c>
      <c r="AI17">
        <v>-167</v>
      </c>
      <c r="AJ17" s="8" t="s">
        <v>163</v>
      </c>
      <c r="AK17">
        <f>67*0.75</f>
        <v>50.25</v>
      </c>
    </row>
    <row r="18" spans="1:79" thickTop="1" thickBot="1" x14ac:dyDescent="0.35">
      <c r="A18" s="9" t="s">
        <v>20</v>
      </c>
      <c r="C18">
        <v>228</v>
      </c>
      <c r="D18">
        <v>310</v>
      </c>
      <c r="E18">
        <v>553</v>
      </c>
      <c r="F18" s="2">
        <f t="shared" si="1"/>
        <v>-15</v>
      </c>
      <c r="G18">
        <f>1+16+25+1+25+34+39+33+17+25+29</f>
        <v>245</v>
      </c>
      <c r="H18">
        <f>10+13+10+3</f>
        <v>36</v>
      </c>
      <c r="I18">
        <v>250</v>
      </c>
      <c r="J18">
        <f>150</f>
        <v>150</v>
      </c>
      <c r="K18" s="3">
        <f t="shared" si="2"/>
        <v>666</v>
      </c>
      <c r="L18">
        <v>1806</v>
      </c>
      <c r="M18">
        <f t="shared" si="3"/>
        <v>2472</v>
      </c>
      <c r="N18">
        <f t="shared" si="4"/>
        <v>-755.75</v>
      </c>
      <c r="O18" s="12">
        <f t="shared" si="0"/>
        <v>1421.75</v>
      </c>
      <c r="P18" s="15">
        <v>4</v>
      </c>
      <c r="Q18" s="15">
        <v>4</v>
      </c>
      <c r="R18" s="7" t="s">
        <v>48</v>
      </c>
      <c r="S18">
        <v>-356</v>
      </c>
      <c r="T18" s="8" t="s">
        <v>52</v>
      </c>
      <c r="U18">
        <f>1398*0.75</f>
        <v>1048.5</v>
      </c>
      <c r="V18" s="7" t="s">
        <v>62</v>
      </c>
      <c r="W18">
        <v>-200</v>
      </c>
      <c r="X18" s="8" t="s">
        <v>64</v>
      </c>
      <c r="Y18">
        <f>281*0.75</f>
        <v>210.75</v>
      </c>
      <c r="Z18" s="7" t="s">
        <v>67</v>
      </c>
      <c r="AA18">
        <v>-171</v>
      </c>
      <c r="AB18" s="7" t="s">
        <v>86</v>
      </c>
      <c r="AC18">
        <v>-393</v>
      </c>
      <c r="AD18" s="8" t="s">
        <v>126</v>
      </c>
      <c r="AE18">
        <f>500*0.75</f>
        <v>375</v>
      </c>
      <c r="AF18" s="8" t="s">
        <v>164</v>
      </c>
      <c r="AG18">
        <f>322*0.75</f>
        <v>241.5</v>
      </c>
    </row>
    <row r="19" spans="1:79" thickTop="1" thickBot="1" x14ac:dyDescent="0.35">
      <c r="A19" s="9" t="s">
        <v>21</v>
      </c>
      <c r="B19" t="s">
        <v>30</v>
      </c>
      <c r="C19">
        <v>-826</v>
      </c>
      <c r="D19">
        <v>180</v>
      </c>
      <c r="E19">
        <v>455</v>
      </c>
      <c r="F19" s="2">
        <f t="shared" si="1"/>
        <v>-1101</v>
      </c>
      <c r="G19">
        <f>27+30+21+30+0+19+13+10+25+0+14</f>
        <v>189</v>
      </c>
      <c r="H19">
        <f>21+24+15+27+30+0</f>
        <v>117</v>
      </c>
      <c r="I19">
        <v>120</v>
      </c>
      <c r="J19">
        <f>120+30+30</f>
        <v>180</v>
      </c>
      <c r="K19" s="3">
        <f t="shared" si="2"/>
        <v>-495</v>
      </c>
      <c r="L19">
        <v>710</v>
      </c>
      <c r="M19">
        <f t="shared" si="3"/>
        <v>215</v>
      </c>
      <c r="N19">
        <f t="shared" si="4"/>
        <v>1553.5</v>
      </c>
      <c r="O19" s="12">
        <f t="shared" si="0"/>
        <v>-2048.5</v>
      </c>
      <c r="P19" s="15">
        <v>3</v>
      </c>
      <c r="Q19" s="15">
        <v>6</v>
      </c>
      <c r="R19" s="7" t="s">
        <v>37</v>
      </c>
      <c r="S19">
        <v>-157</v>
      </c>
      <c r="T19" s="8" t="s">
        <v>75</v>
      </c>
      <c r="U19">
        <f>81*0.75</f>
        <v>60.75</v>
      </c>
      <c r="V19" s="7" t="s">
        <v>84</v>
      </c>
      <c r="W19">
        <v>-100</v>
      </c>
      <c r="X19" s="8" t="s">
        <v>91</v>
      </c>
      <c r="Y19">
        <f>127*0.75</f>
        <v>95.25</v>
      </c>
      <c r="Z19" s="7" t="s">
        <v>98</v>
      </c>
      <c r="AA19">
        <v>-221</v>
      </c>
      <c r="AB19" s="7" t="s">
        <v>102</v>
      </c>
      <c r="AC19">
        <v>-244</v>
      </c>
      <c r="AD19" s="7" t="s">
        <v>113</v>
      </c>
      <c r="AE19">
        <v>-765</v>
      </c>
      <c r="AF19" s="7" t="s">
        <v>126</v>
      </c>
      <c r="AG19">
        <v>-500</v>
      </c>
      <c r="AH19" s="8" t="s">
        <v>127</v>
      </c>
      <c r="AI19">
        <f>247*0.75</f>
        <v>185.25</v>
      </c>
      <c r="AJ19" s="8" t="s">
        <v>182</v>
      </c>
      <c r="AK19">
        <f>123*0.75</f>
        <v>92.25</v>
      </c>
    </row>
    <row r="20" spans="1:79" thickTop="1" thickBot="1" x14ac:dyDescent="0.35">
      <c r="A20" s="9" t="s">
        <v>22</v>
      </c>
      <c r="C20">
        <v>146</v>
      </c>
      <c r="D20">
        <v>200</v>
      </c>
      <c r="E20">
        <v>213</v>
      </c>
      <c r="F20" s="2">
        <f t="shared" si="1"/>
        <v>133</v>
      </c>
      <c r="G20">
        <f>0+2+7+10+10+21+2+10+11+24+7</f>
        <v>104</v>
      </c>
      <c r="H20">
        <f>8+19+11+0</f>
        <v>38</v>
      </c>
      <c r="I20">
        <v>50</v>
      </c>
      <c r="J20">
        <f>120</f>
        <v>120</v>
      </c>
      <c r="K20" s="3">
        <f t="shared" si="2"/>
        <v>445</v>
      </c>
      <c r="L20">
        <v>448</v>
      </c>
      <c r="M20">
        <f t="shared" si="3"/>
        <v>893</v>
      </c>
      <c r="N20">
        <f t="shared" si="4"/>
        <v>189</v>
      </c>
      <c r="O20" s="12">
        <f t="shared" si="0"/>
        <v>256</v>
      </c>
      <c r="P20" s="15">
        <v>5</v>
      </c>
      <c r="Q20" s="15">
        <v>7</v>
      </c>
      <c r="R20" s="7" t="s">
        <v>47</v>
      </c>
      <c r="S20">
        <v>-84</v>
      </c>
      <c r="T20" s="7" t="s">
        <v>104</v>
      </c>
      <c r="U20">
        <v>-20</v>
      </c>
      <c r="V20" s="8" t="s">
        <v>112</v>
      </c>
      <c r="W20">
        <f>165*0.75</f>
        <v>123.75</v>
      </c>
      <c r="X20" s="8" t="s">
        <v>115</v>
      </c>
      <c r="Y20">
        <f>50*0.75</f>
        <v>37.5</v>
      </c>
      <c r="Z20" s="8" t="s">
        <v>116</v>
      </c>
      <c r="AA20">
        <f>100*0.75</f>
        <v>75</v>
      </c>
      <c r="AB20" s="7" t="s">
        <v>121</v>
      </c>
      <c r="AC20">
        <v>-100</v>
      </c>
      <c r="AD20" s="8" t="s">
        <v>128</v>
      </c>
      <c r="AE20">
        <f>82*0.75</f>
        <v>61.5</v>
      </c>
      <c r="AF20" s="8" t="s">
        <v>140</v>
      </c>
      <c r="AG20">
        <f>151*0.75</f>
        <v>113.25</v>
      </c>
      <c r="AH20" s="7" t="s">
        <v>149</v>
      </c>
      <c r="AI20">
        <v>-20</v>
      </c>
      <c r="AJ20" s="7" t="s">
        <v>154</v>
      </c>
      <c r="AK20">
        <v>-61</v>
      </c>
      <c r="AL20" s="7" t="s">
        <v>158</v>
      </c>
      <c r="AM20">
        <v>-20</v>
      </c>
      <c r="AN20" s="7" t="s">
        <v>167</v>
      </c>
      <c r="AO20">
        <v>-209</v>
      </c>
      <c r="AP20" s="7" t="s">
        <v>177</v>
      </c>
      <c r="AQ20">
        <v>-86</v>
      </c>
    </row>
    <row r="21" spans="1:79" thickTop="1" thickBot="1" x14ac:dyDescent="0.35">
      <c r="A21" s="9" t="s">
        <v>23</v>
      </c>
      <c r="C21">
        <v>51</v>
      </c>
      <c r="D21">
        <v>250</v>
      </c>
      <c r="E21">
        <v>428</v>
      </c>
      <c r="F21" s="2">
        <f t="shared" si="1"/>
        <v>-127</v>
      </c>
      <c r="G21">
        <f>41+23+14+11+0+1+0+24+16+27+2</f>
        <v>159</v>
      </c>
      <c r="H21">
        <f>19+11+1+12</f>
        <v>43</v>
      </c>
      <c r="I21">
        <v>100</v>
      </c>
      <c r="J21">
        <f>150</f>
        <v>150</v>
      </c>
      <c r="K21" s="3">
        <f t="shared" si="2"/>
        <v>325</v>
      </c>
      <c r="L21">
        <v>974</v>
      </c>
      <c r="M21">
        <f t="shared" si="3"/>
        <v>1299</v>
      </c>
      <c r="N21">
        <f t="shared" si="4"/>
        <v>1959.5</v>
      </c>
      <c r="O21" s="12">
        <f t="shared" si="0"/>
        <v>-1634.5</v>
      </c>
      <c r="P21" s="15">
        <v>2</v>
      </c>
      <c r="Q21" s="15">
        <v>7</v>
      </c>
      <c r="R21" s="7" t="s">
        <v>56</v>
      </c>
      <c r="S21">
        <v>-73</v>
      </c>
      <c r="T21" s="7" t="s">
        <v>85</v>
      </c>
      <c r="U21">
        <v>-100</v>
      </c>
      <c r="V21" s="7" t="s">
        <v>93</v>
      </c>
      <c r="W21">
        <v>-1053</v>
      </c>
      <c r="X21" s="7" t="s">
        <v>106</v>
      </c>
      <c r="Y21">
        <v>-500</v>
      </c>
      <c r="Z21" s="7" t="s">
        <v>118</v>
      </c>
      <c r="AA21">
        <v>-323</v>
      </c>
      <c r="AB21" s="8" t="s">
        <v>129</v>
      </c>
      <c r="AC21">
        <f>562*0.75</f>
        <v>421.5</v>
      </c>
      <c r="AD21" s="7" t="s">
        <v>143</v>
      </c>
      <c r="AE21">
        <v>-56</v>
      </c>
      <c r="AF21" s="8" t="s">
        <v>149</v>
      </c>
      <c r="AG21">
        <f>20*0.75</f>
        <v>15</v>
      </c>
      <c r="AH21" s="7" t="s">
        <v>151</v>
      </c>
      <c r="AI21">
        <v>-271</v>
      </c>
      <c r="AJ21" s="7" t="s">
        <v>176</v>
      </c>
      <c r="AK21">
        <v>-20</v>
      </c>
    </row>
    <row r="22" spans="1:79" thickTop="1" thickBot="1" x14ac:dyDescent="0.35">
      <c r="A22" s="9" t="s">
        <v>24</v>
      </c>
      <c r="C22">
        <v>188</v>
      </c>
      <c r="D22">
        <v>250</v>
      </c>
      <c r="E22">
        <v>739</v>
      </c>
      <c r="F22" s="2">
        <f t="shared" si="1"/>
        <v>-301</v>
      </c>
      <c r="G22">
        <f>16+26+31+27+18+17+26+29+19+9+29</f>
        <v>247</v>
      </c>
      <c r="H22">
        <f>12+17+25+13+10</f>
        <v>77</v>
      </c>
      <c r="I22">
        <v>200</v>
      </c>
      <c r="J22">
        <f>150+50</f>
        <v>200</v>
      </c>
      <c r="K22" s="3">
        <f t="shared" si="2"/>
        <v>423</v>
      </c>
      <c r="L22">
        <v>1367</v>
      </c>
      <c r="M22">
        <f t="shared" si="3"/>
        <v>1790</v>
      </c>
      <c r="N22">
        <f t="shared" si="4"/>
        <v>20</v>
      </c>
      <c r="O22" s="12">
        <f t="shared" si="0"/>
        <v>403</v>
      </c>
      <c r="P22" s="15">
        <v>7</v>
      </c>
      <c r="Q22" s="15">
        <v>5</v>
      </c>
      <c r="R22" s="8" t="s">
        <v>65</v>
      </c>
      <c r="S22">
        <f>119*0.75</f>
        <v>89.25</v>
      </c>
      <c r="T22" s="7" t="s">
        <v>105</v>
      </c>
      <c r="U22">
        <v>-229</v>
      </c>
      <c r="V22" s="8" t="s">
        <v>113</v>
      </c>
      <c r="W22">
        <f>765*0.75</f>
        <v>573.75</v>
      </c>
      <c r="X22" s="7" t="s">
        <v>122</v>
      </c>
      <c r="Y22">
        <v>-398</v>
      </c>
      <c r="Z22" s="7" t="s">
        <v>124</v>
      </c>
      <c r="AA22">
        <v>-123</v>
      </c>
      <c r="AB22" s="8" t="s">
        <v>130</v>
      </c>
      <c r="AC22">
        <f>112*0.75</f>
        <v>84</v>
      </c>
      <c r="AD22" s="7" t="s">
        <v>134</v>
      </c>
      <c r="AE22">
        <v>-354</v>
      </c>
      <c r="AF22" s="8" t="s">
        <v>141</v>
      </c>
      <c r="AG22">
        <f>100*0.75</f>
        <v>75</v>
      </c>
      <c r="AH22" s="7" t="s">
        <v>146</v>
      </c>
      <c r="AI22">
        <v>-236</v>
      </c>
      <c r="AJ22" s="8" t="s">
        <v>150</v>
      </c>
      <c r="AK22">
        <f>243*0.75</f>
        <v>182.25</v>
      </c>
      <c r="AL22" s="8" t="s">
        <v>151</v>
      </c>
      <c r="AM22">
        <f>271*0.75</f>
        <v>203.25</v>
      </c>
      <c r="AN22" s="8" t="s">
        <v>165</v>
      </c>
      <c r="AO22">
        <f>100*0.75</f>
        <v>75</v>
      </c>
      <c r="AP22" s="8" t="s">
        <v>175</v>
      </c>
      <c r="AQ22">
        <f>50*0.75</f>
        <v>37.5</v>
      </c>
    </row>
    <row r="23" spans="1:79" thickTop="1" thickBot="1" x14ac:dyDescent="0.35">
      <c r="A23" s="9" t="s">
        <v>25</v>
      </c>
      <c r="C23">
        <v>127</v>
      </c>
      <c r="D23">
        <v>220</v>
      </c>
      <c r="E23">
        <v>624</v>
      </c>
      <c r="F23" s="2">
        <f t="shared" si="1"/>
        <v>-277</v>
      </c>
      <c r="G23">
        <f>19+3+19+38-1+9+28+26+15+18+24</f>
        <v>198</v>
      </c>
      <c r="H23">
        <f>17+14+6+25+13+13-3</f>
        <v>85</v>
      </c>
      <c r="I23">
        <v>150</v>
      </c>
      <c r="J23">
        <f>150+50+50+100</f>
        <v>350</v>
      </c>
      <c r="K23" s="3">
        <f t="shared" si="2"/>
        <v>506</v>
      </c>
      <c r="L23">
        <v>1416</v>
      </c>
      <c r="M23">
        <f t="shared" si="3"/>
        <v>1922</v>
      </c>
      <c r="N23">
        <f t="shared" si="4"/>
        <v>1228.5</v>
      </c>
      <c r="O23" s="12">
        <f t="shared" si="0"/>
        <v>-722.5</v>
      </c>
      <c r="P23" s="15">
        <v>4</v>
      </c>
      <c r="Q23" s="15">
        <v>3</v>
      </c>
      <c r="R23" s="7" t="s">
        <v>52</v>
      </c>
      <c r="S23">
        <v>-1398</v>
      </c>
      <c r="T23" s="8" t="s">
        <v>76</v>
      </c>
      <c r="U23">
        <f>136*0.75</f>
        <v>102</v>
      </c>
      <c r="V23" s="8" t="s">
        <v>92</v>
      </c>
      <c r="W23">
        <f>100*0.75</f>
        <v>75</v>
      </c>
      <c r="X23" s="7" t="s">
        <v>131</v>
      </c>
      <c r="Y23">
        <v>-50</v>
      </c>
      <c r="Z23" s="7" t="s">
        <v>144</v>
      </c>
      <c r="AA23">
        <v>-142</v>
      </c>
      <c r="AB23" s="8" t="s">
        <v>152</v>
      </c>
      <c r="AC23">
        <f>112*0.75</f>
        <v>84</v>
      </c>
      <c r="AD23" s="8" t="s">
        <v>166</v>
      </c>
      <c r="AE23">
        <f>84*0.75</f>
        <v>63</v>
      </c>
      <c r="AF23" s="8" t="s">
        <v>183</v>
      </c>
      <c r="AG23">
        <f>50*0.75</f>
        <v>37.5</v>
      </c>
    </row>
    <row r="24" spans="1:79" thickTop="1" thickBot="1" x14ac:dyDescent="0.35">
      <c r="A24" s="9" t="s">
        <v>26</v>
      </c>
      <c r="C24">
        <v>120</v>
      </c>
      <c r="D24">
        <v>130</v>
      </c>
      <c r="E24">
        <v>151</v>
      </c>
      <c r="F24" s="2">
        <f t="shared" si="1"/>
        <v>99</v>
      </c>
      <c r="G24">
        <f>0+11+9-1+0+13+13+24+25+3+2</f>
        <v>99</v>
      </c>
      <c r="H24">
        <f>27+4+11+2</f>
        <v>44</v>
      </c>
      <c r="I24">
        <v>80</v>
      </c>
      <c r="J24">
        <f>120</f>
        <v>120</v>
      </c>
      <c r="K24" s="3">
        <f t="shared" si="2"/>
        <v>442</v>
      </c>
      <c r="L24">
        <v>46</v>
      </c>
      <c r="M24">
        <f t="shared" si="3"/>
        <v>488</v>
      </c>
      <c r="N24">
        <f t="shared" si="4"/>
        <v>1389.75</v>
      </c>
      <c r="O24" s="12">
        <f>K24+S24+U24+W24+Y24+AA24+AC24+AE24+AG24+AI24+AK24+AM24+AQ24+AS24+AU24+AW24+AY24+BA24+BC24+BE24+BG24+BI24+BK24+BM24+BO24+BQ24+BS24+BU24+BW24</f>
        <v>-947.75</v>
      </c>
      <c r="P24" s="15">
        <v>1</v>
      </c>
      <c r="Q24" s="15">
        <v>11</v>
      </c>
      <c r="R24" s="7" t="s">
        <v>40</v>
      </c>
      <c r="S24">
        <v>-50</v>
      </c>
      <c r="T24" s="7" t="s">
        <v>54</v>
      </c>
      <c r="U24">
        <v>-50</v>
      </c>
      <c r="V24" s="7" t="s">
        <v>64</v>
      </c>
      <c r="W24">
        <v>-281</v>
      </c>
      <c r="X24" s="7" t="s">
        <v>69</v>
      </c>
      <c r="Y24">
        <v>-159</v>
      </c>
      <c r="Z24" s="7" t="s">
        <v>78</v>
      </c>
      <c r="AA24">
        <v>-20</v>
      </c>
      <c r="AB24" s="7" t="s">
        <v>79</v>
      </c>
      <c r="AC24">
        <v>-229</v>
      </c>
      <c r="AD24" s="7" t="s">
        <v>83</v>
      </c>
      <c r="AE24">
        <v>-100</v>
      </c>
      <c r="AF24" s="7" t="s">
        <v>88</v>
      </c>
      <c r="AG24">
        <v>-351</v>
      </c>
      <c r="AH24" s="7" t="s">
        <v>115</v>
      </c>
      <c r="AI24">
        <v>-50</v>
      </c>
      <c r="AJ24" s="8" t="s">
        <v>117</v>
      </c>
      <c r="AK24">
        <f>43*0.75</f>
        <v>32.25</v>
      </c>
      <c r="AL24" s="7" t="s">
        <v>128</v>
      </c>
      <c r="AM24">
        <v>-82</v>
      </c>
      <c r="AN24" s="7" t="s">
        <v>178</v>
      </c>
      <c r="AO24">
        <v>-20</v>
      </c>
      <c r="AP24" s="7" t="s">
        <v>183</v>
      </c>
      <c r="AQ24">
        <v>-50</v>
      </c>
    </row>
    <row r="25" spans="1:79" thickTop="1" thickBot="1" x14ac:dyDescent="0.35">
      <c r="A25" s="9" t="s">
        <v>27</v>
      </c>
      <c r="C25">
        <v>179</v>
      </c>
      <c r="D25">
        <v>230</v>
      </c>
      <c r="E25">
        <v>730</v>
      </c>
      <c r="F25" s="2">
        <f t="shared" si="1"/>
        <v>-321</v>
      </c>
      <c r="G25">
        <f>16+10+10+10+19+17-2+24+15+7+2</f>
        <v>128</v>
      </c>
      <c r="H25">
        <f>30+20+27+0+25-2</f>
        <v>100</v>
      </c>
      <c r="I25">
        <v>100</v>
      </c>
      <c r="J25">
        <f>150+50+50</f>
        <v>250</v>
      </c>
      <c r="K25" s="3">
        <f t="shared" si="2"/>
        <v>257</v>
      </c>
      <c r="L25">
        <v>1205</v>
      </c>
      <c r="M25">
        <f t="shared" si="3"/>
        <v>1462</v>
      </c>
      <c r="N25">
        <f t="shared" si="4"/>
        <v>926</v>
      </c>
      <c r="O25" s="12">
        <f t="shared" si="0"/>
        <v>-669</v>
      </c>
      <c r="P25" s="15">
        <v>6</v>
      </c>
      <c r="Q25" s="15">
        <v>5</v>
      </c>
      <c r="R25" s="7" t="s">
        <v>50</v>
      </c>
      <c r="S25">
        <v>-416</v>
      </c>
      <c r="T25" s="7" t="s">
        <v>68</v>
      </c>
      <c r="U25">
        <v>-249</v>
      </c>
      <c r="V25" s="8" t="s">
        <v>77</v>
      </c>
      <c r="W25">
        <f>236*0.75</f>
        <v>177</v>
      </c>
      <c r="X25" s="8" t="s">
        <v>93</v>
      </c>
      <c r="Y25">
        <f>1053*0.75</f>
        <v>789.75</v>
      </c>
      <c r="Z25" s="8" t="s">
        <v>94</v>
      </c>
      <c r="AA25">
        <f>100*0.75</f>
        <v>75</v>
      </c>
      <c r="AB25" s="7" t="s">
        <v>116</v>
      </c>
      <c r="AC25">
        <v>-100</v>
      </c>
      <c r="AD25" s="8" t="s">
        <v>118</v>
      </c>
      <c r="AE25">
        <f>323*0.75</f>
        <v>242.25</v>
      </c>
      <c r="AF25" s="8" t="s">
        <v>137</v>
      </c>
      <c r="AG25">
        <v>-50</v>
      </c>
      <c r="AH25" s="7" t="s">
        <v>141</v>
      </c>
      <c r="AI25">
        <v>-100</v>
      </c>
      <c r="AJ25" s="7" t="s">
        <v>148</v>
      </c>
      <c r="AK25">
        <v>-1811</v>
      </c>
      <c r="AL25" s="8" t="s">
        <v>153</v>
      </c>
      <c r="AM25">
        <f>688*0.75</f>
        <v>516</v>
      </c>
    </row>
    <row r="26" spans="1:79" thickTop="1" thickBot="1" x14ac:dyDescent="0.35">
      <c r="A26" s="9" t="s">
        <v>53</v>
      </c>
      <c r="F26" s="2"/>
      <c r="N26">
        <f t="shared" si="4"/>
        <v>-3251.25</v>
      </c>
      <c r="O26" s="12">
        <f>K26+S26+U26+W26+Y26+AA26+AC26+AE26+AG26+AI26+AK26+AM26+AO26+AQ26+AS26+AU26+AW26+AY26+BA26+BC26+BE26+BG26+BI26+BK26+BM26+BO26+BQ26+BS26+BU26+BW26</f>
        <v>3251.25</v>
      </c>
      <c r="P26" s="15">
        <v>30</v>
      </c>
      <c r="Q26" s="15">
        <v>0</v>
      </c>
      <c r="R26" s="8" t="s">
        <v>54</v>
      </c>
      <c r="S26">
        <f>50*0.75</f>
        <v>37.5</v>
      </c>
      <c r="T26" s="8" t="s">
        <v>55</v>
      </c>
      <c r="U26">
        <f>74*0.75</f>
        <v>55.5</v>
      </c>
      <c r="V26" s="8" t="s">
        <v>56</v>
      </c>
      <c r="W26">
        <f>73*0.75</f>
        <v>54.75</v>
      </c>
      <c r="X26" s="8" t="s">
        <v>57</v>
      </c>
      <c r="Y26">
        <f>47*0.75</f>
        <v>35.25</v>
      </c>
      <c r="Z26" s="8" t="s">
        <v>66</v>
      </c>
      <c r="AA26">
        <f>23*0.75</f>
        <v>17.25</v>
      </c>
      <c r="AB26" s="8" t="s">
        <v>67</v>
      </c>
      <c r="AC26">
        <f>171*0.75</f>
        <v>128.25</v>
      </c>
      <c r="AD26" s="8" t="s">
        <v>78</v>
      </c>
      <c r="AE26">
        <f>20*0.75</f>
        <v>15</v>
      </c>
      <c r="AF26" s="8" t="s">
        <v>79</v>
      </c>
      <c r="AG26">
        <f>229*0.75</f>
        <v>171.75</v>
      </c>
      <c r="AH26" s="8" t="s">
        <v>80</v>
      </c>
      <c r="AI26">
        <f>220*0.75</f>
        <v>165</v>
      </c>
      <c r="AJ26" s="8" t="s">
        <v>81</v>
      </c>
      <c r="AK26">
        <f>117*0.75</f>
        <v>87.75</v>
      </c>
      <c r="AL26" s="8" t="s">
        <v>95</v>
      </c>
      <c r="AM26">
        <f>50*0.75</f>
        <v>37.5</v>
      </c>
      <c r="AN26" s="8" t="s">
        <v>96</v>
      </c>
      <c r="AO26">
        <f>293*0.75</f>
        <v>219.75</v>
      </c>
      <c r="AP26" s="8" t="s">
        <v>97</v>
      </c>
      <c r="AQ26">
        <f>206*0.75</f>
        <v>154.5</v>
      </c>
      <c r="AR26" s="8" t="s">
        <v>103</v>
      </c>
      <c r="AS26">
        <f>163*0.75</f>
        <v>122.25</v>
      </c>
      <c r="AT26" s="8" t="s">
        <v>104</v>
      </c>
      <c r="AU26">
        <f>20*0.75</f>
        <v>15</v>
      </c>
      <c r="AV26" s="8" t="s">
        <v>105</v>
      </c>
      <c r="AW26">
        <f>229*0.75</f>
        <v>171.75</v>
      </c>
      <c r="AX26" s="8" t="s">
        <v>114</v>
      </c>
      <c r="AY26">
        <f>258*0.75</f>
        <v>193.5</v>
      </c>
      <c r="AZ26" s="8" t="s">
        <v>119</v>
      </c>
      <c r="BA26">
        <f>250*0.75</f>
        <v>187.5</v>
      </c>
      <c r="BB26" s="8" t="s">
        <v>120</v>
      </c>
      <c r="BC26">
        <f>210*0.75</f>
        <v>157.5</v>
      </c>
      <c r="BD26" s="8" t="s">
        <v>131</v>
      </c>
      <c r="BE26">
        <f>50*0.75</f>
        <v>37.5</v>
      </c>
      <c r="BF26" s="8" t="s">
        <v>132</v>
      </c>
      <c r="BG26">
        <f>181*0.75</f>
        <v>135.75</v>
      </c>
      <c r="BH26" s="8" t="s">
        <v>133</v>
      </c>
      <c r="BI26">
        <f>142*0.75</f>
        <v>106.5</v>
      </c>
      <c r="BJ26" s="8" t="s">
        <v>134</v>
      </c>
      <c r="BK26">
        <f>354*0.75</f>
        <v>265.5</v>
      </c>
      <c r="BL26" s="8" t="s">
        <v>154</v>
      </c>
      <c r="BM26">
        <f>61*0.75</f>
        <v>45.75</v>
      </c>
      <c r="BN26" s="8" t="s">
        <v>155</v>
      </c>
      <c r="BO26">
        <f>297*0.75</f>
        <v>222.75</v>
      </c>
      <c r="BP26" s="8" t="s">
        <v>156</v>
      </c>
      <c r="BQ26">
        <f>151*0.75</f>
        <v>113.25</v>
      </c>
      <c r="BR26" s="8" t="s">
        <v>157</v>
      </c>
      <c r="BS26">
        <f>167*0.75</f>
        <v>125.25</v>
      </c>
      <c r="BT26" s="8" t="s">
        <v>158</v>
      </c>
      <c r="BU26">
        <f>20*0.75</f>
        <v>15</v>
      </c>
      <c r="BV26" s="8" t="s">
        <v>167</v>
      </c>
      <c r="BW26">
        <f>209*0.75</f>
        <v>156.75</v>
      </c>
      <c r="BX26" s="8" t="s">
        <v>176</v>
      </c>
      <c r="BY26">
        <f>20*0.75</f>
        <v>15</v>
      </c>
      <c r="BZ26" s="8" t="s">
        <v>177</v>
      </c>
      <c r="CA26">
        <f>86*0.75</f>
        <v>64.5</v>
      </c>
    </row>
    <row r="27" spans="1:79" thickTop="1" thickBot="1" x14ac:dyDescent="0.35">
      <c r="P27" s="14">
        <f>SUM(P2:P26)</f>
        <v>132</v>
      </c>
      <c r="Q27" s="14">
        <f>SUM(Q2:Q26)</f>
        <v>129</v>
      </c>
    </row>
  </sheetData>
  <conditionalFormatting sqref="M1: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6">
    <cfRule type="cellIs" dxfId="2" priority="3" operator="lessThan">
      <formula>0</formula>
    </cfRule>
    <cfRule type="cellIs" dxfId="1" priority="4" operator="greaterThan">
      <formula>1000</formula>
    </cfRule>
  </conditionalFormatting>
  <conditionalFormatting sqref="O2:O1048576">
    <cfRule type="cellIs" dxfId="0" priority="2" operator="greaterThan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</dc:creator>
  <cp:lastModifiedBy>Clément</cp:lastModifiedBy>
  <dcterms:created xsi:type="dcterms:W3CDTF">2017-03-17T18:01:25Z</dcterms:created>
  <dcterms:modified xsi:type="dcterms:W3CDTF">2017-04-08T12:52:55Z</dcterms:modified>
</cp:coreProperties>
</file>