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67a45b2d3e4cb38/Documents/8. TRAVAIL CLEMENT/2.3. Rec Data/1. OC/2. Projets/2.11 Cadrage projet IA/Patin_clement_2_fichier_072024/"/>
    </mc:Choice>
  </mc:AlternateContent>
  <xr:revisionPtr revIDLastSave="93" documentId="13_ncr:1_{AE6AF734-EED6-407A-92DF-39D8572C17BD}" xr6:coauthVersionLast="47" xr6:coauthVersionMax="47" xr10:uidLastSave="{997D3ECC-180E-47CD-AE43-0B8A8724F9FF}"/>
  <bookViews>
    <workbookView xWindow="28680" yWindow="-120" windowWidth="29040" windowHeight="15720" xr2:uid="{B3C61383-6FE9-40A0-B658-76C4F3983028}"/>
  </bookViews>
  <sheets>
    <sheet name="Dépenses RH" sheetId="1" r:id="rId1"/>
    <sheet name="Dépenses infra Azure" sheetId="2" r:id="rId2"/>
    <sheet name="Recettes" sheetId="3" r:id="rId3"/>
    <sheet name="PR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E61" i="1"/>
  <c r="E62" i="1" s="1"/>
  <c r="E50" i="1"/>
  <c r="E51" i="1" s="1"/>
  <c r="E37" i="1"/>
  <c r="E38" i="1" s="1"/>
  <c r="E21" i="1"/>
  <c r="E22" i="1" s="1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49" i="1"/>
  <c r="N36" i="1"/>
  <c r="N20" i="1"/>
  <c r="E9" i="4"/>
  <c r="D9" i="4"/>
  <c r="C9" i="4"/>
  <c r="B9" i="4"/>
  <c r="H8" i="4"/>
  <c r="G8" i="4"/>
  <c r="F8" i="4"/>
  <c r="E8" i="4"/>
  <c r="D8" i="4"/>
  <c r="C8" i="4"/>
  <c r="B8" i="4"/>
  <c r="E54" i="1" l="1"/>
  <c r="E53" i="1"/>
  <c r="H9" i="4"/>
  <c r="N52" i="1"/>
  <c r="F9" i="4"/>
  <c r="G9" i="4"/>
  <c r="D7" i="3"/>
  <c r="D9" i="3" s="1"/>
  <c r="C7" i="3"/>
  <c r="C9" i="3" s="1"/>
  <c r="E7" i="3"/>
  <c r="E9" i="3" s="1"/>
  <c r="B7" i="3"/>
  <c r="B9" i="3" s="1"/>
  <c r="I8" i="4" s="1"/>
  <c r="L60" i="1"/>
  <c r="L59" i="1"/>
  <c r="L58" i="1"/>
  <c r="L57" i="1"/>
  <c r="K61" i="1"/>
  <c r="K62" i="1" s="1"/>
  <c r="J61" i="1"/>
  <c r="J62" i="1" s="1"/>
  <c r="I61" i="1"/>
  <c r="I62" i="1" s="1"/>
  <c r="H61" i="1"/>
  <c r="H62" i="1" s="1"/>
  <c r="G61" i="1"/>
  <c r="F61" i="1"/>
  <c r="F62" i="1" s="1"/>
  <c r="D61" i="1"/>
  <c r="D62" i="1" s="1"/>
  <c r="C61" i="1"/>
  <c r="B61" i="1"/>
  <c r="B62" i="1" s="1"/>
  <c r="L34" i="1"/>
  <c r="L49" i="1"/>
  <c r="L47" i="1"/>
  <c r="L46" i="1"/>
  <c r="L45" i="1"/>
  <c r="L44" i="1"/>
  <c r="L43" i="1"/>
  <c r="L42" i="1"/>
  <c r="L41" i="1"/>
  <c r="K50" i="1"/>
  <c r="K51" i="1" s="1"/>
  <c r="J50" i="1"/>
  <c r="J51" i="1" s="1"/>
  <c r="I50" i="1"/>
  <c r="I51" i="1" s="1"/>
  <c r="H50" i="1"/>
  <c r="H51" i="1" s="1"/>
  <c r="G50" i="1"/>
  <c r="G51" i="1" s="1"/>
  <c r="F50" i="1"/>
  <c r="F51" i="1" s="1"/>
  <c r="D50" i="1"/>
  <c r="D51" i="1" s="1"/>
  <c r="C50" i="1"/>
  <c r="C51" i="1" s="1"/>
  <c r="B50" i="1"/>
  <c r="B51" i="1" s="1"/>
  <c r="L36" i="1"/>
  <c r="L33" i="1"/>
  <c r="L32" i="1"/>
  <c r="L31" i="1"/>
  <c r="L30" i="1"/>
  <c r="L28" i="1"/>
  <c r="L27" i="1"/>
  <c r="L26" i="1"/>
  <c r="L25" i="1"/>
  <c r="K37" i="1"/>
  <c r="K38" i="1" s="1"/>
  <c r="J37" i="1"/>
  <c r="J38" i="1" s="1"/>
  <c r="I37" i="1"/>
  <c r="I38" i="1" s="1"/>
  <c r="H37" i="1"/>
  <c r="H38" i="1" s="1"/>
  <c r="G37" i="1"/>
  <c r="G38" i="1" s="1"/>
  <c r="F37" i="1"/>
  <c r="F38" i="1" s="1"/>
  <c r="D37" i="1"/>
  <c r="D38" i="1" s="1"/>
  <c r="C37" i="1"/>
  <c r="C38" i="1" s="1"/>
  <c r="B37" i="1"/>
  <c r="B38" i="1" s="1"/>
  <c r="K21" i="1"/>
  <c r="K22" i="1" s="1"/>
  <c r="J21" i="1"/>
  <c r="J22" i="1" s="1"/>
  <c r="I21" i="1"/>
  <c r="I22" i="1" s="1"/>
  <c r="H21" i="1"/>
  <c r="H22" i="1" s="1"/>
  <c r="G21" i="1"/>
  <c r="G22" i="1" s="1"/>
  <c r="F21" i="1"/>
  <c r="F22" i="1" s="1"/>
  <c r="D21" i="1"/>
  <c r="D22" i="1" s="1"/>
  <c r="C21" i="1"/>
  <c r="C22" i="1" s="1"/>
  <c r="L20" i="1"/>
  <c r="L19" i="1"/>
  <c r="L18" i="1"/>
  <c r="L17" i="1"/>
  <c r="L16" i="1"/>
  <c r="L15" i="1"/>
  <c r="L14" i="1"/>
  <c r="L12" i="1"/>
  <c r="L11" i="1"/>
  <c r="L10" i="1"/>
  <c r="L9" i="1"/>
  <c r="B21" i="1"/>
  <c r="B22" i="1" s="1"/>
  <c r="J8" i="4" l="1"/>
  <c r="K8" i="4"/>
  <c r="I9" i="4"/>
  <c r="X8" i="4"/>
  <c r="W8" i="4"/>
  <c r="Q8" i="4"/>
  <c r="P8" i="4"/>
  <c r="Y8" i="4"/>
  <c r="V8" i="4"/>
  <c r="T8" i="4"/>
  <c r="S8" i="4"/>
  <c r="R8" i="4"/>
  <c r="O8" i="4"/>
  <c r="N8" i="4"/>
  <c r="U8" i="4"/>
  <c r="M8" i="4"/>
  <c r="L8" i="4"/>
  <c r="D54" i="1"/>
  <c r="C53" i="1"/>
  <c r="D53" i="1"/>
  <c r="F53" i="1"/>
  <c r="F54" i="1"/>
  <c r="H54" i="1"/>
  <c r="B54" i="1"/>
  <c r="I54" i="1"/>
  <c r="J54" i="1"/>
  <c r="K54" i="1"/>
  <c r="L61" i="1"/>
  <c r="N61" i="1" s="1"/>
  <c r="G53" i="1"/>
  <c r="H53" i="1"/>
  <c r="I53" i="1"/>
  <c r="J53" i="1"/>
  <c r="K53" i="1"/>
  <c r="C62" i="1"/>
  <c r="C54" i="1" s="1"/>
  <c r="B53" i="1"/>
  <c r="G62" i="1"/>
  <c r="L51" i="1"/>
  <c r="L50" i="1"/>
  <c r="N50" i="1" s="1"/>
  <c r="L21" i="1"/>
  <c r="N21" i="1" s="1"/>
  <c r="L38" i="1"/>
  <c r="L37" i="1"/>
  <c r="N37" i="1" s="1"/>
  <c r="L22" i="1"/>
  <c r="F13" i="4" l="1"/>
  <c r="F15" i="4" s="1"/>
  <c r="F18" i="4" s="1"/>
  <c r="B13" i="4"/>
  <c r="B15" i="4" s="1"/>
  <c r="D13" i="4"/>
  <c r="D15" i="4" s="1"/>
  <c r="D18" i="4" s="1"/>
  <c r="C13" i="4"/>
  <c r="C15" i="4" s="1"/>
  <c r="C18" i="4" s="1"/>
  <c r="E13" i="4"/>
  <c r="E15" i="4" s="1"/>
  <c r="E18" i="4" s="1"/>
  <c r="Q9" i="4"/>
  <c r="N9" i="4"/>
  <c r="X9" i="4"/>
  <c r="P9" i="4"/>
  <c r="Y9" i="4"/>
  <c r="J9" i="4"/>
  <c r="O9" i="4"/>
  <c r="U9" i="4"/>
  <c r="T9" i="4"/>
  <c r="S9" i="4"/>
  <c r="V9" i="4"/>
  <c r="R9" i="4"/>
  <c r="W9" i="4"/>
  <c r="K9" i="4"/>
  <c r="M9" i="4"/>
  <c r="L9" i="4"/>
  <c r="L54" i="1"/>
  <c r="L53" i="1"/>
  <c r="N53" i="1" s="1"/>
  <c r="L62" i="1"/>
  <c r="G54" i="1"/>
  <c r="B18" i="4" l="1"/>
  <c r="B16" i="4"/>
  <c r="B19" i="4" s="1"/>
  <c r="B20" i="4" s="1"/>
  <c r="T13" i="4"/>
  <c r="T15" i="4" s="1"/>
  <c r="T18" i="4" s="1"/>
  <c r="S13" i="4"/>
  <c r="S15" i="4" s="1"/>
  <c r="S18" i="4" s="1"/>
  <c r="R13" i="4"/>
  <c r="R15" i="4" s="1"/>
  <c r="R18" i="4" s="1"/>
  <c r="G13" i="4"/>
  <c r="G15" i="4" s="1"/>
  <c r="G18" i="4" s="1"/>
  <c r="Q13" i="4"/>
  <c r="Q15" i="4" s="1"/>
  <c r="Q18" i="4" s="1"/>
  <c r="P13" i="4"/>
  <c r="P15" i="4" s="1"/>
  <c r="P18" i="4" s="1"/>
  <c r="O13" i="4"/>
  <c r="O15" i="4" s="1"/>
  <c r="O18" i="4" s="1"/>
  <c r="J13" i="4"/>
  <c r="J15" i="4" s="1"/>
  <c r="J18" i="4" s="1"/>
  <c r="X13" i="4"/>
  <c r="X15" i="4" s="1"/>
  <c r="X18" i="4" s="1"/>
  <c r="U13" i="4"/>
  <c r="U15" i="4" s="1"/>
  <c r="U18" i="4" s="1"/>
  <c r="N13" i="4"/>
  <c r="N15" i="4" s="1"/>
  <c r="N18" i="4" s="1"/>
  <c r="L13" i="4"/>
  <c r="L15" i="4" s="1"/>
  <c r="L18" i="4" s="1"/>
  <c r="I13" i="4"/>
  <c r="I15" i="4" s="1"/>
  <c r="I18" i="4" s="1"/>
  <c r="W13" i="4"/>
  <c r="W15" i="4" s="1"/>
  <c r="W18" i="4" s="1"/>
  <c r="M13" i="4"/>
  <c r="M15" i="4" s="1"/>
  <c r="M18" i="4" s="1"/>
  <c r="K13" i="4"/>
  <c r="K15" i="4" s="1"/>
  <c r="K18" i="4" s="1"/>
  <c r="Y13" i="4"/>
  <c r="Y15" i="4" s="1"/>
  <c r="Y18" i="4" s="1"/>
  <c r="H13" i="4"/>
  <c r="H15" i="4" s="1"/>
  <c r="H18" i="4" s="1"/>
  <c r="V13" i="4"/>
  <c r="V15" i="4" s="1"/>
  <c r="V18" i="4" s="1"/>
  <c r="C16" i="4"/>
  <c r="C19" i="4" s="1"/>
  <c r="C20" i="4" s="1"/>
  <c r="E16" i="4"/>
  <c r="E19" i="4" s="1"/>
  <c r="E20" i="4" s="1"/>
  <c r="F16" i="4"/>
  <c r="F19" i="4" s="1"/>
  <c r="F20" i="4" s="1"/>
  <c r="D16" i="4"/>
  <c r="D19" i="4" s="1"/>
  <c r="D20" i="4" s="1"/>
  <c r="G16" i="4" l="1"/>
  <c r="G19" i="4" s="1"/>
  <c r="G20" i="4" s="1"/>
  <c r="O16" i="4"/>
  <c r="O19" i="4" s="1"/>
  <c r="O20" i="4" s="1"/>
  <c r="J16" i="4"/>
  <c r="J19" i="4" s="1"/>
  <c r="J20" i="4" s="1"/>
  <c r="T16" i="4"/>
  <c r="T19" i="4" s="1"/>
  <c r="T20" i="4" s="1"/>
  <c r="M16" i="4"/>
  <c r="M19" i="4" s="1"/>
  <c r="M20" i="4" s="1"/>
  <c r="R16" i="4"/>
  <c r="R19" i="4" s="1"/>
  <c r="R20" i="4" s="1"/>
  <c r="H16" i="4"/>
  <c r="H19" i="4" s="1"/>
  <c r="H20" i="4" s="1"/>
  <c r="P16" i="4"/>
  <c r="P19" i="4" s="1"/>
  <c r="P20" i="4" s="1"/>
  <c r="I16" i="4"/>
  <c r="I19" i="4" s="1"/>
  <c r="I20" i="4" s="1"/>
  <c r="W16" i="4"/>
  <c r="W19" i="4" s="1"/>
  <c r="W20" i="4" s="1"/>
  <c r="Q16" i="4"/>
  <c r="Q19" i="4" s="1"/>
  <c r="Q20" i="4" s="1"/>
  <c r="X16" i="4"/>
  <c r="X19" i="4" s="1"/>
  <c r="X20" i="4" s="1"/>
  <c r="N16" i="4"/>
  <c r="N19" i="4" s="1"/>
  <c r="N20" i="4" s="1"/>
  <c r="Y16" i="4"/>
  <c r="Y19" i="4" s="1"/>
  <c r="Y20" i="4" s="1"/>
  <c r="L16" i="4"/>
  <c r="L19" i="4" s="1"/>
  <c r="L20" i="4" s="1"/>
  <c r="S16" i="4"/>
  <c r="S19" i="4" s="1"/>
  <c r="S20" i="4" s="1"/>
  <c r="U16" i="4"/>
  <c r="U19" i="4" s="1"/>
  <c r="U20" i="4" s="1"/>
  <c r="K16" i="4"/>
  <c r="K19" i="4" s="1"/>
  <c r="K20" i="4" s="1"/>
  <c r="V16" i="4"/>
  <c r="V19" i="4" s="1"/>
  <c r="V20" i="4" s="1"/>
</calcChain>
</file>

<file path=xl/sharedStrings.xml><?xml version="1.0" encoding="utf-8"?>
<sst xmlns="http://schemas.openxmlformats.org/spreadsheetml/2006/main" count="245" uniqueCount="132">
  <si>
    <t>Profils</t>
  </si>
  <si>
    <t>VP Product</t>
  </si>
  <si>
    <t>Scrum master</t>
  </si>
  <si>
    <t>IA Product Manager</t>
  </si>
  <si>
    <t>Développeur mobile</t>
  </si>
  <si>
    <t>Ingénieur IA</t>
  </si>
  <si>
    <t>Développeur backend</t>
  </si>
  <si>
    <t>MVP</t>
  </si>
  <si>
    <t>Planification</t>
  </si>
  <si>
    <t>Développement</t>
  </si>
  <si>
    <t>Développement front-end</t>
  </si>
  <si>
    <t>Développement back-end</t>
  </si>
  <si>
    <t>Modélisation IA</t>
  </si>
  <si>
    <t>Tests</t>
  </si>
  <si>
    <t>Mise en production</t>
  </si>
  <si>
    <t>Tenue du backlog</t>
  </si>
  <si>
    <t>Ingénieur Data</t>
  </si>
  <si>
    <t>Collecte de données</t>
  </si>
  <si>
    <t>Mise en place d'un pipeline d'entraînement</t>
  </si>
  <si>
    <t>Mise en place d'un pipeline de données</t>
  </si>
  <si>
    <t>Stratégie</t>
  </si>
  <si>
    <t>Déploiement database, API et UI</t>
  </si>
  <si>
    <t>Suivi / Coordination</t>
  </si>
  <si>
    <t>Mise en place d'un pipeline de déploiement de l'app</t>
  </si>
  <si>
    <t>Mise en place d'un pipeline de déploiement de l'API</t>
  </si>
  <si>
    <t>Organisation des remontées utilisateurs</t>
  </si>
  <si>
    <t>Préparation des données d'entraînement</t>
  </si>
  <si>
    <t>Corrections des bugs</t>
  </si>
  <si>
    <t>Surveillance des pipelines d'entraînement et de données</t>
  </si>
  <si>
    <t>Améliorations</t>
  </si>
  <si>
    <t>sous-total MVP (jours)</t>
  </si>
  <si>
    <t>sous-total MVP (€ HT)</t>
  </si>
  <si>
    <t>Chargé de marketing</t>
  </si>
  <si>
    <t>Marketing</t>
  </si>
  <si>
    <t>Total</t>
  </si>
  <si>
    <t>sous-total Développement (jours)</t>
  </si>
  <si>
    <t>sous-total Développement (€ HT)</t>
  </si>
  <si>
    <t>sous-total Mise en production (jours)</t>
  </si>
  <si>
    <t>sous-total Mise en production (€ HT)</t>
  </si>
  <si>
    <t>sous-total Récurrent (jours)</t>
  </si>
  <si>
    <t>sous-totalRécurrent (€ HT)</t>
  </si>
  <si>
    <t>TOTAL JOURS</t>
  </si>
  <si>
    <t>TOTAL € HT</t>
  </si>
  <si>
    <t>Microsoft Azure Estimate</t>
  </si>
  <si>
    <t>Votre estimation</t>
  </si>
  <si>
    <t>Service category</t>
  </si>
  <si>
    <t>Service type</t>
  </si>
  <si>
    <t>Custom name</t>
  </si>
  <si>
    <t>Region</t>
  </si>
  <si>
    <t>Description</t>
  </si>
  <si>
    <t>Estimated monthly cost</t>
  </si>
  <si>
    <t>Estimated upfront cost</t>
  </si>
  <si>
    <t>Bases de données</t>
  </si>
  <si>
    <t>Azure SQL Database</t>
  </si>
  <si>
    <t/>
  </si>
  <si>
    <t>West Europe</t>
  </si>
  <si>
    <t>Base de données unique, vCore, Usage général, Provisionné, Série Standard (Gen 5), Réplica principal ou géographique Récupération d’urgence, Redondant en local, 12 vCore - base de données x 30 Jours, 5 Go de stockage, Licence SQL (paiement à l’utilisation), Redondance du stockage de sauvegarde RA-GRS, Restauration à un instant dans le passé de 0 Go, Rétention à long terme 0 x 1 Go</t>
  </si>
  <si>
    <t>Conteneurs</t>
  </si>
  <si>
    <t>Azure Container Registry</t>
  </si>
  <si>
    <t>Standard Niveau, 1 registre x 30 jours, 0 Go Espace de stockage supplémentaire, Génération de conteneur – 1 processeurs x 1 Secondes – Type de transfert de sortie Internet, transfert de données sortantes 5 Go à partir de Europe Ouest routé via Réseau Microsoft mondial</t>
  </si>
  <si>
    <t>Calcul</t>
  </si>
  <si>
    <t>App Service</t>
  </si>
  <si>
    <t>Niveau Premium V2 ; 1 P2V2 (2 Cœur(s), 7 Go de RAM, 250 Go de stockage) x 30 Jours ; Système d’exploitation Linux ; 0 SNI/SSL Connexions ; 0 SSL IP Connexions ; 2 Domaines personnalisés ; 0 Certificats SSL standards ; 0 Certificats SSL génériques</t>
  </si>
  <si>
    <t>Outils de développement</t>
  </si>
  <si>
    <t>Azure DevOps</t>
  </si>
  <si>
    <t>5Utilisateurs de licence du plan de base, utilisateurs de licence 1 de base + plans de test, niveau Gratuit – 1 pipelines hébergés Microsoft), 2 pipelines auto-hébergés), 0 Go artefacts</t>
  </si>
  <si>
    <t>Support</t>
  </si>
  <si>
    <t>Disclaimer</t>
  </si>
  <si>
    <t>All prices shown are in Euro Zone – Euro (€) EUR. This is a summary estimate, not a quote. For up to date pricing information please visit https://azure.microsoft.com/pricing/calculator/</t>
  </si>
  <si>
    <t>This estimate was created at 7/22/2024 4:20:19 PM UTC.</t>
  </si>
  <si>
    <t>Budget dépenses relatives aux ressources Humaines</t>
  </si>
  <si>
    <t>Budget dépenses relatives aux coûts d'infrastructure Azure</t>
  </si>
  <si>
    <t>réalisé avec l'outils de calcul mis à disposition par Microsoft : https://azure.microsoft.com/fr-fr/pricing/calculator/</t>
  </si>
  <si>
    <t>Base de données unique, vCore, Usage général, Provisionné, Série Standard (Gen 5), Réplica principal ou géographique Récupération d’urgence, Redondant en local, 1 – 2 vCore instance(s), 1 année réservée, 64 Go de stockage, Licence SQL (paiement à l’utilisation), Redondance du stockage de sauvegarde RA-GRS, Restauration à un instant dans le passé de 0 Go, Rétention à long terme 0 x 5 Go</t>
  </si>
  <si>
    <t>Premium Niveau, 1 registre x 30 jours, Géoréplication – 1 régions, 0 Go Espace de stockage supplémentaire, Génération de conteneur – 2 processeurs x 100000 Secondes – Type de transfert inter-région, transfert de données sortantes 1000 Go de West Europe vers East Asia</t>
  </si>
  <si>
    <t>Niveau Premium V2 ; 1 P2V2 (2 Cœur(s), 7 Go de RAM, 250 Go de stockage) x 1 Mois ; Système d’exploitation Linux ; 0 SNI/SSL Connexions ; 0 SSL IP Connexions ; 2 Domaines personnalisés ; 0 Certificats SSL standards ; 0 Certificats SSL génériques</t>
  </si>
  <si>
    <t>Stockage</t>
  </si>
  <si>
    <t>Storage Accounts</t>
  </si>
  <si>
    <t>Premium Redondance Stockage d’objets blob de bloc, Espace de noms plat, LRS, Niveau d’accès À chaud, 500 Go Capacité - À l'utilisation, 1 000 x 10 000 opérations d’écriture, 1 000 x 10 000 opérations de liste et de création de conteneur, 1 000 x 10 000 opérations de lecture, 1 000 x 10 000 autres opérations. 1 000 Go Extraction de données, 1 000 Go Écriture de données, SFTP désactivé</t>
  </si>
  <si>
    <t>Analyse</t>
  </si>
  <si>
    <t>Azure Data Factory</t>
  </si>
  <si>
    <t xml:space="preserve">Azure Data Factory V2 Type, Pipeline de données Type de service, Azure Integration Runtime : 100 exécution(s) d’activité, 100 unité(s) de déplacement de données , 1 000 activités du pipeline, 0 activités du pipeline – Externes,    </t>
  </si>
  <si>
    <t>Azure Machine Learning</t>
  </si>
  <si>
    <t>1 NC4as T4 v3 (4 coeur(s), 28 Go de RAM), Plan d’économies d’un an</t>
  </si>
  <si>
    <t>Internet des Objets</t>
  </si>
  <si>
    <t>Event Grid</t>
  </si>
  <si>
    <t>100 000 opérations par mois</t>
  </si>
  <si>
    <t>DevOps</t>
  </si>
  <si>
    <t>Azure Monitor</t>
  </si>
  <si>
    <t>Log analytics : Ingestion de données de journal : 0 Go de journaux Daily Analytics ingérés, 0 Go de journaux quotidiens de base ingérés, 1 mois de conservation interactive des données, 0 mois de données archivées, 0 Go de données restaurées pendant 0 jours, 0 requêtes de recherche de journal de base par jour avec 0 Go de données analysées par requête, 0 Go de données de journal exportées par jour, données de journal de plate-forme traitées par jour : 0 Go avec Destination vers le stockage ou Event Hub et 0 Go avec destination vers des partenaires de place de marché, 0 requêtes de recherche d’emploi par jour avec 0 Go de données analysées par requête ; 0 points de terminaison SCOM MI ; Prometheus managé : 0 nœuds AKS dans le cluster, 10000 métriques Prometheus par nœud, 30 secondes d’intervalle de collecte des métriques, 0 moyenne des utilisateurs des tableaux de bord quotidiens, 7 tableaux de bord, 50000 exemples de données interrogés par tableau de bord, 25 règles d’alerte promql, 25 règles d’enregistrement promql ; Application Insights : 3 mois de conservation des données, 0 Standard Web Tests, 5 minutes Execution frequency, Executing for 730 hours ; 0 ressources surveillées X 1 série chronologique d’indicateur de performance surveillée par ressource, 0 Alertes de journal à la fréquence 5 minutes, 0 Événements supplémentaires (en milliers), 0 E-mails supplémentaires (en centaine de milliers), 0 Notifications push supplémentaires (en centaine de milliers), 0 Webhooks supplémentaires (en millions)</t>
  </si>
  <si>
    <t>6Utilisateurs de licence du plan de base, utilisateurs de licence 1 de base + plans de test, niveau Gratuit – 1 pipelines hébergés Microsoft), 1 pipelines auto-hébergés), 0 Go artefacts</t>
  </si>
  <si>
    <t>This estimate was created at 7/22/2024 7:04:43 PM UTC.</t>
  </si>
  <si>
    <t>Production (/mois)</t>
  </si>
  <si>
    <t>MVP (/mois)</t>
  </si>
  <si>
    <t>Nombre utilisateurs</t>
  </si>
  <si>
    <t>Mois</t>
  </si>
  <si>
    <t>Récurrent (/mois)</t>
  </si>
  <si>
    <t>% clients</t>
  </si>
  <si>
    <t>Panier moyen</t>
  </si>
  <si>
    <t>Nombre clients total</t>
  </si>
  <si>
    <t>CA</t>
  </si>
  <si>
    <t>Période</t>
  </si>
  <si>
    <t>Lancement</t>
  </si>
  <si>
    <t>Croisière</t>
  </si>
  <si>
    <t>Euphorie</t>
  </si>
  <si>
    <t>Estimations recettes mensuelles</t>
  </si>
  <si>
    <t>Mise en place de pipelines CI/CD et de triggers pour :
- déclencher le pipeline de données
- déclencher le pipeline d'entraînement des modèles et mettre à jour des points d'inférence
- déployer l'API
- déployer l'application</t>
  </si>
  <si>
    <t>Recettes</t>
  </si>
  <si>
    <t>Bilan prévisionnel recettes / dépenses</t>
  </si>
  <si>
    <t>Dépenses RH</t>
  </si>
  <si>
    <t>Dépenses Infra</t>
  </si>
  <si>
    <t>DÉPENSES</t>
  </si>
  <si>
    <t>RECETTES</t>
  </si>
  <si>
    <t>Phase du projet</t>
  </si>
  <si>
    <t>Phase du cycle de vie produit</t>
  </si>
  <si>
    <t>Maintenance</t>
  </si>
  <si>
    <t>Déploiement</t>
  </si>
  <si>
    <t>Croissance</t>
  </si>
  <si>
    <t>Recettes cumulées</t>
  </si>
  <si>
    <t>Total dépenses</t>
  </si>
  <si>
    <t>Dépenses cumulées</t>
  </si>
  <si>
    <t>Année 2 - fonctionnement</t>
  </si>
  <si>
    <t>Année 1 - développement / lancement</t>
  </si>
  <si>
    <t>Résultat brut</t>
  </si>
  <si>
    <t>Résultat brut cumulé</t>
  </si>
  <si>
    <t>Résultat brut cumulé (%)</t>
  </si>
  <si>
    <t>durée :</t>
  </si>
  <si>
    <t>ETP</t>
  </si>
  <si>
    <t>ETP :</t>
  </si>
  <si>
    <t>Garant RGPD / Conformité</t>
  </si>
  <si>
    <t>Designer UI / UX</t>
  </si>
  <si>
    <t>Design UI 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</si>
</sst>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&quot; €HT/j&quot;"/>
    <numFmt numFmtId="165" formatCode="0.00&quot; j&quot;"/>
    <numFmt numFmtId="166" formatCode="#,##0&quot; €HT&quot;"/>
    <numFmt numFmtId="167" formatCode="[$€]#,##0.00"/>
    <numFmt numFmtId="168" formatCode="#,##0&quot; € HT&quot;"/>
    <numFmt numFmtId="169" formatCode="#,##0&quot; /mois&quot;"/>
    <numFmt numFmtId="170" formatCode="#,##0&quot; €HT/mois&quot;"/>
    <numFmt numFmtId="171" formatCode="#,##0&quot; €HT/cde&quot;"/>
    <numFmt numFmtId="172" formatCode="#,##0&quot; mois&quot;"/>
    <numFmt numFmtId="173" formatCode="#,##0.00&quot; /mois&quot;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name val="Calibri"/>
      <family val="2"/>
    </font>
    <font>
      <sz val="11"/>
      <name val="Segoe UI Light"/>
      <family val="2"/>
    </font>
    <font>
      <b/>
      <sz val="14"/>
      <name val="Segoe UI Light"/>
      <family val="2"/>
    </font>
    <font>
      <b/>
      <sz val="12"/>
      <name val="Segoe UI Light"/>
      <family val="2"/>
    </font>
    <font>
      <b/>
      <sz val="11"/>
      <name val="Segoe UI Light"/>
      <family val="2"/>
    </font>
    <font>
      <i/>
      <sz val="11"/>
      <name val="Segoe UI Light"/>
      <family val="2"/>
    </font>
    <font>
      <sz val="18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0" tint="-0.499984740745262"/>
      <name val="Aptos Narrow"/>
      <family val="2"/>
      <scheme val="minor"/>
    </font>
    <font>
      <i/>
      <sz val="1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i/>
      <sz val="10"/>
      <color theme="0"/>
      <name val="Aptos Narrow"/>
      <family val="2"/>
      <scheme val="minor"/>
    </font>
    <font>
      <i/>
      <sz val="11"/>
      <color theme="8"/>
      <name val="Aptos Narrow"/>
      <family val="2"/>
      <scheme val="minor"/>
    </font>
    <font>
      <i/>
      <sz val="11"/>
      <color rgb="FFC00000"/>
      <name val="Aptos Narrow"/>
      <family val="2"/>
      <scheme val="minor"/>
    </font>
    <font>
      <i/>
      <sz val="11"/>
      <color theme="7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5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DDEBF7"/>
      </patternFill>
    </fill>
    <fill>
      <patternFill patternType="solid">
        <fgColor rgb="FFD3D3D3"/>
      </patternFill>
    </fill>
    <fill>
      <patternFill patternType="solid">
        <fgColor rgb="FFC00000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21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0" fillId="0" borderId="3" xfId="0" applyNumberForma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166" fontId="2" fillId="2" borderId="13" xfId="0" applyNumberFormat="1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165" fontId="0" fillId="0" borderId="18" xfId="0" applyNumberFormat="1" applyBorder="1" applyAlignment="1">
      <alignment vertical="center"/>
    </xf>
    <xf numFmtId="165" fontId="0" fillId="0" borderId="19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166" fontId="2" fillId="2" borderId="12" xfId="0" applyNumberFormat="1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165" fontId="2" fillId="2" borderId="18" xfId="0" applyNumberFormat="1" applyFont="1" applyFill="1" applyBorder="1" applyAlignment="1">
      <alignment vertical="center"/>
    </xf>
    <xf numFmtId="165" fontId="2" fillId="2" borderId="19" xfId="0" applyNumberFormat="1" applyFont="1" applyFill="1" applyBorder="1" applyAlignment="1">
      <alignment vertical="center"/>
    </xf>
    <xf numFmtId="0" fontId="0" fillId="0" borderId="5" xfId="0" applyBorder="1" applyAlignment="1">
      <alignment vertical="center"/>
    </xf>
    <xf numFmtId="165" fontId="3" fillId="0" borderId="7" xfId="0" applyNumberFormat="1" applyFont="1" applyBorder="1" applyAlignment="1">
      <alignment vertical="center"/>
    </xf>
    <xf numFmtId="0" fontId="0" fillId="0" borderId="21" xfId="0" applyBorder="1" applyAlignment="1">
      <alignment vertical="center"/>
    </xf>
    <xf numFmtId="165" fontId="3" fillId="0" borderId="22" xfId="0" applyNumberFormat="1" applyFont="1" applyBorder="1" applyAlignment="1">
      <alignment vertical="center"/>
    </xf>
    <xf numFmtId="0" fontId="0" fillId="0" borderId="23" xfId="0" applyBorder="1" applyAlignment="1">
      <alignment vertical="center"/>
    </xf>
    <xf numFmtId="165" fontId="3" fillId="0" borderId="25" xfId="0" applyNumberFormat="1" applyFont="1" applyBorder="1" applyAlignment="1">
      <alignment vertical="center"/>
    </xf>
    <xf numFmtId="0" fontId="0" fillId="0" borderId="21" xfId="0" applyBorder="1" applyAlignment="1">
      <alignment vertical="center" wrapText="1"/>
    </xf>
    <xf numFmtId="0" fontId="2" fillId="6" borderId="26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3" fillId="5" borderId="28" xfId="0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2" fillId="5" borderId="16" xfId="0" applyFont="1" applyFill="1" applyBorder="1" applyAlignment="1">
      <alignment vertical="center"/>
    </xf>
    <xf numFmtId="0" fontId="2" fillId="5" borderId="17" xfId="0" applyFont="1" applyFill="1" applyBorder="1" applyAlignment="1">
      <alignment vertical="center"/>
    </xf>
    <xf numFmtId="0" fontId="2" fillId="6" borderId="15" xfId="0" applyFont="1" applyFill="1" applyBorder="1" applyAlignment="1">
      <alignment vertical="center"/>
    </xf>
    <xf numFmtId="0" fontId="2" fillId="6" borderId="17" xfId="0" applyFont="1" applyFill="1" applyBorder="1" applyAlignment="1">
      <alignment vertical="center"/>
    </xf>
    <xf numFmtId="165" fontId="0" fillId="0" borderId="29" xfId="0" applyNumberFormat="1" applyBorder="1" applyAlignment="1">
      <alignment vertical="center"/>
    </xf>
    <xf numFmtId="165" fontId="0" fillId="0" borderId="30" xfId="0" applyNumberFormat="1" applyBorder="1" applyAlignment="1">
      <alignment vertical="center"/>
    </xf>
    <xf numFmtId="165" fontId="2" fillId="2" borderId="30" xfId="0" applyNumberFormat="1" applyFont="1" applyFill="1" applyBorder="1" applyAlignment="1">
      <alignment vertical="center"/>
    </xf>
    <xf numFmtId="166" fontId="2" fillId="2" borderId="31" xfId="0" applyNumberFormat="1" applyFont="1" applyFill="1" applyBorder="1" applyAlignment="1">
      <alignment vertical="center"/>
    </xf>
    <xf numFmtId="165" fontId="3" fillId="0" borderId="15" xfId="0" applyNumberFormat="1" applyFont="1" applyBorder="1" applyAlignment="1">
      <alignment vertical="center"/>
    </xf>
    <xf numFmtId="165" fontId="3" fillId="0" borderId="16" xfId="0" applyNumberFormat="1" applyFont="1" applyBorder="1" applyAlignment="1">
      <alignment vertical="center"/>
    </xf>
    <xf numFmtId="165" fontId="2" fillId="2" borderId="15" xfId="0" applyNumberFormat="1" applyFont="1" applyFill="1" applyBorder="1" applyAlignment="1">
      <alignment vertical="center"/>
    </xf>
    <xf numFmtId="166" fontId="2" fillId="2" borderId="17" xfId="0" applyNumberFormat="1" applyFont="1" applyFill="1" applyBorder="1" applyAlignment="1">
      <alignment vertical="center"/>
    </xf>
    <xf numFmtId="165" fontId="0" fillId="0" borderId="20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165" fontId="2" fillId="5" borderId="15" xfId="0" applyNumberFormat="1" applyFont="1" applyFill="1" applyBorder="1" applyAlignment="1">
      <alignment vertical="center"/>
    </xf>
    <xf numFmtId="166" fontId="2" fillId="5" borderId="17" xfId="0" applyNumberFormat="1" applyFont="1" applyFill="1" applyBorder="1" applyAlignment="1">
      <alignment vertical="center"/>
    </xf>
    <xf numFmtId="166" fontId="2" fillId="5" borderId="23" xfId="0" applyNumberFormat="1" applyFont="1" applyFill="1" applyBorder="1" applyAlignment="1">
      <alignment vertical="center"/>
    </xf>
    <xf numFmtId="166" fontId="2" fillId="5" borderId="24" xfId="0" applyNumberFormat="1" applyFont="1" applyFill="1" applyBorder="1" applyAlignment="1">
      <alignment vertical="center"/>
    </xf>
    <xf numFmtId="165" fontId="3" fillId="0" borderId="17" xfId="0" applyNumberFormat="1" applyFont="1" applyBorder="1" applyAlignment="1">
      <alignment vertical="center"/>
    </xf>
    <xf numFmtId="0" fontId="0" fillId="5" borderId="6" xfId="0" applyFill="1" applyBorder="1" applyAlignment="1">
      <alignment vertical="center"/>
    </xf>
    <xf numFmtId="165" fontId="2" fillId="5" borderId="21" xfId="0" applyNumberFormat="1" applyFont="1" applyFill="1" applyBorder="1" applyAlignment="1">
      <alignment vertical="center"/>
    </xf>
    <xf numFmtId="165" fontId="2" fillId="5" borderId="0" xfId="0" applyNumberFormat="1" applyFont="1" applyFill="1" applyAlignment="1">
      <alignment vertical="center"/>
    </xf>
    <xf numFmtId="165" fontId="0" fillId="0" borderId="12" xfId="0" applyNumberFormat="1" applyBorder="1" applyAlignment="1">
      <alignment vertical="center"/>
    </xf>
    <xf numFmtId="165" fontId="0" fillId="0" borderId="13" xfId="0" applyNumberFormat="1" applyBorder="1" applyAlignment="1">
      <alignment vertical="center"/>
    </xf>
    <xf numFmtId="165" fontId="0" fillId="0" borderId="14" xfId="0" applyNumberFormat="1" applyBorder="1" applyAlignment="1">
      <alignment vertical="center"/>
    </xf>
    <xf numFmtId="165" fontId="2" fillId="5" borderId="19" xfId="0" applyNumberFormat="1" applyFont="1" applyFill="1" applyBorder="1" applyAlignment="1">
      <alignment vertical="center"/>
    </xf>
    <xf numFmtId="166" fontId="2" fillId="5" borderId="13" xfId="0" applyNumberFormat="1" applyFont="1" applyFill="1" applyBorder="1" applyAlignment="1">
      <alignment vertical="center"/>
    </xf>
    <xf numFmtId="0" fontId="0" fillId="6" borderId="6" xfId="0" applyFill="1" applyBorder="1" applyAlignment="1">
      <alignment vertical="center"/>
    </xf>
    <xf numFmtId="165" fontId="2" fillId="6" borderId="19" xfId="0" applyNumberFormat="1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165" fontId="0" fillId="0" borderId="5" xfId="0" applyNumberFormat="1" applyBorder="1" applyAlignment="1">
      <alignment vertical="center"/>
    </xf>
    <xf numFmtId="165" fontId="0" fillId="0" borderId="21" xfId="0" applyNumberFormat="1" applyBorder="1" applyAlignment="1">
      <alignment vertical="center"/>
    </xf>
    <xf numFmtId="165" fontId="0" fillId="0" borderId="23" xfId="0" applyNumberFormat="1" applyBorder="1" applyAlignment="1">
      <alignment vertical="center"/>
    </xf>
    <xf numFmtId="165" fontId="2" fillId="6" borderId="5" xfId="0" applyNumberFormat="1" applyFont="1" applyFill="1" applyBorder="1" applyAlignment="1">
      <alignment vertical="center"/>
    </xf>
    <xf numFmtId="166" fontId="2" fillId="6" borderId="23" xfId="0" applyNumberFormat="1" applyFont="1" applyFill="1" applyBorder="1" applyAlignment="1">
      <alignment vertical="center"/>
    </xf>
    <xf numFmtId="166" fontId="2" fillId="6" borderId="13" xfId="0" applyNumberFormat="1" applyFont="1" applyFill="1" applyBorder="1" applyAlignment="1">
      <alignment vertical="center"/>
    </xf>
    <xf numFmtId="165" fontId="0" fillId="0" borderId="31" xfId="0" applyNumberFormat="1" applyBorder="1" applyAlignment="1">
      <alignment vertical="center"/>
    </xf>
    <xf numFmtId="165" fontId="2" fillId="6" borderId="30" xfId="0" applyNumberFormat="1" applyFont="1" applyFill="1" applyBorder="1" applyAlignment="1">
      <alignment vertical="center"/>
    </xf>
    <xf numFmtId="166" fontId="2" fillId="6" borderId="31" xfId="0" applyNumberFormat="1" applyFont="1" applyFill="1" applyBorder="1" applyAlignment="1">
      <alignment vertical="center"/>
    </xf>
    <xf numFmtId="165" fontId="2" fillId="6" borderId="15" xfId="0" applyNumberFormat="1" applyFont="1" applyFill="1" applyBorder="1" applyAlignment="1">
      <alignment vertical="center"/>
    </xf>
    <xf numFmtId="166" fontId="2" fillId="6" borderId="17" xfId="0" applyNumberFormat="1" applyFont="1" applyFill="1" applyBorder="1" applyAlignment="1">
      <alignment vertical="center"/>
    </xf>
    <xf numFmtId="164" fontId="3" fillId="0" borderId="12" xfId="0" applyNumberFormat="1" applyFont="1" applyBorder="1" applyAlignment="1">
      <alignment vertical="center"/>
    </xf>
    <xf numFmtId="164" fontId="3" fillId="0" borderId="13" xfId="0" applyNumberFormat="1" applyFont="1" applyBorder="1" applyAlignment="1">
      <alignment vertical="center"/>
    </xf>
    <xf numFmtId="164" fontId="3" fillId="0" borderId="14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165" fontId="2" fillId="8" borderId="18" xfId="0" applyNumberFormat="1" applyFont="1" applyFill="1" applyBorder="1" applyAlignment="1">
      <alignment vertical="center"/>
    </xf>
    <xf numFmtId="165" fontId="2" fillId="8" borderId="19" xfId="0" applyNumberFormat="1" applyFont="1" applyFill="1" applyBorder="1" applyAlignment="1">
      <alignment vertical="center"/>
    </xf>
    <xf numFmtId="165" fontId="2" fillId="8" borderId="30" xfId="0" applyNumberFormat="1" applyFont="1" applyFill="1" applyBorder="1" applyAlignment="1">
      <alignment vertical="center"/>
    </xf>
    <xf numFmtId="166" fontId="2" fillId="8" borderId="12" xfId="0" applyNumberFormat="1" applyFont="1" applyFill="1" applyBorder="1" applyAlignment="1">
      <alignment vertical="center"/>
    </xf>
    <xf numFmtId="166" fontId="2" fillId="8" borderId="13" xfId="0" applyNumberFormat="1" applyFont="1" applyFill="1" applyBorder="1" applyAlignment="1">
      <alignment vertical="center"/>
    </xf>
    <xf numFmtId="166" fontId="2" fillId="8" borderId="31" xfId="0" applyNumberFormat="1" applyFont="1" applyFill="1" applyBorder="1" applyAlignment="1">
      <alignment vertical="center"/>
    </xf>
    <xf numFmtId="0" fontId="2" fillId="8" borderId="15" xfId="0" applyFont="1" applyFill="1" applyBorder="1" applyAlignment="1">
      <alignment vertical="center"/>
    </xf>
    <xf numFmtId="0" fontId="2" fillId="8" borderId="17" xfId="0" applyFont="1" applyFill="1" applyBorder="1" applyAlignment="1">
      <alignment vertical="center"/>
    </xf>
    <xf numFmtId="165" fontId="5" fillId="8" borderId="15" xfId="0" applyNumberFormat="1" applyFont="1" applyFill="1" applyBorder="1" applyAlignment="1">
      <alignment vertical="center"/>
    </xf>
    <xf numFmtId="166" fontId="5" fillId="8" borderId="17" xfId="0" applyNumberFormat="1" applyFont="1" applyFill="1" applyBorder="1" applyAlignment="1">
      <alignment vertical="center"/>
    </xf>
    <xf numFmtId="0" fontId="7" fillId="0" borderId="32" xfId="2" applyFont="1" applyBorder="1" applyAlignment="1">
      <alignment vertical="top" wrapText="1"/>
    </xf>
    <xf numFmtId="0" fontId="10" fillId="0" borderId="32" xfId="2" applyFont="1" applyBorder="1" applyAlignment="1">
      <alignment vertical="top" wrapText="1"/>
    </xf>
    <xf numFmtId="167" fontId="10" fillId="0" borderId="32" xfId="2" applyNumberFormat="1" applyFont="1" applyBorder="1" applyAlignment="1">
      <alignment horizontal="left" vertical="top"/>
    </xf>
    <xf numFmtId="0" fontId="10" fillId="9" borderId="1" xfId="2" applyFont="1" applyFill="1" applyBorder="1" applyAlignment="1">
      <alignment vertical="top" wrapText="1"/>
    </xf>
    <xf numFmtId="167" fontId="10" fillId="9" borderId="1" xfId="2" applyNumberFormat="1" applyFont="1" applyFill="1" applyBorder="1" applyAlignment="1">
      <alignment horizontal="left" vertical="top" wrapText="1"/>
    </xf>
    <xf numFmtId="0" fontId="7" fillId="0" borderId="1" xfId="2" applyFont="1" applyBorder="1" applyAlignment="1">
      <alignment vertical="top" wrapText="1"/>
    </xf>
    <xf numFmtId="167" fontId="7" fillId="0" borderId="1" xfId="2" applyNumberFormat="1" applyFont="1" applyBorder="1" applyAlignment="1">
      <alignment horizontal="left" vertical="top"/>
    </xf>
    <xf numFmtId="0" fontId="10" fillId="0" borderId="1" xfId="2" applyFont="1" applyBorder="1" applyAlignment="1">
      <alignment vertical="top" wrapText="1"/>
    </xf>
    <xf numFmtId="0" fontId="13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0" fontId="0" fillId="2" borderId="21" xfId="0" applyFill="1" applyBorder="1"/>
    <xf numFmtId="0" fontId="0" fillId="2" borderId="22" xfId="0" applyFill="1" applyBorder="1"/>
    <xf numFmtId="0" fontId="7" fillId="0" borderId="0" xfId="2" applyFont="1" applyAlignment="1">
      <alignment vertical="top" wrapText="1"/>
    </xf>
    <xf numFmtId="167" fontId="7" fillId="0" borderId="0" xfId="2" applyNumberFormat="1" applyFont="1" applyAlignment="1">
      <alignment horizontal="left" vertical="top"/>
    </xf>
    <xf numFmtId="0" fontId="10" fillId="0" borderId="0" xfId="2" applyFont="1" applyAlignment="1">
      <alignment vertical="top" wrapText="1"/>
    </xf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" fillId="5" borderId="5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2" fillId="11" borderId="26" xfId="0" applyFont="1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3" fillId="11" borderId="7" xfId="0" applyFont="1" applyFill="1" applyBorder="1" applyAlignment="1">
      <alignment vertical="center"/>
    </xf>
    <xf numFmtId="0" fontId="2" fillId="11" borderId="21" xfId="0" applyFont="1" applyFill="1" applyBorder="1" applyAlignment="1">
      <alignment vertical="center"/>
    </xf>
    <xf numFmtId="165" fontId="2" fillId="11" borderId="5" xfId="0" applyNumberFormat="1" applyFont="1" applyFill="1" applyBorder="1" applyAlignment="1">
      <alignment vertical="center"/>
    </xf>
    <xf numFmtId="165" fontId="2" fillId="11" borderId="19" xfId="0" applyNumberFormat="1" applyFont="1" applyFill="1" applyBorder="1" applyAlignment="1">
      <alignment vertical="center"/>
    </xf>
    <xf numFmtId="165" fontId="2" fillId="11" borderId="7" xfId="0" applyNumberFormat="1" applyFont="1" applyFill="1" applyBorder="1" applyAlignment="1">
      <alignment vertical="center"/>
    </xf>
    <xf numFmtId="165" fontId="2" fillId="11" borderId="15" xfId="0" applyNumberFormat="1" applyFont="1" applyFill="1" applyBorder="1" applyAlignment="1">
      <alignment vertical="center"/>
    </xf>
    <xf numFmtId="0" fontId="2" fillId="11" borderId="23" xfId="0" applyFont="1" applyFill="1" applyBorder="1" applyAlignment="1">
      <alignment vertical="center"/>
    </xf>
    <xf numFmtId="166" fontId="2" fillId="11" borderId="23" xfId="0" applyNumberFormat="1" applyFont="1" applyFill="1" applyBorder="1" applyAlignment="1">
      <alignment vertical="center"/>
    </xf>
    <xf numFmtId="166" fontId="2" fillId="11" borderId="13" xfId="0" applyNumberFormat="1" applyFont="1" applyFill="1" applyBorder="1" applyAlignment="1">
      <alignment vertical="center"/>
    </xf>
    <xf numFmtId="166" fontId="2" fillId="11" borderId="25" xfId="0" applyNumberFormat="1" applyFont="1" applyFill="1" applyBorder="1" applyAlignment="1">
      <alignment vertical="center"/>
    </xf>
    <xf numFmtId="166" fontId="2" fillId="11" borderId="17" xfId="0" applyNumberFormat="1" applyFont="1" applyFill="1" applyBorder="1" applyAlignment="1">
      <alignment vertical="center"/>
    </xf>
    <xf numFmtId="0" fontId="14" fillId="0" borderId="4" xfId="0" applyFont="1" applyBorder="1"/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0" xfId="0" applyFont="1"/>
    <xf numFmtId="0" fontId="14" fillId="3" borderId="15" xfId="0" applyFont="1" applyFill="1" applyBorder="1"/>
    <xf numFmtId="0" fontId="14" fillId="3" borderId="6" xfId="0" applyFont="1" applyFill="1" applyBorder="1"/>
    <xf numFmtId="0" fontId="14" fillId="3" borderId="7" xfId="0" applyFont="1" applyFill="1" applyBorder="1"/>
    <xf numFmtId="0" fontId="15" fillId="4" borderId="54" xfId="0" applyFont="1" applyFill="1" applyBorder="1"/>
    <xf numFmtId="0" fontId="15" fillId="4" borderId="52" xfId="0" applyFont="1" applyFill="1" applyBorder="1"/>
    <xf numFmtId="0" fontId="15" fillId="4" borderId="1" xfId="0" applyFont="1" applyFill="1" applyBorder="1"/>
    <xf numFmtId="0" fontId="14" fillId="4" borderId="54" xfId="0" applyFont="1" applyFill="1" applyBorder="1"/>
    <xf numFmtId="168" fontId="14" fillId="4" borderId="52" xfId="0" applyNumberFormat="1" applyFont="1" applyFill="1" applyBorder="1"/>
    <xf numFmtId="0" fontId="16" fillId="4" borderId="55" xfId="0" applyFont="1" applyFill="1" applyBorder="1"/>
    <xf numFmtId="168" fontId="16" fillId="4" borderId="53" xfId="0" applyNumberFormat="1" applyFont="1" applyFill="1" applyBorder="1"/>
    <xf numFmtId="0" fontId="14" fillId="13" borderId="15" xfId="0" applyFont="1" applyFill="1" applyBorder="1"/>
    <xf numFmtId="0" fontId="14" fillId="13" borderId="6" xfId="0" applyFont="1" applyFill="1" applyBorder="1"/>
    <xf numFmtId="0" fontId="14" fillId="13" borderId="7" xfId="0" applyFont="1" applyFill="1" applyBorder="1"/>
    <xf numFmtId="0" fontId="15" fillId="12" borderId="54" xfId="0" applyFont="1" applyFill="1" applyBorder="1"/>
    <xf numFmtId="0" fontId="15" fillId="12" borderId="1" xfId="0" applyFont="1" applyFill="1" applyBorder="1"/>
    <xf numFmtId="0" fontId="15" fillId="12" borderId="43" xfId="0" applyFont="1" applyFill="1" applyBorder="1"/>
    <xf numFmtId="0" fontId="14" fillId="12" borderId="54" xfId="0" applyFont="1" applyFill="1" applyBorder="1"/>
    <xf numFmtId="168" fontId="14" fillId="12" borderId="1" xfId="0" applyNumberFormat="1" applyFont="1" applyFill="1" applyBorder="1"/>
    <xf numFmtId="168" fontId="14" fillId="12" borderId="43" xfId="0" applyNumberFormat="1" applyFont="1" applyFill="1" applyBorder="1"/>
    <xf numFmtId="0" fontId="16" fillId="12" borderId="55" xfId="0" applyFont="1" applyFill="1" applyBorder="1"/>
    <xf numFmtId="168" fontId="16" fillId="12" borderId="45" xfId="0" applyNumberFormat="1" applyFont="1" applyFill="1" applyBorder="1"/>
    <xf numFmtId="168" fontId="16" fillId="12" borderId="46" xfId="0" applyNumberFormat="1" applyFont="1" applyFill="1" applyBorder="1"/>
    <xf numFmtId="0" fontId="17" fillId="7" borderId="47" xfId="0" applyFont="1" applyFill="1" applyBorder="1"/>
    <xf numFmtId="168" fontId="17" fillId="7" borderId="48" xfId="0" applyNumberFormat="1" applyFont="1" applyFill="1" applyBorder="1"/>
    <xf numFmtId="0" fontId="18" fillId="7" borderId="49" xfId="0" applyFont="1" applyFill="1" applyBorder="1"/>
    <xf numFmtId="168" fontId="18" fillId="7" borderId="41" xfId="0" applyNumberFormat="1" applyFont="1" applyFill="1" applyBorder="1"/>
    <xf numFmtId="0" fontId="18" fillId="7" borderId="50" xfId="0" applyFont="1" applyFill="1" applyBorder="1"/>
    <xf numFmtId="9" fontId="18" fillId="7" borderId="51" xfId="1" applyFont="1" applyFill="1" applyBorder="1"/>
    <xf numFmtId="0" fontId="15" fillId="4" borderId="43" xfId="0" applyFont="1" applyFill="1" applyBorder="1"/>
    <xf numFmtId="0" fontId="14" fillId="3" borderId="56" xfId="0" applyFont="1" applyFill="1" applyBorder="1"/>
    <xf numFmtId="0" fontId="14" fillId="13" borderId="56" xfId="0" applyFont="1" applyFill="1" applyBorder="1"/>
    <xf numFmtId="0" fontId="14" fillId="13" borderId="5" xfId="0" applyFont="1" applyFill="1" applyBorder="1"/>
    <xf numFmtId="0" fontId="15" fillId="12" borderId="42" xfId="0" applyFont="1" applyFill="1" applyBorder="1"/>
    <xf numFmtId="168" fontId="15" fillId="12" borderId="42" xfId="0" applyNumberFormat="1" applyFont="1" applyFill="1" applyBorder="1"/>
    <xf numFmtId="168" fontId="14" fillId="12" borderId="42" xfId="0" applyNumberFormat="1" applyFont="1" applyFill="1" applyBorder="1"/>
    <xf numFmtId="168" fontId="16" fillId="12" borderId="44" xfId="0" applyNumberFormat="1" applyFont="1" applyFill="1" applyBorder="1"/>
    <xf numFmtId="0" fontId="0" fillId="0" borderId="21" xfId="0" applyBorder="1"/>
    <xf numFmtId="0" fontId="0" fillId="0" borderId="22" xfId="0" applyBorder="1"/>
    <xf numFmtId="169" fontId="0" fillId="0" borderId="22" xfId="0" applyNumberFormat="1" applyBorder="1"/>
    <xf numFmtId="9" fontId="0" fillId="0" borderId="22" xfId="0" applyNumberFormat="1" applyBorder="1"/>
    <xf numFmtId="171" fontId="0" fillId="0" borderId="22" xfId="0" applyNumberFormat="1" applyBorder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169" fontId="0" fillId="0" borderId="3" xfId="0" applyNumberFormat="1" applyBorder="1"/>
    <xf numFmtId="9" fontId="0" fillId="0" borderId="3" xfId="0" applyNumberFormat="1" applyBorder="1"/>
    <xf numFmtId="171" fontId="0" fillId="0" borderId="3" xfId="0" applyNumberFormat="1" applyBorder="1"/>
    <xf numFmtId="0" fontId="0" fillId="0" borderId="3" xfId="0" applyBorder="1"/>
    <xf numFmtId="0" fontId="4" fillId="3" borderId="26" xfId="0" applyFont="1" applyFill="1" applyBorder="1"/>
    <xf numFmtId="170" fontId="4" fillId="3" borderId="27" xfId="0" applyNumberFormat="1" applyFont="1" applyFill="1" applyBorder="1"/>
    <xf numFmtId="170" fontId="4" fillId="3" borderId="28" xfId="0" applyNumberFormat="1" applyFont="1" applyFill="1" applyBorder="1"/>
    <xf numFmtId="0" fontId="19" fillId="0" borderId="0" xfId="0" applyFont="1" applyAlignment="1">
      <alignment vertical="center"/>
    </xf>
    <xf numFmtId="172" fontId="19" fillId="0" borderId="0" xfId="0" applyNumberFormat="1" applyFont="1" applyAlignment="1">
      <alignment vertical="center"/>
    </xf>
    <xf numFmtId="2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172" fontId="20" fillId="0" borderId="0" xfId="0" applyNumberFormat="1" applyFont="1" applyAlignment="1">
      <alignment vertical="center"/>
    </xf>
    <xf numFmtId="2" fontId="20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172" fontId="21" fillId="0" borderId="0" xfId="0" applyNumberFormat="1" applyFont="1" applyAlignment="1">
      <alignment vertical="center"/>
    </xf>
    <xf numFmtId="2" fontId="21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172" fontId="22" fillId="0" borderId="0" xfId="0" applyNumberFormat="1" applyFont="1" applyAlignment="1">
      <alignment vertical="center"/>
    </xf>
    <xf numFmtId="2" fontId="22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172" fontId="23" fillId="0" borderId="0" xfId="0" applyNumberFormat="1" applyFont="1" applyAlignment="1">
      <alignment vertical="center"/>
    </xf>
    <xf numFmtId="173" fontId="23" fillId="0" borderId="0" xfId="0" applyNumberFormat="1" applyFont="1" applyAlignment="1">
      <alignment vertical="center"/>
    </xf>
    <xf numFmtId="0" fontId="0" fillId="5" borderId="27" xfId="0" applyFill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0" fillId="2" borderId="27" xfId="0" applyFill="1" applyBorder="1" applyAlignment="1">
      <alignment vertical="center"/>
    </xf>
    <xf numFmtId="0" fontId="3" fillId="2" borderId="28" xfId="0" applyFont="1" applyFill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8" fillId="0" borderId="0" xfId="2" applyFont="1" applyAlignment="1">
      <alignment vertical="top"/>
    </xf>
    <xf numFmtId="0" fontId="7" fillId="0" borderId="0" xfId="2" applyFont="1" applyAlignment="1">
      <alignment vertical="top" wrapText="1"/>
    </xf>
    <xf numFmtId="0" fontId="9" fillId="0" borderId="0" xfId="2" applyFont="1" applyAlignment="1">
      <alignment vertical="top"/>
    </xf>
    <xf numFmtId="0" fontId="11" fillId="10" borderId="0" xfId="2" applyFont="1" applyFill="1" applyAlignment="1">
      <alignment vertical="top" wrapText="1"/>
    </xf>
    <xf numFmtId="167" fontId="11" fillId="10" borderId="0" xfId="2" applyNumberFormat="1" applyFont="1" applyFill="1" applyAlignment="1">
      <alignment horizontal="left" vertical="top"/>
    </xf>
    <xf numFmtId="0" fontId="12" fillId="0" borderId="24" xfId="0" applyFont="1" applyBorder="1" applyAlignment="1">
      <alignment horizontal="center"/>
    </xf>
  </cellXfs>
  <cellStyles count="3">
    <cellStyle name="Normal" xfId="0" builtinId="0"/>
    <cellStyle name="Normal 2" xfId="2" xr:uid="{0014D5E4-78B0-44DD-80A4-330E94F11E3C}"/>
    <cellStyle name="Pourcentage" xfId="1" builtinId="5"/>
  </cellStyles>
  <dxfs count="5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BDBD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Résultat brut mensuel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PRD!$A$18</c:f>
              <c:strCache>
                <c:ptCount val="1"/>
                <c:pt idx="0">
                  <c:v>Résultat brut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PRD!$B$18:$Y$18</c:f>
              <c:numCache>
                <c:formatCode>#\ ##0" € HT"</c:formatCode>
                <c:ptCount val="24"/>
                <c:pt idx="0">
                  <c:v>-42875.633782708421</c:v>
                </c:pt>
                <c:pt idx="1">
                  <c:v>-34966.666666666664</c:v>
                </c:pt>
                <c:pt idx="2">
                  <c:v>-34966.666666666664</c:v>
                </c:pt>
                <c:pt idx="3">
                  <c:v>-34966.666666666664</c:v>
                </c:pt>
                <c:pt idx="4">
                  <c:v>-38788.089013715304</c:v>
                </c:pt>
                <c:pt idx="5">
                  <c:v>2686.9109862846981</c:v>
                </c:pt>
                <c:pt idx="6">
                  <c:v>2686.9109862846981</c:v>
                </c:pt>
                <c:pt idx="7">
                  <c:v>31436.910986284696</c:v>
                </c:pt>
                <c:pt idx="8">
                  <c:v>31436.910986284696</c:v>
                </c:pt>
                <c:pt idx="9">
                  <c:v>10186.910986284698</c:v>
                </c:pt>
                <c:pt idx="10">
                  <c:v>10186.910986284698</c:v>
                </c:pt>
                <c:pt idx="11">
                  <c:v>10186.910986284698</c:v>
                </c:pt>
                <c:pt idx="12">
                  <c:v>10186.910986284698</c:v>
                </c:pt>
                <c:pt idx="13">
                  <c:v>10186.910986284698</c:v>
                </c:pt>
                <c:pt idx="14">
                  <c:v>10186.910986284698</c:v>
                </c:pt>
                <c:pt idx="15">
                  <c:v>10186.910986284698</c:v>
                </c:pt>
                <c:pt idx="16">
                  <c:v>10186.910986284698</c:v>
                </c:pt>
                <c:pt idx="17">
                  <c:v>10186.910986284698</c:v>
                </c:pt>
                <c:pt idx="18">
                  <c:v>10186.910986284698</c:v>
                </c:pt>
                <c:pt idx="19">
                  <c:v>10186.910986284698</c:v>
                </c:pt>
                <c:pt idx="20">
                  <c:v>10186.910986284698</c:v>
                </c:pt>
                <c:pt idx="21">
                  <c:v>10186.910986284698</c:v>
                </c:pt>
                <c:pt idx="22">
                  <c:v>10186.910986284698</c:v>
                </c:pt>
                <c:pt idx="23">
                  <c:v>10186.910986284698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EF-4E86-8FF6-68B33E5A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9639583"/>
        <c:axId val="1489637183"/>
      </c:barChart>
      <c:lineChart>
        <c:grouping val="standard"/>
        <c:varyColors val="0"/>
        <c:ser>
          <c:idx val="1"/>
          <c:order val="1"/>
          <c:tx>
            <c:strRef>
              <c:f>PRD!$A$20</c:f>
              <c:strCache>
                <c:ptCount val="1"/>
                <c:pt idx="0">
                  <c:v>Résultat brut cumulé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PRD!$B$20:$Y$20</c:f>
              <c:numCache>
                <c:formatCode>0%</c:formatCode>
                <c:ptCount val="2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-0.98677694502666757</c:v>
                </c:pt>
                <c:pt idx="5">
                  <c:v>-0.93042442027952321</c:v>
                </c:pt>
                <c:pt idx="6">
                  <c:v>-0.87875254849966089</c:v>
                </c:pt>
                <c:pt idx="7">
                  <c:v>-0.69732668192809166</c:v>
                </c:pt>
                <c:pt idx="8">
                  <c:v>-0.5298144202597983</c:v>
                </c:pt>
                <c:pt idx="9">
                  <c:v>-0.46631687037945946</c:v>
                </c:pt>
                <c:pt idx="10">
                  <c:v>-0.40734211261425568</c:v>
                </c:pt>
                <c:pt idx="11">
                  <c:v>-0.35242354166300005</c:v>
                </c:pt>
                <c:pt idx="12">
                  <c:v>-0.30115660303798814</c:v>
                </c:pt>
                <c:pt idx="13">
                  <c:v>-0.25318881028221074</c:v>
                </c:pt>
                <c:pt idx="14">
                  <c:v>-0.20821162935367354</c:v>
                </c:pt>
                <c:pt idx="15">
                  <c:v>-0.16595383505596281</c:v>
                </c:pt>
                <c:pt idx="16">
                  <c:v>-0.12617603714852241</c:v>
                </c:pt>
                <c:pt idx="17">
                  <c:v>-8.8666142726979119E-2</c:v>
                </c:pt>
                <c:pt idx="18">
                  <c:v>-5.3235573219212608E-2</c:v>
                </c:pt>
                <c:pt idx="19">
                  <c:v>-1.9716093535879775E-2</c:v>
                </c:pt>
                <c:pt idx="20">
                  <c:v>1.2042859156202037E-2</c:v>
                </c:pt>
                <c:pt idx="21">
                  <c:v>4.2176436532619432E-2</c:v>
                </c:pt>
                <c:pt idx="22">
                  <c:v>7.0806301712963107E-2</c:v>
                </c:pt>
                <c:pt idx="23">
                  <c:v>9.8042271046604887E-2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EF-4E86-8FF6-68B33E5A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895407"/>
        <c:axId val="1566899247"/>
      </c:lineChart>
      <c:catAx>
        <c:axId val="148963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637183"/>
        <c:crosses val="autoZero"/>
        <c:auto val="1"/>
        <c:lblAlgn val="ctr"/>
        <c:lblOffset val="100"/>
        <c:noMultiLvlLbl val="0"/>
      </c:catAx>
      <c:valAx>
        <c:axId val="1489637183"/>
        <c:scaling>
          <c:orientation val="minMax"/>
          <c:max val="35000"/>
          <c:min val="-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&quot; € H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9639583"/>
        <c:crossesAt val="1"/>
        <c:crossBetween val="between"/>
        <c:majorUnit val="7000"/>
      </c:valAx>
      <c:valAx>
        <c:axId val="1566899247"/>
        <c:scaling>
          <c:orientation val="minMax"/>
          <c:max val="1"/>
          <c:min val="-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6895407"/>
        <c:crosses val="max"/>
        <c:crossBetween val="between"/>
      </c:valAx>
      <c:catAx>
        <c:axId val="1566895407"/>
        <c:scaling>
          <c:orientation val="minMax"/>
        </c:scaling>
        <c:delete val="1"/>
        <c:axPos val="b"/>
        <c:majorTickMark val="out"/>
        <c:minorTickMark val="none"/>
        <c:tickLblPos val="nextTo"/>
        <c:crossAx val="1566899247"/>
        <c:crossesAt val="-1.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Bilan prévisionnel mensuel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PRD!$A$9</c:f>
              <c:strCache>
                <c:ptCount val="1"/>
                <c:pt idx="0">
                  <c:v>Recettes cumulées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PRD!$B$9:$Y$9</c:f>
              <c:numCache>
                <c:formatCode>#\ ##0" € HT"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2500</c:v>
                </c:pt>
                <c:pt idx="5">
                  <c:v>13750</c:v>
                </c:pt>
                <c:pt idx="6">
                  <c:v>25000</c:v>
                </c:pt>
                <c:pt idx="7">
                  <c:v>65000</c:v>
                </c:pt>
                <c:pt idx="8">
                  <c:v>105000</c:v>
                </c:pt>
                <c:pt idx="9">
                  <c:v>123750</c:v>
                </c:pt>
                <c:pt idx="10">
                  <c:v>142500</c:v>
                </c:pt>
                <c:pt idx="11">
                  <c:v>161250</c:v>
                </c:pt>
                <c:pt idx="12">
                  <c:v>180000</c:v>
                </c:pt>
                <c:pt idx="13">
                  <c:v>198750</c:v>
                </c:pt>
                <c:pt idx="14">
                  <c:v>217500</c:v>
                </c:pt>
                <c:pt idx="15">
                  <c:v>236250</c:v>
                </c:pt>
                <c:pt idx="16">
                  <c:v>255000</c:v>
                </c:pt>
                <c:pt idx="17">
                  <c:v>273750</c:v>
                </c:pt>
                <c:pt idx="18">
                  <c:v>292500</c:v>
                </c:pt>
                <c:pt idx="19">
                  <c:v>311250</c:v>
                </c:pt>
                <c:pt idx="20">
                  <c:v>330000</c:v>
                </c:pt>
                <c:pt idx="21">
                  <c:v>348750</c:v>
                </c:pt>
                <c:pt idx="22">
                  <c:v>367500</c:v>
                </c:pt>
                <c:pt idx="23">
                  <c:v>386250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3-4F3C-B4B6-7A17C6DD70E6}"/>
            </c:ext>
          </c:extLst>
        </c:ser>
        <c:ser>
          <c:idx val="1"/>
          <c:order val="1"/>
          <c:tx>
            <c:strRef>
              <c:f>PRD!$A$16</c:f>
              <c:strCache>
                <c:ptCount val="1"/>
                <c:pt idx="0">
                  <c:v>Dépenses cumulées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4652022335681292E-2"/>
                  <c:y val="-4.74347319563085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MVP : </a:t>
                    </a:r>
                    <a:fld id="{BB1BAC65-EF79-40E8-A060-AB90A558653E}" type="VALUE">
                      <a:rPr lang="en-US"/>
                      <a:pPr/>
                      <a:t>[VALEUR]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D23-4F3C-B4B6-7A17C6DD70E6}"/>
                </c:ext>
              </c:extLst>
            </c:dLbl>
            <c:dLbl>
              <c:idx val="4"/>
              <c:layout>
                <c:manualLayout>
                  <c:x val="-4.8839510254080885E-17"/>
                  <c:y val="-5.98092146139098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Coût fixe projet : </a:t>
                    </a:r>
                    <a:fld id="{67443640-78A4-457F-A9C4-576C2F1119D1}" type="VALUE">
                      <a:rPr lang="en-US"/>
                      <a:pPr/>
                      <a:t>[VALEUR]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D23-4F3C-B4B6-7A17C6DD70E6}"/>
                </c:ext>
              </c:extLst>
            </c:dLbl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PRD!$B$16:$Y$16</c:f>
              <c:numCache>
                <c:formatCode>#\ ##0" € HT"</c:formatCode>
                <c:ptCount val="24"/>
                <c:pt idx="0">
                  <c:v>-42875.633782708421</c:v>
                </c:pt>
                <c:pt idx="1">
                  <c:v>-77842.300449375092</c:v>
                </c:pt>
                <c:pt idx="2">
                  <c:v>-112808.96711604175</c:v>
                </c:pt>
                <c:pt idx="3">
                  <c:v>-147775.63378270841</c:v>
                </c:pt>
                <c:pt idx="4">
                  <c:v>-189063.72279642371</c:v>
                </c:pt>
                <c:pt idx="5">
                  <c:v>-197626.81181013901</c:v>
                </c:pt>
                <c:pt idx="6">
                  <c:v>-206189.90082385432</c:v>
                </c:pt>
                <c:pt idx="7">
                  <c:v>-214752.98983756962</c:v>
                </c:pt>
                <c:pt idx="8">
                  <c:v>-223316.07885128492</c:v>
                </c:pt>
                <c:pt idx="9">
                  <c:v>-231879.16786500023</c:v>
                </c:pt>
                <c:pt idx="10">
                  <c:v>-240442.25687871553</c:v>
                </c:pt>
                <c:pt idx="11">
                  <c:v>-249005.34589243084</c:v>
                </c:pt>
                <c:pt idx="12">
                  <c:v>-257568.43490614614</c:v>
                </c:pt>
                <c:pt idx="13">
                  <c:v>-266131.52391986141</c:v>
                </c:pt>
                <c:pt idx="14">
                  <c:v>-274694.61293357669</c:v>
                </c:pt>
                <c:pt idx="15">
                  <c:v>-283257.70194729196</c:v>
                </c:pt>
                <c:pt idx="16">
                  <c:v>-291820.79096100724</c:v>
                </c:pt>
                <c:pt idx="17">
                  <c:v>-300383.87997472251</c:v>
                </c:pt>
                <c:pt idx="18">
                  <c:v>-308946.96898843779</c:v>
                </c:pt>
                <c:pt idx="19">
                  <c:v>-317510.05800215306</c:v>
                </c:pt>
                <c:pt idx="20">
                  <c:v>-326073.14701586834</c:v>
                </c:pt>
                <c:pt idx="21">
                  <c:v>-334636.23602958361</c:v>
                </c:pt>
                <c:pt idx="22">
                  <c:v>-343199.32504329889</c:v>
                </c:pt>
                <c:pt idx="23">
                  <c:v>-351762.41405701416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3-4F3C-B4B6-7A17C6DD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368495"/>
        <c:axId val="570351215"/>
      </c:barChart>
      <c:lineChart>
        <c:grouping val="standard"/>
        <c:varyColors val="0"/>
        <c:ser>
          <c:idx val="2"/>
          <c:order val="2"/>
          <c:tx>
            <c:strRef>
              <c:f>PRD!$A$19</c:f>
              <c:strCache>
                <c:ptCount val="1"/>
                <c:pt idx="0">
                  <c:v>Résultat brut cumulé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8.7573959990752445E-2"/>
                  <c:y val="0.1175560908622845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Break even :  21 mois</a:t>
                    </a:r>
                    <a:endParaRPr lang="en-US" sz="1000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5FC5-46B8-B4CE-8D9D71567DB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PRD!$B$19:$Y$19</c:f>
              <c:numCache>
                <c:formatCode>#\ ##0" € HT"</c:formatCode>
                <c:ptCount val="24"/>
                <c:pt idx="0">
                  <c:v>-42875.633782708421</c:v>
                </c:pt>
                <c:pt idx="1">
                  <c:v>-77842.300449375092</c:v>
                </c:pt>
                <c:pt idx="2">
                  <c:v>-112808.96711604175</c:v>
                </c:pt>
                <c:pt idx="3">
                  <c:v>-147775.63378270841</c:v>
                </c:pt>
                <c:pt idx="4">
                  <c:v>-186563.72279642371</c:v>
                </c:pt>
                <c:pt idx="5">
                  <c:v>-183876.81181013901</c:v>
                </c:pt>
                <c:pt idx="6">
                  <c:v>-181189.90082385432</c:v>
                </c:pt>
                <c:pt idx="7">
                  <c:v>-149752.98983756962</c:v>
                </c:pt>
                <c:pt idx="8">
                  <c:v>-118316.07885128492</c:v>
                </c:pt>
                <c:pt idx="9">
                  <c:v>-108129.16786500023</c:v>
                </c:pt>
                <c:pt idx="10">
                  <c:v>-97942.256878715532</c:v>
                </c:pt>
                <c:pt idx="11">
                  <c:v>-87755.345892430836</c:v>
                </c:pt>
                <c:pt idx="12">
                  <c:v>-77568.43490614614</c:v>
                </c:pt>
                <c:pt idx="13">
                  <c:v>-67381.523919861414</c:v>
                </c:pt>
                <c:pt idx="14">
                  <c:v>-57194.612933576689</c:v>
                </c:pt>
                <c:pt idx="15">
                  <c:v>-47007.701947291964</c:v>
                </c:pt>
                <c:pt idx="16">
                  <c:v>-36820.790961007238</c:v>
                </c:pt>
                <c:pt idx="17">
                  <c:v>-26633.879974722513</c:v>
                </c:pt>
                <c:pt idx="18">
                  <c:v>-16446.968988437788</c:v>
                </c:pt>
                <c:pt idx="19">
                  <c:v>-6260.0580021530623</c:v>
                </c:pt>
                <c:pt idx="20">
                  <c:v>3926.8529841316631</c:v>
                </c:pt>
                <c:pt idx="21">
                  <c:v>14113.763970416388</c:v>
                </c:pt>
                <c:pt idx="22">
                  <c:v>24300.674956701114</c:v>
                </c:pt>
                <c:pt idx="23">
                  <c:v>34487.585942985839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3-4F3C-B4B6-7A17C6DD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368495"/>
        <c:axId val="570351215"/>
      </c:lineChart>
      <c:catAx>
        <c:axId val="57036849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351215"/>
        <c:crosses val="autoZero"/>
        <c:auto val="1"/>
        <c:lblAlgn val="ctr"/>
        <c:lblOffset val="100"/>
        <c:noMultiLvlLbl val="0"/>
      </c:catAx>
      <c:valAx>
        <c:axId val="570351215"/>
        <c:scaling>
          <c:orientation val="minMax"/>
          <c:max val="400000"/>
          <c:min val="-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&quot; € H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368495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219080</xdr:colOff>
      <xdr:row>21</xdr:row>
      <xdr:rowOff>42862</xdr:rowOff>
    </xdr:from>
    <xdr:to>
      <xdr:col>9</xdr:col>
      <xdr:colOff>838199</xdr:colOff>
      <xdr:row>49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6076DEE-72D1-5F12-5B43-D84FAE63B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47624</xdr:colOff>
      <xdr:row>21</xdr:row>
      <xdr:rowOff>42861</xdr:rowOff>
    </xdr:from>
    <xdr:to>
      <xdr:col>22</xdr:col>
      <xdr:colOff>685799</xdr:colOff>
      <xdr:row>49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2A20AAC-7DDA-D18B-7E55-F3F3D6409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61F76-4117-4399-8C3D-FBEC1E6EEAB9}">
  <dimension ref="A1:N62"/>
  <sheetViews>
    <sheetView showGridLines="0" tabSelected="1" workbookViewId="0">
      <pane ySplit="6" topLeftCell="A7" activePane="bottomLeft" state="frozen"/>
      <selection pane="bottomLeft" activeCell="A2" sqref="A2"/>
    </sheetView>
  </sheetViews>
  <sheetFormatPr baseColWidth="10" defaultColWidth="11.42578125" defaultRowHeight="15" outlineLevelRow="1" x14ac:dyDescent="0.25"/>
  <cols>
    <col min="1" max="1" width="51" style="1" bestFit="1" customWidth="1"/>
    <col min="2" max="11" width="12.7109375" style="1" customWidth="1"/>
    <col min="12" max="12" width="15.140625" style="2" bestFit="1" customWidth="1"/>
    <col min="13" max="13" width="8.140625" style="1" bestFit="1" customWidth="1"/>
    <col min="14" max="14" width="10.85546875" style="1" bestFit="1" customWidth="1"/>
    <col min="15" max="16384" width="11.42578125" style="1"/>
  </cols>
  <sheetData>
    <row r="1" spans="1:12" ht="31.5" x14ac:dyDescent="0.25">
      <c r="A1" s="93" t="s">
        <v>70</v>
      </c>
    </row>
    <row r="3" spans="1:12" ht="15.75" thickBot="1" x14ac:dyDescent="0.3"/>
    <row r="4" spans="1:12" x14ac:dyDescent="0.25">
      <c r="B4" s="210" t="s">
        <v>0</v>
      </c>
      <c r="C4" s="211"/>
      <c r="D4" s="211"/>
      <c r="E4" s="211"/>
      <c r="F4" s="211"/>
      <c r="G4" s="211"/>
      <c r="H4" s="211"/>
      <c r="I4" s="211"/>
      <c r="J4" s="211"/>
      <c r="K4" s="212"/>
      <c r="L4" s="207" t="s">
        <v>34</v>
      </c>
    </row>
    <row r="5" spans="1:12" ht="30" x14ac:dyDescent="0.25">
      <c r="B5" s="72" t="s">
        <v>1</v>
      </c>
      <c r="C5" s="73" t="s">
        <v>3</v>
      </c>
      <c r="D5" s="73" t="s">
        <v>2</v>
      </c>
      <c r="E5" s="73" t="s">
        <v>130</v>
      </c>
      <c r="F5" s="73" t="s">
        <v>4</v>
      </c>
      <c r="G5" s="73" t="s">
        <v>6</v>
      </c>
      <c r="H5" s="73" t="s">
        <v>16</v>
      </c>
      <c r="I5" s="73" t="s">
        <v>5</v>
      </c>
      <c r="J5" s="73" t="s">
        <v>129</v>
      </c>
      <c r="K5" s="74" t="s">
        <v>32</v>
      </c>
      <c r="L5" s="208"/>
    </row>
    <row r="6" spans="1:12" ht="15.75" thickBot="1" x14ac:dyDescent="0.3">
      <c r="B6" s="69">
        <v>1000</v>
      </c>
      <c r="C6" s="70">
        <v>650</v>
      </c>
      <c r="D6" s="70">
        <v>600</v>
      </c>
      <c r="E6" s="70">
        <v>600</v>
      </c>
      <c r="F6" s="70">
        <v>600</v>
      </c>
      <c r="G6" s="70">
        <v>600</v>
      </c>
      <c r="H6" s="70">
        <v>600</v>
      </c>
      <c r="I6" s="70">
        <v>600</v>
      </c>
      <c r="J6" s="70">
        <v>600</v>
      </c>
      <c r="K6" s="71">
        <v>500</v>
      </c>
      <c r="L6" s="209"/>
    </row>
    <row r="7" spans="1:12" ht="15.75" thickBot="1" x14ac:dyDescent="0.3"/>
    <row r="8" spans="1:12" ht="15.75" thickBot="1" x14ac:dyDescent="0.3">
      <c r="A8" s="204" t="s">
        <v>7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6"/>
    </row>
    <row r="9" spans="1:12" outlineLevel="1" x14ac:dyDescent="0.25">
      <c r="A9" s="7" t="s">
        <v>20</v>
      </c>
      <c r="B9" s="10">
        <v>1</v>
      </c>
      <c r="C9" s="11">
        <v>2</v>
      </c>
      <c r="D9" s="11">
        <v>2</v>
      </c>
      <c r="E9" s="11"/>
      <c r="F9" s="11"/>
      <c r="G9" s="11"/>
      <c r="H9" s="11"/>
      <c r="I9" s="11"/>
      <c r="J9" s="11">
        <v>0.5</v>
      </c>
      <c r="K9" s="33">
        <v>0.25</v>
      </c>
      <c r="L9" s="36">
        <f t="shared" ref="L9:L22" si="0">SUM(B9:K9)</f>
        <v>5.75</v>
      </c>
    </row>
    <row r="10" spans="1:12" outlineLevel="1" x14ac:dyDescent="0.25">
      <c r="A10" s="8" t="s">
        <v>8</v>
      </c>
      <c r="B10" s="12"/>
      <c r="C10" s="4">
        <v>0.5</v>
      </c>
      <c r="D10" s="4">
        <v>2</v>
      </c>
      <c r="E10" s="4"/>
      <c r="F10" s="4"/>
      <c r="G10" s="4"/>
      <c r="H10" s="4"/>
      <c r="I10" s="4"/>
      <c r="J10" s="4"/>
      <c r="K10" s="32"/>
      <c r="L10" s="37">
        <f t="shared" si="0"/>
        <v>2.5</v>
      </c>
    </row>
    <row r="11" spans="1:12" outlineLevel="1" x14ac:dyDescent="0.25">
      <c r="A11" s="8" t="s">
        <v>22</v>
      </c>
      <c r="B11" s="12"/>
      <c r="C11" s="4"/>
      <c r="D11" s="4">
        <v>5</v>
      </c>
      <c r="E11" s="4"/>
      <c r="F11" s="4"/>
      <c r="G11" s="4"/>
      <c r="H11" s="4"/>
      <c r="I11" s="4"/>
      <c r="J11" s="4"/>
      <c r="K11" s="32"/>
      <c r="L11" s="37">
        <f t="shared" si="0"/>
        <v>5</v>
      </c>
    </row>
    <row r="12" spans="1:12" outlineLevel="1" x14ac:dyDescent="0.25">
      <c r="A12" s="8" t="s">
        <v>15</v>
      </c>
      <c r="B12" s="12">
        <v>0.25</v>
      </c>
      <c r="C12" s="4">
        <v>0.5</v>
      </c>
      <c r="D12" s="4">
        <v>0.25</v>
      </c>
      <c r="E12" s="4"/>
      <c r="F12" s="4"/>
      <c r="G12" s="4"/>
      <c r="H12" s="4"/>
      <c r="I12" s="4"/>
      <c r="J12" s="4"/>
      <c r="K12" s="32"/>
      <c r="L12" s="37">
        <f t="shared" si="0"/>
        <v>1</v>
      </c>
    </row>
    <row r="13" spans="1:12" outlineLevel="1" x14ac:dyDescent="0.25">
      <c r="A13" s="8" t="s">
        <v>131</v>
      </c>
      <c r="B13" s="12"/>
      <c r="C13" s="4"/>
      <c r="D13" s="4"/>
      <c r="E13" s="4">
        <v>7</v>
      </c>
      <c r="F13" s="4"/>
      <c r="G13" s="4"/>
      <c r="H13" s="4"/>
      <c r="I13" s="4"/>
      <c r="J13" s="4"/>
      <c r="K13" s="32"/>
      <c r="L13" s="37">
        <f t="shared" si="0"/>
        <v>7</v>
      </c>
    </row>
    <row r="14" spans="1:12" outlineLevel="1" x14ac:dyDescent="0.25">
      <c r="A14" s="8" t="s">
        <v>10</v>
      </c>
      <c r="B14" s="12"/>
      <c r="C14" s="4"/>
      <c r="D14" s="4"/>
      <c r="E14" s="4"/>
      <c r="F14" s="4">
        <v>10</v>
      </c>
      <c r="G14" s="4">
        <v>0.5</v>
      </c>
      <c r="H14" s="4"/>
      <c r="I14" s="4"/>
      <c r="J14" s="4"/>
      <c r="K14" s="32"/>
      <c r="L14" s="37">
        <f t="shared" si="0"/>
        <v>10.5</v>
      </c>
    </row>
    <row r="15" spans="1:12" outlineLevel="1" x14ac:dyDescent="0.25">
      <c r="A15" s="8" t="s">
        <v>11</v>
      </c>
      <c r="B15" s="12"/>
      <c r="C15" s="4"/>
      <c r="D15" s="4"/>
      <c r="E15" s="4"/>
      <c r="F15" s="4">
        <v>0.5</v>
      </c>
      <c r="G15" s="4">
        <v>10</v>
      </c>
      <c r="H15" s="4"/>
      <c r="I15" s="4">
        <v>0.5</v>
      </c>
      <c r="J15" s="4">
        <v>0.25</v>
      </c>
      <c r="K15" s="32"/>
      <c r="L15" s="37">
        <f t="shared" si="0"/>
        <v>11.25</v>
      </c>
    </row>
    <row r="16" spans="1:12" outlineLevel="1" x14ac:dyDescent="0.25">
      <c r="A16" s="8" t="s">
        <v>17</v>
      </c>
      <c r="B16" s="12"/>
      <c r="C16" s="4"/>
      <c r="D16" s="4"/>
      <c r="E16" s="4"/>
      <c r="F16" s="4"/>
      <c r="G16" s="4"/>
      <c r="H16" s="4">
        <v>2</v>
      </c>
      <c r="I16" s="4">
        <v>0.5</v>
      </c>
      <c r="J16" s="4">
        <v>0.25</v>
      </c>
      <c r="K16" s="32"/>
      <c r="L16" s="37">
        <f t="shared" si="0"/>
        <v>2.75</v>
      </c>
    </row>
    <row r="17" spans="1:14" outlineLevel="1" x14ac:dyDescent="0.25">
      <c r="A17" s="8" t="s">
        <v>26</v>
      </c>
      <c r="B17" s="12"/>
      <c r="C17" s="4"/>
      <c r="D17" s="4"/>
      <c r="E17" s="4"/>
      <c r="F17" s="4"/>
      <c r="G17" s="4"/>
      <c r="H17" s="4">
        <v>5</v>
      </c>
      <c r="I17" s="4">
        <v>0.5</v>
      </c>
      <c r="J17" s="4">
        <v>0.25</v>
      </c>
      <c r="K17" s="32"/>
      <c r="L17" s="37">
        <f t="shared" si="0"/>
        <v>5.75</v>
      </c>
    </row>
    <row r="18" spans="1:14" outlineLevel="1" x14ac:dyDescent="0.25">
      <c r="A18" s="8" t="s">
        <v>12</v>
      </c>
      <c r="B18" s="12"/>
      <c r="C18" s="4"/>
      <c r="D18" s="4"/>
      <c r="E18" s="4"/>
      <c r="F18" s="4"/>
      <c r="G18" s="4"/>
      <c r="H18" s="4">
        <v>0.5</v>
      </c>
      <c r="I18" s="4">
        <v>10</v>
      </c>
      <c r="J18" s="4">
        <v>0.25</v>
      </c>
      <c r="K18" s="32"/>
      <c r="L18" s="37">
        <f t="shared" si="0"/>
        <v>10.75</v>
      </c>
    </row>
    <row r="19" spans="1:14" outlineLevel="1" x14ac:dyDescent="0.25">
      <c r="A19" s="8" t="s">
        <v>21</v>
      </c>
      <c r="B19" s="12"/>
      <c r="C19" s="4"/>
      <c r="D19" s="4"/>
      <c r="E19" s="4"/>
      <c r="F19" s="4">
        <v>1</v>
      </c>
      <c r="G19" s="4">
        <v>1</v>
      </c>
      <c r="H19" s="4"/>
      <c r="I19" s="4">
        <v>1</v>
      </c>
      <c r="J19" s="4"/>
      <c r="K19" s="32"/>
      <c r="L19" s="37">
        <f t="shared" si="0"/>
        <v>3</v>
      </c>
    </row>
    <row r="20" spans="1:14" ht="15.75" outlineLevel="1" thickBot="1" x14ac:dyDescent="0.3">
      <c r="A20" s="8" t="s">
        <v>13</v>
      </c>
      <c r="B20" s="12"/>
      <c r="C20" s="4">
        <v>0.5</v>
      </c>
      <c r="D20" s="4"/>
      <c r="E20" s="4">
        <v>0.5</v>
      </c>
      <c r="F20" s="4">
        <v>0.5</v>
      </c>
      <c r="G20" s="4">
        <v>0.5</v>
      </c>
      <c r="H20" s="4">
        <v>0.5</v>
      </c>
      <c r="I20" s="4">
        <v>0.5</v>
      </c>
      <c r="J20" s="4">
        <v>0.25</v>
      </c>
      <c r="K20" s="32">
        <v>1</v>
      </c>
      <c r="L20" s="37">
        <f t="shared" si="0"/>
        <v>4.25</v>
      </c>
      <c r="M20" s="188" t="s">
        <v>126</v>
      </c>
      <c r="N20" s="189">
        <f>COUNTIF(PRD!$B$12:$M$12,"MVP")</f>
        <v>1</v>
      </c>
    </row>
    <row r="21" spans="1:14" s="2" customFormat="1" x14ac:dyDescent="0.25">
      <c r="A21" s="14" t="s">
        <v>30</v>
      </c>
      <c r="B21" s="15">
        <f t="shared" ref="B21:K21" si="1">SUM(B9:B20)</f>
        <v>1.25</v>
      </c>
      <c r="C21" s="16">
        <f t="shared" si="1"/>
        <v>3.5</v>
      </c>
      <c r="D21" s="16">
        <f t="shared" si="1"/>
        <v>9.25</v>
      </c>
      <c r="E21" s="16">
        <f t="shared" ref="E21" si="2">SUM(E9:E20)</f>
        <v>7.5</v>
      </c>
      <c r="F21" s="16">
        <f t="shared" si="1"/>
        <v>12</v>
      </c>
      <c r="G21" s="16">
        <f t="shared" si="1"/>
        <v>12</v>
      </c>
      <c r="H21" s="16">
        <f t="shared" si="1"/>
        <v>8</v>
      </c>
      <c r="I21" s="16">
        <f t="shared" si="1"/>
        <v>13</v>
      </c>
      <c r="J21" s="16">
        <f t="shared" si="1"/>
        <v>1.75</v>
      </c>
      <c r="K21" s="34">
        <f t="shared" si="1"/>
        <v>1.25</v>
      </c>
      <c r="L21" s="38">
        <f t="shared" si="0"/>
        <v>69.5</v>
      </c>
      <c r="M21" s="188" t="s">
        <v>128</v>
      </c>
      <c r="N21" s="190">
        <f>L21/N20/20</f>
        <v>3.4750000000000001</v>
      </c>
    </row>
    <row r="22" spans="1:14" s="2" customFormat="1" ht="15.75" thickBot="1" x14ac:dyDescent="0.3">
      <c r="A22" s="9" t="s">
        <v>31</v>
      </c>
      <c r="B22" s="13">
        <f>B$6*B21</f>
        <v>1250</v>
      </c>
      <c r="C22" s="6">
        <f t="shared" ref="C22:K22" si="3">C$6*C21</f>
        <v>2275</v>
      </c>
      <c r="D22" s="6">
        <f t="shared" si="3"/>
        <v>5550</v>
      </c>
      <c r="E22" s="6">
        <f t="shared" ref="E22" si="4">E$6*E21</f>
        <v>4500</v>
      </c>
      <c r="F22" s="6">
        <f t="shared" si="3"/>
        <v>7200</v>
      </c>
      <c r="G22" s="6">
        <f t="shared" si="3"/>
        <v>7200</v>
      </c>
      <c r="H22" s="6">
        <f t="shared" si="3"/>
        <v>4800</v>
      </c>
      <c r="I22" s="6">
        <f t="shared" si="3"/>
        <v>7800</v>
      </c>
      <c r="J22" s="6">
        <f t="shared" si="3"/>
        <v>1050</v>
      </c>
      <c r="K22" s="35">
        <f t="shared" si="3"/>
        <v>625</v>
      </c>
      <c r="L22" s="39">
        <f t="shared" si="0"/>
        <v>42250</v>
      </c>
    </row>
    <row r="23" spans="1:14" ht="15.75" thickBot="1" x14ac:dyDescent="0.3"/>
    <row r="24" spans="1:14" ht="15.75" thickBot="1" x14ac:dyDescent="0.3">
      <c r="A24" s="119" t="s">
        <v>9</v>
      </c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1"/>
    </row>
    <row r="25" spans="1:14" outlineLevel="1" x14ac:dyDescent="0.25">
      <c r="A25" s="17" t="s">
        <v>20</v>
      </c>
      <c r="B25" s="10">
        <v>1</v>
      </c>
      <c r="C25" s="11">
        <v>2</v>
      </c>
      <c r="D25" s="33">
        <v>2</v>
      </c>
      <c r="E25" s="11"/>
      <c r="F25" s="11"/>
      <c r="G25" s="11"/>
      <c r="H25" s="11"/>
      <c r="I25" s="11"/>
      <c r="J25" s="11">
        <v>0.25</v>
      </c>
      <c r="K25" s="40">
        <v>0.25</v>
      </c>
      <c r="L25" s="36">
        <f>SUM(B25:K25)</f>
        <v>5.5</v>
      </c>
    </row>
    <row r="26" spans="1:14" outlineLevel="1" x14ac:dyDescent="0.25">
      <c r="A26" s="19" t="s">
        <v>8</v>
      </c>
      <c r="B26" s="12"/>
      <c r="C26" s="4">
        <v>1</v>
      </c>
      <c r="D26" s="32">
        <v>2</v>
      </c>
      <c r="E26" s="4"/>
      <c r="F26" s="4"/>
      <c r="G26" s="4"/>
      <c r="H26" s="4"/>
      <c r="I26" s="4"/>
      <c r="J26" s="4"/>
      <c r="K26" s="41"/>
      <c r="L26" s="37">
        <f>SUM(B26:K26)</f>
        <v>3</v>
      </c>
    </row>
    <row r="27" spans="1:14" outlineLevel="1" x14ac:dyDescent="0.25">
      <c r="A27" s="19" t="s">
        <v>22</v>
      </c>
      <c r="B27" s="12"/>
      <c r="C27" s="4"/>
      <c r="D27" s="32">
        <v>15</v>
      </c>
      <c r="E27" s="4"/>
      <c r="F27" s="4"/>
      <c r="G27" s="4"/>
      <c r="H27" s="4"/>
      <c r="I27" s="4"/>
      <c r="J27" s="4"/>
      <c r="K27" s="41"/>
      <c r="L27" s="37">
        <f>SUM(B27:K27)</f>
        <v>15</v>
      </c>
    </row>
    <row r="28" spans="1:14" outlineLevel="1" x14ac:dyDescent="0.25">
      <c r="A28" s="19" t="s">
        <v>15</v>
      </c>
      <c r="B28" s="12">
        <v>0.25</v>
      </c>
      <c r="C28" s="4">
        <v>0.5</v>
      </c>
      <c r="D28" s="32">
        <v>0.25</v>
      </c>
      <c r="E28" s="4"/>
      <c r="F28" s="4"/>
      <c r="G28" s="4"/>
      <c r="H28" s="4"/>
      <c r="I28" s="4"/>
      <c r="J28" s="4"/>
      <c r="K28" s="41"/>
      <c r="L28" s="37">
        <f>SUM(B28:K28)</f>
        <v>1</v>
      </c>
    </row>
    <row r="29" spans="1:14" outlineLevel="1" x14ac:dyDescent="0.25">
      <c r="A29" s="19" t="s">
        <v>131</v>
      </c>
      <c r="B29" s="12"/>
      <c r="C29" s="4"/>
      <c r="D29" s="32"/>
      <c r="E29" s="4">
        <v>15</v>
      </c>
      <c r="F29" s="4"/>
      <c r="G29" s="4"/>
      <c r="H29" s="4"/>
      <c r="I29" s="4"/>
      <c r="J29" s="4"/>
      <c r="K29" s="41"/>
      <c r="L29" s="37"/>
    </row>
    <row r="30" spans="1:14" outlineLevel="1" x14ac:dyDescent="0.25">
      <c r="A30" s="19" t="s">
        <v>10</v>
      </c>
      <c r="B30" s="12"/>
      <c r="C30" s="4"/>
      <c r="D30" s="32"/>
      <c r="E30" s="4"/>
      <c r="F30" s="4">
        <v>30</v>
      </c>
      <c r="G30" s="4">
        <v>2</v>
      </c>
      <c r="H30" s="4"/>
      <c r="I30" s="4"/>
      <c r="J30" s="4">
        <v>0.25</v>
      </c>
      <c r="K30" s="41"/>
      <c r="L30" s="37">
        <f>SUM(B30:K30)</f>
        <v>32.25</v>
      </c>
    </row>
    <row r="31" spans="1:14" outlineLevel="1" x14ac:dyDescent="0.25">
      <c r="A31" s="19" t="s">
        <v>11</v>
      </c>
      <c r="B31" s="12"/>
      <c r="C31" s="4"/>
      <c r="D31" s="32"/>
      <c r="E31" s="4"/>
      <c r="F31" s="4">
        <v>2</v>
      </c>
      <c r="G31" s="4">
        <v>30</v>
      </c>
      <c r="H31" s="4"/>
      <c r="I31" s="4">
        <v>2</v>
      </c>
      <c r="J31" s="4">
        <v>0.25</v>
      </c>
      <c r="K31" s="41"/>
      <c r="L31" s="37">
        <f>SUM(B31:K31)</f>
        <v>34.25</v>
      </c>
    </row>
    <row r="32" spans="1:14" outlineLevel="1" x14ac:dyDescent="0.25">
      <c r="A32" s="19" t="s">
        <v>19</v>
      </c>
      <c r="B32" s="12"/>
      <c r="C32" s="4"/>
      <c r="D32" s="32"/>
      <c r="E32" s="4"/>
      <c r="F32" s="4"/>
      <c r="G32" s="4"/>
      <c r="H32" s="4">
        <v>15</v>
      </c>
      <c r="I32" s="4">
        <v>2</v>
      </c>
      <c r="J32" s="4">
        <v>0.25</v>
      </c>
      <c r="K32" s="41"/>
      <c r="L32" s="37">
        <f>SUM(B32:K32)</f>
        <v>17.25</v>
      </c>
    </row>
    <row r="33" spans="1:14" outlineLevel="1" x14ac:dyDescent="0.25">
      <c r="A33" s="19" t="s">
        <v>12</v>
      </c>
      <c r="B33" s="12"/>
      <c r="C33" s="4"/>
      <c r="D33" s="32"/>
      <c r="E33" s="4"/>
      <c r="F33" s="4"/>
      <c r="G33" s="4"/>
      <c r="H33" s="4">
        <v>2</v>
      </c>
      <c r="I33" s="4">
        <v>30</v>
      </c>
      <c r="J33" s="4">
        <v>0.25</v>
      </c>
      <c r="K33" s="41"/>
      <c r="L33" s="37">
        <f>SUM(B33:K33)</f>
        <v>32.25</v>
      </c>
    </row>
    <row r="34" spans="1:14" outlineLevel="1" x14ac:dyDescent="0.25">
      <c r="A34" s="19" t="s">
        <v>18</v>
      </c>
      <c r="B34" s="12"/>
      <c r="C34" s="4"/>
      <c r="D34" s="32"/>
      <c r="E34" s="4"/>
      <c r="F34" s="4"/>
      <c r="G34" s="4"/>
      <c r="H34" s="4">
        <v>2</v>
      </c>
      <c r="I34" s="4">
        <v>7</v>
      </c>
      <c r="J34" s="4"/>
      <c r="K34" s="41"/>
      <c r="L34" s="37">
        <f>SUM(B34:K34)</f>
        <v>9</v>
      </c>
    </row>
    <row r="35" spans="1:14" outlineLevel="1" x14ac:dyDescent="0.25">
      <c r="A35" s="19" t="s">
        <v>13</v>
      </c>
      <c r="B35" s="12">
        <v>0.25</v>
      </c>
      <c r="C35" s="4">
        <v>1</v>
      </c>
      <c r="D35" s="32"/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0.25</v>
      </c>
      <c r="K35" s="41"/>
      <c r="L35" s="37"/>
    </row>
    <row r="36" spans="1:14" ht="15.75" outlineLevel="1" thickBot="1" x14ac:dyDescent="0.3">
      <c r="A36" s="21" t="s">
        <v>33</v>
      </c>
      <c r="B36" s="12"/>
      <c r="C36" s="4"/>
      <c r="D36" s="32"/>
      <c r="E36" s="4"/>
      <c r="F36" s="4"/>
      <c r="G36" s="4"/>
      <c r="H36" s="4"/>
      <c r="I36" s="4"/>
      <c r="J36" s="4"/>
      <c r="K36" s="41">
        <v>3</v>
      </c>
      <c r="L36" s="37">
        <f>SUM(B36:K36)</f>
        <v>3</v>
      </c>
      <c r="M36" s="191" t="s">
        <v>126</v>
      </c>
      <c r="N36" s="192">
        <f>COUNTIF(PRD!$B$12:$M$12,"Développement")</f>
        <v>3</v>
      </c>
    </row>
    <row r="37" spans="1:14" s="2" customFormat="1" x14ac:dyDescent="0.25">
      <c r="A37" s="122" t="s">
        <v>35</v>
      </c>
      <c r="B37" s="123">
        <f>SUM(B25:B36)</f>
        <v>1.5</v>
      </c>
      <c r="C37" s="124">
        <f t="shared" ref="C37:K37" si="5">SUM(C25:C36)</f>
        <v>4.5</v>
      </c>
      <c r="D37" s="124">
        <f t="shared" si="5"/>
        <v>19.25</v>
      </c>
      <c r="E37" s="124">
        <f t="shared" ref="E37" si="6">SUM(E25:E36)</f>
        <v>16</v>
      </c>
      <c r="F37" s="124">
        <f t="shared" si="5"/>
        <v>33</v>
      </c>
      <c r="G37" s="124">
        <f t="shared" si="5"/>
        <v>33</v>
      </c>
      <c r="H37" s="124">
        <f t="shared" si="5"/>
        <v>20</v>
      </c>
      <c r="I37" s="124">
        <f t="shared" si="5"/>
        <v>42</v>
      </c>
      <c r="J37" s="124">
        <f t="shared" si="5"/>
        <v>1.5</v>
      </c>
      <c r="K37" s="125">
        <f t="shared" si="5"/>
        <v>3.25</v>
      </c>
      <c r="L37" s="126">
        <f>SUM(B37:K37)</f>
        <v>174</v>
      </c>
      <c r="M37" s="191" t="s">
        <v>127</v>
      </c>
      <c r="N37" s="193">
        <f>L37/N36/20</f>
        <v>2.9</v>
      </c>
    </row>
    <row r="38" spans="1:14" ht="15.75" thickBot="1" x14ac:dyDescent="0.3">
      <c r="A38" s="127" t="s">
        <v>36</v>
      </c>
      <c r="B38" s="128">
        <f t="shared" ref="B38:K38" si="7">B$6*B37</f>
        <v>1500</v>
      </c>
      <c r="C38" s="129">
        <f t="shared" si="7"/>
        <v>2925</v>
      </c>
      <c r="D38" s="129">
        <f t="shared" si="7"/>
        <v>11550</v>
      </c>
      <c r="E38" s="129">
        <f t="shared" ref="E38" si="8">E$6*E37</f>
        <v>9600</v>
      </c>
      <c r="F38" s="129">
        <f t="shared" si="7"/>
        <v>19800</v>
      </c>
      <c r="G38" s="129">
        <f t="shared" si="7"/>
        <v>19800</v>
      </c>
      <c r="H38" s="129">
        <f t="shared" si="7"/>
        <v>12000</v>
      </c>
      <c r="I38" s="129">
        <f t="shared" si="7"/>
        <v>25200</v>
      </c>
      <c r="J38" s="129">
        <f t="shared" si="7"/>
        <v>900</v>
      </c>
      <c r="K38" s="130">
        <f t="shared" si="7"/>
        <v>1625</v>
      </c>
      <c r="L38" s="131">
        <f>SUM(B38:K38)</f>
        <v>104900</v>
      </c>
    </row>
    <row r="39" spans="1:14" ht="15.75" thickBot="1" x14ac:dyDescent="0.3"/>
    <row r="40" spans="1:14" ht="15.75" thickBot="1" x14ac:dyDescent="0.3">
      <c r="A40" s="25" t="s">
        <v>14</v>
      </c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6"/>
    </row>
    <row r="41" spans="1:14" outlineLevel="1" x14ac:dyDescent="0.25">
      <c r="A41" s="17" t="s">
        <v>20</v>
      </c>
      <c r="B41" s="10">
        <v>1</v>
      </c>
      <c r="C41" s="11">
        <v>2</v>
      </c>
      <c r="D41" s="11">
        <v>2</v>
      </c>
      <c r="E41" s="11"/>
      <c r="F41" s="11"/>
      <c r="G41" s="11"/>
      <c r="H41" s="11"/>
      <c r="I41" s="11"/>
      <c r="J41" s="11"/>
      <c r="K41" s="40">
        <v>0.25</v>
      </c>
      <c r="L41" s="18">
        <f t="shared" ref="L41:L47" si="9">SUM(B41:K41)</f>
        <v>5.25</v>
      </c>
    </row>
    <row r="42" spans="1:14" outlineLevel="1" x14ac:dyDescent="0.25">
      <c r="A42" s="19" t="s">
        <v>8</v>
      </c>
      <c r="B42" s="12"/>
      <c r="C42" s="4">
        <v>1</v>
      </c>
      <c r="D42" s="4">
        <v>2</v>
      </c>
      <c r="E42" s="4"/>
      <c r="F42" s="4"/>
      <c r="G42" s="4"/>
      <c r="H42" s="4"/>
      <c r="I42" s="4"/>
      <c r="J42" s="4"/>
      <c r="K42" s="41"/>
      <c r="L42" s="20">
        <f t="shared" si="9"/>
        <v>3</v>
      </c>
    </row>
    <row r="43" spans="1:14" outlineLevel="1" x14ac:dyDescent="0.25">
      <c r="A43" s="19" t="s">
        <v>22</v>
      </c>
      <c r="B43" s="12"/>
      <c r="C43" s="4"/>
      <c r="D43" s="4">
        <v>10</v>
      </c>
      <c r="E43" s="4"/>
      <c r="F43" s="4"/>
      <c r="G43" s="4"/>
      <c r="H43" s="4"/>
      <c r="I43" s="4"/>
      <c r="J43" s="4"/>
      <c r="K43" s="41"/>
      <c r="L43" s="20">
        <f t="shared" si="9"/>
        <v>10</v>
      </c>
    </row>
    <row r="44" spans="1:14" outlineLevel="1" x14ac:dyDescent="0.25">
      <c r="A44" s="19" t="s">
        <v>15</v>
      </c>
      <c r="B44" s="12">
        <v>0.25</v>
      </c>
      <c r="C44" s="4">
        <v>0.5</v>
      </c>
      <c r="D44" s="4">
        <v>0.25</v>
      </c>
      <c r="E44" s="4"/>
      <c r="F44" s="4"/>
      <c r="G44" s="4"/>
      <c r="H44" s="4"/>
      <c r="I44" s="4"/>
      <c r="J44" s="4"/>
      <c r="K44" s="41"/>
      <c r="L44" s="20">
        <f t="shared" si="9"/>
        <v>1</v>
      </c>
    </row>
    <row r="45" spans="1:14" outlineLevel="1" x14ac:dyDescent="0.25">
      <c r="A45" s="19" t="s">
        <v>23</v>
      </c>
      <c r="B45" s="12"/>
      <c r="C45" s="4"/>
      <c r="D45" s="4"/>
      <c r="E45" s="4"/>
      <c r="F45" s="4">
        <v>7</v>
      </c>
      <c r="G45" s="4">
        <v>1</v>
      </c>
      <c r="H45" s="4"/>
      <c r="I45" s="4"/>
      <c r="J45" s="4"/>
      <c r="K45" s="41"/>
      <c r="L45" s="20">
        <f t="shared" si="9"/>
        <v>8</v>
      </c>
    </row>
    <row r="46" spans="1:14" outlineLevel="1" x14ac:dyDescent="0.25">
      <c r="A46" s="19" t="s">
        <v>24</v>
      </c>
      <c r="B46" s="12"/>
      <c r="C46" s="4"/>
      <c r="D46" s="4"/>
      <c r="E46" s="4"/>
      <c r="F46" s="4">
        <v>1</v>
      </c>
      <c r="G46" s="4">
        <v>7</v>
      </c>
      <c r="H46" s="4"/>
      <c r="I46" s="4"/>
      <c r="J46" s="4"/>
      <c r="K46" s="41"/>
      <c r="L46" s="20">
        <f t="shared" si="9"/>
        <v>8</v>
      </c>
    </row>
    <row r="47" spans="1:14" ht="90" outlineLevel="1" x14ac:dyDescent="0.25">
      <c r="A47" s="23" t="s">
        <v>106</v>
      </c>
      <c r="B47" s="12"/>
      <c r="C47" s="4"/>
      <c r="D47" s="4"/>
      <c r="E47" s="4"/>
      <c r="F47" s="4">
        <v>3</v>
      </c>
      <c r="G47" s="4">
        <v>3</v>
      </c>
      <c r="H47" s="4">
        <v>7</v>
      </c>
      <c r="I47" s="4">
        <v>7</v>
      </c>
      <c r="J47" s="4">
        <v>0.25</v>
      </c>
      <c r="K47" s="41"/>
      <c r="L47" s="20">
        <f t="shared" si="9"/>
        <v>20.25</v>
      </c>
    </row>
    <row r="48" spans="1:14" outlineLevel="1" x14ac:dyDescent="0.25">
      <c r="A48" s="23" t="s">
        <v>13</v>
      </c>
      <c r="B48" s="12">
        <v>0.25</v>
      </c>
      <c r="C48" s="4">
        <v>1</v>
      </c>
      <c r="D48" s="4"/>
      <c r="E48" s="4">
        <v>0.25</v>
      </c>
      <c r="F48" s="4">
        <v>1</v>
      </c>
      <c r="G48" s="4">
        <v>1</v>
      </c>
      <c r="H48" s="4">
        <v>1</v>
      </c>
      <c r="I48" s="4">
        <v>1</v>
      </c>
      <c r="J48" s="4"/>
      <c r="K48" s="41"/>
      <c r="L48" s="20"/>
    </row>
    <row r="49" spans="1:14" ht="15.75" outlineLevel="1" thickBot="1" x14ac:dyDescent="0.3">
      <c r="A49" s="21" t="s">
        <v>33</v>
      </c>
      <c r="B49" s="50"/>
      <c r="C49" s="51"/>
      <c r="D49" s="51"/>
      <c r="E49" s="51"/>
      <c r="F49" s="51"/>
      <c r="G49" s="51"/>
      <c r="H49" s="51"/>
      <c r="I49" s="51"/>
      <c r="J49" s="51"/>
      <c r="K49" s="52">
        <v>5</v>
      </c>
      <c r="L49" s="22">
        <f>SUM(B49:K49)</f>
        <v>5</v>
      </c>
      <c r="M49" s="194" t="s">
        <v>126</v>
      </c>
      <c r="N49" s="195">
        <f>COUNTIF(PRD!$B$12:$M$12,"Déploiement")</f>
        <v>1</v>
      </c>
    </row>
    <row r="50" spans="1:14" s="2" customFormat="1" x14ac:dyDescent="0.25">
      <c r="A50" s="28" t="s">
        <v>37</v>
      </c>
      <c r="B50" s="48">
        <f>SUM(B41:B49)</f>
        <v>1.5</v>
      </c>
      <c r="C50" s="53">
        <f t="shared" ref="C50:K50" si="10">SUM(C41:C49)</f>
        <v>4.5</v>
      </c>
      <c r="D50" s="53">
        <f t="shared" si="10"/>
        <v>14.25</v>
      </c>
      <c r="E50" s="53">
        <f t="shared" ref="E50" si="11">SUM(E41:E49)</f>
        <v>0.25</v>
      </c>
      <c r="F50" s="53">
        <f t="shared" si="10"/>
        <v>12</v>
      </c>
      <c r="G50" s="53">
        <f t="shared" si="10"/>
        <v>12</v>
      </c>
      <c r="H50" s="53">
        <f t="shared" si="10"/>
        <v>8</v>
      </c>
      <c r="I50" s="53">
        <f t="shared" si="10"/>
        <v>8</v>
      </c>
      <c r="J50" s="53">
        <f t="shared" si="10"/>
        <v>0.25</v>
      </c>
      <c r="K50" s="49">
        <f t="shared" si="10"/>
        <v>5.25</v>
      </c>
      <c r="L50" s="42">
        <f>SUM(B50:K50)</f>
        <v>66</v>
      </c>
      <c r="M50" s="194" t="s">
        <v>127</v>
      </c>
      <c r="N50" s="196">
        <f>L50/N49/20</f>
        <v>3.3</v>
      </c>
    </row>
    <row r="51" spans="1:14" ht="15.75" thickBot="1" x14ac:dyDescent="0.3">
      <c r="A51" s="29" t="s">
        <v>38</v>
      </c>
      <c r="B51" s="44">
        <f t="shared" ref="B51" si="12">B$6*B50</f>
        <v>1500</v>
      </c>
      <c r="C51" s="54">
        <f t="shared" ref="C51" si="13">C$6*C50</f>
        <v>2925</v>
      </c>
      <c r="D51" s="54">
        <f t="shared" ref="D51" si="14">D$6*D50</f>
        <v>8550</v>
      </c>
      <c r="E51" s="54">
        <f t="shared" ref="E51:F51" si="15">E$6*E50</f>
        <v>150</v>
      </c>
      <c r="F51" s="54">
        <f t="shared" si="15"/>
        <v>7200</v>
      </c>
      <c r="G51" s="54">
        <f t="shared" ref="G51" si="16">G$6*G50</f>
        <v>7200</v>
      </c>
      <c r="H51" s="54">
        <f t="shared" ref="H51" si="17">H$6*H50</f>
        <v>4800</v>
      </c>
      <c r="I51" s="54">
        <f t="shared" ref="I51" si="18">I$6*I50</f>
        <v>4800</v>
      </c>
      <c r="J51" s="54">
        <f t="shared" ref="J51" si="19">J$6*J50</f>
        <v>150</v>
      </c>
      <c r="K51" s="45">
        <f t="shared" ref="K51" si="20">K$6*K50</f>
        <v>2625</v>
      </c>
      <c r="L51" s="43">
        <f>SUM(B51:K51)</f>
        <v>39900</v>
      </c>
    </row>
    <row r="52" spans="1:14" ht="15.75" thickBot="1" x14ac:dyDescent="0.3">
      <c r="M52" s="197" t="s">
        <v>126</v>
      </c>
      <c r="N52" s="198">
        <f>SUM(N20,N36,N49)</f>
        <v>5</v>
      </c>
    </row>
    <row r="53" spans="1:14" ht="18.75" x14ac:dyDescent="0.25">
      <c r="A53" s="81" t="s">
        <v>41</v>
      </c>
      <c r="B53" s="75">
        <f t="shared" ref="B53:K53" si="21">SUM(B21,B37,B50,B61)</f>
        <v>4.5</v>
      </c>
      <c r="C53" s="76">
        <f t="shared" si="21"/>
        <v>13</v>
      </c>
      <c r="D53" s="76">
        <f t="shared" si="21"/>
        <v>43.25</v>
      </c>
      <c r="E53" s="76">
        <f t="shared" ref="E53" si="22">SUM(E21,E37,E50,E61)</f>
        <v>24.75</v>
      </c>
      <c r="F53" s="76">
        <f t="shared" si="21"/>
        <v>59.5</v>
      </c>
      <c r="G53" s="76">
        <f t="shared" si="21"/>
        <v>59.5</v>
      </c>
      <c r="H53" s="76">
        <f t="shared" si="21"/>
        <v>38</v>
      </c>
      <c r="I53" s="76">
        <f t="shared" si="21"/>
        <v>65.25</v>
      </c>
      <c r="J53" s="76">
        <f t="shared" si="21"/>
        <v>3.75</v>
      </c>
      <c r="K53" s="77">
        <f t="shared" si="21"/>
        <v>9.75</v>
      </c>
      <c r="L53" s="83">
        <f>SUM(L21,L37,L50)</f>
        <v>309.5</v>
      </c>
      <c r="M53" s="197" t="s">
        <v>127</v>
      </c>
      <c r="N53" s="199">
        <f>L53/N52/20</f>
        <v>3.0949999999999998</v>
      </c>
    </row>
    <row r="54" spans="1:14" ht="19.5" thickBot="1" x14ac:dyDescent="0.3">
      <c r="A54" s="82" t="s">
        <v>42</v>
      </c>
      <c r="B54" s="78">
        <f t="shared" ref="B54:K54" si="23">SUM(B22,B38,B51,B62)</f>
        <v>4500</v>
      </c>
      <c r="C54" s="79">
        <f t="shared" si="23"/>
        <v>8450</v>
      </c>
      <c r="D54" s="79">
        <f t="shared" si="23"/>
        <v>25950</v>
      </c>
      <c r="E54" s="79">
        <f t="shared" ref="E54" si="24">SUM(E22,E38,E51,E62)</f>
        <v>14850</v>
      </c>
      <c r="F54" s="79">
        <f t="shared" si="23"/>
        <v>35700</v>
      </c>
      <c r="G54" s="79">
        <f t="shared" si="23"/>
        <v>35700</v>
      </c>
      <c r="H54" s="79">
        <f t="shared" si="23"/>
        <v>22800</v>
      </c>
      <c r="I54" s="79">
        <f t="shared" si="23"/>
        <v>39150</v>
      </c>
      <c r="J54" s="79">
        <f t="shared" si="23"/>
        <v>2250</v>
      </c>
      <c r="K54" s="80">
        <f t="shared" si="23"/>
        <v>4875</v>
      </c>
      <c r="L54" s="84">
        <f>SUM(L22,L38,L51)</f>
        <v>187050</v>
      </c>
    </row>
    <row r="55" spans="1:14" s="2" customFormat="1" ht="15.75" thickBot="1" x14ac:dyDescent="0.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4" ht="15.75" thickBot="1" x14ac:dyDescent="0.3">
      <c r="A56" s="24" t="s">
        <v>96</v>
      </c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7"/>
    </row>
    <row r="57" spans="1:14" x14ac:dyDescent="0.25">
      <c r="A57" s="7" t="s">
        <v>25</v>
      </c>
      <c r="B57" s="58">
        <v>0.25</v>
      </c>
      <c r="C57" s="11">
        <v>0.5</v>
      </c>
      <c r="D57" s="11">
        <v>0.5</v>
      </c>
      <c r="E57" s="11"/>
      <c r="F57" s="11"/>
      <c r="G57" s="11"/>
      <c r="H57" s="11"/>
      <c r="I57" s="11"/>
      <c r="J57" s="11">
        <v>0.25</v>
      </c>
      <c r="K57" s="33"/>
      <c r="L57" s="36">
        <f t="shared" ref="L57:L62" si="25">SUM(B57:K57)</f>
        <v>1.5</v>
      </c>
    </row>
    <row r="58" spans="1:14" x14ac:dyDescent="0.25">
      <c r="A58" s="8" t="s">
        <v>27</v>
      </c>
      <c r="B58" s="59"/>
      <c r="C58" s="4"/>
      <c r="D58" s="4"/>
      <c r="E58" s="4"/>
      <c r="F58" s="4">
        <v>1.5</v>
      </c>
      <c r="G58" s="4">
        <v>1.5</v>
      </c>
      <c r="H58" s="4">
        <v>0.5</v>
      </c>
      <c r="I58" s="4">
        <v>1</v>
      </c>
      <c r="J58" s="4"/>
      <c r="K58" s="32"/>
      <c r="L58" s="37">
        <f t="shared" si="25"/>
        <v>4.5</v>
      </c>
    </row>
    <row r="59" spans="1:14" x14ac:dyDescent="0.25">
      <c r="A59" s="8" t="s">
        <v>28</v>
      </c>
      <c r="B59" s="59"/>
      <c r="C59" s="4"/>
      <c r="D59" s="4"/>
      <c r="E59" s="4"/>
      <c r="F59" s="4"/>
      <c r="G59" s="4"/>
      <c r="H59" s="4">
        <v>0.5</v>
      </c>
      <c r="I59" s="4">
        <v>0.25</v>
      </c>
      <c r="J59" s="4"/>
      <c r="K59" s="32"/>
      <c r="L59" s="37">
        <f t="shared" si="25"/>
        <v>0.75</v>
      </c>
    </row>
    <row r="60" spans="1:14" ht="15.75" thickBot="1" x14ac:dyDescent="0.3">
      <c r="A60" s="27" t="s">
        <v>29</v>
      </c>
      <c r="B60" s="60"/>
      <c r="C60" s="51"/>
      <c r="D60" s="51"/>
      <c r="E60" s="51">
        <v>1</v>
      </c>
      <c r="F60" s="51">
        <v>1</v>
      </c>
      <c r="G60" s="51">
        <v>1</v>
      </c>
      <c r="H60" s="51">
        <v>1</v>
      </c>
      <c r="I60" s="51">
        <v>1</v>
      </c>
      <c r="J60" s="51"/>
      <c r="K60" s="64"/>
      <c r="L60" s="46">
        <f t="shared" si="25"/>
        <v>5</v>
      </c>
      <c r="M60" s="200"/>
      <c r="N60" s="201"/>
    </row>
    <row r="61" spans="1:14" s="2" customFormat="1" x14ac:dyDescent="0.25">
      <c r="A61" s="30" t="s">
        <v>39</v>
      </c>
      <c r="B61" s="61">
        <f>SUM(B57:B60)</f>
        <v>0.25</v>
      </c>
      <c r="C61" s="56">
        <f t="shared" ref="C61:K61" si="26">SUM(C57:C60)</f>
        <v>0.5</v>
      </c>
      <c r="D61" s="56">
        <f t="shared" si="26"/>
        <v>0.5</v>
      </c>
      <c r="E61" s="56">
        <f t="shared" ref="E61" si="27">SUM(E57:E60)</f>
        <v>1</v>
      </c>
      <c r="F61" s="56">
        <f t="shared" si="26"/>
        <v>2.5</v>
      </c>
      <c r="G61" s="56">
        <f t="shared" si="26"/>
        <v>2.5</v>
      </c>
      <c r="H61" s="56">
        <f t="shared" si="26"/>
        <v>2</v>
      </c>
      <c r="I61" s="56">
        <f t="shared" si="26"/>
        <v>2.25</v>
      </c>
      <c r="J61" s="56">
        <f t="shared" si="26"/>
        <v>0.25</v>
      </c>
      <c r="K61" s="65">
        <f t="shared" si="26"/>
        <v>0</v>
      </c>
      <c r="L61" s="67">
        <f t="shared" si="25"/>
        <v>11.75</v>
      </c>
      <c r="M61" s="200" t="s">
        <v>127</v>
      </c>
      <c r="N61" s="202">
        <f>L61/20</f>
        <v>0.58750000000000002</v>
      </c>
    </row>
    <row r="62" spans="1:14" ht="15.75" thickBot="1" x14ac:dyDescent="0.3">
      <c r="A62" s="31" t="s">
        <v>40</v>
      </c>
      <c r="B62" s="62">
        <f t="shared" ref="B62" si="28">B$6*B61</f>
        <v>250</v>
      </c>
      <c r="C62" s="63">
        <f t="shared" ref="C62" si="29">C$6*C61</f>
        <v>325</v>
      </c>
      <c r="D62" s="63">
        <f t="shared" ref="D62" si="30">D$6*D61</f>
        <v>300</v>
      </c>
      <c r="E62" s="63">
        <f t="shared" ref="E62:F62" si="31">E$6*E61</f>
        <v>600</v>
      </c>
      <c r="F62" s="63">
        <f t="shared" si="31"/>
        <v>1500</v>
      </c>
      <c r="G62" s="63">
        <f t="shared" ref="G62" si="32">G$6*G61</f>
        <v>1500</v>
      </c>
      <c r="H62" s="63">
        <f t="shared" ref="H62" si="33">H$6*H61</f>
        <v>1200</v>
      </c>
      <c r="I62" s="63">
        <f t="shared" ref="I62" si="34">I$6*I61</f>
        <v>1350</v>
      </c>
      <c r="J62" s="63">
        <f t="shared" ref="J62" si="35">J$6*J61</f>
        <v>150</v>
      </c>
      <c r="K62" s="66">
        <f t="shared" ref="K62" si="36">K$6*K61</f>
        <v>0</v>
      </c>
      <c r="L62" s="68">
        <f t="shared" si="25"/>
        <v>7175</v>
      </c>
    </row>
  </sheetData>
  <mergeCells count="2">
    <mergeCell ref="L4:L6"/>
    <mergeCell ref="B4:K4"/>
  </mergeCells>
  <conditionalFormatting sqref="A9:L20">
    <cfRule type="expression" dxfId="4" priority="4">
      <formula>MOD(ROW(),2)</formula>
    </cfRule>
  </conditionalFormatting>
  <conditionalFormatting sqref="A25:L36">
    <cfRule type="expression" dxfId="3" priority="3">
      <formula>MOD(ROW(),2)</formula>
    </cfRule>
  </conditionalFormatting>
  <conditionalFormatting sqref="A41:L49">
    <cfRule type="expression" dxfId="2" priority="2">
      <formula>MOD(ROW(),2)</formula>
    </cfRule>
  </conditionalFormatting>
  <conditionalFormatting sqref="A57:L60">
    <cfRule type="expression" dxfId="1" priority="1">
      <formula>MOD(ROW(),2)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54C6-7ED4-4D1D-95B6-61E6641B0E96}">
  <dimension ref="A1:K43"/>
  <sheetViews>
    <sheetView showGridLines="0" workbookViewId="0"/>
  </sheetViews>
  <sheetFormatPr baseColWidth="10" defaultRowHeight="15" x14ac:dyDescent="0.25"/>
  <cols>
    <col min="1" max="2" width="2.7109375" customWidth="1"/>
    <col min="3" max="6" width="15.7109375" customWidth="1"/>
    <col min="7" max="7" width="55.42578125" customWidth="1"/>
    <col min="8" max="9" width="15.7109375" customWidth="1"/>
    <col min="10" max="11" width="2.7109375" customWidth="1"/>
  </cols>
  <sheetData>
    <row r="1" spans="1:11" s="1" customFormat="1" ht="31.5" x14ac:dyDescent="0.25">
      <c r="A1" s="93" t="s">
        <v>71</v>
      </c>
      <c r="K1" s="2"/>
    </row>
    <row r="2" spans="1:11" x14ac:dyDescent="0.25">
      <c r="A2" t="s">
        <v>72</v>
      </c>
    </row>
    <row r="3" spans="1:11" ht="15.75" thickBot="1" x14ac:dyDescent="0.3"/>
    <row r="4" spans="1:11" x14ac:dyDescent="0.25">
      <c r="A4" s="5" t="s">
        <v>93</v>
      </c>
      <c r="B4" s="94"/>
      <c r="C4" s="94"/>
      <c r="D4" s="94"/>
      <c r="E4" s="94"/>
      <c r="F4" s="94"/>
      <c r="G4" s="94"/>
      <c r="H4" s="94"/>
      <c r="I4" s="94"/>
      <c r="J4" s="94"/>
      <c r="K4" s="95"/>
    </row>
    <row r="5" spans="1:11" x14ac:dyDescent="0.25">
      <c r="A5" s="96"/>
      <c r="B5" s="104"/>
      <c r="C5" s="105"/>
      <c r="D5" s="105"/>
      <c r="E5" s="105"/>
      <c r="F5" s="105"/>
      <c r="G5" s="105"/>
      <c r="H5" s="105"/>
      <c r="I5" s="105"/>
      <c r="J5" s="106"/>
      <c r="K5" s="97"/>
    </row>
    <row r="6" spans="1:11" ht="20.25" x14ac:dyDescent="0.25">
      <c r="A6" s="96"/>
      <c r="B6" s="107"/>
      <c r="C6" s="213" t="s">
        <v>43</v>
      </c>
      <c r="D6" s="214"/>
      <c r="E6" s="214"/>
      <c r="F6" s="98"/>
      <c r="G6" s="98"/>
      <c r="H6" s="99"/>
      <c r="I6" s="99"/>
      <c r="J6" s="108"/>
      <c r="K6" s="97"/>
    </row>
    <row r="7" spans="1:11" ht="17.25" x14ac:dyDescent="0.25">
      <c r="A7" s="96"/>
      <c r="B7" s="107"/>
      <c r="C7" s="215" t="s">
        <v>44</v>
      </c>
      <c r="D7" s="214"/>
      <c r="E7" s="214"/>
      <c r="F7" s="98"/>
      <c r="G7" s="98"/>
      <c r="H7" s="99"/>
      <c r="I7" s="99"/>
      <c r="J7" s="108"/>
      <c r="K7" s="97"/>
    </row>
    <row r="8" spans="1:11" ht="33" x14ac:dyDescent="0.25">
      <c r="A8" s="96"/>
      <c r="B8" s="107"/>
      <c r="C8" s="88" t="s">
        <v>45</v>
      </c>
      <c r="D8" s="88" t="s">
        <v>46</v>
      </c>
      <c r="E8" s="88" t="s">
        <v>47</v>
      </c>
      <c r="F8" s="88" t="s">
        <v>48</v>
      </c>
      <c r="G8" s="88" t="s">
        <v>49</v>
      </c>
      <c r="H8" s="89" t="s">
        <v>50</v>
      </c>
      <c r="I8" s="89" t="s">
        <v>51</v>
      </c>
      <c r="J8" s="108"/>
      <c r="K8" s="97"/>
    </row>
    <row r="9" spans="1:11" ht="66.95" customHeight="1" x14ac:dyDescent="0.25">
      <c r="A9" s="96"/>
      <c r="B9" s="107"/>
      <c r="C9" s="90" t="s">
        <v>52</v>
      </c>
      <c r="D9" s="90" t="s">
        <v>53</v>
      </c>
      <c r="E9" s="90" t="s">
        <v>54</v>
      </c>
      <c r="F9" s="90" t="s">
        <v>55</v>
      </c>
      <c r="G9" s="90" t="s">
        <v>56</v>
      </c>
      <c r="H9" s="91">
        <v>361.32820764873844</v>
      </c>
      <c r="I9" s="91">
        <v>0</v>
      </c>
      <c r="J9" s="108"/>
      <c r="K9" s="97"/>
    </row>
    <row r="10" spans="1:11" ht="66.95" customHeight="1" x14ac:dyDescent="0.25">
      <c r="A10" s="96"/>
      <c r="B10" s="107"/>
      <c r="C10" s="90" t="s">
        <v>57</v>
      </c>
      <c r="D10" s="90" t="s">
        <v>58</v>
      </c>
      <c r="E10" s="90" t="s">
        <v>54</v>
      </c>
      <c r="F10" s="90" t="s">
        <v>55</v>
      </c>
      <c r="G10" s="90" t="s">
        <v>59</v>
      </c>
      <c r="H10" s="91">
        <v>18.722089594158124</v>
      </c>
      <c r="I10" s="91">
        <v>0</v>
      </c>
      <c r="J10" s="108"/>
      <c r="K10" s="97"/>
    </row>
    <row r="11" spans="1:11" ht="66.95" customHeight="1" x14ac:dyDescent="0.25">
      <c r="A11" s="96"/>
      <c r="B11" s="107"/>
      <c r="C11" s="90" t="s">
        <v>60</v>
      </c>
      <c r="D11" s="90" t="s">
        <v>61</v>
      </c>
      <c r="E11" s="90" t="s">
        <v>54</v>
      </c>
      <c r="F11" s="90" t="s">
        <v>55</v>
      </c>
      <c r="G11" s="90" t="s">
        <v>62</v>
      </c>
      <c r="H11" s="91">
        <v>155.70846791181</v>
      </c>
      <c r="I11" s="91">
        <v>22.450030426438236</v>
      </c>
      <c r="J11" s="108"/>
      <c r="K11" s="97"/>
    </row>
    <row r="12" spans="1:11" ht="66.95" customHeight="1" x14ac:dyDescent="0.25">
      <c r="A12" s="96"/>
      <c r="B12" s="107"/>
      <c r="C12" s="90" t="s">
        <v>63</v>
      </c>
      <c r="D12" s="90" t="s">
        <v>64</v>
      </c>
      <c r="E12" s="90" t="s">
        <v>54</v>
      </c>
      <c r="F12" s="90"/>
      <c r="G12" s="90" t="s">
        <v>65</v>
      </c>
      <c r="H12" s="91">
        <v>62.725272667696487</v>
      </c>
      <c r="I12" s="91">
        <v>0</v>
      </c>
      <c r="J12" s="108"/>
      <c r="K12" s="97"/>
    </row>
    <row r="13" spans="1:11" ht="16.5" x14ac:dyDescent="0.25">
      <c r="A13" s="96"/>
      <c r="B13" s="107"/>
      <c r="C13" s="90" t="s">
        <v>66</v>
      </c>
      <c r="D13" s="90"/>
      <c r="E13" s="90"/>
      <c r="F13" s="92" t="s">
        <v>66</v>
      </c>
      <c r="G13" s="90"/>
      <c r="H13" s="91">
        <v>27.149744886017881</v>
      </c>
      <c r="I13" s="91">
        <v>0</v>
      </c>
      <c r="J13" s="108"/>
      <c r="K13" s="97"/>
    </row>
    <row r="14" spans="1:11" ht="16.5" x14ac:dyDescent="0.25">
      <c r="A14" s="96"/>
      <c r="B14" s="107"/>
      <c r="C14" s="98"/>
      <c r="D14" s="98"/>
      <c r="E14" s="98"/>
      <c r="F14" s="100"/>
      <c r="G14" s="100" t="s">
        <v>54</v>
      </c>
      <c r="H14" s="99"/>
      <c r="I14" s="99"/>
      <c r="J14" s="108"/>
      <c r="K14" s="97"/>
    </row>
    <row r="15" spans="1:11" ht="16.5" x14ac:dyDescent="0.25">
      <c r="A15" s="96"/>
      <c r="B15" s="107"/>
      <c r="C15" s="98"/>
      <c r="D15" s="98"/>
      <c r="E15" s="98"/>
      <c r="F15" s="86" t="s">
        <v>34</v>
      </c>
      <c r="G15" s="85"/>
      <c r="H15" s="87">
        <v>625.63378270842099</v>
      </c>
      <c r="I15" s="87">
        <v>22.450030426438236</v>
      </c>
      <c r="J15" s="108"/>
      <c r="K15" s="97"/>
    </row>
    <row r="16" spans="1:11" ht="16.5" x14ac:dyDescent="0.25">
      <c r="A16" s="96"/>
      <c r="B16" s="107"/>
      <c r="C16" s="100" t="s">
        <v>67</v>
      </c>
      <c r="D16" s="98"/>
      <c r="E16" s="98"/>
      <c r="F16" s="98"/>
      <c r="G16" s="98"/>
      <c r="H16" s="99"/>
      <c r="I16" s="99"/>
      <c r="J16" s="108"/>
      <c r="K16" s="97"/>
    </row>
    <row r="17" spans="1:11" ht="16.5" x14ac:dyDescent="0.25">
      <c r="A17" s="96"/>
      <c r="B17" s="107"/>
      <c r="C17" s="216" t="s">
        <v>68</v>
      </c>
      <c r="D17" s="216"/>
      <c r="E17" s="216"/>
      <c r="F17" s="216"/>
      <c r="G17" s="216"/>
      <c r="H17" s="217"/>
      <c r="I17" s="217"/>
      <c r="J17" s="108"/>
      <c r="K17" s="97"/>
    </row>
    <row r="18" spans="1:11" ht="16.5" x14ac:dyDescent="0.25">
      <c r="A18" s="96"/>
      <c r="B18" s="107"/>
      <c r="C18" s="216" t="s">
        <v>69</v>
      </c>
      <c r="D18" s="216"/>
      <c r="E18" s="216"/>
      <c r="F18" s="216"/>
      <c r="G18" s="216"/>
      <c r="H18" s="217"/>
      <c r="I18" s="217"/>
      <c r="J18" s="108"/>
      <c r="K18" s="97"/>
    </row>
    <row r="19" spans="1:11" x14ac:dyDescent="0.25">
      <c r="A19" s="96"/>
      <c r="B19" s="109"/>
      <c r="C19" s="110"/>
      <c r="D19" s="110"/>
      <c r="E19" s="110"/>
      <c r="F19" s="110"/>
      <c r="G19" s="110"/>
      <c r="H19" s="110"/>
      <c r="I19" s="110"/>
      <c r="J19" s="111"/>
      <c r="K19" s="97"/>
    </row>
    <row r="20" spans="1:11" ht="15.75" thickBot="1" x14ac:dyDescent="0.3">
      <c r="A20" s="101"/>
      <c r="B20" s="102"/>
      <c r="C20" s="102"/>
      <c r="D20" s="102"/>
      <c r="E20" s="102"/>
      <c r="F20" s="102"/>
      <c r="G20" s="102"/>
      <c r="H20" s="102"/>
      <c r="I20" s="102"/>
      <c r="J20" s="102"/>
      <c r="K20" s="103"/>
    </row>
    <row r="21" spans="1:11" ht="15.75" thickBot="1" x14ac:dyDescent="0.3"/>
    <row r="22" spans="1:11" x14ac:dyDescent="0.25">
      <c r="A22" s="112" t="s">
        <v>92</v>
      </c>
      <c r="B22" s="47"/>
      <c r="C22" s="47"/>
      <c r="D22" s="47"/>
      <c r="E22" s="47"/>
      <c r="F22" s="47"/>
      <c r="G22" s="47"/>
      <c r="H22" s="47"/>
      <c r="I22" s="47"/>
      <c r="J22" s="47"/>
      <c r="K22" s="113"/>
    </row>
    <row r="23" spans="1:11" x14ac:dyDescent="0.25">
      <c r="A23" s="114"/>
      <c r="B23" s="104"/>
      <c r="C23" s="105"/>
      <c r="D23" s="105"/>
      <c r="E23" s="105"/>
      <c r="F23" s="105"/>
      <c r="G23" s="105"/>
      <c r="H23" s="105"/>
      <c r="I23" s="105"/>
      <c r="J23" s="106"/>
      <c r="K23" s="115"/>
    </row>
    <row r="24" spans="1:11" ht="20.25" x14ac:dyDescent="0.25">
      <c r="A24" s="114"/>
      <c r="B24" s="107"/>
      <c r="C24" s="213" t="s">
        <v>43</v>
      </c>
      <c r="D24" s="214"/>
      <c r="E24" s="214"/>
      <c r="F24" s="98"/>
      <c r="G24" s="98"/>
      <c r="H24" s="99"/>
      <c r="I24" s="99"/>
      <c r="J24" s="108"/>
      <c r="K24" s="115"/>
    </row>
    <row r="25" spans="1:11" ht="17.25" x14ac:dyDescent="0.25">
      <c r="A25" s="114"/>
      <c r="B25" s="107"/>
      <c r="C25" s="215" t="s">
        <v>44</v>
      </c>
      <c r="D25" s="214"/>
      <c r="E25" s="214"/>
      <c r="F25" s="98"/>
      <c r="G25" s="98"/>
      <c r="H25" s="99"/>
      <c r="I25" s="99"/>
      <c r="J25" s="108"/>
      <c r="K25" s="115"/>
    </row>
    <row r="26" spans="1:11" ht="33" x14ac:dyDescent="0.25">
      <c r="A26" s="114"/>
      <c r="B26" s="107"/>
      <c r="C26" s="88" t="s">
        <v>45</v>
      </c>
      <c r="D26" s="88" t="s">
        <v>46</v>
      </c>
      <c r="E26" s="88" t="s">
        <v>47</v>
      </c>
      <c r="F26" s="88" t="s">
        <v>48</v>
      </c>
      <c r="G26" s="88" t="s">
        <v>49</v>
      </c>
      <c r="H26" s="89" t="s">
        <v>50</v>
      </c>
      <c r="I26" s="89" t="s">
        <v>51</v>
      </c>
      <c r="J26" s="108"/>
      <c r="K26" s="115"/>
    </row>
    <row r="27" spans="1:11" ht="33" customHeight="1" x14ac:dyDescent="0.25">
      <c r="A27" s="114"/>
      <c r="B27" s="107"/>
      <c r="C27" s="90" t="s">
        <v>52</v>
      </c>
      <c r="D27" s="90" t="s">
        <v>53</v>
      </c>
      <c r="E27" s="90" t="s">
        <v>54</v>
      </c>
      <c r="F27" s="90" t="s">
        <v>55</v>
      </c>
      <c r="G27" s="90" t="s">
        <v>73</v>
      </c>
      <c r="H27" s="91">
        <v>295.99745354116931</v>
      </c>
      <c r="I27" s="91">
        <v>0</v>
      </c>
      <c r="J27" s="108"/>
      <c r="K27" s="115"/>
    </row>
    <row r="28" spans="1:11" ht="33" customHeight="1" x14ac:dyDescent="0.25">
      <c r="A28" s="114"/>
      <c r="B28" s="107"/>
      <c r="C28" s="90" t="s">
        <v>57</v>
      </c>
      <c r="D28" s="90" t="s">
        <v>58</v>
      </c>
      <c r="E28" s="90" t="s">
        <v>54</v>
      </c>
      <c r="F28" s="90" t="s">
        <v>55</v>
      </c>
      <c r="G28" s="90" t="s">
        <v>74</v>
      </c>
      <c r="H28" s="91">
        <v>158.35416374104761</v>
      </c>
      <c r="I28" s="91">
        <v>0</v>
      </c>
      <c r="J28" s="108"/>
      <c r="K28" s="115"/>
    </row>
    <row r="29" spans="1:11" ht="33" customHeight="1" x14ac:dyDescent="0.25">
      <c r="A29" s="114"/>
      <c r="B29" s="107"/>
      <c r="C29" s="90" t="s">
        <v>60</v>
      </c>
      <c r="D29" s="90" t="s">
        <v>61</v>
      </c>
      <c r="E29" s="90" t="s">
        <v>54</v>
      </c>
      <c r="F29" s="90" t="s">
        <v>55</v>
      </c>
      <c r="G29" s="90" t="s">
        <v>75</v>
      </c>
      <c r="H29" s="91">
        <v>157.87108552169639</v>
      </c>
      <c r="I29" s="91">
        <v>22.450030426438236</v>
      </c>
      <c r="J29" s="108"/>
      <c r="K29" s="115"/>
    </row>
    <row r="30" spans="1:11" ht="33" customHeight="1" x14ac:dyDescent="0.25">
      <c r="A30" s="114"/>
      <c r="B30" s="107"/>
      <c r="C30" s="90" t="s">
        <v>76</v>
      </c>
      <c r="D30" s="90" t="s">
        <v>77</v>
      </c>
      <c r="E30" s="90" t="s">
        <v>54</v>
      </c>
      <c r="F30" s="90" t="s">
        <v>55</v>
      </c>
      <c r="G30" s="90" t="s">
        <v>78</v>
      </c>
      <c r="H30" s="91">
        <v>176.88526892290406</v>
      </c>
      <c r="I30" s="91">
        <v>0</v>
      </c>
      <c r="J30" s="108"/>
      <c r="K30" s="115"/>
    </row>
    <row r="31" spans="1:11" ht="33" customHeight="1" x14ac:dyDescent="0.25">
      <c r="A31" s="114"/>
      <c r="B31" s="107"/>
      <c r="C31" s="90" t="s">
        <v>79</v>
      </c>
      <c r="D31" s="90" t="s">
        <v>80</v>
      </c>
      <c r="E31" s="90" t="s">
        <v>54</v>
      </c>
      <c r="F31" s="90" t="s">
        <v>55</v>
      </c>
      <c r="G31" s="90" t="s">
        <v>81</v>
      </c>
      <c r="H31" s="91">
        <v>121.70575293732153</v>
      </c>
      <c r="I31" s="91">
        <v>0</v>
      </c>
      <c r="J31" s="108"/>
      <c r="K31" s="115"/>
    </row>
    <row r="32" spans="1:11" ht="33" customHeight="1" x14ac:dyDescent="0.25">
      <c r="A32" s="114"/>
      <c r="B32" s="107"/>
      <c r="C32" s="90" t="s">
        <v>79</v>
      </c>
      <c r="D32" s="90" t="s">
        <v>82</v>
      </c>
      <c r="E32" s="90" t="s">
        <v>54</v>
      </c>
      <c r="F32" s="90" t="s">
        <v>55</v>
      </c>
      <c r="G32" s="90" t="s">
        <v>83</v>
      </c>
      <c r="H32" s="91">
        <v>329.35598932734166</v>
      </c>
      <c r="I32" s="91">
        <v>0</v>
      </c>
      <c r="J32" s="108"/>
      <c r="K32" s="115"/>
    </row>
    <row r="33" spans="1:11" ht="33" customHeight="1" x14ac:dyDescent="0.25">
      <c r="A33" s="114"/>
      <c r="B33" s="107"/>
      <c r="C33" s="90" t="s">
        <v>84</v>
      </c>
      <c r="D33" s="90" t="s">
        <v>85</v>
      </c>
      <c r="E33" s="90" t="s">
        <v>54</v>
      </c>
      <c r="F33" s="90" t="s">
        <v>55</v>
      </c>
      <c r="G33" s="90" t="s">
        <v>86</v>
      </c>
      <c r="H33" s="91">
        <v>0</v>
      </c>
      <c r="I33" s="91">
        <v>0</v>
      </c>
      <c r="J33" s="108"/>
      <c r="K33" s="115"/>
    </row>
    <row r="34" spans="1:11" ht="33" customHeight="1" x14ac:dyDescent="0.25">
      <c r="A34" s="114"/>
      <c r="B34" s="107"/>
      <c r="C34" s="90" t="s">
        <v>87</v>
      </c>
      <c r="D34" s="90" t="s">
        <v>88</v>
      </c>
      <c r="E34" s="90" t="s">
        <v>54</v>
      </c>
      <c r="F34" s="90" t="s">
        <v>55</v>
      </c>
      <c r="G34" s="90" t="s">
        <v>89</v>
      </c>
      <c r="H34" s="91">
        <v>0</v>
      </c>
      <c r="I34" s="91">
        <v>0</v>
      </c>
      <c r="J34" s="108"/>
      <c r="K34" s="115"/>
    </row>
    <row r="35" spans="1:11" ht="33" customHeight="1" x14ac:dyDescent="0.25">
      <c r="A35" s="114"/>
      <c r="B35" s="107"/>
      <c r="C35" s="90" t="s">
        <v>63</v>
      </c>
      <c r="D35" s="90" t="s">
        <v>64</v>
      </c>
      <c r="E35" s="90" t="s">
        <v>54</v>
      </c>
      <c r="F35" s="90"/>
      <c r="G35" s="90" t="s">
        <v>90</v>
      </c>
      <c r="H35" s="91">
        <v>54.299489772035763</v>
      </c>
      <c r="I35" s="91">
        <v>0</v>
      </c>
      <c r="J35" s="108"/>
      <c r="K35" s="115"/>
    </row>
    <row r="36" spans="1:11" ht="16.5" x14ac:dyDescent="0.25">
      <c r="A36" s="114"/>
      <c r="B36" s="107"/>
      <c r="C36" s="90" t="s">
        <v>66</v>
      </c>
      <c r="D36" s="90"/>
      <c r="E36" s="90"/>
      <c r="F36" s="92" t="s">
        <v>66</v>
      </c>
      <c r="G36" s="90"/>
      <c r="H36" s="91">
        <v>93.619809951785783</v>
      </c>
      <c r="I36" s="91">
        <v>0</v>
      </c>
      <c r="J36" s="108"/>
      <c r="K36" s="115"/>
    </row>
    <row r="37" spans="1:11" ht="16.5" x14ac:dyDescent="0.25">
      <c r="A37" s="114"/>
      <c r="B37" s="107"/>
      <c r="C37" s="98"/>
      <c r="D37" s="98"/>
      <c r="E37" s="98"/>
      <c r="F37" s="100"/>
      <c r="G37" s="100" t="s">
        <v>54</v>
      </c>
      <c r="H37" s="99"/>
      <c r="I37" s="99"/>
      <c r="J37" s="108"/>
      <c r="K37" s="115"/>
    </row>
    <row r="38" spans="1:11" ht="16.5" x14ac:dyDescent="0.25">
      <c r="A38" s="114"/>
      <c r="B38" s="107"/>
      <c r="C38" s="98"/>
      <c r="D38" s="98"/>
      <c r="E38" s="98"/>
      <c r="F38" s="86" t="s">
        <v>34</v>
      </c>
      <c r="G38" s="85"/>
      <c r="H38" s="87">
        <v>1388.0890137153019</v>
      </c>
      <c r="I38" s="87">
        <v>22.450030426438236</v>
      </c>
      <c r="J38" s="108"/>
      <c r="K38" s="115"/>
    </row>
    <row r="39" spans="1:11" ht="16.5" x14ac:dyDescent="0.25">
      <c r="A39" s="114"/>
      <c r="B39" s="107"/>
      <c r="C39" s="100" t="s">
        <v>67</v>
      </c>
      <c r="D39" s="98"/>
      <c r="E39" s="98"/>
      <c r="F39" s="98"/>
      <c r="G39" s="98"/>
      <c r="H39" s="99"/>
      <c r="I39" s="99"/>
      <c r="J39" s="108"/>
      <c r="K39" s="115"/>
    </row>
    <row r="40" spans="1:11" ht="16.5" x14ac:dyDescent="0.25">
      <c r="A40" s="114"/>
      <c r="B40" s="107"/>
      <c r="C40" s="216" t="s">
        <v>68</v>
      </c>
      <c r="D40" s="216"/>
      <c r="E40" s="216"/>
      <c r="F40" s="216"/>
      <c r="G40" s="216"/>
      <c r="H40" s="217"/>
      <c r="I40" s="217"/>
      <c r="J40" s="108"/>
      <c r="K40" s="115"/>
    </row>
    <row r="41" spans="1:11" ht="16.5" x14ac:dyDescent="0.25">
      <c r="A41" s="114"/>
      <c r="B41" s="107"/>
      <c r="C41" s="216" t="s">
        <v>91</v>
      </c>
      <c r="D41" s="216"/>
      <c r="E41" s="216"/>
      <c r="F41" s="216"/>
      <c r="G41" s="216"/>
      <c r="H41" s="217"/>
      <c r="I41" s="217"/>
      <c r="J41" s="108"/>
      <c r="K41" s="115"/>
    </row>
    <row r="42" spans="1:11" x14ac:dyDescent="0.25">
      <c r="A42" s="114"/>
      <c r="B42" s="109"/>
      <c r="C42" s="110"/>
      <c r="D42" s="110"/>
      <c r="E42" s="110"/>
      <c r="F42" s="110"/>
      <c r="G42" s="110"/>
      <c r="H42" s="110"/>
      <c r="I42" s="110"/>
      <c r="J42" s="111"/>
      <c r="K42" s="115"/>
    </row>
    <row r="43" spans="1:11" ht="15.75" thickBot="1" x14ac:dyDescent="0.3">
      <c r="A43" s="116"/>
      <c r="B43" s="117"/>
      <c r="C43" s="117"/>
      <c r="D43" s="117"/>
      <c r="E43" s="117"/>
      <c r="F43" s="117"/>
      <c r="G43" s="117"/>
      <c r="H43" s="117"/>
      <c r="I43" s="117"/>
      <c r="J43" s="117"/>
      <c r="K43" s="118"/>
    </row>
  </sheetData>
  <mergeCells count="8">
    <mergeCell ref="C24:E24"/>
    <mergeCell ref="C25:E25"/>
    <mergeCell ref="C40:I40"/>
    <mergeCell ref="C41:I41"/>
    <mergeCell ref="C6:E6"/>
    <mergeCell ref="C7:E7"/>
    <mergeCell ref="C17:I17"/>
    <mergeCell ref="C18:I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2BECB-EDDD-4481-BA3C-CB3FE7889A21}">
  <dimension ref="A1:I9"/>
  <sheetViews>
    <sheetView zoomScaleNormal="100" workbookViewId="0"/>
  </sheetViews>
  <sheetFormatPr baseColWidth="10" defaultRowHeight="15" x14ac:dyDescent="0.25"/>
  <cols>
    <col min="1" max="1" width="39.42578125" bestFit="1" customWidth="1"/>
    <col min="2" max="2" width="15.28515625" bestFit="1" customWidth="1"/>
    <col min="3" max="3" width="16.5703125" bestFit="1" customWidth="1"/>
    <col min="4" max="5" width="16.42578125" bestFit="1" customWidth="1"/>
  </cols>
  <sheetData>
    <row r="1" spans="1:9" s="1" customFormat="1" ht="31.5" x14ac:dyDescent="0.25">
      <c r="A1" s="93" t="s">
        <v>105</v>
      </c>
      <c r="I1" s="2"/>
    </row>
    <row r="2" spans="1:9" ht="15.75" thickBot="1" x14ac:dyDescent="0.3"/>
    <row r="3" spans="1:9" ht="15.75" thickBot="1" x14ac:dyDescent="0.3">
      <c r="A3" s="178" t="s">
        <v>107</v>
      </c>
      <c r="B3" s="179"/>
      <c r="C3" s="179"/>
      <c r="D3" s="179"/>
      <c r="E3" s="180"/>
    </row>
    <row r="4" spans="1:9" x14ac:dyDescent="0.25">
      <c r="A4" s="173" t="s">
        <v>101</v>
      </c>
      <c r="B4" s="184" t="s">
        <v>102</v>
      </c>
      <c r="C4" s="184" t="s">
        <v>117</v>
      </c>
      <c r="D4" s="184" t="s">
        <v>104</v>
      </c>
      <c r="E4" s="174" t="s">
        <v>103</v>
      </c>
    </row>
    <row r="5" spans="1:9" x14ac:dyDescent="0.25">
      <c r="A5" s="173" t="s">
        <v>94</v>
      </c>
      <c r="B5" s="181">
        <v>500</v>
      </c>
      <c r="C5" s="181">
        <v>1500</v>
      </c>
      <c r="D5" s="181">
        <v>4000</v>
      </c>
      <c r="E5" s="175">
        <v>2500</v>
      </c>
    </row>
    <row r="6" spans="1:9" x14ac:dyDescent="0.25">
      <c r="A6" s="173" t="s">
        <v>97</v>
      </c>
      <c r="B6" s="182">
        <v>0.1</v>
      </c>
      <c r="C6" s="182">
        <v>0.15</v>
      </c>
      <c r="D6" s="182">
        <v>0.2</v>
      </c>
      <c r="E6" s="176">
        <v>0.15</v>
      </c>
    </row>
    <row r="7" spans="1:9" x14ac:dyDescent="0.25">
      <c r="A7" s="173" t="s">
        <v>99</v>
      </c>
      <c r="B7" s="181">
        <f>B6*B5</f>
        <v>50</v>
      </c>
      <c r="C7" s="181">
        <f t="shared" ref="C7:E7" si="0">C6*C5</f>
        <v>225</v>
      </c>
      <c r="D7" s="181">
        <f t="shared" si="0"/>
        <v>800</v>
      </c>
      <c r="E7" s="175">
        <f t="shared" si="0"/>
        <v>375</v>
      </c>
    </row>
    <row r="8" spans="1:9" ht="15.75" thickBot="1" x14ac:dyDescent="0.3">
      <c r="A8" s="173" t="s">
        <v>98</v>
      </c>
      <c r="B8" s="183">
        <v>50</v>
      </c>
      <c r="C8" s="183">
        <v>50</v>
      </c>
      <c r="D8" s="183">
        <v>50</v>
      </c>
      <c r="E8" s="177">
        <v>50</v>
      </c>
    </row>
    <row r="9" spans="1:9" ht="15.75" thickBot="1" x14ac:dyDescent="0.3">
      <c r="A9" s="185" t="s">
        <v>100</v>
      </c>
      <c r="B9" s="186">
        <f>B8*B7</f>
        <v>2500</v>
      </c>
      <c r="C9" s="186">
        <f t="shared" ref="C9:E9" si="1">C8*C7</f>
        <v>11250</v>
      </c>
      <c r="D9" s="186">
        <f t="shared" si="1"/>
        <v>40000</v>
      </c>
      <c r="E9" s="187">
        <f t="shared" si="1"/>
        <v>18750</v>
      </c>
    </row>
  </sheetData>
  <conditionalFormatting sqref="A4:E8">
    <cfRule type="expression" dxfId="0" priority="1">
      <formula>MOD(ROW(),2)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0FE9-9B54-4AA6-9247-CE19E1140FCF}">
  <dimension ref="A1:Y20"/>
  <sheetViews>
    <sheetView zoomScaleNormal="100" workbookViewId="0">
      <pane xSplit="1" topLeftCell="B1" activePane="topRight" state="frozen"/>
      <selection pane="topRight"/>
    </sheetView>
  </sheetViews>
  <sheetFormatPr baseColWidth="10" defaultRowHeight="15" x14ac:dyDescent="0.25"/>
  <cols>
    <col min="1" max="1" width="37.5703125" customWidth="1"/>
    <col min="2" max="13" width="12.7109375" customWidth="1"/>
  </cols>
  <sheetData>
    <row r="1" spans="1:25" s="1" customFormat="1" ht="31.5" x14ac:dyDescent="0.25">
      <c r="A1" s="93" t="s">
        <v>108</v>
      </c>
      <c r="K1" s="2"/>
    </row>
    <row r="3" spans="1:25" ht="24.75" thickBot="1" x14ac:dyDescent="0.45">
      <c r="B3" s="218" t="s">
        <v>122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 t="s">
        <v>121</v>
      </c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</row>
    <row r="4" spans="1:25" ht="15.75" thickBot="1" x14ac:dyDescent="0.3">
      <c r="A4" s="132" t="s">
        <v>95</v>
      </c>
      <c r="B4" s="133">
        <v>1</v>
      </c>
      <c r="C4" s="134">
        <v>2</v>
      </c>
      <c r="D4" s="134">
        <v>3</v>
      </c>
      <c r="E4" s="134">
        <v>4</v>
      </c>
      <c r="F4" s="134">
        <v>5</v>
      </c>
      <c r="G4" s="134">
        <v>6</v>
      </c>
      <c r="H4" s="134">
        <v>7</v>
      </c>
      <c r="I4" s="134">
        <v>8</v>
      </c>
      <c r="J4" s="134">
        <v>9</v>
      </c>
      <c r="K4" s="134">
        <v>10</v>
      </c>
      <c r="L4" s="134">
        <v>11</v>
      </c>
      <c r="M4" s="135">
        <v>12</v>
      </c>
      <c r="N4" s="133">
        <v>13</v>
      </c>
      <c r="O4" s="134">
        <v>14</v>
      </c>
      <c r="P4" s="134">
        <v>15</v>
      </c>
      <c r="Q4" s="134">
        <v>16</v>
      </c>
      <c r="R4" s="134">
        <v>17</v>
      </c>
      <c r="S4" s="134">
        <v>18</v>
      </c>
      <c r="T4" s="134">
        <v>19</v>
      </c>
      <c r="U4" s="134">
        <v>20</v>
      </c>
      <c r="V4" s="134">
        <v>21</v>
      </c>
      <c r="W4" s="134">
        <v>22</v>
      </c>
      <c r="X4" s="134">
        <v>23</v>
      </c>
      <c r="Y4" s="135">
        <v>24</v>
      </c>
    </row>
    <row r="5" spans="1:25" ht="5.0999999999999996" customHeight="1" thickBot="1" x14ac:dyDescent="0.3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</row>
    <row r="6" spans="1:25" x14ac:dyDescent="0.25">
      <c r="A6" s="137" t="s">
        <v>112</v>
      </c>
      <c r="B6" s="138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66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9"/>
    </row>
    <row r="7" spans="1:25" x14ac:dyDescent="0.25">
      <c r="A7" s="140" t="s">
        <v>114</v>
      </c>
      <c r="B7" s="141"/>
      <c r="C7" s="142"/>
      <c r="D7" s="142"/>
      <c r="E7" s="142"/>
      <c r="F7" s="142" t="s">
        <v>102</v>
      </c>
      <c r="G7" s="142" t="s">
        <v>117</v>
      </c>
      <c r="H7" s="142" t="s">
        <v>117</v>
      </c>
      <c r="I7" s="142" t="s">
        <v>104</v>
      </c>
      <c r="J7" s="142" t="s">
        <v>104</v>
      </c>
      <c r="K7" s="141" t="s">
        <v>103</v>
      </c>
      <c r="L7" s="142" t="s">
        <v>103</v>
      </c>
      <c r="M7" s="142" t="s">
        <v>103</v>
      </c>
      <c r="N7" s="142" t="s">
        <v>103</v>
      </c>
      <c r="O7" s="142" t="s">
        <v>103</v>
      </c>
      <c r="P7" s="142" t="s">
        <v>103</v>
      </c>
      <c r="Q7" s="142" t="s">
        <v>103</v>
      </c>
      <c r="R7" s="142" t="s">
        <v>103</v>
      </c>
      <c r="S7" s="142" t="s">
        <v>103</v>
      </c>
      <c r="T7" s="142" t="s">
        <v>103</v>
      </c>
      <c r="U7" s="142" t="s">
        <v>103</v>
      </c>
      <c r="V7" s="142" t="s">
        <v>103</v>
      </c>
      <c r="W7" s="142" t="s">
        <v>103</v>
      </c>
      <c r="X7" s="142" t="s">
        <v>103</v>
      </c>
      <c r="Y7" s="165" t="s">
        <v>103</v>
      </c>
    </row>
    <row r="8" spans="1:25" x14ac:dyDescent="0.25">
      <c r="A8" s="143" t="s">
        <v>107</v>
      </c>
      <c r="B8" s="144" t="str">
        <f>IF(B7&lt;&gt;"",
IF(B7="Lancement",Recettes!$B$9) +
IF(B7="Croissance",Recettes!$C$9) +
IF(B7="Euphorie",Recettes!$D$9) +
IF(B7="Croisière",Recettes!$E$9),
"")</f>
        <v/>
      </c>
      <c r="C8" s="144" t="str">
        <f>IF(C7&lt;&gt;"",
IF(C7="Lancement",Recettes!$B$9) +
IF(C7="Croissance",Recettes!$C$9) +
IF(C7="Euphorie",Recettes!$D$9) +
IF(C7="Croisière",Recettes!$E$9),
"")</f>
        <v/>
      </c>
      <c r="D8" s="144" t="str">
        <f>IF(D7&lt;&gt;"",
IF(D7="Lancement",Recettes!$B$9) +
IF(D7="Croissance",Recettes!$C$9) +
IF(D7="Euphorie",Recettes!$D$9) +
IF(D7="Croisière",Recettes!$E$9),
"")</f>
        <v/>
      </c>
      <c r="E8" s="144" t="str">
        <f>IF(E7&lt;&gt;"",
IF(E7="Lancement",Recettes!$B$9) +
IF(E7="Croissance",Recettes!$C$9) +
IF(E7="Euphorie",Recettes!$D$9) +
IF(E7="Croisière",Recettes!$E$9),
"")</f>
        <v/>
      </c>
      <c r="F8" s="144">
        <f>IF(F7&lt;&gt;"",
IF(F7="Lancement",Recettes!$B$9) +
IF(F7="Croissance",Recettes!$C$9) +
IF(F7="Euphorie",Recettes!$D$9) +
IF(F7="Croisière",Recettes!$E$9),
"")</f>
        <v>2500</v>
      </c>
      <c r="G8" s="144">
        <f>IF(G7&lt;&gt;"",
IF(G7="Lancement",Recettes!$B$9) +
IF(G7="Croissance",Recettes!$C$9) +
IF(G7="Euphorie",Recettes!$D$9) +
IF(G7="Croisière",Recettes!$E$9),
"")</f>
        <v>11250</v>
      </c>
      <c r="H8" s="144">
        <f>IF(H7&lt;&gt;"",
IF(H7="Lancement",Recettes!$B$9) +
IF(H7="Croissance",Recettes!$C$9) +
IF(H7="Euphorie",Recettes!$D$9) +
IF(H7="Croisière",Recettes!$E$9),
"")</f>
        <v>11250</v>
      </c>
      <c r="I8" s="144">
        <f>IF(I7&lt;&gt;"",
IF(I7="Lancement",Recettes!$B$9) +
IF(I7="Croissance",Recettes!$C$9) +
IF(I7="Euphorie",Recettes!$D$9) +
IF(I7="Croisière",Recettes!$E$9),
"")</f>
        <v>40000</v>
      </c>
      <c r="J8" s="144">
        <f>IF(J7&lt;&gt;"",
IF(J7="Lancement",Recettes!$B$9) +
IF(J7="Croissance",Recettes!$C$9) +
IF(J7="Euphorie",Recettes!$D$9) +
IF(J7="Croisière",Recettes!$E$9),
"")</f>
        <v>40000</v>
      </c>
      <c r="K8" s="144">
        <f>IF(K7&lt;&gt;"",
IF(K7="Lancement",Recettes!$B$9) +
IF(K7="Croissance",Recettes!$C$9) +
IF(K7="Euphorie",Recettes!$D$9) +
IF(K7="Croisière",Recettes!$E$9),
"")</f>
        <v>18750</v>
      </c>
      <c r="L8" s="144">
        <f>IF(L7&lt;&gt;"",
IF(L7="Lancement",Recettes!$B$9) +
IF(L7="Croissance",Recettes!$C$9) +
IF(L7="Euphorie",Recettes!$D$9) +
IF(L7="Croisière",Recettes!$E$9),
"")</f>
        <v>18750</v>
      </c>
      <c r="M8" s="144">
        <f>IF(M7&lt;&gt;"",
IF(M7="Lancement",Recettes!$B$9) +
IF(M7="Croissance",Recettes!$C$9) +
IF(M7="Euphorie",Recettes!$D$9) +
IF(M7="Croisière",Recettes!$E$9),
"")</f>
        <v>18750</v>
      </c>
      <c r="N8" s="144">
        <f>IF(N7&lt;&gt;"",
IF(N7="Lancement",Recettes!$B$9) +
IF(N7="Croissance",Recettes!$C$9) +
IF(N7="Euphorie",Recettes!$D$9) +
IF(N7="Croisière",Recettes!$E$9),
"")</f>
        <v>18750</v>
      </c>
      <c r="O8" s="144">
        <f>IF(O7&lt;&gt;"",
IF(O7="Lancement",Recettes!$B$9) +
IF(O7="Croissance",Recettes!$C$9) +
IF(O7="Euphorie",Recettes!$D$9) +
IF(O7="Croisière",Recettes!$E$9),
"")</f>
        <v>18750</v>
      </c>
      <c r="P8" s="144">
        <f>IF(P7&lt;&gt;"",
IF(P7="Lancement",Recettes!$B$9) +
IF(P7="Croissance",Recettes!$C$9) +
IF(P7="Euphorie",Recettes!$D$9) +
IF(P7="Croisière",Recettes!$E$9),
"")</f>
        <v>18750</v>
      </c>
      <c r="Q8" s="144">
        <f>IF(Q7&lt;&gt;"",
IF(Q7="Lancement",Recettes!$B$9) +
IF(Q7="Croissance",Recettes!$C$9) +
IF(Q7="Euphorie",Recettes!$D$9) +
IF(Q7="Croisière",Recettes!$E$9),
"")</f>
        <v>18750</v>
      </c>
      <c r="R8" s="144">
        <f>IF(R7&lt;&gt;"",
IF(R7="Lancement",Recettes!$B$9) +
IF(R7="Croissance",Recettes!$C$9) +
IF(R7="Euphorie",Recettes!$D$9) +
IF(R7="Croisière",Recettes!$E$9),
"")</f>
        <v>18750</v>
      </c>
      <c r="S8" s="144">
        <f>IF(S7&lt;&gt;"",
IF(S7="Lancement",Recettes!$B$9) +
IF(S7="Croissance",Recettes!$C$9) +
IF(S7="Euphorie",Recettes!$D$9) +
IF(S7="Croisière",Recettes!$E$9),
"")</f>
        <v>18750</v>
      </c>
      <c r="T8" s="144">
        <f>IF(T7&lt;&gt;"",
IF(T7="Lancement",Recettes!$B$9) +
IF(T7="Croissance",Recettes!$C$9) +
IF(T7="Euphorie",Recettes!$D$9) +
IF(T7="Croisière",Recettes!$E$9),
"")</f>
        <v>18750</v>
      </c>
      <c r="U8" s="144">
        <f>IF(U7&lt;&gt;"",
IF(U7="Lancement",Recettes!$B$9) +
IF(U7="Croissance",Recettes!$C$9) +
IF(U7="Euphorie",Recettes!$D$9) +
IF(U7="Croisière",Recettes!$E$9),
"")</f>
        <v>18750</v>
      </c>
      <c r="V8" s="144">
        <f>IF(V7&lt;&gt;"",
IF(V7="Lancement",Recettes!$B$9) +
IF(V7="Croissance",Recettes!$C$9) +
IF(V7="Euphorie",Recettes!$D$9) +
IF(V7="Croisière",Recettes!$E$9),
"")</f>
        <v>18750</v>
      </c>
      <c r="W8" s="144">
        <f>IF(W7&lt;&gt;"",
IF(W7="Lancement",Recettes!$B$9) +
IF(W7="Croissance",Recettes!$C$9) +
IF(W7="Euphorie",Recettes!$D$9) +
IF(W7="Croisière",Recettes!$E$9),
"")</f>
        <v>18750</v>
      </c>
      <c r="X8" s="144">
        <f>IF(X7&lt;&gt;"",
IF(X7="Lancement",Recettes!$B$9) +
IF(X7="Croissance",Recettes!$C$9) +
IF(X7="Euphorie",Recettes!$D$9) +
IF(X7="Croisière",Recettes!$E$9),
"")</f>
        <v>18750</v>
      </c>
      <c r="Y8" s="144">
        <f>IF(Y7&lt;&gt;"",
IF(Y7="Lancement",Recettes!$B$9) +
IF(Y7="Croissance",Recettes!$C$9) +
IF(Y7="Euphorie",Recettes!$D$9) +
IF(Y7="Croisière",Recettes!$E$9),
"")</f>
        <v>18750</v>
      </c>
    </row>
    <row r="9" spans="1:25" ht="15.75" thickBot="1" x14ac:dyDescent="0.3">
      <c r="A9" s="145" t="s">
        <v>118</v>
      </c>
      <c r="B9" s="146" t="str">
        <f>IF(B7&lt;&gt;"",SUM($B$8:B8),"")</f>
        <v/>
      </c>
      <c r="C9" s="146" t="str">
        <f>IF(C7&lt;&gt;"",SUM($B$8:C8),"")</f>
        <v/>
      </c>
      <c r="D9" s="146" t="str">
        <f>IF(D7&lt;&gt;"",SUM($B$8:D8),"")</f>
        <v/>
      </c>
      <c r="E9" s="146" t="str">
        <f>IF(E7&lt;&gt;"",SUM($B$8:E8),"")</f>
        <v/>
      </c>
      <c r="F9" s="146">
        <f>IF(F7&lt;&gt;"",SUM($B$8:F8),"")</f>
        <v>2500</v>
      </c>
      <c r="G9" s="146">
        <f>IF(G7&lt;&gt;"",SUM($B$8:G8),"")</f>
        <v>13750</v>
      </c>
      <c r="H9" s="146">
        <f>IF(H7&lt;&gt;"",SUM($B$8:H8),"")</f>
        <v>25000</v>
      </c>
      <c r="I9" s="146">
        <f>IF(I7&lt;&gt;"",SUM($B$8:I8),"")</f>
        <v>65000</v>
      </c>
      <c r="J9" s="146">
        <f>IF(J7&lt;&gt;"",SUM($B$8:J8),"")</f>
        <v>105000</v>
      </c>
      <c r="K9" s="146">
        <f>IF(K7&lt;&gt;"",SUM($B$8:K8),"")</f>
        <v>123750</v>
      </c>
      <c r="L9" s="146">
        <f>IF(L7&lt;&gt;"",SUM($B$8:L8),"")</f>
        <v>142500</v>
      </c>
      <c r="M9" s="146">
        <f>IF(M7&lt;&gt;"",SUM($B$8:M8),"")</f>
        <v>161250</v>
      </c>
      <c r="N9" s="146">
        <f>IF(N7&lt;&gt;"",SUM($B$8:N8),"")</f>
        <v>180000</v>
      </c>
      <c r="O9" s="146">
        <f>IF(O7&lt;&gt;"",SUM($B$8:O8),"")</f>
        <v>198750</v>
      </c>
      <c r="P9" s="146">
        <f>IF(P7&lt;&gt;"",SUM($B$8:P8),"")</f>
        <v>217500</v>
      </c>
      <c r="Q9" s="146">
        <f>IF(Q7&lt;&gt;"",SUM($B$8:Q8),"")</f>
        <v>236250</v>
      </c>
      <c r="R9" s="146">
        <f>IF(R7&lt;&gt;"",SUM($B$8:R8),"")</f>
        <v>255000</v>
      </c>
      <c r="S9" s="146">
        <f>IF(S7&lt;&gt;"",SUM($B$8:S8),"")</f>
        <v>273750</v>
      </c>
      <c r="T9" s="146">
        <f>IF(T7&lt;&gt;"",SUM($B$8:T8),"")</f>
        <v>292500</v>
      </c>
      <c r="U9" s="146">
        <f>IF(U7&lt;&gt;"",SUM($B$8:U8),"")</f>
        <v>311250</v>
      </c>
      <c r="V9" s="146">
        <f>IF(V7&lt;&gt;"",SUM($B$8:V8),"")</f>
        <v>330000</v>
      </c>
      <c r="W9" s="146">
        <f>IF(W7&lt;&gt;"",SUM($B$8:W8),"")</f>
        <v>348750</v>
      </c>
      <c r="X9" s="146">
        <f>IF(X7&lt;&gt;"",SUM($B$8:X8),"")</f>
        <v>367500</v>
      </c>
      <c r="Y9" s="146">
        <f>IF(Y7&lt;&gt;"",SUM($B$8:Y8),"")</f>
        <v>386250</v>
      </c>
    </row>
    <row r="10" spans="1:25" ht="5.0999999999999996" customHeight="1" thickBot="1" x14ac:dyDescent="0.3">
      <c r="A10" s="136"/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</row>
    <row r="11" spans="1:25" x14ac:dyDescent="0.25">
      <c r="A11" s="147" t="s">
        <v>111</v>
      </c>
      <c r="B11" s="16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67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9"/>
    </row>
    <row r="12" spans="1:25" x14ac:dyDescent="0.25">
      <c r="A12" s="150" t="s">
        <v>113</v>
      </c>
      <c r="B12" s="169" t="s">
        <v>7</v>
      </c>
      <c r="C12" s="151" t="s">
        <v>9</v>
      </c>
      <c r="D12" s="151" t="s">
        <v>9</v>
      </c>
      <c r="E12" s="151" t="s">
        <v>9</v>
      </c>
      <c r="F12" s="151" t="s">
        <v>116</v>
      </c>
      <c r="G12" s="151" t="s">
        <v>115</v>
      </c>
      <c r="H12" s="151" t="s">
        <v>115</v>
      </c>
      <c r="I12" s="151" t="s">
        <v>115</v>
      </c>
      <c r="J12" s="151" t="s">
        <v>115</v>
      </c>
      <c r="K12" s="151" t="s">
        <v>115</v>
      </c>
      <c r="L12" s="151" t="s">
        <v>115</v>
      </c>
      <c r="M12" s="151" t="s">
        <v>115</v>
      </c>
      <c r="N12" s="151" t="s">
        <v>115</v>
      </c>
      <c r="O12" s="151" t="s">
        <v>115</v>
      </c>
      <c r="P12" s="151" t="s">
        <v>115</v>
      </c>
      <c r="Q12" s="151" t="s">
        <v>115</v>
      </c>
      <c r="R12" s="151" t="s">
        <v>115</v>
      </c>
      <c r="S12" s="151" t="s">
        <v>115</v>
      </c>
      <c r="T12" s="151" t="s">
        <v>115</v>
      </c>
      <c r="U12" s="151" t="s">
        <v>115</v>
      </c>
      <c r="V12" s="151" t="s">
        <v>115</v>
      </c>
      <c r="W12" s="151" t="s">
        <v>115</v>
      </c>
      <c r="X12" s="151" t="s">
        <v>115</v>
      </c>
      <c r="Y12" s="152" t="s">
        <v>115</v>
      </c>
    </row>
    <row r="13" spans="1:25" x14ac:dyDescent="0.25">
      <c r="A13" s="150" t="s">
        <v>109</v>
      </c>
      <c r="B13" s="170">
        <f>-(IF(B12="MVP",'Dépenses RH'!$L$22/COUNTIF(PRD!$B$12:$M$12,"MVP"))+
IF(B12="Développement",'Dépenses RH'!$L$38/COUNTIF(PRD!$B$12:$M$12,"Développement"))+
IF(B12="Déploiement",'Dépenses RH'!$L$51/COUNTIF(PRD!$B$12:$M$12,"Déploiement"))+
IF(B12="Maintenance",'Dépenses RH'!$L$62))</f>
        <v>-42250</v>
      </c>
      <c r="C13" s="170">
        <f>-(IF(C12="MVP",'Dépenses RH'!$L$22/COUNTIF(PRD!$B$12:$M$12,"MVP"))+
IF(C12="Développement",'Dépenses RH'!$L$38/COUNTIF(PRD!$B$12:$M$12,"Développement"))+
IF(C12="Déploiement",'Dépenses RH'!$L$51/COUNTIF(PRD!$B$12:$M$12,"Déploiement"))+
IF(C12="Maintenance",'Dépenses RH'!$L$62))</f>
        <v>-34966.666666666664</v>
      </c>
      <c r="D13" s="170">
        <f>-(IF(D12="MVP",'Dépenses RH'!$L$22/COUNTIF(PRD!$B$12:$M$12,"MVP"))+
IF(D12="Développement",'Dépenses RH'!$L$38/COUNTIF(PRD!$B$12:$M$12,"Développement"))+
IF(D12="Déploiement",'Dépenses RH'!$L$51/COUNTIF(PRD!$B$12:$M$12,"Déploiement"))+
IF(D12="Maintenance",'Dépenses RH'!$L$62))</f>
        <v>-34966.666666666664</v>
      </c>
      <c r="E13" s="170">
        <f>-(IF(E12="MVP",'Dépenses RH'!$L$22/COUNTIF(PRD!$B$12:$M$12,"MVP"))+
IF(E12="Développement",'Dépenses RH'!$L$38/COUNTIF(PRD!$B$12:$M$12,"Développement"))+
IF(E12="Déploiement",'Dépenses RH'!$L$51/COUNTIF(PRD!$B$12:$M$12,"Déploiement"))+
IF(E12="Maintenance",'Dépenses RH'!$L$62))</f>
        <v>-34966.666666666664</v>
      </c>
      <c r="F13" s="170">
        <f>-(IF(F12="MVP",'Dépenses RH'!$L$22/COUNTIF(PRD!$B$12:$M$12,"MVP"))+
IF(F12="Développement",'Dépenses RH'!$L$38/COUNTIF(PRD!$B$12:$M$12,"Développement"))+
IF(F12="Déploiement",'Dépenses RH'!$L$51/COUNTIF(PRD!$B$12:$M$12,"Déploiement"))+
IF(F12="Maintenance",'Dépenses RH'!$L$62))</f>
        <v>-39900</v>
      </c>
      <c r="G13" s="170">
        <f>-(IF(G12="MVP",'Dépenses RH'!$L$22/COUNTIF(PRD!$B$12:$M$12,"MVP"))+
IF(G12="Développement",'Dépenses RH'!$L$38/COUNTIF(PRD!$B$12:$M$12,"Développement"))+
IF(G12="Déploiement",'Dépenses RH'!$L$51/COUNTIF(PRD!$B$12:$M$12,"Déploiement"))+
IF(G12="Maintenance",'Dépenses RH'!$L$62))</f>
        <v>-7175</v>
      </c>
      <c r="H13" s="170">
        <f>-(IF(H12="MVP",'Dépenses RH'!$L$22/COUNTIF(PRD!$B$12:$M$12,"MVP"))+
IF(H12="Développement",'Dépenses RH'!$L$38/COUNTIF(PRD!$B$12:$M$12,"Développement"))+
IF(H12="Déploiement",'Dépenses RH'!$L$51/COUNTIF(PRD!$B$12:$M$12,"Déploiement"))+
IF(H12="Maintenance",'Dépenses RH'!$L$62))</f>
        <v>-7175</v>
      </c>
      <c r="I13" s="170">
        <f>-(IF(I12="MVP",'Dépenses RH'!$L$22/COUNTIF(PRD!$B$12:$M$12,"MVP"))+
IF(I12="Développement",'Dépenses RH'!$L$38/COUNTIF(PRD!$B$12:$M$12,"Développement"))+
IF(I12="Déploiement",'Dépenses RH'!$L$51/COUNTIF(PRD!$B$12:$M$12,"Déploiement"))+
IF(I12="Maintenance",'Dépenses RH'!$L$62))</f>
        <v>-7175</v>
      </c>
      <c r="J13" s="170">
        <f>-(IF(J12="MVP",'Dépenses RH'!$L$22/COUNTIF(PRD!$B$12:$M$12,"MVP"))+
IF(J12="Développement",'Dépenses RH'!$L$38/COUNTIF(PRD!$B$12:$M$12,"Développement"))+
IF(J12="Déploiement",'Dépenses RH'!$L$51/COUNTIF(PRD!$B$12:$M$12,"Déploiement"))+
IF(J12="Maintenance",'Dépenses RH'!$L$62))</f>
        <v>-7175</v>
      </c>
      <c r="K13" s="170">
        <f>-(IF(K12="MVP",'Dépenses RH'!$L$22/COUNTIF(PRD!$B$12:$M$12,"MVP"))+
IF(K12="Développement",'Dépenses RH'!$L$38/COUNTIF(PRD!$B$12:$M$12,"Développement"))+
IF(K12="Déploiement",'Dépenses RH'!$L$51/COUNTIF(PRD!$B$12:$M$12,"Déploiement"))+
IF(K12="Maintenance",'Dépenses RH'!$L$62))</f>
        <v>-7175</v>
      </c>
      <c r="L13" s="170">
        <f>-(IF(L12="MVP",'Dépenses RH'!$L$22/COUNTIF(PRD!$B$12:$M$12,"MVP"))+
IF(L12="Développement",'Dépenses RH'!$L$38/COUNTIF(PRD!$B$12:$M$12,"Développement"))+
IF(L12="Déploiement",'Dépenses RH'!$L$51/COUNTIF(PRD!$B$12:$M$12,"Déploiement"))+
IF(L12="Maintenance",'Dépenses RH'!$L$62))</f>
        <v>-7175</v>
      </c>
      <c r="M13" s="170">
        <f>-(IF(M12="MVP",'Dépenses RH'!$L$22/COUNTIF(PRD!$B$12:$M$12,"MVP"))+
IF(M12="Développement",'Dépenses RH'!$L$38/COUNTIF(PRD!$B$12:$M$12,"Développement"))+
IF(M12="Déploiement",'Dépenses RH'!$L$51/COUNTIF(PRD!$B$12:$M$12,"Déploiement"))+
IF(M12="Maintenance",'Dépenses RH'!$L$62))</f>
        <v>-7175</v>
      </c>
      <c r="N13" s="170">
        <f>-(IF(N12="MVP",'Dépenses RH'!$L$22/COUNTIF(PRD!$B$12:$M$12,"MVP"))+
IF(N12="Développement",'Dépenses RH'!$L$38/COUNTIF(PRD!$B$12:$M$12,"Développement"))+
IF(N12="Déploiement",'Dépenses RH'!$L$51/COUNTIF(PRD!$B$12:$M$12,"Déploiement"))+
IF(N12="Maintenance",'Dépenses RH'!$L$62))</f>
        <v>-7175</v>
      </c>
      <c r="O13" s="170">
        <f>-(IF(O12="MVP",'Dépenses RH'!$L$22/COUNTIF(PRD!$B$12:$M$12,"MVP"))+
IF(O12="Développement",'Dépenses RH'!$L$38/COUNTIF(PRD!$B$12:$M$12,"Développement"))+
IF(O12="Déploiement",'Dépenses RH'!$L$51/COUNTIF(PRD!$B$12:$M$12,"Déploiement"))+
IF(O12="Maintenance",'Dépenses RH'!$L$62))</f>
        <v>-7175</v>
      </c>
      <c r="P13" s="170">
        <f>-(IF(P12="MVP",'Dépenses RH'!$L$22/COUNTIF(PRD!$B$12:$M$12,"MVP"))+
IF(P12="Développement",'Dépenses RH'!$L$38/COUNTIF(PRD!$B$12:$M$12,"Développement"))+
IF(P12="Déploiement",'Dépenses RH'!$L$51/COUNTIF(PRD!$B$12:$M$12,"Déploiement"))+
IF(P12="Maintenance",'Dépenses RH'!$L$62))</f>
        <v>-7175</v>
      </c>
      <c r="Q13" s="170">
        <f>-(IF(Q12="MVP",'Dépenses RH'!$L$22/COUNTIF(PRD!$B$12:$M$12,"MVP"))+
IF(Q12="Développement",'Dépenses RH'!$L$38/COUNTIF(PRD!$B$12:$M$12,"Développement"))+
IF(Q12="Déploiement",'Dépenses RH'!$L$51/COUNTIF(PRD!$B$12:$M$12,"Déploiement"))+
IF(Q12="Maintenance",'Dépenses RH'!$L$62))</f>
        <v>-7175</v>
      </c>
      <c r="R13" s="170">
        <f>-(IF(R12="MVP",'Dépenses RH'!$L$22/COUNTIF(PRD!$B$12:$M$12,"MVP"))+
IF(R12="Développement",'Dépenses RH'!$L$38/COUNTIF(PRD!$B$12:$M$12,"Développement"))+
IF(R12="Déploiement",'Dépenses RH'!$L$51/COUNTIF(PRD!$B$12:$M$12,"Déploiement"))+
IF(R12="Maintenance",'Dépenses RH'!$L$62))</f>
        <v>-7175</v>
      </c>
      <c r="S13" s="170">
        <f>-(IF(S12="MVP",'Dépenses RH'!$L$22/COUNTIF(PRD!$B$12:$M$12,"MVP"))+
IF(S12="Développement",'Dépenses RH'!$L$38/COUNTIF(PRD!$B$12:$M$12,"Développement"))+
IF(S12="Déploiement",'Dépenses RH'!$L$51/COUNTIF(PRD!$B$12:$M$12,"Déploiement"))+
IF(S12="Maintenance",'Dépenses RH'!$L$62))</f>
        <v>-7175</v>
      </c>
      <c r="T13" s="170">
        <f>-(IF(T12="MVP",'Dépenses RH'!$L$22/COUNTIF(PRD!$B$12:$M$12,"MVP"))+
IF(T12="Développement",'Dépenses RH'!$L$38/COUNTIF(PRD!$B$12:$M$12,"Développement"))+
IF(T12="Déploiement",'Dépenses RH'!$L$51/COUNTIF(PRD!$B$12:$M$12,"Déploiement"))+
IF(T12="Maintenance",'Dépenses RH'!$L$62))</f>
        <v>-7175</v>
      </c>
      <c r="U13" s="170">
        <f>-(IF(U12="MVP",'Dépenses RH'!$L$22/COUNTIF(PRD!$B$12:$M$12,"MVP"))+
IF(U12="Développement",'Dépenses RH'!$L$38/COUNTIF(PRD!$B$12:$M$12,"Développement"))+
IF(U12="Déploiement",'Dépenses RH'!$L$51/COUNTIF(PRD!$B$12:$M$12,"Déploiement"))+
IF(U12="Maintenance",'Dépenses RH'!$L$62))</f>
        <v>-7175</v>
      </c>
      <c r="V13" s="170">
        <f>-(IF(V12="MVP",'Dépenses RH'!$L$22/COUNTIF(PRD!$B$12:$M$12,"MVP"))+
IF(V12="Développement",'Dépenses RH'!$L$38/COUNTIF(PRD!$B$12:$M$12,"Développement"))+
IF(V12="Déploiement",'Dépenses RH'!$L$51/COUNTIF(PRD!$B$12:$M$12,"Déploiement"))+
IF(V12="Maintenance",'Dépenses RH'!$L$62))</f>
        <v>-7175</v>
      </c>
      <c r="W13" s="170">
        <f>-(IF(W12="MVP",'Dépenses RH'!$L$22/COUNTIF(PRD!$B$12:$M$12,"MVP"))+
IF(W12="Développement",'Dépenses RH'!$L$38/COUNTIF(PRD!$B$12:$M$12,"Développement"))+
IF(W12="Déploiement",'Dépenses RH'!$L$51/COUNTIF(PRD!$B$12:$M$12,"Déploiement"))+
IF(W12="Maintenance",'Dépenses RH'!$L$62))</f>
        <v>-7175</v>
      </c>
      <c r="X13" s="170">
        <f>-(IF(X12="MVP",'Dépenses RH'!$L$22/COUNTIF(PRD!$B$12:$M$12,"MVP"))+
IF(X12="Développement",'Dépenses RH'!$L$38/COUNTIF(PRD!$B$12:$M$12,"Développement"))+
IF(X12="Déploiement",'Dépenses RH'!$L$51/COUNTIF(PRD!$B$12:$M$12,"Déploiement"))+
IF(X12="Maintenance",'Dépenses RH'!$L$62))</f>
        <v>-7175</v>
      </c>
      <c r="Y13" s="170">
        <f>-(IF(Y12="MVP",'Dépenses RH'!$L$22/COUNTIF(PRD!$B$12:$M$12,"MVP"))+
IF(Y12="Développement",'Dépenses RH'!$L$38/COUNTIF(PRD!$B$12:$M$12,"Développement"))+
IF(Y12="Déploiement",'Dépenses RH'!$L$51/COUNTIF(PRD!$B$12:$M$12,"Déploiement"))+
IF(Y12="Maintenance",'Dépenses RH'!$L$62))</f>
        <v>-7175</v>
      </c>
    </row>
    <row r="14" spans="1:25" x14ac:dyDescent="0.25">
      <c r="A14" s="150" t="s">
        <v>110</v>
      </c>
      <c r="B14" s="170">
        <f>-(IF(B12="MVP",'Dépenses infra Azure'!$H$15/COUNTIF(PRD!$B$12:$M$12,"MVP"))+
IF(B12="Développement",0)+
IF(B12="Déploiement",'Dépenses infra Azure'!$H$38)+
IF(B12="Maintenance",'Dépenses infra Azure'!$H$38))</f>
        <v>-625.63378270842099</v>
      </c>
      <c r="C14" s="170">
        <f>-(IF(C12="MVP",'Dépenses infra Azure'!$H$15/COUNTIF(PRD!$B$12:$M$12,"MVP"))+
IF(C12="Développement",0)+
IF(C12="Déploiement",'Dépenses infra Azure'!$H$38)+
IF(C12="Maintenance",'Dépenses infra Azure'!$H$38))</f>
        <v>0</v>
      </c>
      <c r="D14" s="170">
        <f>-(IF(D12="MVP",'Dépenses infra Azure'!$H$15/COUNTIF(PRD!$B$12:$M$12,"MVP"))+
IF(D12="Développement",0)+
IF(D12="Déploiement",'Dépenses infra Azure'!$H$38)+
IF(D12="Maintenance",'Dépenses infra Azure'!$H$38))</f>
        <v>0</v>
      </c>
      <c r="E14" s="170">
        <f>-(IF(E12="MVP",'Dépenses infra Azure'!$H$15/COUNTIF(PRD!$B$12:$M$12,"MVP"))+
IF(E12="Développement",0)+
IF(E12="Déploiement",'Dépenses infra Azure'!$H$38)+
IF(E12="Maintenance",'Dépenses infra Azure'!$H$38))</f>
        <v>0</v>
      </c>
      <c r="F14" s="170">
        <f>-(IF(F12="MVP",'Dépenses infra Azure'!$H$15/COUNTIF(PRD!$B$12:$M$12,"MVP"))+
IF(F12="Développement",0)+
IF(F12="Déploiement",'Dépenses infra Azure'!$H$38)+
IF(F12="Maintenance",'Dépenses infra Azure'!$H$38))</f>
        <v>-1388.0890137153019</v>
      </c>
      <c r="G14" s="170">
        <f>-(IF(G12="MVP",'Dépenses infra Azure'!$H$15/COUNTIF(PRD!$B$12:$M$12,"MVP"))+
IF(G12="Développement",0)+
IF(G12="Déploiement",'Dépenses infra Azure'!$H$38)+
IF(G12="Maintenance",'Dépenses infra Azure'!$H$38))</f>
        <v>-1388.0890137153019</v>
      </c>
      <c r="H14" s="170">
        <f>-(IF(H12="MVP",'Dépenses infra Azure'!$H$15/COUNTIF(PRD!$B$12:$M$12,"MVP"))+
IF(H12="Développement",0)+
IF(H12="Déploiement",'Dépenses infra Azure'!$H$38)+
IF(H12="Maintenance",'Dépenses infra Azure'!$H$38))</f>
        <v>-1388.0890137153019</v>
      </c>
      <c r="I14" s="170">
        <f>-(IF(I12="MVP",'Dépenses infra Azure'!$H$15/COUNTIF(PRD!$B$12:$M$12,"MVP"))+
IF(I12="Développement",0)+
IF(I12="Déploiement",'Dépenses infra Azure'!$H$38)+
IF(I12="Maintenance",'Dépenses infra Azure'!$H$38))</f>
        <v>-1388.0890137153019</v>
      </c>
      <c r="J14" s="170">
        <f>-(IF(J12="MVP",'Dépenses infra Azure'!$H$15/COUNTIF(PRD!$B$12:$M$12,"MVP"))+
IF(J12="Développement",0)+
IF(J12="Déploiement",'Dépenses infra Azure'!$H$38)+
IF(J12="Maintenance",'Dépenses infra Azure'!$H$38))</f>
        <v>-1388.0890137153019</v>
      </c>
      <c r="K14" s="170">
        <f>-(IF(K12="MVP",'Dépenses infra Azure'!$H$15/COUNTIF(PRD!$B$12:$M$12,"MVP"))+
IF(K12="Développement",0)+
IF(K12="Déploiement",'Dépenses infra Azure'!$H$38)+
IF(K12="Maintenance",'Dépenses infra Azure'!$H$38))</f>
        <v>-1388.0890137153019</v>
      </c>
      <c r="L14" s="170">
        <f>-(IF(L12="MVP",'Dépenses infra Azure'!$H$15/COUNTIF(PRD!$B$12:$M$12,"MVP"))+
IF(L12="Développement",0)+
IF(L12="Déploiement",'Dépenses infra Azure'!$H$38)+
IF(L12="Maintenance",'Dépenses infra Azure'!$H$38))</f>
        <v>-1388.0890137153019</v>
      </c>
      <c r="M14" s="170">
        <f>-(IF(M12="MVP",'Dépenses infra Azure'!$H$15/COUNTIF(PRD!$B$12:$M$12,"MVP"))+
IF(M12="Développement",0)+
IF(M12="Déploiement",'Dépenses infra Azure'!$H$38)+
IF(M12="Maintenance",'Dépenses infra Azure'!$H$38))</f>
        <v>-1388.0890137153019</v>
      </c>
      <c r="N14" s="170">
        <f>-(IF(N12="MVP",'Dépenses infra Azure'!$H$15/COUNTIF(PRD!$B$12:$M$12,"MVP"))+
IF(N12="Développement",0)+
IF(N12="Déploiement",'Dépenses infra Azure'!$H$38)+
IF(N12="Maintenance",'Dépenses infra Azure'!$H$38))</f>
        <v>-1388.0890137153019</v>
      </c>
      <c r="O14" s="170">
        <f>-(IF(O12="MVP",'Dépenses infra Azure'!$H$15/COUNTIF(PRD!$B$12:$M$12,"MVP"))+
IF(O12="Développement",0)+
IF(O12="Déploiement",'Dépenses infra Azure'!$H$38)+
IF(O12="Maintenance",'Dépenses infra Azure'!$H$38))</f>
        <v>-1388.0890137153019</v>
      </c>
      <c r="P14" s="170">
        <f>-(IF(P12="MVP",'Dépenses infra Azure'!$H$15/COUNTIF(PRD!$B$12:$M$12,"MVP"))+
IF(P12="Développement",0)+
IF(P12="Déploiement",'Dépenses infra Azure'!$H$38)+
IF(P12="Maintenance",'Dépenses infra Azure'!$H$38))</f>
        <v>-1388.0890137153019</v>
      </c>
      <c r="Q14" s="170">
        <f>-(IF(Q12="MVP",'Dépenses infra Azure'!$H$15/COUNTIF(PRD!$B$12:$M$12,"MVP"))+
IF(Q12="Développement",0)+
IF(Q12="Déploiement",'Dépenses infra Azure'!$H$38)+
IF(Q12="Maintenance",'Dépenses infra Azure'!$H$38))</f>
        <v>-1388.0890137153019</v>
      </c>
      <c r="R14" s="170">
        <f>-(IF(R12="MVP",'Dépenses infra Azure'!$H$15/COUNTIF(PRD!$B$12:$M$12,"MVP"))+
IF(R12="Développement",0)+
IF(R12="Déploiement",'Dépenses infra Azure'!$H$38)+
IF(R12="Maintenance",'Dépenses infra Azure'!$H$38))</f>
        <v>-1388.0890137153019</v>
      </c>
      <c r="S14" s="170">
        <f>-(IF(S12="MVP",'Dépenses infra Azure'!$H$15/COUNTIF(PRD!$B$12:$M$12,"MVP"))+
IF(S12="Développement",0)+
IF(S12="Déploiement",'Dépenses infra Azure'!$H$38)+
IF(S12="Maintenance",'Dépenses infra Azure'!$H$38))</f>
        <v>-1388.0890137153019</v>
      </c>
      <c r="T14" s="170">
        <f>-(IF(T12="MVP",'Dépenses infra Azure'!$H$15/COUNTIF(PRD!$B$12:$M$12,"MVP"))+
IF(T12="Développement",0)+
IF(T12="Déploiement",'Dépenses infra Azure'!$H$38)+
IF(T12="Maintenance",'Dépenses infra Azure'!$H$38))</f>
        <v>-1388.0890137153019</v>
      </c>
      <c r="U14" s="170">
        <f>-(IF(U12="MVP",'Dépenses infra Azure'!$H$15/COUNTIF(PRD!$B$12:$M$12,"MVP"))+
IF(U12="Développement",0)+
IF(U12="Déploiement",'Dépenses infra Azure'!$H$38)+
IF(U12="Maintenance",'Dépenses infra Azure'!$H$38))</f>
        <v>-1388.0890137153019</v>
      </c>
      <c r="V14" s="170">
        <f>-(IF(V12="MVP",'Dépenses infra Azure'!$H$15/COUNTIF(PRD!$B$12:$M$12,"MVP"))+
IF(V12="Développement",0)+
IF(V12="Déploiement",'Dépenses infra Azure'!$H$38)+
IF(V12="Maintenance",'Dépenses infra Azure'!$H$38))</f>
        <v>-1388.0890137153019</v>
      </c>
      <c r="W14" s="170">
        <f>-(IF(W12="MVP",'Dépenses infra Azure'!$H$15/COUNTIF(PRD!$B$12:$M$12,"MVP"))+
IF(W12="Développement",0)+
IF(W12="Déploiement",'Dépenses infra Azure'!$H$38)+
IF(W12="Maintenance",'Dépenses infra Azure'!$H$38))</f>
        <v>-1388.0890137153019</v>
      </c>
      <c r="X14" s="170">
        <f>-(IF(X12="MVP",'Dépenses infra Azure'!$H$15/COUNTIF(PRD!$B$12:$M$12,"MVP"))+
IF(X12="Développement",0)+
IF(X12="Déploiement",'Dépenses infra Azure'!$H$38)+
IF(X12="Maintenance",'Dépenses infra Azure'!$H$38))</f>
        <v>-1388.0890137153019</v>
      </c>
      <c r="Y14" s="170">
        <f>-(IF(Y12="MVP",'Dépenses infra Azure'!$H$15/COUNTIF(PRD!$B$12:$M$12,"MVP"))+
IF(Y12="Développement",0)+
IF(Y12="Déploiement",'Dépenses infra Azure'!$H$38)+
IF(Y12="Maintenance",'Dépenses infra Azure'!$H$38))</f>
        <v>-1388.0890137153019</v>
      </c>
    </row>
    <row r="15" spans="1:25" x14ac:dyDescent="0.25">
      <c r="A15" s="153" t="s">
        <v>119</v>
      </c>
      <c r="B15" s="171">
        <f>SUM(B13:B14)</f>
        <v>-42875.633782708421</v>
      </c>
      <c r="C15" s="154">
        <f t="shared" ref="C15:M15" si="0">SUM(C13:C14)</f>
        <v>-34966.666666666664</v>
      </c>
      <c r="D15" s="154">
        <f t="shared" si="0"/>
        <v>-34966.666666666664</v>
      </c>
      <c r="E15" s="154">
        <f t="shared" si="0"/>
        <v>-34966.666666666664</v>
      </c>
      <c r="F15" s="154">
        <f t="shared" si="0"/>
        <v>-41288.089013715304</v>
      </c>
      <c r="G15" s="154">
        <f t="shared" si="0"/>
        <v>-8563.0890137153019</v>
      </c>
      <c r="H15" s="154">
        <f t="shared" si="0"/>
        <v>-8563.0890137153019</v>
      </c>
      <c r="I15" s="154">
        <f t="shared" si="0"/>
        <v>-8563.0890137153019</v>
      </c>
      <c r="J15" s="154">
        <f t="shared" si="0"/>
        <v>-8563.0890137153019</v>
      </c>
      <c r="K15" s="154">
        <f t="shared" si="0"/>
        <v>-8563.0890137153019</v>
      </c>
      <c r="L15" s="154">
        <f t="shared" si="0"/>
        <v>-8563.0890137153019</v>
      </c>
      <c r="M15" s="154">
        <f t="shared" si="0"/>
        <v>-8563.0890137153019</v>
      </c>
      <c r="N15" s="154">
        <f>SUM(N13:N14)</f>
        <v>-8563.0890137153019</v>
      </c>
      <c r="O15" s="154">
        <f t="shared" ref="O15" si="1">SUM(O13:O14)</f>
        <v>-8563.0890137153019</v>
      </c>
      <c r="P15" s="154">
        <f t="shared" ref="P15" si="2">SUM(P13:P14)</f>
        <v>-8563.0890137153019</v>
      </c>
      <c r="Q15" s="154">
        <f t="shared" ref="Q15" si="3">SUM(Q13:Q14)</f>
        <v>-8563.0890137153019</v>
      </c>
      <c r="R15" s="154">
        <f t="shared" ref="R15" si="4">SUM(R13:R14)</f>
        <v>-8563.0890137153019</v>
      </c>
      <c r="S15" s="154">
        <f t="shared" ref="S15" si="5">SUM(S13:S14)</f>
        <v>-8563.0890137153019</v>
      </c>
      <c r="T15" s="154">
        <f t="shared" ref="T15" si="6">SUM(T13:T14)</f>
        <v>-8563.0890137153019</v>
      </c>
      <c r="U15" s="154">
        <f t="shared" ref="U15" si="7">SUM(U13:U14)</f>
        <v>-8563.0890137153019</v>
      </c>
      <c r="V15" s="154">
        <f t="shared" ref="V15" si="8">SUM(V13:V14)</f>
        <v>-8563.0890137153019</v>
      </c>
      <c r="W15" s="154">
        <f t="shared" ref="W15" si="9">SUM(W13:W14)</f>
        <v>-8563.0890137153019</v>
      </c>
      <c r="X15" s="154">
        <f t="shared" ref="X15" si="10">SUM(X13:X14)</f>
        <v>-8563.0890137153019</v>
      </c>
      <c r="Y15" s="155">
        <f t="shared" ref="Y15" si="11">SUM(Y13:Y14)</f>
        <v>-8563.0890137153019</v>
      </c>
    </row>
    <row r="16" spans="1:25" ht="15.75" thickBot="1" x14ac:dyDescent="0.3">
      <c r="A16" s="156" t="s">
        <v>120</v>
      </c>
      <c r="B16" s="172">
        <f>SUM($B$15:B15)</f>
        <v>-42875.633782708421</v>
      </c>
      <c r="C16" s="157">
        <f>SUM($B$15:C15)</f>
        <v>-77842.300449375092</v>
      </c>
      <c r="D16" s="157">
        <f>SUM($B$15:D15)</f>
        <v>-112808.96711604175</v>
      </c>
      <c r="E16" s="157">
        <f>SUM($B$15:E15)</f>
        <v>-147775.63378270841</v>
      </c>
      <c r="F16" s="157">
        <f>SUM($B$15:F15)</f>
        <v>-189063.72279642371</v>
      </c>
      <c r="G16" s="157">
        <f>SUM($B$15:G15)</f>
        <v>-197626.81181013901</v>
      </c>
      <c r="H16" s="157">
        <f>SUM($B$15:H15)</f>
        <v>-206189.90082385432</v>
      </c>
      <c r="I16" s="157">
        <f>SUM($B$15:I15)</f>
        <v>-214752.98983756962</v>
      </c>
      <c r="J16" s="157">
        <f>SUM($B$15:J15)</f>
        <v>-223316.07885128492</v>
      </c>
      <c r="K16" s="157">
        <f>SUM($B$15:K15)</f>
        <v>-231879.16786500023</v>
      </c>
      <c r="L16" s="157">
        <f>SUM($B$15:L15)</f>
        <v>-240442.25687871553</v>
      </c>
      <c r="M16" s="157">
        <f>SUM($B$15:M15)</f>
        <v>-249005.34589243084</v>
      </c>
      <c r="N16" s="157">
        <f>SUM($B$15:N15)</f>
        <v>-257568.43490614614</v>
      </c>
      <c r="O16" s="157">
        <f>SUM($B$15:O15)</f>
        <v>-266131.52391986141</v>
      </c>
      <c r="P16" s="157">
        <f>SUM($B$15:P15)</f>
        <v>-274694.61293357669</v>
      </c>
      <c r="Q16" s="157">
        <f>SUM($B$15:Q15)</f>
        <v>-283257.70194729196</v>
      </c>
      <c r="R16" s="157">
        <f>SUM($B$15:R15)</f>
        <v>-291820.79096100724</v>
      </c>
      <c r="S16" s="157">
        <f>SUM($B$15:S15)</f>
        <v>-300383.87997472251</v>
      </c>
      <c r="T16" s="157">
        <f>SUM($B$15:T15)</f>
        <v>-308946.96898843779</v>
      </c>
      <c r="U16" s="157">
        <f>SUM($B$15:U15)</f>
        <v>-317510.05800215306</v>
      </c>
      <c r="V16" s="157">
        <f>SUM($B$15:V15)</f>
        <v>-326073.14701586834</v>
      </c>
      <c r="W16" s="157">
        <f>SUM($B$15:W15)</f>
        <v>-334636.23602958361</v>
      </c>
      <c r="X16" s="157">
        <f>SUM($B$15:X15)</f>
        <v>-343199.32504329889</v>
      </c>
      <c r="Y16" s="158">
        <f>SUM($B$15:Y15)</f>
        <v>-351762.41405701416</v>
      </c>
    </row>
    <row r="17" spans="1:25" ht="5.0999999999999996" customHeight="1" thickBot="1" x14ac:dyDescent="0.3">
      <c r="A17" s="136"/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</row>
    <row r="18" spans="1:25" x14ac:dyDescent="0.25">
      <c r="A18" s="159" t="s">
        <v>123</v>
      </c>
      <c r="B18" s="160">
        <f>IF(B8&lt;&gt;"",B8,0)+B15</f>
        <v>-42875.633782708421</v>
      </c>
      <c r="C18" s="160">
        <f t="shared" ref="C18:Y18" si="12">IF(C8&lt;&gt;"",C8,0)+C15</f>
        <v>-34966.666666666664</v>
      </c>
      <c r="D18" s="160">
        <f t="shared" si="12"/>
        <v>-34966.666666666664</v>
      </c>
      <c r="E18" s="160">
        <f t="shared" si="12"/>
        <v>-34966.666666666664</v>
      </c>
      <c r="F18" s="160">
        <f t="shared" si="12"/>
        <v>-38788.089013715304</v>
      </c>
      <c r="G18" s="160">
        <f t="shared" si="12"/>
        <v>2686.9109862846981</v>
      </c>
      <c r="H18" s="160">
        <f t="shared" si="12"/>
        <v>2686.9109862846981</v>
      </c>
      <c r="I18" s="160">
        <f t="shared" si="12"/>
        <v>31436.910986284696</v>
      </c>
      <c r="J18" s="160">
        <f t="shared" si="12"/>
        <v>31436.910986284696</v>
      </c>
      <c r="K18" s="160">
        <f t="shared" si="12"/>
        <v>10186.910986284698</v>
      </c>
      <c r="L18" s="160">
        <f t="shared" si="12"/>
        <v>10186.910986284698</v>
      </c>
      <c r="M18" s="160">
        <f t="shared" si="12"/>
        <v>10186.910986284698</v>
      </c>
      <c r="N18" s="160">
        <f t="shared" si="12"/>
        <v>10186.910986284698</v>
      </c>
      <c r="O18" s="160">
        <f t="shared" si="12"/>
        <v>10186.910986284698</v>
      </c>
      <c r="P18" s="160">
        <f t="shared" si="12"/>
        <v>10186.910986284698</v>
      </c>
      <c r="Q18" s="160">
        <f t="shared" si="12"/>
        <v>10186.910986284698</v>
      </c>
      <c r="R18" s="160">
        <f t="shared" si="12"/>
        <v>10186.910986284698</v>
      </c>
      <c r="S18" s="160">
        <f t="shared" si="12"/>
        <v>10186.910986284698</v>
      </c>
      <c r="T18" s="160">
        <f t="shared" si="12"/>
        <v>10186.910986284698</v>
      </c>
      <c r="U18" s="160">
        <f t="shared" si="12"/>
        <v>10186.910986284698</v>
      </c>
      <c r="V18" s="160">
        <f t="shared" si="12"/>
        <v>10186.910986284698</v>
      </c>
      <c r="W18" s="160">
        <f t="shared" si="12"/>
        <v>10186.910986284698</v>
      </c>
      <c r="X18" s="160">
        <f t="shared" si="12"/>
        <v>10186.910986284698</v>
      </c>
      <c r="Y18" s="160">
        <f t="shared" si="12"/>
        <v>10186.910986284698</v>
      </c>
    </row>
    <row r="19" spans="1:25" x14ac:dyDescent="0.25">
      <c r="A19" s="161" t="s">
        <v>124</v>
      </c>
      <c r="B19" s="162">
        <f>IF(B9&lt;&gt;"",B9,0)+B16</f>
        <v>-42875.633782708421</v>
      </c>
      <c r="C19" s="162">
        <f t="shared" ref="C19:Y19" si="13">IF(C9&lt;&gt;"",C9,0)+C16</f>
        <v>-77842.300449375092</v>
      </c>
      <c r="D19" s="162">
        <f t="shared" si="13"/>
        <v>-112808.96711604175</v>
      </c>
      <c r="E19" s="162">
        <f t="shared" si="13"/>
        <v>-147775.63378270841</v>
      </c>
      <c r="F19" s="162">
        <f t="shared" si="13"/>
        <v>-186563.72279642371</v>
      </c>
      <c r="G19" s="162">
        <f t="shared" si="13"/>
        <v>-183876.81181013901</v>
      </c>
      <c r="H19" s="162">
        <f t="shared" si="13"/>
        <v>-181189.90082385432</v>
      </c>
      <c r="I19" s="162">
        <f t="shared" si="13"/>
        <v>-149752.98983756962</v>
      </c>
      <c r="J19" s="162">
        <f t="shared" si="13"/>
        <v>-118316.07885128492</v>
      </c>
      <c r="K19" s="162">
        <f t="shared" si="13"/>
        <v>-108129.16786500023</v>
      </c>
      <c r="L19" s="162">
        <f t="shared" si="13"/>
        <v>-97942.256878715532</v>
      </c>
      <c r="M19" s="162">
        <f t="shared" si="13"/>
        <v>-87755.345892430836</v>
      </c>
      <c r="N19" s="162">
        <f t="shared" si="13"/>
        <v>-77568.43490614614</v>
      </c>
      <c r="O19" s="162">
        <f t="shared" si="13"/>
        <v>-67381.523919861414</v>
      </c>
      <c r="P19" s="162">
        <f t="shared" si="13"/>
        <v>-57194.612933576689</v>
      </c>
      <c r="Q19" s="162">
        <f t="shared" si="13"/>
        <v>-47007.701947291964</v>
      </c>
      <c r="R19" s="162">
        <f t="shared" si="13"/>
        <v>-36820.790961007238</v>
      </c>
      <c r="S19" s="162">
        <f t="shared" si="13"/>
        <v>-26633.879974722513</v>
      </c>
      <c r="T19" s="162">
        <f t="shared" si="13"/>
        <v>-16446.968988437788</v>
      </c>
      <c r="U19" s="162">
        <f t="shared" si="13"/>
        <v>-6260.0580021530623</v>
      </c>
      <c r="V19" s="162">
        <f t="shared" si="13"/>
        <v>3926.8529841316631</v>
      </c>
      <c r="W19" s="162">
        <f t="shared" si="13"/>
        <v>14113.763970416388</v>
      </c>
      <c r="X19" s="162">
        <f t="shared" si="13"/>
        <v>24300.674956701114</v>
      </c>
      <c r="Y19" s="162">
        <f t="shared" si="13"/>
        <v>34487.585942985839</v>
      </c>
    </row>
    <row r="20" spans="1:25" ht="15.75" thickBot="1" x14ac:dyDescent="0.3">
      <c r="A20" s="163" t="s">
        <v>125</v>
      </c>
      <c r="B20" s="164">
        <f>B19/(-B16)</f>
        <v>-1</v>
      </c>
      <c r="C20" s="164">
        <f t="shared" ref="C20:Y20" si="14">C19/(-C16)</f>
        <v>-1</v>
      </c>
      <c r="D20" s="164">
        <f t="shared" si="14"/>
        <v>-1</v>
      </c>
      <c r="E20" s="164">
        <f t="shared" si="14"/>
        <v>-1</v>
      </c>
      <c r="F20" s="164">
        <f t="shared" si="14"/>
        <v>-0.98677694502666757</v>
      </c>
      <c r="G20" s="164">
        <f t="shared" si="14"/>
        <v>-0.93042442027952321</v>
      </c>
      <c r="H20" s="164">
        <f t="shared" si="14"/>
        <v>-0.87875254849966089</v>
      </c>
      <c r="I20" s="164">
        <f t="shared" si="14"/>
        <v>-0.69732668192809166</v>
      </c>
      <c r="J20" s="164">
        <f t="shared" si="14"/>
        <v>-0.5298144202597983</v>
      </c>
      <c r="K20" s="164">
        <f t="shared" si="14"/>
        <v>-0.46631687037945946</v>
      </c>
      <c r="L20" s="164">
        <f t="shared" si="14"/>
        <v>-0.40734211261425568</v>
      </c>
      <c r="M20" s="164">
        <f t="shared" si="14"/>
        <v>-0.35242354166300005</v>
      </c>
      <c r="N20" s="164">
        <f t="shared" si="14"/>
        <v>-0.30115660303798814</v>
      </c>
      <c r="O20" s="164">
        <f t="shared" si="14"/>
        <v>-0.25318881028221074</v>
      </c>
      <c r="P20" s="164">
        <f t="shared" si="14"/>
        <v>-0.20821162935367354</v>
      </c>
      <c r="Q20" s="164">
        <f t="shared" si="14"/>
        <v>-0.16595383505596281</v>
      </c>
      <c r="R20" s="164">
        <f t="shared" si="14"/>
        <v>-0.12617603714852241</v>
      </c>
      <c r="S20" s="164">
        <f t="shared" si="14"/>
        <v>-8.8666142726979119E-2</v>
      </c>
      <c r="T20" s="164">
        <f t="shared" si="14"/>
        <v>-5.3235573219212608E-2</v>
      </c>
      <c r="U20" s="164">
        <f t="shared" si="14"/>
        <v>-1.9716093535879775E-2</v>
      </c>
      <c r="V20" s="164">
        <f t="shared" si="14"/>
        <v>1.2042859156202037E-2</v>
      </c>
      <c r="W20" s="164">
        <f t="shared" si="14"/>
        <v>4.2176436532619432E-2</v>
      </c>
      <c r="X20" s="164">
        <f t="shared" si="14"/>
        <v>7.0806301712963107E-2</v>
      </c>
      <c r="Y20" s="164">
        <f t="shared" si="14"/>
        <v>9.8042271046604887E-2</v>
      </c>
    </row>
  </sheetData>
  <mergeCells count="2">
    <mergeCell ref="B3:M3"/>
    <mergeCell ref="N3:Y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Dépenses RH</vt:lpstr>
      <vt:lpstr>Dépenses infra Azure</vt:lpstr>
      <vt:lpstr>Recettes</vt:lpstr>
      <vt:lpstr>PRD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Patin</dc:creator>
  <cp:lastModifiedBy>Clément Patin</cp:lastModifiedBy>
  <dcterms:created xsi:type="dcterms:W3CDTF">2024-07-22T13:20:11Z</dcterms:created>
  <dcterms:modified xsi:type="dcterms:W3CDTF">2024-07-29T09:04:14Z</dcterms:modified>
</cp:coreProperties>
</file>