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UDA\PILIHAN RAYA\PRU Sarawak\"/>
    </mc:Choice>
  </mc:AlternateContent>
  <xr:revisionPtr revIDLastSave="0" documentId="13_ncr:1_{1FBC0781-66AF-409C-852B-FCF1B60454B7}" xr6:coauthVersionLast="47" xr6:coauthVersionMax="47" xr10:uidLastSave="{00000000-0000-0000-0000-000000000000}"/>
  <bookViews>
    <workbookView xWindow="2295" yWindow="2295" windowWidth="14745" windowHeight="12480" activeTab="5" xr2:uid="{4607A540-8B9B-411F-9FA8-AD6A5DEBEC3D}"/>
  </bookViews>
  <sheets>
    <sheet name="SARAWAK" sheetId="1" r:id="rId1"/>
    <sheet name="DUN 2016" sheetId="17" r:id="rId2"/>
    <sheet name="PRN 2016" sheetId="6" r:id="rId3"/>
    <sheet name="DUN 2021" sheetId="8" r:id="rId4"/>
    <sheet name="Analysis 2021" sheetId="14" r:id="rId5"/>
    <sheet name="Comparison 2016 2021" sheetId="15" r:id="rId6"/>
    <sheet name="JANTINA 2021" sheetId="10" r:id="rId7"/>
    <sheet name="UMUR 2021" sheetId="9" r:id="rId8"/>
    <sheet name="ETNIK 2021" sheetId="13" r:id="rId9"/>
    <sheet name="PRN 2021" sheetId="7" r:id="rId10"/>
    <sheet name="SARAWAK 1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5" l="1"/>
  <c r="P28" i="15"/>
  <c r="P26" i="15"/>
  <c r="R26" i="15" s="1"/>
  <c r="Q25" i="15"/>
  <c r="P25" i="15"/>
  <c r="Q26" i="15"/>
  <c r="Q24" i="15"/>
  <c r="P24" i="15"/>
  <c r="R20" i="15"/>
  <c r="R21" i="15"/>
  <c r="R22" i="15"/>
  <c r="R23" i="15"/>
  <c r="R19" i="15"/>
  <c r="Q23" i="15"/>
  <c r="Q22" i="15"/>
  <c r="Q21" i="15"/>
  <c r="Q20" i="15"/>
  <c r="Q19" i="15"/>
  <c r="P23" i="15"/>
  <c r="P22" i="15"/>
  <c r="P21" i="15"/>
  <c r="P20" i="15"/>
  <c r="P19" i="15"/>
  <c r="R5" i="15"/>
  <c r="R6" i="15"/>
  <c r="R7" i="15"/>
  <c r="R8" i="15"/>
  <c r="R9" i="15"/>
  <c r="R10" i="15"/>
  <c r="R11" i="15"/>
  <c r="R12" i="15"/>
  <c r="R4" i="15"/>
  <c r="R14" i="15"/>
  <c r="Q14" i="15"/>
  <c r="Q12" i="15"/>
  <c r="Q11" i="15"/>
  <c r="Q10" i="15"/>
  <c r="Q9" i="15"/>
  <c r="Q8" i="15"/>
  <c r="Q7" i="15"/>
  <c r="Q6" i="15"/>
  <c r="Q5" i="15"/>
  <c r="Q4" i="15"/>
  <c r="P14" i="15"/>
  <c r="P12" i="15"/>
  <c r="P11" i="15"/>
  <c r="P10" i="15"/>
  <c r="P9" i="15"/>
  <c r="P8" i="15"/>
  <c r="P7" i="15"/>
  <c r="P6" i="15"/>
  <c r="P5" i="15"/>
  <c r="P4" i="15"/>
  <c r="K80" i="17"/>
  <c r="K81" i="17"/>
  <c r="K82" i="17"/>
  <c r="K83" i="17"/>
  <c r="K84" i="17"/>
  <c r="K85" i="17"/>
  <c r="K79" i="17"/>
  <c r="J80" i="17"/>
  <c r="J81" i="17"/>
  <c r="J82" i="17"/>
  <c r="J83" i="17"/>
  <c r="J84" i="17"/>
  <c r="J85" i="17"/>
  <c r="J79" i="17"/>
  <c r="Q53" i="17"/>
  <c r="Q54" i="17"/>
  <c r="Q55" i="17"/>
  <c r="Q56" i="17"/>
  <c r="Q57" i="17"/>
  <c r="Q52" i="17"/>
  <c r="K66" i="17"/>
  <c r="K67" i="17"/>
  <c r="K68" i="17"/>
  <c r="K69" i="17"/>
  <c r="K70" i="17"/>
  <c r="K65" i="17"/>
  <c r="Q66" i="17"/>
  <c r="Q67" i="17"/>
  <c r="Q68" i="17"/>
  <c r="Q69" i="17"/>
  <c r="Q70" i="17"/>
  <c r="Q65" i="17"/>
  <c r="J89" i="15"/>
  <c r="F89" i="15"/>
  <c r="L4" i="15"/>
  <c r="L12" i="15"/>
  <c r="L20" i="15"/>
  <c r="L28" i="15"/>
  <c r="L36" i="15"/>
  <c r="L44" i="15"/>
  <c r="L52" i="15"/>
  <c r="L60" i="15"/>
  <c r="L68" i="15"/>
  <c r="L76" i="15"/>
  <c r="L84" i="15"/>
  <c r="K10" i="15"/>
  <c r="K18" i="15"/>
  <c r="K26" i="15"/>
  <c r="K34" i="15"/>
  <c r="K42" i="15"/>
  <c r="K50" i="15"/>
  <c r="K58" i="15"/>
  <c r="K66" i="15"/>
  <c r="K74" i="15"/>
  <c r="K82" i="15"/>
  <c r="J4" i="15"/>
  <c r="J5" i="15"/>
  <c r="J6" i="15"/>
  <c r="J7" i="15"/>
  <c r="L7" i="15" s="1"/>
  <c r="J8" i="15"/>
  <c r="L8" i="15" s="1"/>
  <c r="J9" i="15"/>
  <c r="J10" i="15"/>
  <c r="J11" i="15"/>
  <c r="L11" i="15" s="1"/>
  <c r="J12" i="15"/>
  <c r="J13" i="15"/>
  <c r="J14" i="15"/>
  <c r="J15" i="15"/>
  <c r="L15" i="15" s="1"/>
  <c r="J16" i="15"/>
  <c r="L16" i="15" s="1"/>
  <c r="J17" i="15"/>
  <c r="J18" i="15"/>
  <c r="J19" i="15"/>
  <c r="L19" i="15" s="1"/>
  <c r="J20" i="15"/>
  <c r="J21" i="15"/>
  <c r="J22" i="15"/>
  <c r="J23" i="15"/>
  <c r="L23" i="15" s="1"/>
  <c r="J24" i="15"/>
  <c r="L24" i="15" s="1"/>
  <c r="J25" i="15"/>
  <c r="J26" i="15"/>
  <c r="J27" i="15"/>
  <c r="L27" i="15" s="1"/>
  <c r="J28" i="15"/>
  <c r="J29" i="15"/>
  <c r="J30" i="15"/>
  <c r="J31" i="15"/>
  <c r="L31" i="15" s="1"/>
  <c r="J32" i="15"/>
  <c r="L32" i="15" s="1"/>
  <c r="J33" i="15"/>
  <c r="J34" i="15"/>
  <c r="J35" i="15"/>
  <c r="L35" i="15" s="1"/>
  <c r="J36" i="15"/>
  <c r="J37" i="15"/>
  <c r="J38" i="15"/>
  <c r="J39" i="15"/>
  <c r="L39" i="15" s="1"/>
  <c r="J40" i="15"/>
  <c r="L40" i="15" s="1"/>
  <c r="J41" i="15"/>
  <c r="J42" i="15"/>
  <c r="J43" i="15"/>
  <c r="L43" i="15" s="1"/>
  <c r="J44" i="15"/>
  <c r="J45" i="15"/>
  <c r="J46" i="15"/>
  <c r="J47" i="15"/>
  <c r="L47" i="15" s="1"/>
  <c r="J48" i="15"/>
  <c r="L48" i="15" s="1"/>
  <c r="J49" i="15"/>
  <c r="J50" i="15"/>
  <c r="J51" i="15"/>
  <c r="L51" i="15" s="1"/>
  <c r="J52" i="15"/>
  <c r="J53" i="15"/>
  <c r="J54" i="15"/>
  <c r="J55" i="15"/>
  <c r="L55" i="15" s="1"/>
  <c r="J56" i="15"/>
  <c r="L56" i="15" s="1"/>
  <c r="J57" i="15"/>
  <c r="J58" i="15"/>
  <c r="J59" i="15"/>
  <c r="L59" i="15" s="1"/>
  <c r="J60" i="15"/>
  <c r="J61" i="15"/>
  <c r="J62" i="15"/>
  <c r="J63" i="15"/>
  <c r="L63" i="15" s="1"/>
  <c r="J64" i="15"/>
  <c r="L64" i="15" s="1"/>
  <c r="J65" i="15"/>
  <c r="J66" i="15"/>
  <c r="J67" i="15"/>
  <c r="L67" i="15" s="1"/>
  <c r="J68" i="15"/>
  <c r="J69" i="15"/>
  <c r="J70" i="15"/>
  <c r="J71" i="15"/>
  <c r="L71" i="15" s="1"/>
  <c r="J72" i="15"/>
  <c r="L72" i="15" s="1"/>
  <c r="J73" i="15"/>
  <c r="J74" i="15"/>
  <c r="J75" i="15"/>
  <c r="L75" i="15" s="1"/>
  <c r="J76" i="15"/>
  <c r="J77" i="15"/>
  <c r="J78" i="15"/>
  <c r="J79" i="15"/>
  <c r="L79" i="15" s="1"/>
  <c r="J80" i="15"/>
  <c r="L80" i="15" s="1"/>
  <c r="J81" i="15"/>
  <c r="J82" i="15"/>
  <c r="J83" i="15"/>
  <c r="L83" i="15" s="1"/>
  <c r="J84" i="15"/>
  <c r="J3" i="15"/>
  <c r="I4" i="15"/>
  <c r="I5" i="15"/>
  <c r="K5" i="15" s="1"/>
  <c r="I6" i="15"/>
  <c r="K6" i="15" s="1"/>
  <c r="I7" i="15"/>
  <c r="I8" i="15"/>
  <c r="I9" i="15"/>
  <c r="K9" i="15" s="1"/>
  <c r="I10" i="15"/>
  <c r="I11" i="15"/>
  <c r="I12" i="15"/>
  <c r="I13" i="15"/>
  <c r="K13" i="15" s="1"/>
  <c r="I14" i="15"/>
  <c r="K14" i="15" s="1"/>
  <c r="I15" i="15"/>
  <c r="I16" i="15"/>
  <c r="I17" i="15"/>
  <c r="K17" i="15" s="1"/>
  <c r="I18" i="15"/>
  <c r="I19" i="15"/>
  <c r="I20" i="15"/>
  <c r="I21" i="15"/>
  <c r="K21" i="15" s="1"/>
  <c r="I22" i="15"/>
  <c r="K22" i="15" s="1"/>
  <c r="I23" i="15"/>
  <c r="I24" i="15"/>
  <c r="I25" i="15"/>
  <c r="K25" i="15" s="1"/>
  <c r="I26" i="15"/>
  <c r="I27" i="15"/>
  <c r="I28" i="15"/>
  <c r="I29" i="15"/>
  <c r="K29" i="15" s="1"/>
  <c r="I30" i="15"/>
  <c r="K30" i="15" s="1"/>
  <c r="I31" i="15"/>
  <c r="I32" i="15"/>
  <c r="I33" i="15"/>
  <c r="K33" i="15" s="1"/>
  <c r="I34" i="15"/>
  <c r="I35" i="15"/>
  <c r="I36" i="15"/>
  <c r="I37" i="15"/>
  <c r="K37" i="15" s="1"/>
  <c r="I38" i="15"/>
  <c r="K38" i="15" s="1"/>
  <c r="I39" i="15"/>
  <c r="I40" i="15"/>
  <c r="I41" i="15"/>
  <c r="K41" i="15" s="1"/>
  <c r="I42" i="15"/>
  <c r="I43" i="15"/>
  <c r="I44" i="15"/>
  <c r="I45" i="15"/>
  <c r="K45" i="15" s="1"/>
  <c r="I46" i="15"/>
  <c r="K46" i="15" s="1"/>
  <c r="I47" i="15"/>
  <c r="I48" i="15"/>
  <c r="I49" i="15"/>
  <c r="K49" i="15" s="1"/>
  <c r="I50" i="15"/>
  <c r="I51" i="15"/>
  <c r="I52" i="15"/>
  <c r="I53" i="15"/>
  <c r="K53" i="15" s="1"/>
  <c r="I54" i="15"/>
  <c r="K54" i="15" s="1"/>
  <c r="I55" i="15"/>
  <c r="I56" i="15"/>
  <c r="I57" i="15"/>
  <c r="K57" i="15" s="1"/>
  <c r="I58" i="15"/>
  <c r="I59" i="15"/>
  <c r="I60" i="15"/>
  <c r="I61" i="15"/>
  <c r="K61" i="15" s="1"/>
  <c r="I62" i="15"/>
  <c r="K62" i="15" s="1"/>
  <c r="I63" i="15"/>
  <c r="I64" i="15"/>
  <c r="I65" i="15"/>
  <c r="K65" i="15" s="1"/>
  <c r="I66" i="15"/>
  <c r="I67" i="15"/>
  <c r="I68" i="15"/>
  <c r="I69" i="15"/>
  <c r="K69" i="15" s="1"/>
  <c r="I70" i="15"/>
  <c r="K70" i="15" s="1"/>
  <c r="I71" i="15"/>
  <c r="I72" i="15"/>
  <c r="I73" i="15"/>
  <c r="K73" i="15" s="1"/>
  <c r="I74" i="15"/>
  <c r="I75" i="15"/>
  <c r="I76" i="15"/>
  <c r="I77" i="15"/>
  <c r="K77" i="15" s="1"/>
  <c r="I78" i="15"/>
  <c r="K78" i="15" s="1"/>
  <c r="I79" i="15"/>
  <c r="I80" i="15"/>
  <c r="I81" i="15"/>
  <c r="K81" i="15" s="1"/>
  <c r="I82" i="15"/>
  <c r="I83" i="15"/>
  <c r="I84" i="15"/>
  <c r="I3" i="15"/>
  <c r="K3" i="15" s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3" i="15"/>
  <c r="H5" i="15"/>
  <c r="H9" i="15"/>
  <c r="H10" i="15"/>
  <c r="H13" i="15"/>
  <c r="H17" i="15"/>
  <c r="H18" i="15"/>
  <c r="H21" i="15"/>
  <c r="H25" i="15"/>
  <c r="H26" i="15"/>
  <c r="H29" i="15"/>
  <c r="H33" i="15"/>
  <c r="H34" i="15"/>
  <c r="H37" i="15"/>
  <c r="H41" i="15"/>
  <c r="H42" i="15"/>
  <c r="H45" i="15"/>
  <c r="H49" i="15"/>
  <c r="H50" i="15"/>
  <c r="H53" i="15"/>
  <c r="H57" i="15"/>
  <c r="H58" i="15"/>
  <c r="H61" i="15"/>
  <c r="H65" i="15"/>
  <c r="H66" i="15"/>
  <c r="H82" i="15"/>
  <c r="G4" i="15"/>
  <c r="H4" i="15" s="1"/>
  <c r="G5" i="15"/>
  <c r="G6" i="15"/>
  <c r="H6" i="15" s="1"/>
  <c r="G7" i="15"/>
  <c r="H7" i="15" s="1"/>
  <c r="G8" i="15"/>
  <c r="H8" i="15" s="1"/>
  <c r="G9" i="15"/>
  <c r="G10" i="15"/>
  <c r="G11" i="15"/>
  <c r="H11" i="15" s="1"/>
  <c r="G12" i="15"/>
  <c r="H12" i="15" s="1"/>
  <c r="G13" i="15"/>
  <c r="G14" i="15"/>
  <c r="H14" i="15" s="1"/>
  <c r="G15" i="15"/>
  <c r="H15" i="15" s="1"/>
  <c r="G16" i="15"/>
  <c r="H16" i="15" s="1"/>
  <c r="G17" i="15"/>
  <c r="G18" i="15"/>
  <c r="G19" i="15"/>
  <c r="H19" i="15" s="1"/>
  <c r="G20" i="15"/>
  <c r="H20" i="15" s="1"/>
  <c r="G21" i="15"/>
  <c r="G22" i="15"/>
  <c r="H22" i="15" s="1"/>
  <c r="G23" i="15"/>
  <c r="H23" i="15" s="1"/>
  <c r="G24" i="15"/>
  <c r="H24" i="15" s="1"/>
  <c r="G25" i="15"/>
  <c r="G26" i="15"/>
  <c r="G27" i="15"/>
  <c r="H27" i="15" s="1"/>
  <c r="G28" i="15"/>
  <c r="H28" i="15" s="1"/>
  <c r="G29" i="15"/>
  <c r="G30" i="15"/>
  <c r="H30" i="15" s="1"/>
  <c r="G31" i="15"/>
  <c r="H31" i="15" s="1"/>
  <c r="G32" i="15"/>
  <c r="H32" i="15" s="1"/>
  <c r="G33" i="15"/>
  <c r="G34" i="15"/>
  <c r="G35" i="15"/>
  <c r="H35" i="15" s="1"/>
  <c r="G36" i="15"/>
  <c r="H36" i="15" s="1"/>
  <c r="G37" i="15"/>
  <c r="G38" i="15"/>
  <c r="H38" i="15" s="1"/>
  <c r="G39" i="15"/>
  <c r="H39" i="15" s="1"/>
  <c r="G40" i="15"/>
  <c r="H40" i="15" s="1"/>
  <c r="G41" i="15"/>
  <c r="G42" i="15"/>
  <c r="G43" i="15"/>
  <c r="H43" i="15" s="1"/>
  <c r="G44" i="15"/>
  <c r="H44" i="15" s="1"/>
  <c r="G45" i="15"/>
  <c r="G46" i="15"/>
  <c r="H46" i="15" s="1"/>
  <c r="G47" i="15"/>
  <c r="H47" i="15" s="1"/>
  <c r="G48" i="15"/>
  <c r="H48" i="15" s="1"/>
  <c r="G49" i="15"/>
  <c r="G50" i="15"/>
  <c r="G51" i="15"/>
  <c r="H51" i="15" s="1"/>
  <c r="G52" i="15"/>
  <c r="H52" i="15" s="1"/>
  <c r="G53" i="15"/>
  <c r="G54" i="15"/>
  <c r="H54" i="15" s="1"/>
  <c r="G55" i="15"/>
  <c r="H55" i="15" s="1"/>
  <c r="G56" i="15"/>
  <c r="H56" i="15" s="1"/>
  <c r="G57" i="15"/>
  <c r="G58" i="15"/>
  <c r="G59" i="15"/>
  <c r="H59" i="15" s="1"/>
  <c r="G60" i="15"/>
  <c r="H60" i="15" s="1"/>
  <c r="G61" i="15"/>
  <c r="G62" i="15"/>
  <c r="H62" i="15" s="1"/>
  <c r="G63" i="15"/>
  <c r="H63" i="15" s="1"/>
  <c r="G64" i="15"/>
  <c r="H64" i="15" s="1"/>
  <c r="G65" i="15"/>
  <c r="G66" i="15"/>
  <c r="G67" i="15"/>
  <c r="H67" i="15" s="1"/>
  <c r="G68" i="15"/>
  <c r="H68" i="15" s="1"/>
  <c r="G69" i="15"/>
  <c r="H69" i="15" s="1"/>
  <c r="G70" i="15"/>
  <c r="H70" i="15" s="1"/>
  <c r="G71" i="15"/>
  <c r="H71" i="15" s="1"/>
  <c r="G72" i="15"/>
  <c r="H72" i="15" s="1"/>
  <c r="G73" i="15"/>
  <c r="H73" i="15" s="1"/>
  <c r="G74" i="15"/>
  <c r="H74" i="15" s="1"/>
  <c r="G75" i="15"/>
  <c r="H75" i="15" s="1"/>
  <c r="G76" i="15"/>
  <c r="H76" i="15" s="1"/>
  <c r="G77" i="15"/>
  <c r="H77" i="15" s="1"/>
  <c r="G78" i="15"/>
  <c r="H78" i="15" s="1"/>
  <c r="G79" i="15"/>
  <c r="H79" i="15" s="1"/>
  <c r="G80" i="15"/>
  <c r="H80" i="15" s="1"/>
  <c r="G81" i="15"/>
  <c r="H81" i="15" s="1"/>
  <c r="G82" i="15"/>
  <c r="G83" i="15"/>
  <c r="H83" i="15" s="1"/>
  <c r="G84" i="15"/>
  <c r="H84" i="15" s="1"/>
  <c r="G3" i="15"/>
  <c r="H3" i="15" s="1"/>
  <c r="C4" i="15"/>
  <c r="D4" i="15" s="1"/>
  <c r="C5" i="15"/>
  <c r="M5" i="15" s="1"/>
  <c r="C6" i="15"/>
  <c r="C7" i="15"/>
  <c r="D7" i="15" s="1"/>
  <c r="C8" i="15"/>
  <c r="C9" i="15"/>
  <c r="M9" i="15" s="1"/>
  <c r="C10" i="15"/>
  <c r="C11" i="15"/>
  <c r="D11" i="15" s="1"/>
  <c r="C12" i="15"/>
  <c r="D12" i="15" s="1"/>
  <c r="C13" i="15"/>
  <c r="M13" i="15" s="1"/>
  <c r="C14" i="15"/>
  <c r="C15" i="15"/>
  <c r="D15" i="15" s="1"/>
  <c r="C16" i="15"/>
  <c r="C17" i="15"/>
  <c r="C18" i="15"/>
  <c r="C19" i="15"/>
  <c r="D19" i="15" s="1"/>
  <c r="C20" i="15"/>
  <c r="D20" i="15" s="1"/>
  <c r="C21" i="15"/>
  <c r="M21" i="15" s="1"/>
  <c r="C22" i="15"/>
  <c r="C23" i="15"/>
  <c r="D23" i="15" s="1"/>
  <c r="C24" i="15"/>
  <c r="C25" i="15"/>
  <c r="M25" i="15" s="1"/>
  <c r="C26" i="15"/>
  <c r="C27" i="15"/>
  <c r="D27" i="15" s="1"/>
  <c r="C28" i="15"/>
  <c r="D28" i="15" s="1"/>
  <c r="C29" i="15"/>
  <c r="M29" i="15" s="1"/>
  <c r="C30" i="15"/>
  <c r="C31" i="15"/>
  <c r="D31" i="15" s="1"/>
  <c r="C32" i="15"/>
  <c r="C33" i="15"/>
  <c r="M33" i="15" s="1"/>
  <c r="C34" i="15"/>
  <c r="D34" i="15" s="1"/>
  <c r="C35" i="15"/>
  <c r="D35" i="15" s="1"/>
  <c r="C36" i="15"/>
  <c r="C37" i="15"/>
  <c r="M37" i="15" s="1"/>
  <c r="C38" i="15"/>
  <c r="C39" i="15"/>
  <c r="D39" i="15" s="1"/>
  <c r="C40" i="15"/>
  <c r="C41" i="15"/>
  <c r="M41" i="15" s="1"/>
  <c r="C42" i="15"/>
  <c r="C43" i="15"/>
  <c r="D43" i="15" s="1"/>
  <c r="C44" i="15"/>
  <c r="D44" i="15" s="1"/>
  <c r="C45" i="15"/>
  <c r="M45" i="15" s="1"/>
  <c r="C46" i="15"/>
  <c r="C47" i="15"/>
  <c r="D47" i="15" s="1"/>
  <c r="C48" i="15"/>
  <c r="D48" i="15" s="1"/>
  <c r="C49" i="15"/>
  <c r="M49" i="15" s="1"/>
  <c r="C50" i="15"/>
  <c r="C51" i="15"/>
  <c r="D51" i="15" s="1"/>
  <c r="C52" i="15"/>
  <c r="C53" i="15"/>
  <c r="M53" i="15" s="1"/>
  <c r="C54" i="15"/>
  <c r="C55" i="15"/>
  <c r="D55" i="15" s="1"/>
  <c r="C56" i="15"/>
  <c r="D56" i="15" s="1"/>
  <c r="C57" i="15"/>
  <c r="M57" i="15" s="1"/>
  <c r="C58" i="15"/>
  <c r="C59" i="15"/>
  <c r="D59" i="15" s="1"/>
  <c r="C60" i="15"/>
  <c r="D60" i="15" s="1"/>
  <c r="C61" i="15"/>
  <c r="M61" i="15" s="1"/>
  <c r="C62" i="15"/>
  <c r="C63" i="15"/>
  <c r="D63" i="15" s="1"/>
  <c r="C64" i="15"/>
  <c r="D64" i="15" s="1"/>
  <c r="C65" i="15"/>
  <c r="M65" i="15" s="1"/>
  <c r="C66" i="15"/>
  <c r="C67" i="15"/>
  <c r="D67" i="15" s="1"/>
  <c r="C68" i="15"/>
  <c r="D68" i="15" s="1"/>
  <c r="C69" i="15"/>
  <c r="D69" i="15" s="1"/>
  <c r="C70" i="15"/>
  <c r="C71" i="15"/>
  <c r="D71" i="15" s="1"/>
  <c r="C72" i="15"/>
  <c r="D72" i="15" s="1"/>
  <c r="C73" i="15"/>
  <c r="C74" i="15"/>
  <c r="C75" i="15"/>
  <c r="D75" i="15" s="1"/>
  <c r="C76" i="15"/>
  <c r="D76" i="15" s="1"/>
  <c r="C77" i="15"/>
  <c r="D77" i="15" s="1"/>
  <c r="C78" i="15"/>
  <c r="D78" i="15" s="1"/>
  <c r="C79" i="15"/>
  <c r="D79" i="15" s="1"/>
  <c r="C80" i="15"/>
  <c r="D80" i="15" s="1"/>
  <c r="C81" i="15"/>
  <c r="D81" i="15" s="1"/>
  <c r="C82" i="15"/>
  <c r="C83" i="15"/>
  <c r="D83" i="15" s="1"/>
  <c r="C84" i="15"/>
  <c r="D84" i="15" s="1"/>
  <c r="C3" i="15"/>
  <c r="D8" i="15"/>
  <c r="D9" i="15"/>
  <c r="D10" i="15"/>
  <c r="D16" i="15"/>
  <c r="D18" i="15"/>
  <c r="D24" i="15"/>
  <c r="D25" i="15"/>
  <c r="D30" i="15"/>
  <c r="D32" i="15"/>
  <c r="D36" i="15"/>
  <c r="D40" i="15"/>
  <c r="D46" i="15"/>
  <c r="D50" i="15"/>
  <c r="D52" i="15"/>
  <c r="D62" i="15"/>
  <c r="D70" i="15"/>
  <c r="D73" i="15"/>
  <c r="J67" i="17"/>
  <c r="J68" i="17"/>
  <c r="J69" i="17"/>
  <c r="J70" i="17"/>
  <c r="J72" i="17"/>
  <c r="J65" i="17"/>
  <c r="P70" i="17"/>
  <c r="P69" i="17"/>
  <c r="P68" i="17"/>
  <c r="P67" i="17"/>
  <c r="P66" i="17"/>
  <c r="P65" i="17"/>
  <c r="P72" i="17"/>
  <c r="P61" i="17"/>
  <c r="P59" i="17"/>
  <c r="P57" i="17"/>
  <c r="P56" i="17"/>
  <c r="P55" i="17"/>
  <c r="P54" i="17"/>
  <c r="P53" i="17"/>
  <c r="P52" i="17"/>
  <c r="AB25" i="17"/>
  <c r="AC25" i="17"/>
  <c r="AE25" i="17"/>
  <c r="AI25" i="17"/>
  <c r="AG25" i="17"/>
  <c r="AG22" i="17"/>
  <c r="V25" i="17"/>
  <c r="T25" i="17"/>
  <c r="Q25" i="17"/>
  <c r="R25" i="17"/>
  <c r="V22" i="17"/>
  <c r="V4" i="17"/>
  <c r="V5" i="17"/>
  <c r="V6" i="17"/>
  <c r="V7" i="17"/>
  <c r="V8" i="17"/>
  <c r="V9" i="17"/>
  <c r="V10" i="17"/>
  <c r="V11" i="17"/>
  <c r="V12" i="17"/>
  <c r="V13" i="17"/>
  <c r="V14" i="17"/>
  <c r="W14" i="17" s="1"/>
  <c r="V15" i="17"/>
  <c r="V16" i="17"/>
  <c r="V17" i="17"/>
  <c r="V18" i="17"/>
  <c r="W18" i="17" s="1"/>
  <c r="V19" i="17"/>
  <c r="V3" i="17"/>
  <c r="T4" i="17"/>
  <c r="T5" i="17"/>
  <c r="T6" i="17"/>
  <c r="T7" i="17"/>
  <c r="T8" i="17"/>
  <c r="T9" i="17"/>
  <c r="T10" i="17"/>
  <c r="T11" i="17"/>
  <c r="T12" i="17"/>
  <c r="T13" i="17"/>
  <c r="T14" i="17"/>
  <c r="U14" i="17" s="1"/>
  <c r="T15" i="17"/>
  <c r="T16" i="17"/>
  <c r="T17" i="17"/>
  <c r="T18" i="17"/>
  <c r="T19" i="17"/>
  <c r="T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U18" i="17" s="1"/>
  <c r="Q19" i="17"/>
  <c r="Q3" i="17"/>
  <c r="C4" i="17"/>
  <c r="C5" i="17"/>
  <c r="C6" i="17"/>
  <c r="C7" i="17"/>
  <c r="C8" i="17"/>
  <c r="C9" i="17"/>
  <c r="C10" i="17"/>
  <c r="C11" i="17"/>
  <c r="D11" i="17" s="1"/>
  <c r="C12" i="17"/>
  <c r="C13" i="17"/>
  <c r="C14" i="17"/>
  <c r="C15" i="17"/>
  <c r="C16" i="17"/>
  <c r="C17" i="17"/>
  <c r="C18" i="17"/>
  <c r="C19" i="17"/>
  <c r="D19" i="17" s="1"/>
  <c r="C20" i="17"/>
  <c r="C21" i="17"/>
  <c r="C22" i="17"/>
  <c r="C23" i="17"/>
  <c r="D23" i="17" s="1"/>
  <c r="C24" i="17"/>
  <c r="C25" i="17"/>
  <c r="C26" i="17"/>
  <c r="C27" i="17"/>
  <c r="D27" i="17" s="1"/>
  <c r="C28" i="17"/>
  <c r="C29" i="17"/>
  <c r="C30" i="17"/>
  <c r="C31" i="17"/>
  <c r="D31" i="17" s="1"/>
  <c r="C32" i="17"/>
  <c r="C33" i="17"/>
  <c r="C34" i="17"/>
  <c r="C35" i="17"/>
  <c r="D35" i="17" s="1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D55" i="17" s="1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D83" i="17" s="1"/>
  <c r="C84" i="17"/>
  <c r="C3" i="17"/>
  <c r="D3" i="17" s="1"/>
  <c r="D4" i="17"/>
  <c r="D84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J66" i="17"/>
  <c r="D66" i="17"/>
  <c r="D65" i="17"/>
  <c r="D64" i="17"/>
  <c r="D63" i="17"/>
  <c r="D62" i="17"/>
  <c r="D61" i="17"/>
  <c r="D60" i="17"/>
  <c r="D59" i="17"/>
  <c r="D58" i="17"/>
  <c r="D57" i="17"/>
  <c r="D56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P38" i="17"/>
  <c r="D38" i="17"/>
  <c r="D37" i="17"/>
  <c r="P36" i="17"/>
  <c r="P39" i="17" s="1"/>
  <c r="D36" i="17"/>
  <c r="P35" i="17"/>
  <c r="D34" i="17"/>
  <c r="D33" i="17"/>
  <c r="D32" i="17"/>
  <c r="D30" i="17"/>
  <c r="D29" i="17"/>
  <c r="D28" i="17"/>
  <c r="D26" i="17"/>
  <c r="D25" i="17"/>
  <c r="D24" i="17"/>
  <c r="D22" i="17"/>
  <c r="D21" i="17"/>
  <c r="D20" i="17"/>
  <c r="P19" i="17"/>
  <c r="O19" i="17"/>
  <c r="P18" i="17"/>
  <c r="O18" i="17"/>
  <c r="D18" i="17"/>
  <c r="W17" i="17"/>
  <c r="U17" i="17"/>
  <c r="P17" i="17"/>
  <c r="O17" i="17"/>
  <c r="D17" i="17"/>
  <c r="P16" i="17"/>
  <c r="O16" i="17"/>
  <c r="D16" i="17"/>
  <c r="P15" i="17"/>
  <c r="O15" i="17"/>
  <c r="D15" i="17"/>
  <c r="P14" i="17"/>
  <c r="O14" i="17"/>
  <c r="D14" i="17"/>
  <c r="P13" i="17"/>
  <c r="O13" i="17"/>
  <c r="D13" i="17"/>
  <c r="W12" i="17"/>
  <c r="P12" i="17"/>
  <c r="O12" i="17"/>
  <c r="D12" i="17"/>
  <c r="P11" i="17"/>
  <c r="O11" i="17"/>
  <c r="AI10" i="17"/>
  <c r="P10" i="17"/>
  <c r="O10" i="17"/>
  <c r="D10" i="17"/>
  <c r="AI9" i="17"/>
  <c r="P9" i="17"/>
  <c r="O9" i="17"/>
  <c r="D9" i="17"/>
  <c r="AI8" i="17"/>
  <c r="W8" i="17"/>
  <c r="U8" i="17"/>
  <c r="P8" i="17"/>
  <c r="O8" i="17"/>
  <c r="D8" i="17"/>
  <c r="AI7" i="17"/>
  <c r="P7" i="17"/>
  <c r="O7" i="17"/>
  <c r="D7" i="17"/>
  <c r="AI6" i="17"/>
  <c r="P6" i="17"/>
  <c r="O6" i="17"/>
  <c r="D6" i="17"/>
  <c r="AI5" i="17"/>
  <c r="P5" i="17"/>
  <c r="O5" i="17"/>
  <c r="D5" i="17"/>
  <c r="AI4" i="17"/>
  <c r="W4" i="17"/>
  <c r="U4" i="17"/>
  <c r="P4" i="17"/>
  <c r="O4" i="17"/>
  <c r="AI3" i="17"/>
  <c r="P3" i="17"/>
  <c r="O3" i="1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3" i="7"/>
  <c r="R3" i="7"/>
  <c r="S3" i="7"/>
  <c r="T3" i="7"/>
  <c r="U3" i="7"/>
  <c r="G44" i="14" s="1"/>
  <c r="V3" i="7"/>
  <c r="W3" i="7"/>
  <c r="Y3" i="7"/>
  <c r="Z3" i="7"/>
  <c r="AA3" i="7"/>
  <c r="AB3" i="7"/>
  <c r="AC3" i="7"/>
  <c r="AD3" i="7"/>
  <c r="AE3" i="7"/>
  <c r="AG3" i="7"/>
  <c r="AH3" i="7"/>
  <c r="AI3" i="7"/>
  <c r="AK3" i="7"/>
  <c r="AL3" i="7"/>
  <c r="AM3" i="7"/>
  <c r="AO3" i="7"/>
  <c r="AP3" i="7"/>
  <c r="AQ3" i="7"/>
  <c r="AS3" i="7"/>
  <c r="AT3" i="7"/>
  <c r="AU3" i="7"/>
  <c r="Q4" i="7"/>
  <c r="R4" i="7"/>
  <c r="S4" i="7"/>
  <c r="T4" i="7"/>
  <c r="U4" i="7"/>
  <c r="V4" i="7"/>
  <c r="W4" i="7"/>
  <c r="Y4" i="7"/>
  <c r="Z4" i="7"/>
  <c r="AA4" i="7"/>
  <c r="AB4" i="7"/>
  <c r="AC4" i="7"/>
  <c r="AD4" i="7"/>
  <c r="AE4" i="7"/>
  <c r="AG4" i="7"/>
  <c r="AH4" i="7"/>
  <c r="AI4" i="7"/>
  <c r="AK4" i="7"/>
  <c r="AL4" i="7"/>
  <c r="AM4" i="7"/>
  <c r="AO4" i="7"/>
  <c r="AP4" i="7"/>
  <c r="AQ4" i="7"/>
  <c r="AS4" i="7"/>
  <c r="AT4" i="7"/>
  <c r="AU4" i="7"/>
  <c r="Q5" i="7"/>
  <c r="R5" i="7"/>
  <c r="S5" i="7"/>
  <c r="T5" i="7"/>
  <c r="U5" i="7"/>
  <c r="V5" i="7"/>
  <c r="W5" i="7"/>
  <c r="Y5" i="7"/>
  <c r="Z5" i="7"/>
  <c r="AA5" i="7"/>
  <c r="AB5" i="7"/>
  <c r="AC5" i="7"/>
  <c r="AD5" i="7"/>
  <c r="AE5" i="7"/>
  <c r="AG5" i="7"/>
  <c r="AH5" i="7"/>
  <c r="AI5" i="7"/>
  <c r="AK5" i="7"/>
  <c r="AL5" i="7"/>
  <c r="AM5" i="7"/>
  <c r="AO5" i="7"/>
  <c r="AP5" i="7"/>
  <c r="AQ5" i="7"/>
  <c r="AS5" i="7"/>
  <c r="AT5" i="7"/>
  <c r="AU5" i="7"/>
  <c r="Q6" i="7"/>
  <c r="R6" i="7"/>
  <c r="S6" i="7"/>
  <c r="T6" i="7"/>
  <c r="U6" i="7"/>
  <c r="V6" i="7"/>
  <c r="W6" i="7"/>
  <c r="Y6" i="7"/>
  <c r="Z6" i="7"/>
  <c r="AA6" i="7"/>
  <c r="AB6" i="7"/>
  <c r="AC6" i="7"/>
  <c r="AD6" i="7"/>
  <c r="AE6" i="7"/>
  <c r="AG6" i="7"/>
  <c r="AH6" i="7"/>
  <c r="AI6" i="7"/>
  <c r="AK6" i="7"/>
  <c r="AL6" i="7"/>
  <c r="AM6" i="7"/>
  <c r="AO6" i="7"/>
  <c r="AP6" i="7"/>
  <c r="AQ6" i="7"/>
  <c r="AS6" i="7"/>
  <c r="AT6" i="7"/>
  <c r="AU6" i="7"/>
  <c r="Q7" i="7"/>
  <c r="R7" i="7"/>
  <c r="S7" i="7"/>
  <c r="T7" i="7"/>
  <c r="U7" i="7"/>
  <c r="V7" i="7"/>
  <c r="W7" i="7"/>
  <c r="Y7" i="7"/>
  <c r="Z7" i="7"/>
  <c r="AA7" i="7"/>
  <c r="AB7" i="7"/>
  <c r="AC7" i="7"/>
  <c r="AD7" i="7"/>
  <c r="AE7" i="7"/>
  <c r="AG7" i="7"/>
  <c r="AH7" i="7"/>
  <c r="AI7" i="7"/>
  <c r="AK7" i="7"/>
  <c r="AL7" i="7"/>
  <c r="AM7" i="7"/>
  <c r="AO7" i="7"/>
  <c r="AP7" i="7"/>
  <c r="AQ7" i="7"/>
  <c r="AS7" i="7"/>
  <c r="AT7" i="7"/>
  <c r="AU7" i="7"/>
  <c r="Q8" i="7"/>
  <c r="R8" i="7"/>
  <c r="S8" i="7"/>
  <c r="T8" i="7"/>
  <c r="U8" i="7"/>
  <c r="V8" i="7"/>
  <c r="W8" i="7"/>
  <c r="Y8" i="7"/>
  <c r="Z8" i="7"/>
  <c r="AA8" i="7"/>
  <c r="AB8" i="7"/>
  <c r="AC8" i="7"/>
  <c r="AD8" i="7"/>
  <c r="AE8" i="7"/>
  <c r="AG8" i="7"/>
  <c r="AH8" i="7"/>
  <c r="AI8" i="7"/>
  <c r="AK8" i="7"/>
  <c r="AL8" i="7"/>
  <c r="AM8" i="7"/>
  <c r="AO8" i="7"/>
  <c r="AP8" i="7"/>
  <c r="AQ8" i="7"/>
  <c r="AS8" i="7"/>
  <c r="AT8" i="7"/>
  <c r="AU8" i="7"/>
  <c r="Q9" i="7"/>
  <c r="R9" i="7"/>
  <c r="S9" i="7"/>
  <c r="T9" i="7"/>
  <c r="U9" i="7"/>
  <c r="V9" i="7"/>
  <c r="W9" i="7"/>
  <c r="Y9" i="7"/>
  <c r="Z9" i="7"/>
  <c r="AA9" i="7"/>
  <c r="AB9" i="7"/>
  <c r="AC9" i="7"/>
  <c r="AD9" i="7"/>
  <c r="AE9" i="7"/>
  <c r="AG9" i="7"/>
  <c r="AH9" i="7"/>
  <c r="AI9" i="7"/>
  <c r="AK9" i="7"/>
  <c r="AL9" i="7"/>
  <c r="AM9" i="7"/>
  <c r="AO9" i="7"/>
  <c r="AP9" i="7"/>
  <c r="AQ9" i="7"/>
  <c r="AS9" i="7"/>
  <c r="AT9" i="7"/>
  <c r="AU9" i="7"/>
  <c r="Q10" i="7"/>
  <c r="R10" i="7"/>
  <c r="S10" i="7"/>
  <c r="T10" i="7"/>
  <c r="U10" i="7"/>
  <c r="V10" i="7"/>
  <c r="W10" i="7"/>
  <c r="Y10" i="7"/>
  <c r="Z10" i="7"/>
  <c r="AA10" i="7"/>
  <c r="AB10" i="7"/>
  <c r="AC10" i="7"/>
  <c r="AD10" i="7"/>
  <c r="AE10" i="7"/>
  <c r="AG10" i="7"/>
  <c r="AH10" i="7"/>
  <c r="AI10" i="7"/>
  <c r="AK10" i="7"/>
  <c r="AL10" i="7"/>
  <c r="AM10" i="7"/>
  <c r="AO10" i="7"/>
  <c r="AP10" i="7"/>
  <c r="AQ10" i="7"/>
  <c r="AS10" i="7"/>
  <c r="AT10" i="7"/>
  <c r="AU10" i="7"/>
  <c r="Q11" i="7"/>
  <c r="R11" i="7"/>
  <c r="S11" i="7"/>
  <c r="T11" i="7"/>
  <c r="U11" i="7"/>
  <c r="V11" i="7"/>
  <c r="W11" i="7"/>
  <c r="Y11" i="7"/>
  <c r="Z11" i="7"/>
  <c r="AA11" i="7"/>
  <c r="AB11" i="7"/>
  <c r="AC11" i="7"/>
  <c r="AD11" i="7"/>
  <c r="AE11" i="7"/>
  <c r="AG11" i="7"/>
  <c r="AH11" i="7"/>
  <c r="AI11" i="7"/>
  <c r="AK11" i="7"/>
  <c r="AL11" i="7"/>
  <c r="AM11" i="7"/>
  <c r="AO11" i="7"/>
  <c r="AP11" i="7"/>
  <c r="AQ11" i="7"/>
  <c r="AS11" i="7"/>
  <c r="AT11" i="7"/>
  <c r="AU11" i="7"/>
  <c r="Q12" i="7"/>
  <c r="R12" i="7"/>
  <c r="S12" i="7"/>
  <c r="T12" i="7"/>
  <c r="U12" i="7"/>
  <c r="V12" i="7"/>
  <c r="W12" i="7"/>
  <c r="Y12" i="7"/>
  <c r="Z12" i="7"/>
  <c r="AA12" i="7"/>
  <c r="AB12" i="7"/>
  <c r="AC12" i="7"/>
  <c r="AD12" i="7"/>
  <c r="AE12" i="7"/>
  <c r="AG12" i="7"/>
  <c r="AH12" i="7"/>
  <c r="AI12" i="7"/>
  <c r="AK12" i="7"/>
  <c r="AL12" i="7"/>
  <c r="AM12" i="7"/>
  <c r="AO12" i="7"/>
  <c r="AP12" i="7"/>
  <c r="AQ12" i="7"/>
  <c r="AS12" i="7"/>
  <c r="AT12" i="7"/>
  <c r="AU12" i="7"/>
  <c r="Q13" i="7"/>
  <c r="R13" i="7"/>
  <c r="S13" i="7"/>
  <c r="T13" i="7"/>
  <c r="U13" i="7"/>
  <c r="V13" i="7"/>
  <c r="W13" i="7"/>
  <c r="Y13" i="7"/>
  <c r="Z13" i="7"/>
  <c r="AA13" i="7"/>
  <c r="AB13" i="7"/>
  <c r="AC13" i="7"/>
  <c r="AD13" i="7"/>
  <c r="AE13" i="7"/>
  <c r="AG13" i="7"/>
  <c r="AH13" i="7"/>
  <c r="AI13" i="7"/>
  <c r="AK13" i="7"/>
  <c r="AL13" i="7"/>
  <c r="AM13" i="7"/>
  <c r="AO13" i="7"/>
  <c r="AP13" i="7"/>
  <c r="AQ13" i="7"/>
  <c r="AS13" i="7"/>
  <c r="AT13" i="7"/>
  <c r="AU13" i="7"/>
  <c r="Q14" i="7"/>
  <c r="R14" i="7"/>
  <c r="S14" i="7"/>
  <c r="T14" i="7"/>
  <c r="U14" i="7"/>
  <c r="V14" i="7"/>
  <c r="W14" i="7"/>
  <c r="Y14" i="7"/>
  <c r="Z14" i="7"/>
  <c r="AA14" i="7"/>
  <c r="AB14" i="7"/>
  <c r="AC14" i="7"/>
  <c r="AD14" i="7"/>
  <c r="AE14" i="7"/>
  <c r="AG14" i="7"/>
  <c r="AH14" i="7"/>
  <c r="AI14" i="7"/>
  <c r="AK14" i="7"/>
  <c r="AL14" i="7"/>
  <c r="AM14" i="7"/>
  <c r="AO14" i="7"/>
  <c r="AP14" i="7"/>
  <c r="AQ14" i="7"/>
  <c r="AS14" i="7"/>
  <c r="AT14" i="7"/>
  <c r="AU14" i="7"/>
  <c r="Q15" i="7"/>
  <c r="R15" i="7"/>
  <c r="S15" i="7"/>
  <c r="T15" i="7"/>
  <c r="U15" i="7"/>
  <c r="V15" i="7"/>
  <c r="W15" i="7"/>
  <c r="Y15" i="7"/>
  <c r="Z15" i="7"/>
  <c r="AA15" i="7"/>
  <c r="AB15" i="7"/>
  <c r="AC15" i="7"/>
  <c r="AD15" i="7"/>
  <c r="AE15" i="7"/>
  <c r="AG15" i="7"/>
  <c r="AH15" i="7"/>
  <c r="AI15" i="7"/>
  <c r="AK15" i="7"/>
  <c r="AL15" i="7"/>
  <c r="AM15" i="7"/>
  <c r="AO15" i="7"/>
  <c r="AP15" i="7"/>
  <c r="AQ15" i="7"/>
  <c r="AS15" i="7"/>
  <c r="AT15" i="7"/>
  <c r="AU15" i="7"/>
  <c r="Q16" i="7"/>
  <c r="R16" i="7"/>
  <c r="S16" i="7"/>
  <c r="T16" i="7"/>
  <c r="U16" i="7"/>
  <c r="V16" i="7"/>
  <c r="W16" i="7"/>
  <c r="Y16" i="7"/>
  <c r="Z16" i="7"/>
  <c r="AA16" i="7"/>
  <c r="AB16" i="7"/>
  <c r="AC16" i="7"/>
  <c r="AD16" i="7"/>
  <c r="AE16" i="7"/>
  <c r="AG16" i="7"/>
  <c r="AH16" i="7"/>
  <c r="AI16" i="7"/>
  <c r="AK16" i="7"/>
  <c r="AL16" i="7"/>
  <c r="AM16" i="7"/>
  <c r="AO16" i="7"/>
  <c r="AP16" i="7"/>
  <c r="AQ16" i="7"/>
  <c r="AS16" i="7"/>
  <c r="AT16" i="7"/>
  <c r="AU16" i="7"/>
  <c r="Q17" i="7"/>
  <c r="R17" i="7"/>
  <c r="S17" i="7"/>
  <c r="T17" i="7"/>
  <c r="U17" i="7"/>
  <c r="V17" i="7"/>
  <c r="W17" i="7"/>
  <c r="Y17" i="7"/>
  <c r="Z17" i="7"/>
  <c r="AA17" i="7"/>
  <c r="AB17" i="7"/>
  <c r="AC17" i="7"/>
  <c r="AD17" i="7"/>
  <c r="AE17" i="7"/>
  <c r="AG17" i="7"/>
  <c r="AH17" i="7"/>
  <c r="AI17" i="7"/>
  <c r="AK17" i="7"/>
  <c r="AL17" i="7"/>
  <c r="AM17" i="7"/>
  <c r="AO17" i="7"/>
  <c r="AP17" i="7"/>
  <c r="AQ17" i="7"/>
  <c r="AS17" i="7"/>
  <c r="AT17" i="7"/>
  <c r="AU17" i="7"/>
  <c r="Q18" i="7"/>
  <c r="R18" i="7"/>
  <c r="S18" i="7"/>
  <c r="T18" i="7"/>
  <c r="U18" i="7"/>
  <c r="V18" i="7"/>
  <c r="W18" i="7"/>
  <c r="Y18" i="7"/>
  <c r="Z18" i="7"/>
  <c r="AA18" i="7"/>
  <c r="AB18" i="7"/>
  <c r="AC18" i="7"/>
  <c r="AD18" i="7"/>
  <c r="AE18" i="7"/>
  <c r="AG18" i="7"/>
  <c r="AH18" i="7"/>
  <c r="AI18" i="7"/>
  <c r="AK18" i="7"/>
  <c r="AL18" i="7"/>
  <c r="AM18" i="7"/>
  <c r="AO18" i="7"/>
  <c r="AP18" i="7"/>
  <c r="AQ18" i="7"/>
  <c r="AS18" i="7"/>
  <c r="AT18" i="7"/>
  <c r="AU18" i="7"/>
  <c r="Q19" i="7"/>
  <c r="R19" i="7"/>
  <c r="S19" i="7"/>
  <c r="T19" i="7"/>
  <c r="U19" i="7"/>
  <c r="V19" i="7"/>
  <c r="W19" i="7"/>
  <c r="Y19" i="7"/>
  <c r="Z19" i="7"/>
  <c r="AA19" i="7"/>
  <c r="AB19" i="7"/>
  <c r="AC19" i="7"/>
  <c r="AD19" i="7"/>
  <c r="AE19" i="7"/>
  <c r="AG19" i="7"/>
  <c r="AH19" i="7"/>
  <c r="AI19" i="7"/>
  <c r="AK19" i="7"/>
  <c r="AL19" i="7"/>
  <c r="AM19" i="7"/>
  <c r="AO19" i="7"/>
  <c r="AP19" i="7"/>
  <c r="AQ19" i="7"/>
  <c r="AS19" i="7"/>
  <c r="AT19" i="7"/>
  <c r="AU19" i="7"/>
  <c r="Q20" i="7"/>
  <c r="R20" i="7"/>
  <c r="S20" i="7"/>
  <c r="T20" i="7"/>
  <c r="U20" i="7"/>
  <c r="V20" i="7"/>
  <c r="W20" i="7"/>
  <c r="Y20" i="7"/>
  <c r="Z20" i="7"/>
  <c r="AA20" i="7"/>
  <c r="AB20" i="7"/>
  <c r="AC20" i="7"/>
  <c r="AD20" i="7"/>
  <c r="AE20" i="7"/>
  <c r="AG20" i="7"/>
  <c r="AH20" i="7"/>
  <c r="AI20" i="7"/>
  <c r="AK20" i="7"/>
  <c r="AL20" i="7"/>
  <c r="AM20" i="7"/>
  <c r="AO20" i="7"/>
  <c r="AP20" i="7"/>
  <c r="AQ20" i="7"/>
  <c r="AS20" i="7"/>
  <c r="AT20" i="7"/>
  <c r="AU20" i="7"/>
  <c r="Q21" i="7"/>
  <c r="R21" i="7"/>
  <c r="S21" i="7"/>
  <c r="T21" i="7"/>
  <c r="U21" i="7"/>
  <c r="V21" i="7"/>
  <c r="W21" i="7"/>
  <c r="Y21" i="7"/>
  <c r="Z21" i="7"/>
  <c r="AA21" i="7"/>
  <c r="AB21" i="7"/>
  <c r="AC21" i="7"/>
  <c r="AD21" i="7"/>
  <c r="AE21" i="7"/>
  <c r="AG21" i="7"/>
  <c r="AH21" i="7"/>
  <c r="AI21" i="7"/>
  <c r="AK21" i="7"/>
  <c r="AL21" i="7"/>
  <c r="AM21" i="7"/>
  <c r="AO21" i="7"/>
  <c r="AP21" i="7"/>
  <c r="AQ21" i="7"/>
  <c r="AS21" i="7"/>
  <c r="AT21" i="7"/>
  <c r="AU21" i="7"/>
  <c r="Q22" i="7"/>
  <c r="R22" i="7"/>
  <c r="S22" i="7"/>
  <c r="T22" i="7"/>
  <c r="U22" i="7"/>
  <c r="V22" i="7"/>
  <c r="W22" i="7"/>
  <c r="Y22" i="7"/>
  <c r="Z22" i="7"/>
  <c r="AA22" i="7"/>
  <c r="AB22" i="7"/>
  <c r="AC22" i="7"/>
  <c r="AD22" i="7"/>
  <c r="AE22" i="7"/>
  <c r="AG22" i="7"/>
  <c r="AH22" i="7"/>
  <c r="AI22" i="7"/>
  <c r="AK22" i="7"/>
  <c r="AL22" i="7"/>
  <c r="AM22" i="7"/>
  <c r="AO22" i="7"/>
  <c r="AP22" i="7"/>
  <c r="AQ22" i="7"/>
  <c r="AS22" i="7"/>
  <c r="AT22" i="7"/>
  <c r="AU22" i="7"/>
  <c r="Q23" i="7"/>
  <c r="R23" i="7"/>
  <c r="S23" i="7"/>
  <c r="T23" i="7"/>
  <c r="U23" i="7"/>
  <c r="V23" i="7"/>
  <c r="W23" i="7"/>
  <c r="Y23" i="7"/>
  <c r="Z23" i="7"/>
  <c r="AA23" i="7"/>
  <c r="AB23" i="7"/>
  <c r="AC23" i="7"/>
  <c r="AD23" i="7"/>
  <c r="AE23" i="7"/>
  <c r="AG23" i="7"/>
  <c r="AH23" i="7"/>
  <c r="AI23" i="7"/>
  <c r="AK23" i="7"/>
  <c r="AL23" i="7"/>
  <c r="AM23" i="7"/>
  <c r="AO23" i="7"/>
  <c r="AP23" i="7"/>
  <c r="AQ23" i="7"/>
  <c r="AS23" i="7"/>
  <c r="AT23" i="7"/>
  <c r="AU23" i="7"/>
  <c r="Q24" i="7"/>
  <c r="R24" i="7"/>
  <c r="S24" i="7"/>
  <c r="T24" i="7"/>
  <c r="U24" i="7"/>
  <c r="V24" i="7"/>
  <c r="W24" i="7"/>
  <c r="Y24" i="7"/>
  <c r="Z24" i="7"/>
  <c r="AA24" i="7"/>
  <c r="AB24" i="7"/>
  <c r="AC24" i="7"/>
  <c r="AD24" i="7"/>
  <c r="AE24" i="7"/>
  <c r="AG24" i="7"/>
  <c r="AH24" i="7"/>
  <c r="AI24" i="7"/>
  <c r="AK24" i="7"/>
  <c r="AL24" i="7"/>
  <c r="AM24" i="7"/>
  <c r="AO24" i="7"/>
  <c r="AP24" i="7"/>
  <c r="AQ24" i="7"/>
  <c r="AS24" i="7"/>
  <c r="AT24" i="7"/>
  <c r="AU24" i="7"/>
  <c r="Q25" i="7"/>
  <c r="R25" i="7"/>
  <c r="S25" i="7"/>
  <c r="T25" i="7"/>
  <c r="U25" i="7"/>
  <c r="V25" i="7"/>
  <c r="W25" i="7"/>
  <c r="Y25" i="7"/>
  <c r="Z25" i="7"/>
  <c r="AA25" i="7"/>
  <c r="AB25" i="7"/>
  <c r="AC25" i="7"/>
  <c r="AD25" i="7"/>
  <c r="AE25" i="7"/>
  <c r="AG25" i="7"/>
  <c r="AH25" i="7"/>
  <c r="AI25" i="7"/>
  <c r="AK25" i="7"/>
  <c r="AL25" i="7"/>
  <c r="AM25" i="7"/>
  <c r="AO25" i="7"/>
  <c r="AP25" i="7"/>
  <c r="AQ25" i="7"/>
  <c r="AS25" i="7"/>
  <c r="AT25" i="7"/>
  <c r="AU25" i="7"/>
  <c r="Q26" i="7"/>
  <c r="R26" i="7"/>
  <c r="S26" i="7"/>
  <c r="T26" i="7"/>
  <c r="U26" i="7"/>
  <c r="V26" i="7"/>
  <c r="W26" i="7"/>
  <c r="Y26" i="7"/>
  <c r="Z26" i="7"/>
  <c r="AA26" i="7"/>
  <c r="AB26" i="7"/>
  <c r="AC26" i="7"/>
  <c r="AD26" i="7"/>
  <c r="AE26" i="7"/>
  <c r="AG26" i="7"/>
  <c r="AH26" i="7"/>
  <c r="AI26" i="7"/>
  <c r="AK26" i="7"/>
  <c r="AL26" i="7"/>
  <c r="AM26" i="7"/>
  <c r="AO26" i="7"/>
  <c r="AP26" i="7"/>
  <c r="AQ26" i="7"/>
  <c r="AS26" i="7"/>
  <c r="AT26" i="7"/>
  <c r="AU26" i="7"/>
  <c r="Q27" i="7"/>
  <c r="R27" i="7"/>
  <c r="S27" i="7"/>
  <c r="T27" i="7"/>
  <c r="U27" i="7"/>
  <c r="V27" i="7"/>
  <c r="W27" i="7"/>
  <c r="Y27" i="7"/>
  <c r="Z27" i="7"/>
  <c r="AA27" i="7"/>
  <c r="AB27" i="7"/>
  <c r="AC27" i="7"/>
  <c r="AD27" i="7"/>
  <c r="AE27" i="7"/>
  <c r="AG27" i="7"/>
  <c r="AH27" i="7"/>
  <c r="AI27" i="7"/>
  <c r="AK27" i="7"/>
  <c r="AL27" i="7"/>
  <c r="AM27" i="7"/>
  <c r="AO27" i="7"/>
  <c r="AP27" i="7"/>
  <c r="AQ27" i="7"/>
  <c r="AS27" i="7"/>
  <c r="AT27" i="7"/>
  <c r="AU27" i="7"/>
  <c r="Q28" i="7"/>
  <c r="R28" i="7"/>
  <c r="S28" i="7"/>
  <c r="T28" i="7"/>
  <c r="U28" i="7"/>
  <c r="V28" i="7"/>
  <c r="W28" i="7"/>
  <c r="Y28" i="7"/>
  <c r="Z28" i="7"/>
  <c r="AA28" i="7"/>
  <c r="AB28" i="7"/>
  <c r="AC28" i="7"/>
  <c r="AD28" i="7"/>
  <c r="AE28" i="7"/>
  <c r="AG28" i="7"/>
  <c r="AH28" i="7"/>
  <c r="AI28" i="7"/>
  <c r="AK28" i="7"/>
  <c r="AL28" i="7"/>
  <c r="AM28" i="7"/>
  <c r="AO28" i="7"/>
  <c r="AP28" i="7"/>
  <c r="AQ28" i="7"/>
  <c r="AS28" i="7"/>
  <c r="AT28" i="7"/>
  <c r="AU28" i="7"/>
  <c r="Q29" i="7"/>
  <c r="R29" i="7"/>
  <c r="S29" i="7"/>
  <c r="T29" i="7"/>
  <c r="U29" i="7"/>
  <c r="V29" i="7"/>
  <c r="W29" i="7"/>
  <c r="Y29" i="7"/>
  <c r="Z29" i="7"/>
  <c r="AA29" i="7"/>
  <c r="AB29" i="7"/>
  <c r="AC29" i="7"/>
  <c r="AD29" i="7"/>
  <c r="AE29" i="7"/>
  <c r="AG29" i="7"/>
  <c r="AH29" i="7"/>
  <c r="AI29" i="7"/>
  <c r="AK29" i="7"/>
  <c r="AL29" i="7"/>
  <c r="AM29" i="7"/>
  <c r="AO29" i="7"/>
  <c r="AP29" i="7"/>
  <c r="AQ29" i="7"/>
  <c r="AS29" i="7"/>
  <c r="AT29" i="7"/>
  <c r="AU29" i="7"/>
  <c r="Q30" i="7"/>
  <c r="R30" i="7"/>
  <c r="S30" i="7"/>
  <c r="T30" i="7"/>
  <c r="U30" i="7"/>
  <c r="V30" i="7"/>
  <c r="W30" i="7"/>
  <c r="Y30" i="7"/>
  <c r="Z30" i="7"/>
  <c r="AA30" i="7"/>
  <c r="AB30" i="7"/>
  <c r="AC30" i="7"/>
  <c r="AD30" i="7"/>
  <c r="AE30" i="7"/>
  <c r="AG30" i="7"/>
  <c r="AH30" i="7"/>
  <c r="AI30" i="7"/>
  <c r="AK30" i="7"/>
  <c r="AL30" i="7"/>
  <c r="AM30" i="7"/>
  <c r="AO30" i="7"/>
  <c r="AP30" i="7"/>
  <c r="AQ30" i="7"/>
  <c r="AS30" i="7"/>
  <c r="AT30" i="7"/>
  <c r="AU30" i="7"/>
  <c r="Q31" i="7"/>
  <c r="R31" i="7"/>
  <c r="S31" i="7"/>
  <c r="T31" i="7"/>
  <c r="U31" i="7"/>
  <c r="V31" i="7"/>
  <c r="W31" i="7"/>
  <c r="Y31" i="7"/>
  <c r="Z31" i="7"/>
  <c r="AA31" i="7"/>
  <c r="AB31" i="7"/>
  <c r="AC31" i="7"/>
  <c r="AD31" i="7"/>
  <c r="AE31" i="7"/>
  <c r="AG31" i="7"/>
  <c r="AH31" i="7"/>
  <c r="AI31" i="7"/>
  <c r="AK31" i="7"/>
  <c r="AL31" i="7"/>
  <c r="AM31" i="7"/>
  <c r="AO31" i="7"/>
  <c r="AP31" i="7"/>
  <c r="AQ31" i="7"/>
  <c r="AS31" i="7"/>
  <c r="AT31" i="7"/>
  <c r="AU31" i="7"/>
  <c r="Q32" i="7"/>
  <c r="R32" i="7"/>
  <c r="S32" i="7"/>
  <c r="T32" i="7"/>
  <c r="U32" i="7"/>
  <c r="V32" i="7"/>
  <c r="W32" i="7"/>
  <c r="Y32" i="7"/>
  <c r="Z32" i="7"/>
  <c r="AA32" i="7"/>
  <c r="AB32" i="7"/>
  <c r="AC32" i="7"/>
  <c r="AD32" i="7"/>
  <c r="AE32" i="7"/>
  <c r="AG32" i="7"/>
  <c r="AH32" i="7"/>
  <c r="AI32" i="7"/>
  <c r="AK32" i="7"/>
  <c r="AL32" i="7"/>
  <c r="AM32" i="7"/>
  <c r="AO32" i="7"/>
  <c r="AP32" i="7"/>
  <c r="AQ32" i="7"/>
  <c r="AS32" i="7"/>
  <c r="AT32" i="7"/>
  <c r="AU32" i="7"/>
  <c r="Q33" i="7"/>
  <c r="R33" i="7"/>
  <c r="S33" i="7"/>
  <c r="T33" i="7"/>
  <c r="U33" i="7"/>
  <c r="V33" i="7"/>
  <c r="W33" i="7"/>
  <c r="Y33" i="7"/>
  <c r="Z33" i="7"/>
  <c r="AA33" i="7"/>
  <c r="AB33" i="7"/>
  <c r="AC33" i="7"/>
  <c r="AD33" i="7"/>
  <c r="AE33" i="7"/>
  <c r="AG33" i="7"/>
  <c r="AH33" i="7"/>
  <c r="AI33" i="7"/>
  <c r="AK33" i="7"/>
  <c r="AL33" i="7"/>
  <c r="AM33" i="7"/>
  <c r="AO33" i="7"/>
  <c r="AP33" i="7"/>
  <c r="AQ33" i="7"/>
  <c r="AS33" i="7"/>
  <c r="AT33" i="7"/>
  <c r="AU33" i="7"/>
  <c r="Q34" i="7"/>
  <c r="R34" i="7"/>
  <c r="S34" i="7"/>
  <c r="T34" i="7"/>
  <c r="U34" i="7"/>
  <c r="V34" i="7"/>
  <c r="W34" i="7"/>
  <c r="Y34" i="7"/>
  <c r="Z34" i="7"/>
  <c r="AA34" i="7"/>
  <c r="AB34" i="7"/>
  <c r="AC34" i="7"/>
  <c r="AD34" i="7"/>
  <c r="AE34" i="7"/>
  <c r="AG34" i="7"/>
  <c r="AH34" i="7"/>
  <c r="AI34" i="7"/>
  <c r="AK34" i="7"/>
  <c r="AL34" i="7"/>
  <c r="AM34" i="7"/>
  <c r="AO34" i="7"/>
  <c r="AP34" i="7"/>
  <c r="AQ34" i="7"/>
  <c r="AS34" i="7"/>
  <c r="AT34" i="7"/>
  <c r="AU34" i="7"/>
  <c r="Q35" i="7"/>
  <c r="R35" i="7"/>
  <c r="S35" i="7"/>
  <c r="T35" i="7"/>
  <c r="U35" i="7"/>
  <c r="V35" i="7"/>
  <c r="W35" i="7"/>
  <c r="Y35" i="7"/>
  <c r="Z35" i="7"/>
  <c r="AA35" i="7"/>
  <c r="AB35" i="7"/>
  <c r="AC35" i="7"/>
  <c r="AD35" i="7"/>
  <c r="AE35" i="7"/>
  <c r="AG35" i="7"/>
  <c r="AH35" i="7"/>
  <c r="AI35" i="7"/>
  <c r="AK35" i="7"/>
  <c r="AL35" i="7"/>
  <c r="AM35" i="7"/>
  <c r="AO35" i="7"/>
  <c r="AP35" i="7"/>
  <c r="AQ35" i="7"/>
  <c r="AS35" i="7"/>
  <c r="AT35" i="7"/>
  <c r="AU35" i="7"/>
  <c r="Q36" i="7"/>
  <c r="R36" i="7"/>
  <c r="S36" i="7"/>
  <c r="T36" i="7"/>
  <c r="U36" i="7"/>
  <c r="V36" i="7"/>
  <c r="W36" i="7"/>
  <c r="Y36" i="7"/>
  <c r="Z36" i="7"/>
  <c r="AA36" i="7"/>
  <c r="AB36" i="7"/>
  <c r="AC36" i="7"/>
  <c r="AD36" i="7"/>
  <c r="AE36" i="7"/>
  <c r="AG36" i="7"/>
  <c r="AH36" i="7"/>
  <c r="AI36" i="7"/>
  <c r="AK36" i="7"/>
  <c r="AL36" i="7"/>
  <c r="AM36" i="7"/>
  <c r="AO36" i="7"/>
  <c r="AP36" i="7"/>
  <c r="AQ36" i="7"/>
  <c r="AS36" i="7"/>
  <c r="AT36" i="7"/>
  <c r="AU36" i="7"/>
  <c r="Q37" i="7"/>
  <c r="R37" i="7"/>
  <c r="S37" i="7"/>
  <c r="T37" i="7"/>
  <c r="U37" i="7"/>
  <c r="V37" i="7"/>
  <c r="W37" i="7"/>
  <c r="Y37" i="7"/>
  <c r="Z37" i="7"/>
  <c r="AA37" i="7"/>
  <c r="AB37" i="7"/>
  <c r="AC37" i="7"/>
  <c r="AD37" i="7"/>
  <c r="AE37" i="7"/>
  <c r="AG37" i="7"/>
  <c r="AH37" i="7"/>
  <c r="AI37" i="7"/>
  <c r="AK37" i="7"/>
  <c r="AL37" i="7"/>
  <c r="AM37" i="7"/>
  <c r="AO37" i="7"/>
  <c r="AP37" i="7"/>
  <c r="AQ37" i="7"/>
  <c r="AS37" i="7"/>
  <c r="AT37" i="7"/>
  <c r="AU37" i="7"/>
  <c r="Q38" i="7"/>
  <c r="R38" i="7"/>
  <c r="S38" i="7"/>
  <c r="T38" i="7"/>
  <c r="U38" i="7"/>
  <c r="V38" i="7"/>
  <c r="W38" i="7"/>
  <c r="Y38" i="7"/>
  <c r="Z38" i="7"/>
  <c r="AA38" i="7"/>
  <c r="AB38" i="7"/>
  <c r="AC38" i="7"/>
  <c r="AD38" i="7"/>
  <c r="AE38" i="7"/>
  <c r="AG38" i="7"/>
  <c r="AH38" i="7"/>
  <c r="AI38" i="7"/>
  <c r="AK38" i="7"/>
  <c r="AL38" i="7"/>
  <c r="AM38" i="7"/>
  <c r="AO38" i="7"/>
  <c r="AP38" i="7"/>
  <c r="AQ38" i="7"/>
  <c r="AS38" i="7"/>
  <c r="AT38" i="7"/>
  <c r="AU38" i="7"/>
  <c r="Q39" i="7"/>
  <c r="R39" i="7"/>
  <c r="S39" i="7"/>
  <c r="T39" i="7"/>
  <c r="U39" i="7"/>
  <c r="V39" i="7"/>
  <c r="W39" i="7"/>
  <c r="Y39" i="7"/>
  <c r="Z39" i="7"/>
  <c r="AA39" i="7"/>
  <c r="AB39" i="7"/>
  <c r="AC39" i="7"/>
  <c r="AD39" i="7"/>
  <c r="AE39" i="7"/>
  <c r="AG39" i="7"/>
  <c r="AH39" i="7"/>
  <c r="AI39" i="7"/>
  <c r="AK39" i="7"/>
  <c r="AL39" i="7"/>
  <c r="AM39" i="7"/>
  <c r="AO39" i="7"/>
  <c r="AP39" i="7"/>
  <c r="AQ39" i="7"/>
  <c r="AS39" i="7"/>
  <c r="AT39" i="7"/>
  <c r="AU39" i="7"/>
  <c r="Q40" i="7"/>
  <c r="R40" i="7"/>
  <c r="S40" i="7"/>
  <c r="T40" i="7"/>
  <c r="U40" i="7"/>
  <c r="V40" i="7"/>
  <c r="W40" i="7"/>
  <c r="Y40" i="7"/>
  <c r="Z40" i="7"/>
  <c r="AA40" i="7"/>
  <c r="AB40" i="7"/>
  <c r="AC40" i="7"/>
  <c r="AD40" i="7"/>
  <c r="AE40" i="7"/>
  <c r="AG40" i="7"/>
  <c r="AH40" i="7"/>
  <c r="AI40" i="7"/>
  <c r="AK40" i="7"/>
  <c r="AL40" i="7"/>
  <c r="AM40" i="7"/>
  <c r="AO40" i="7"/>
  <c r="AP40" i="7"/>
  <c r="AQ40" i="7"/>
  <c r="AS40" i="7"/>
  <c r="AT40" i="7"/>
  <c r="AU40" i="7"/>
  <c r="Q41" i="7"/>
  <c r="R41" i="7"/>
  <c r="S41" i="7"/>
  <c r="T41" i="7"/>
  <c r="U41" i="7"/>
  <c r="V41" i="7"/>
  <c r="W41" i="7"/>
  <c r="Y41" i="7"/>
  <c r="Z41" i="7"/>
  <c r="AA41" i="7"/>
  <c r="AB41" i="7"/>
  <c r="AC41" i="7"/>
  <c r="AD41" i="7"/>
  <c r="AE41" i="7"/>
  <c r="AG41" i="7"/>
  <c r="AH41" i="7"/>
  <c r="AI41" i="7"/>
  <c r="AK41" i="7"/>
  <c r="AL41" i="7"/>
  <c r="AM41" i="7"/>
  <c r="AO41" i="7"/>
  <c r="AP41" i="7"/>
  <c r="AQ41" i="7"/>
  <c r="AS41" i="7"/>
  <c r="AT41" i="7"/>
  <c r="AU41" i="7"/>
  <c r="Q42" i="7"/>
  <c r="R42" i="7"/>
  <c r="S42" i="7"/>
  <c r="T42" i="7"/>
  <c r="U42" i="7"/>
  <c r="V42" i="7"/>
  <c r="W42" i="7"/>
  <c r="Y42" i="7"/>
  <c r="Z42" i="7"/>
  <c r="AA42" i="7"/>
  <c r="AB42" i="7"/>
  <c r="AC42" i="7"/>
  <c r="AD42" i="7"/>
  <c r="AE42" i="7"/>
  <c r="AG42" i="7"/>
  <c r="AH42" i="7"/>
  <c r="AI42" i="7"/>
  <c r="AK42" i="7"/>
  <c r="AL42" i="7"/>
  <c r="AM42" i="7"/>
  <c r="AO42" i="7"/>
  <c r="AP42" i="7"/>
  <c r="AQ42" i="7"/>
  <c r="AS42" i="7"/>
  <c r="AT42" i="7"/>
  <c r="AU42" i="7"/>
  <c r="Q43" i="7"/>
  <c r="R43" i="7"/>
  <c r="S43" i="7"/>
  <c r="T43" i="7"/>
  <c r="U43" i="7"/>
  <c r="V43" i="7"/>
  <c r="W43" i="7"/>
  <c r="Y43" i="7"/>
  <c r="Z43" i="7"/>
  <c r="AA43" i="7"/>
  <c r="AB43" i="7"/>
  <c r="AC43" i="7"/>
  <c r="AD43" i="7"/>
  <c r="AE43" i="7"/>
  <c r="AG43" i="7"/>
  <c r="AH43" i="7"/>
  <c r="AI43" i="7"/>
  <c r="AK43" i="7"/>
  <c r="AL43" i="7"/>
  <c r="AM43" i="7"/>
  <c r="AO43" i="7"/>
  <c r="AP43" i="7"/>
  <c r="AQ43" i="7"/>
  <c r="AS43" i="7"/>
  <c r="AT43" i="7"/>
  <c r="AU43" i="7"/>
  <c r="Q44" i="7"/>
  <c r="R44" i="7"/>
  <c r="S44" i="7"/>
  <c r="T44" i="7"/>
  <c r="U44" i="7"/>
  <c r="V44" i="7"/>
  <c r="W44" i="7"/>
  <c r="Y44" i="7"/>
  <c r="Z44" i="7"/>
  <c r="AA44" i="7"/>
  <c r="AB44" i="7"/>
  <c r="AC44" i="7"/>
  <c r="AD44" i="7"/>
  <c r="AE44" i="7"/>
  <c r="AG44" i="7"/>
  <c r="AH44" i="7"/>
  <c r="AI44" i="7"/>
  <c r="AK44" i="7"/>
  <c r="AL44" i="7"/>
  <c r="AM44" i="7"/>
  <c r="AO44" i="7"/>
  <c r="AP44" i="7"/>
  <c r="AQ44" i="7"/>
  <c r="AS44" i="7"/>
  <c r="AT44" i="7"/>
  <c r="AU44" i="7"/>
  <c r="Q45" i="7"/>
  <c r="R45" i="7"/>
  <c r="S45" i="7"/>
  <c r="T45" i="7"/>
  <c r="U45" i="7"/>
  <c r="V45" i="7"/>
  <c r="W45" i="7"/>
  <c r="Y45" i="7"/>
  <c r="Z45" i="7"/>
  <c r="AA45" i="7"/>
  <c r="AB45" i="7"/>
  <c r="AC45" i="7"/>
  <c r="AD45" i="7"/>
  <c r="AE45" i="7"/>
  <c r="AG45" i="7"/>
  <c r="AH45" i="7"/>
  <c r="AI45" i="7"/>
  <c r="AK45" i="7"/>
  <c r="AL45" i="7"/>
  <c r="AM45" i="7"/>
  <c r="AO45" i="7"/>
  <c r="AP45" i="7"/>
  <c r="AQ45" i="7"/>
  <c r="AS45" i="7"/>
  <c r="AT45" i="7"/>
  <c r="AU45" i="7"/>
  <c r="Q46" i="7"/>
  <c r="R46" i="7"/>
  <c r="S46" i="7"/>
  <c r="T46" i="7"/>
  <c r="U46" i="7"/>
  <c r="V46" i="7"/>
  <c r="W46" i="7"/>
  <c r="Y46" i="7"/>
  <c r="Z46" i="7"/>
  <c r="AA46" i="7"/>
  <c r="AB46" i="7"/>
  <c r="AC46" i="7"/>
  <c r="AD46" i="7"/>
  <c r="AE46" i="7"/>
  <c r="AG46" i="7"/>
  <c r="AH46" i="7"/>
  <c r="AI46" i="7"/>
  <c r="AK46" i="7"/>
  <c r="AL46" i="7"/>
  <c r="AM46" i="7"/>
  <c r="AO46" i="7"/>
  <c r="AP46" i="7"/>
  <c r="AQ46" i="7"/>
  <c r="AS46" i="7"/>
  <c r="AT46" i="7"/>
  <c r="AU46" i="7"/>
  <c r="Q47" i="7"/>
  <c r="R47" i="7"/>
  <c r="S47" i="7"/>
  <c r="T47" i="7"/>
  <c r="U47" i="7"/>
  <c r="V47" i="7"/>
  <c r="W47" i="7"/>
  <c r="Y47" i="7"/>
  <c r="Z47" i="7"/>
  <c r="AA47" i="7"/>
  <c r="AB47" i="7"/>
  <c r="AC47" i="7"/>
  <c r="AD47" i="7"/>
  <c r="AE47" i="7"/>
  <c r="AG47" i="7"/>
  <c r="AH47" i="7"/>
  <c r="AI47" i="7"/>
  <c r="AK47" i="7"/>
  <c r="AL47" i="7"/>
  <c r="AM47" i="7"/>
  <c r="AO47" i="7"/>
  <c r="AP47" i="7"/>
  <c r="AQ47" i="7"/>
  <c r="AS47" i="7"/>
  <c r="AT47" i="7"/>
  <c r="AU47" i="7"/>
  <c r="Q48" i="7"/>
  <c r="R48" i="7"/>
  <c r="S48" i="7"/>
  <c r="T48" i="7"/>
  <c r="U48" i="7"/>
  <c r="V48" i="7"/>
  <c r="W48" i="7"/>
  <c r="Y48" i="7"/>
  <c r="Z48" i="7"/>
  <c r="AA48" i="7"/>
  <c r="AB48" i="7"/>
  <c r="AC48" i="7"/>
  <c r="AD48" i="7"/>
  <c r="AE48" i="7"/>
  <c r="AG48" i="7"/>
  <c r="AH48" i="7"/>
  <c r="AI48" i="7"/>
  <c r="AK48" i="7"/>
  <c r="AL48" i="7"/>
  <c r="AM48" i="7"/>
  <c r="AO48" i="7"/>
  <c r="AP48" i="7"/>
  <c r="AQ48" i="7"/>
  <c r="AS48" i="7"/>
  <c r="AT48" i="7"/>
  <c r="AU48" i="7"/>
  <c r="Q49" i="7"/>
  <c r="R49" i="7"/>
  <c r="S49" i="7"/>
  <c r="T49" i="7"/>
  <c r="U49" i="7"/>
  <c r="V49" i="7"/>
  <c r="W49" i="7"/>
  <c r="Y49" i="7"/>
  <c r="Z49" i="7"/>
  <c r="AA49" i="7"/>
  <c r="AB49" i="7"/>
  <c r="AC49" i="7"/>
  <c r="AD49" i="7"/>
  <c r="AE49" i="7"/>
  <c r="AG49" i="7"/>
  <c r="AH49" i="7"/>
  <c r="AI49" i="7"/>
  <c r="AK49" i="7"/>
  <c r="AL49" i="7"/>
  <c r="AM49" i="7"/>
  <c r="AO49" i="7"/>
  <c r="AP49" i="7"/>
  <c r="AQ49" i="7"/>
  <c r="AS49" i="7"/>
  <c r="AT49" i="7"/>
  <c r="AU49" i="7"/>
  <c r="Q50" i="7"/>
  <c r="R50" i="7"/>
  <c r="S50" i="7"/>
  <c r="T50" i="7"/>
  <c r="U50" i="7"/>
  <c r="V50" i="7"/>
  <c r="W50" i="7"/>
  <c r="Y50" i="7"/>
  <c r="Z50" i="7"/>
  <c r="AA50" i="7"/>
  <c r="AB50" i="7"/>
  <c r="AC50" i="7"/>
  <c r="AD50" i="7"/>
  <c r="AE50" i="7"/>
  <c r="AG50" i="7"/>
  <c r="AH50" i="7"/>
  <c r="AI50" i="7"/>
  <c r="AK50" i="7"/>
  <c r="AL50" i="7"/>
  <c r="AM50" i="7"/>
  <c r="AO50" i="7"/>
  <c r="AP50" i="7"/>
  <c r="AQ50" i="7"/>
  <c r="AS50" i="7"/>
  <c r="AT50" i="7"/>
  <c r="AU50" i="7"/>
  <c r="Q51" i="7"/>
  <c r="R51" i="7"/>
  <c r="S51" i="7"/>
  <c r="T51" i="7"/>
  <c r="U51" i="7"/>
  <c r="V51" i="7"/>
  <c r="W51" i="7"/>
  <c r="Y51" i="7"/>
  <c r="Z51" i="7"/>
  <c r="AA51" i="7"/>
  <c r="AB51" i="7"/>
  <c r="AC51" i="7"/>
  <c r="AD51" i="7"/>
  <c r="AE51" i="7"/>
  <c r="AG51" i="7"/>
  <c r="AH51" i="7"/>
  <c r="AI51" i="7"/>
  <c r="AK51" i="7"/>
  <c r="AL51" i="7"/>
  <c r="AM51" i="7"/>
  <c r="AO51" i="7"/>
  <c r="AP51" i="7"/>
  <c r="AQ51" i="7"/>
  <c r="AS51" i="7"/>
  <c r="AT51" i="7"/>
  <c r="AU51" i="7"/>
  <c r="Q52" i="7"/>
  <c r="R52" i="7"/>
  <c r="S52" i="7"/>
  <c r="T52" i="7"/>
  <c r="U52" i="7"/>
  <c r="V52" i="7"/>
  <c r="W52" i="7"/>
  <c r="Y52" i="7"/>
  <c r="Z52" i="7"/>
  <c r="AA52" i="7"/>
  <c r="AB52" i="7"/>
  <c r="AC52" i="7"/>
  <c r="AD52" i="7"/>
  <c r="AE52" i="7"/>
  <c r="AG52" i="7"/>
  <c r="AH52" i="7"/>
  <c r="AI52" i="7"/>
  <c r="AK52" i="7"/>
  <c r="AL52" i="7"/>
  <c r="AM52" i="7"/>
  <c r="AO52" i="7"/>
  <c r="AP52" i="7"/>
  <c r="AQ52" i="7"/>
  <c r="AS52" i="7"/>
  <c r="AT52" i="7"/>
  <c r="AU52" i="7"/>
  <c r="Q53" i="7"/>
  <c r="R53" i="7"/>
  <c r="S53" i="7"/>
  <c r="T53" i="7"/>
  <c r="U53" i="7"/>
  <c r="V53" i="7"/>
  <c r="W53" i="7"/>
  <c r="Y53" i="7"/>
  <c r="Z53" i="7"/>
  <c r="AA53" i="7"/>
  <c r="AB53" i="7"/>
  <c r="AC53" i="7"/>
  <c r="AD53" i="7"/>
  <c r="AE53" i="7"/>
  <c r="AG53" i="7"/>
  <c r="AH53" i="7"/>
  <c r="AI53" i="7"/>
  <c r="AK53" i="7"/>
  <c r="AL53" i="7"/>
  <c r="AM53" i="7"/>
  <c r="AO53" i="7"/>
  <c r="AP53" i="7"/>
  <c r="AQ53" i="7"/>
  <c r="AS53" i="7"/>
  <c r="AT53" i="7"/>
  <c r="AU53" i="7"/>
  <c r="Q54" i="7"/>
  <c r="R54" i="7"/>
  <c r="S54" i="7"/>
  <c r="T54" i="7"/>
  <c r="U54" i="7"/>
  <c r="V54" i="7"/>
  <c r="W54" i="7"/>
  <c r="Y54" i="7"/>
  <c r="Z54" i="7"/>
  <c r="AA54" i="7"/>
  <c r="AB54" i="7"/>
  <c r="AC54" i="7"/>
  <c r="AD54" i="7"/>
  <c r="AE54" i="7"/>
  <c r="AG54" i="7"/>
  <c r="AH54" i="7"/>
  <c r="AI54" i="7"/>
  <c r="AK54" i="7"/>
  <c r="AL54" i="7"/>
  <c r="AM54" i="7"/>
  <c r="AO54" i="7"/>
  <c r="AP54" i="7"/>
  <c r="AQ54" i="7"/>
  <c r="AS54" i="7"/>
  <c r="AT54" i="7"/>
  <c r="AU54" i="7"/>
  <c r="Q55" i="7"/>
  <c r="R55" i="7"/>
  <c r="S55" i="7"/>
  <c r="T55" i="7"/>
  <c r="U55" i="7"/>
  <c r="V55" i="7"/>
  <c r="W55" i="7"/>
  <c r="Y55" i="7"/>
  <c r="Z55" i="7"/>
  <c r="AA55" i="7"/>
  <c r="AB55" i="7"/>
  <c r="AC55" i="7"/>
  <c r="AD55" i="7"/>
  <c r="AE55" i="7"/>
  <c r="AG55" i="7"/>
  <c r="AH55" i="7"/>
  <c r="AI55" i="7"/>
  <c r="AK55" i="7"/>
  <c r="AL55" i="7"/>
  <c r="AM55" i="7"/>
  <c r="AO55" i="7"/>
  <c r="AP55" i="7"/>
  <c r="AQ55" i="7"/>
  <c r="AS55" i="7"/>
  <c r="AT55" i="7"/>
  <c r="AU55" i="7"/>
  <c r="Q56" i="7"/>
  <c r="R56" i="7"/>
  <c r="S56" i="7"/>
  <c r="T56" i="7"/>
  <c r="U56" i="7"/>
  <c r="V56" i="7"/>
  <c r="W56" i="7"/>
  <c r="Y56" i="7"/>
  <c r="Z56" i="7"/>
  <c r="AA56" i="7"/>
  <c r="AB56" i="7"/>
  <c r="AC56" i="7"/>
  <c r="AD56" i="7"/>
  <c r="AE56" i="7"/>
  <c r="AG56" i="7"/>
  <c r="AH56" i="7"/>
  <c r="AI56" i="7"/>
  <c r="AK56" i="7"/>
  <c r="AL56" i="7"/>
  <c r="AM56" i="7"/>
  <c r="AO56" i="7"/>
  <c r="AP56" i="7"/>
  <c r="AQ56" i="7"/>
  <c r="AS56" i="7"/>
  <c r="AT56" i="7"/>
  <c r="AU56" i="7"/>
  <c r="Q57" i="7"/>
  <c r="R57" i="7"/>
  <c r="S57" i="7"/>
  <c r="T57" i="7"/>
  <c r="U57" i="7"/>
  <c r="V57" i="7"/>
  <c r="W57" i="7"/>
  <c r="Y57" i="7"/>
  <c r="Z57" i="7"/>
  <c r="AA57" i="7"/>
  <c r="AB57" i="7"/>
  <c r="AC57" i="7"/>
  <c r="AD57" i="7"/>
  <c r="AE57" i="7"/>
  <c r="AG57" i="7"/>
  <c r="AH57" i="7"/>
  <c r="AI57" i="7"/>
  <c r="AK57" i="7"/>
  <c r="AL57" i="7"/>
  <c r="AM57" i="7"/>
  <c r="AO57" i="7"/>
  <c r="AP57" i="7"/>
  <c r="AQ57" i="7"/>
  <c r="AS57" i="7"/>
  <c r="AT57" i="7"/>
  <c r="AU57" i="7"/>
  <c r="Q58" i="7"/>
  <c r="R58" i="7"/>
  <c r="S58" i="7"/>
  <c r="T58" i="7"/>
  <c r="U58" i="7"/>
  <c r="V58" i="7"/>
  <c r="W58" i="7"/>
  <c r="Y58" i="7"/>
  <c r="Z58" i="7"/>
  <c r="AA58" i="7"/>
  <c r="AB58" i="7"/>
  <c r="AC58" i="7"/>
  <c r="AD58" i="7"/>
  <c r="AE58" i="7"/>
  <c r="AG58" i="7"/>
  <c r="AH58" i="7"/>
  <c r="AI58" i="7"/>
  <c r="AK58" i="7"/>
  <c r="AL58" i="7"/>
  <c r="AM58" i="7"/>
  <c r="AO58" i="7"/>
  <c r="AP58" i="7"/>
  <c r="AQ58" i="7"/>
  <c r="AS58" i="7"/>
  <c r="AT58" i="7"/>
  <c r="AU58" i="7"/>
  <c r="Q59" i="7"/>
  <c r="R59" i="7"/>
  <c r="S59" i="7"/>
  <c r="T59" i="7"/>
  <c r="U59" i="7"/>
  <c r="V59" i="7"/>
  <c r="W59" i="7"/>
  <c r="Y59" i="7"/>
  <c r="Z59" i="7"/>
  <c r="AA59" i="7"/>
  <c r="AB59" i="7"/>
  <c r="AC59" i="7"/>
  <c r="AD59" i="7"/>
  <c r="AE59" i="7"/>
  <c r="AG59" i="7"/>
  <c r="AH59" i="7"/>
  <c r="AI59" i="7"/>
  <c r="AK59" i="7"/>
  <c r="AL59" i="7"/>
  <c r="AM59" i="7"/>
  <c r="AO59" i="7"/>
  <c r="AP59" i="7"/>
  <c r="AQ59" i="7"/>
  <c r="AS59" i="7"/>
  <c r="AT59" i="7"/>
  <c r="AU59" i="7"/>
  <c r="Q60" i="7"/>
  <c r="R60" i="7"/>
  <c r="S60" i="7"/>
  <c r="T60" i="7"/>
  <c r="U60" i="7"/>
  <c r="V60" i="7"/>
  <c r="W60" i="7"/>
  <c r="Y60" i="7"/>
  <c r="Z60" i="7"/>
  <c r="AA60" i="7"/>
  <c r="AB60" i="7"/>
  <c r="AC60" i="7"/>
  <c r="AD60" i="7"/>
  <c r="AE60" i="7"/>
  <c r="AG60" i="7"/>
  <c r="AH60" i="7"/>
  <c r="AI60" i="7"/>
  <c r="AK60" i="7"/>
  <c r="AL60" i="7"/>
  <c r="AM60" i="7"/>
  <c r="AO60" i="7"/>
  <c r="AP60" i="7"/>
  <c r="AQ60" i="7"/>
  <c r="AS60" i="7"/>
  <c r="AT60" i="7"/>
  <c r="AU60" i="7"/>
  <c r="Q61" i="7"/>
  <c r="R61" i="7"/>
  <c r="S61" i="7"/>
  <c r="T61" i="7"/>
  <c r="U61" i="7"/>
  <c r="V61" i="7"/>
  <c r="W61" i="7"/>
  <c r="Y61" i="7"/>
  <c r="Z61" i="7"/>
  <c r="AA61" i="7"/>
  <c r="AB61" i="7"/>
  <c r="AC61" i="7"/>
  <c r="AD61" i="7"/>
  <c r="AE61" i="7"/>
  <c r="AG61" i="7"/>
  <c r="AH61" i="7"/>
  <c r="AI61" i="7"/>
  <c r="AK61" i="7"/>
  <c r="AL61" i="7"/>
  <c r="AM61" i="7"/>
  <c r="AO61" i="7"/>
  <c r="AP61" i="7"/>
  <c r="AQ61" i="7"/>
  <c r="AS61" i="7"/>
  <c r="AT61" i="7"/>
  <c r="AU61" i="7"/>
  <c r="Q62" i="7"/>
  <c r="R62" i="7"/>
  <c r="S62" i="7"/>
  <c r="T62" i="7"/>
  <c r="U62" i="7"/>
  <c r="V62" i="7"/>
  <c r="W62" i="7"/>
  <c r="Y62" i="7"/>
  <c r="Z62" i="7"/>
  <c r="AA62" i="7"/>
  <c r="AB62" i="7"/>
  <c r="AC62" i="7"/>
  <c r="AD62" i="7"/>
  <c r="AE62" i="7"/>
  <c r="AG62" i="7"/>
  <c r="AH62" i="7"/>
  <c r="AI62" i="7"/>
  <c r="AK62" i="7"/>
  <c r="AL62" i="7"/>
  <c r="AM62" i="7"/>
  <c r="AO62" i="7"/>
  <c r="AP62" i="7"/>
  <c r="AQ62" i="7"/>
  <c r="AS62" i="7"/>
  <c r="AT62" i="7"/>
  <c r="AU62" i="7"/>
  <c r="Q63" i="7"/>
  <c r="R63" i="7"/>
  <c r="S63" i="7"/>
  <c r="T63" i="7"/>
  <c r="U63" i="7"/>
  <c r="V63" i="7"/>
  <c r="W63" i="7"/>
  <c r="Y63" i="7"/>
  <c r="Z63" i="7"/>
  <c r="AA63" i="7"/>
  <c r="AB63" i="7"/>
  <c r="AC63" i="7"/>
  <c r="AD63" i="7"/>
  <c r="AE63" i="7"/>
  <c r="AG63" i="7"/>
  <c r="AH63" i="7"/>
  <c r="AI63" i="7"/>
  <c r="AK63" i="7"/>
  <c r="AL63" i="7"/>
  <c r="AM63" i="7"/>
  <c r="AO63" i="7"/>
  <c r="AP63" i="7"/>
  <c r="AQ63" i="7"/>
  <c r="AS63" i="7"/>
  <c r="AT63" i="7"/>
  <c r="AU63" i="7"/>
  <c r="Q64" i="7"/>
  <c r="R64" i="7"/>
  <c r="S64" i="7"/>
  <c r="T64" i="7"/>
  <c r="U64" i="7"/>
  <c r="V64" i="7"/>
  <c r="W64" i="7"/>
  <c r="Y64" i="7"/>
  <c r="Z64" i="7"/>
  <c r="AA64" i="7"/>
  <c r="AB64" i="7"/>
  <c r="AC64" i="7"/>
  <c r="AD64" i="7"/>
  <c r="AE64" i="7"/>
  <c r="AG64" i="7"/>
  <c r="AH64" i="7"/>
  <c r="AI64" i="7"/>
  <c r="AK64" i="7"/>
  <c r="AL64" i="7"/>
  <c r="AM64" i="7"/>
  <c r="AO64" i="7"/>
  <c r="AP64" i="7"/>
  <c r="AQ64" i="7"/>
  <c r="AS64" i="7"/>
  <c r="AT64" i="7"/>
  <c r="AU64" i="7"/>
  <c r="Q65" i="7"/>
  <c r="R65" i="7"/>
  <c r="S65" i="7"/>
  <c r="T65" i="7"/>
  <c r="U65" i="7"/>
  <c r="V65" i="7"/>
  <c r="W65" i="7"/>
  <c r="Y65" i="7"/>
  <c r="Z65" i="7"/>
  <c r="AA65" i="7"/>
  <c r="AB65" i="7"/>
  <c r="AC65" i="7"/>
  <c r="AD65" i="7"/>
  <c r="AE65" i="7"/>
  <c r="AG65" i="7"/>
  <c r="AH65" i="7"/>
  <c r="AI65" i="7"/>
  <c r="AK65" i="7"/>
  <c r="AL65" i="7"/>
  <c r="AM65" i="7"/>
  <c r="AO65" i="7"/>
  <c r="AP65" i="7"/>
  <c r="AQ65" i="7"/>
  <c r="AS65" i="7"/>
  <c r="AT65" i="7"/>
  <c r="AU65" i="7"/>
  <c r="Q66" i="7"/>
  <c r="R66" i="7"/>
  <c r="S66" i="7"/>
  <c r="T66" i="7"/>
  <c r="U66" i="7"/>
  <c r="V66" i="7"/>
  <c r="W66" i="7"/>
  <c r="Y66" i="7"/>
  <c r="Z66" i="7"/>
  <c r="AA66" i="7"/>
  <c r="AB66" i="7"/>
  <c r="AC66" i="7"/>
  <c r="AD66" i="7"/>
  <c r="AE66" i="7"/>
  <c r="AG66" i="7"/>
  <c r="AH66" i="7"/>
  <c r="AI66" i="7"/>
  <c r="AK66" i="7"/>
  <c r="AL66" i="7"/>
  <c r="AM66" i="7"/>
  <c r="AO66" i="7"/>
  <c r="AP66" i="7"/>
  <c r="AQ66" i="7"/>
  <c r="AS66" i="7"/>
  <c r="AT66" i="7"/>
  <c r="AU66" i="7"/>
  <c r="Q67" i="7"/>
  <c r="R67" i="7"/>
  <c r="S67" i="7"/>
  <c r="T67" i="7"/>
  <c r="U67" i="7"/>
  <c r="V67" i="7"/>
  <c r="W67" i="7"/>
  <c r="Y67" i="7"/>
  <c r="Z67" i="7"/>
  <c r="AA67" i="7"/>
  <c r="AB67" i="7"/>
  <c r="AC67" i="7"/>
  <c r="AD67" i="7"/>
  <c r="AE67" i="7"/>
  <c r="AG67" i="7"/>
  <c r="AH67" i="7"/>
  <c r="AI67" i="7"/>
  <c r="AK67" i="7"/>
  <c r="AL67" i="7"/>
  <c r="AM67" i="7"/>
  <c r="AO67" i="7"/>
  <c r="AP67" i="7"/>
  <c r="AQ67" i="7"/>
  <c r="AS67" i="7"/>
  <c r="AT67" i="7"/>
  <c r="AU67" i="7"/>
  <c r="Q68" i="7"/>
  <c r="R68" i="7"/>
  <c r="S68" i="7"/>
  <c r="T68" i="7"/>
  <c r="U68" i="7"/>
  <c r="V68" i="7"/>
  <c r="W68" i="7"/>
  <c r="Y68" i="7"/>
  <c r="Z68" i="7"/>
  <c r="AA68" i="7"/>
  <c r="AB68" i="7"/>
  <c r="AC68" i="7"/>
  <c r="AD68" i="7"/>
  <c r="AE68" i="7"/>
  <c r="AG68" i="7"/>
  <c r="AH68" i="7"/>
  <c r="AI68" i="7"/>
  <c r="AK68" i="7"/>
  <c r="AL68" i="7"/>
  <c r="AM68" i="7"/>
  <c r="AO68" i="7"/>
  <c r="AP68" i="7"/>
  <c r="AQ68" i="7"/>
  <c r="AS68" i="7"/>
  <c r="AT68" i="7"/>
  <c r="AU68" i="7"/>
  <c r="Q69" i="7"/>
  <c r="R69" i="7"/>
  <c r="S69" i="7"/>
  <c r="T69" i="7"/>
  <c r="U69" i="7"/>
  <c r="V69" i="7"/>
  <c r="W69" i="7"/>
  <c r="Y69" i="7"/>
  <c r="Z69" i="7"/>
  <c r="AA69" i="7"/>
  <c r="AB69" i="7"/>
  <c r="AC69" i="7"/>
  <c r="AD69" i="7"/>
  <c r="AE69" i="7"/>
  <c r="AG69" i="7"/>
  <c r="AH69" i="7"/>
  <c r="AI69" i="7"/>
  <c r="AK69" i="7"/>
  <c r="AL69" i="7"/>
  <c r="AM69" i="7"/>
  <c r="AO69" i="7"/>
  <c r="AP69" i="7"/>
  <c r="AQ69" i="7"/>
  <c r="AS69" i="7"/>
  <c r="AT69" i="7"/>
  <c r="AU69" i="7"/>
  <c r="Q70" i="7"/>
  <c r="R70" i="7"/>
  <c r="S70" i="7"/>
  <c r="T70" i="7"/>
  <c r="U70" i="7"/>
  <c r="V70" i="7"/>
  <c r="W70" i="7"/>
  <c r="Y70" i="7"/>
  <c r="Z70" i="7"/>
  <c r="AA70" i="7"/>
  <c r="AB70" i="7"/>
  <c r="AC70" i="7"/>
  <c r="AD70" i="7"/>
  <c r="AE70" i="7"/>
  <c r="AG70" i="7"/>
  <c r="AH70" i="7"/>
  <c r="AI70" i="7"/>
  <c r="AK70" i="7"/>
  <c r="AL70" i="7"/>
  <c r="AM70" i="7"/>
  <c r="AO70" i="7"/>
  <c r="AP70" i="7"/>
  <c r="AQ70" i="7"/>
  <c r="AS70" i="7"/>
  <c r="AT70" i="7"/>
  <c r="AU70" i="7"/>
  <c r="Q71" i="7"/>
  <c r="R71" i="7"/>
  <c r="S71" i="7"/>
  <c r="T71" i="7"/>
  <c r="U71" i="7"/>
  <c r="V71" i="7"/>
  <c r="W71" i="7"/>
  <c r="Y71" i="7"/>
  <c r="Z71" i="7"/>
  <c r="AA71" i="7"/>
  <c r="AB71" i="7"/>
  <c r="AC71" i="7"/>
  <c r="AD71" i="7"/>
  <c r="AE71" i="7"/>
  <c r="AG71" i="7"/>
  <c r="AH71" i="7"/>
  <c r="AI71" i="7"/>
  <c r="AK71" i="7"/>
  <c r="AL71" i="7"/>
  <c r="AM71" i="7"/>
  <c r="AO71" i="7"/>
  <c r="AP71" i="7"/>
  <c r="AQ71" i="7"/>
  <c r="AS71" i="7"/>
  <c r="AT71" i="7"/>
  <c r="AU71" i="7"/>
  <c r="Q72" i="7"/>
  <c r="R72" i="7"/>
  <c r="S72" i="7"/>
  <c r="T72" i="7"/>
  <c r="U72" i="7"/>
  <c r="V72" i="7"/>
  <c r="W72" i="7"/>
  <c r="Y72" i="7"/>
  <c r="Z72" i="7"/>
  <c r="AA72" i="7"/>
  <c r="AB72" i="7"/>
  <c r="AC72" i="7"/>
  <c r="AD72" i="7"/>
  <c r="AE72" i="7"/>
  <c r="AG72" i="7"/>
  <c r="AH72" i="7"/>
  <c r="AI72" i="7"/>
  <c r="AK72" i="7"/>
  <c r="AL72" i="7"/>
  <c r="AM72" i="7"/>
  <c r="AO72" i="7"/>
  <c r="AP72" i="7"/>
  <c r="AQ72" i="7"/>
  <c r="AS72" i="7"/>
  <c r="AT72" i="7"/>
  <c r="AU72" i="7"/>
  <c r="Q73" i="7"/>
  <c r="R73" i="7"/>
  <c r="S73" i="7"/>
  <c r="T73" i="7"/>
  <c r="U73" i="7"/>
  <c r="V73" i="7"/>
  <c r="W73" i="7"/>
  <c r="Y73" i="7"/>
  <c r="Z73" i="7"/>
  <c r="AA73" i="7"/>
  <c r="AB73" i="7"/>
  <c r="AC73" i="7"/>
  <c r="AD73" i="7"/>
  <c r="AE73" i="7"/>
  <c r="AG73" i="7"/>
  <c r="AH73" i="7"/>
  <c r="AI73" i="7"/>
  <c r="AK73" i="7"/>
  <c r="AL73" i="7"/>
  <c r="AM73" i="7"/>
  <c r="AO73" i="7"/>
  <c r="AP73" i="7"/>
  <c r="AQ73" i="7"/>
  <c r="AS73" i="7"/>
  <c r="AT73" i="7"/>
  <c r="AU73" i="7"/>
  <c r="Q74" i="7"/>
  <c r="R74" i="7"/>
  <c r="S74" i="7"/>
  <c r="T74" i="7"/>
  <c r="U74" i="7"/>
  <c r="V74" i="7"/>
  <c r="W74" i="7"/>
  <c r="Y74" i="7"/>
  <c r="Z74" i="7"/>
  <c r="AA74" i="7"/>
  <c r="AB74" i="7"/>
  <c r="AC74" i="7"/>
  <c r="AD74" i="7"/>
  <c r="AE74" i="7"/>
  <c r="AG74" i="7"/>
  <c r="AH74" i="7"/>
  <c r="AI74" i="7"/>
  <c r="AK74" i="7"/>
  <c r="AL74" i="7"/>
  <c r="AM74" i="7"/>
  <c r="AO74" i="7"/>
  <c r="AP74" i="7"/>
  <c r="AQ74" i="7"/>
  <c r="AS74" i="7"/>
  <c r="AT74" i="7"/>
  <c r="AU74" i="7"/>
  <c r="Q75" i="7"/>
  <c r="R75" i="7"/>
  <c r="S75" i="7"/>
  <c r="T75" i="7"/>
  <c r="U75" i="7"/>
  <c r="V75" i="7"/>
  <c r="W75" i="7"/>
  <c r="Y75" i="7"/>
  <c r="Z75" i="7"/>
  <c r="AA75" i="7"/>
  <c r="AB75" i="7"/>
  <c r="AC75" i="7"/>
  <c r="AD75" i="7"/>
  <c r="AE75" i="7"/>
  <c r="AG75" i="7"/>
  <c r="AH75" i="7"/>
  <c r="AI75" i="7"/>
  <c r="AK75" i="7"/>
  <c r="AL75" i="7"/>
  <c r="AM75" i="7"/>
  <c r="AO75" i="7"/>
  <c r="AP75" i="7"/>
  <c r="AQ75" i="7"/>
  <c r="AS75" i="7"/>
  <c r="AT75" i="7"/>
  <c r="AU75" i="7"/>
  <c r="Q76" i="7"/>
  <c r="R76" i="7"/>
  <c r="S76" i="7"/>
  <c r="T76" i="7"/>
  <c r="U76" i="7"/>
  <c r="V76" i="7"/>
  <c r="W76" i="7"/>
  <c r="Y76" i="7"/>
  <c r="Z76" i="7"/>
  <c r="AA76" i="7"/>
  <c r="AB76" i="7"/>
  <c r="AC76" i="7"/>
  <c r="AD76" i="7"/>
  <c r="AE76" i="7"/>
  <c r="AG76" i="7"/>
  <c r="AH76" i="7"/>
  <c r="AI76" i="7"/>
  <c r="AK76" i="7"/>
  <c r="AL76" i="7"/>
  <c r="AM76" i="7"/>
  <c r="AO76" i="7"/>
  <c r="AP76" i="7"/>
  <c r="AQ76" i="7"/>
  <c r="AS76" i="7"/>
  <c r="AT76" i="7"/>
  <c r="AU76" i="7"/>
  <c r="Q77" i="7"/>
  <c r="R77" i="7"/>
  <c r="S77" i="7"/>
  <c r="T77" i="7"/>
  <c r="U77" i="7"/>
  <c r="J35" i="14" s="1"/>
  <c r="V77" i="7"/>
  <c r="W77" i="7"/>
  <c r="Y77" i="7"/>
  <c r="Z77" i="7"/>
  <c r="AA77" i="7"/>
  <c r="AB77" i="7"/>
  <c r="AC77" i="7"/>
  <c r="AD77" i="7"/>
  <c r="AE77" i="7"/>
  <c r="AG77" i="7"/>
  <c r="AH77" i="7"/>
  <c r="AI77" i="7"/>
  <c r="AK77" i="7"/>
  <c r="AL77" i="7"/>
  <c r="AM77" i="7"/>
  <c r="AO77" i="7"/>
  <c r="AP77" i="7"/>
  <c r="AQ77" i="7"/>
  <c r="AS77" i="7"/>
  <c r="AT77" i="7"/>
  <c r="AU77" i="7"/>
  <c r="Q78" i="7"/>
  <c r="R78" i="7"/>
  <c r="S78" i="7"/>
  <c r="T78" i="7"/>
  <c r="U78" i="7"/>
  <c r="V78" i="7"/>
  <c r="W78" i="7"/>
  <c r="Y78" i="7"/>
  <c r="Z78" i="7"/>
  <c r="AA78" i="7"/>
  <c r="AB78" i="7"/>
  <c r="AC78" i="7"/>
  <c r="AD78" i="7"/>
  <c r="AE78" i="7"/>
  <c r="AG78" i="7"/>
  <c r="AH78" i="7"/>
  <c r="AI78" i="7"/>
  <c r="AK78" i="7"/>
  <c r="AL78" i="7"/>
  <c r="AM78" i="7"/>
  <c r="AO78" i="7"/>
  <c r="AP78" i="7"/>
  <c r="AQ78" i="7"/>
  <c r="AS78" i="7"/>
  <c r="AT78" i="7"/>
  <c r="AU78" i="7"/>
  <c r="Q79" i="7"/>
  <c r="R79" i="7"/>
  <c r="S79" i="7"/>
  <c r="T79" i="7"/>
  <c r="U79" i="7"/>
  <c r="V79" i="7"/>
  <c r="W79" i="7"/>
  <c r="Y79" i="7"/>
  <c r="Z79" i="7"/>
  <c r="AA79" i="7"/>
  <c r="AB79" i="7"/>
  <c r="AC79" i="7"/>
  <c r="AD79" i="7"/>
  <c r="AE79" i="7"/>
  <c r="AG79" i="7"/>
  <c r="AH79" i="7"/>
  <c r="AI79" i="7"/>
  <c r="AK79" i="7"/>
  <c r="AL79" i="7"/>
  <c r="AM79" i="7"/>
  <c r="AO79" i="7"/>
  <c r="AP79" i="7"/>
  <c r="AQ79" i="7"/>
  <c r="AS79" i="7"/>
  <c r="AT79" i="7"/>
  <c r="AU79" i="7"/>
  <c r="Q80" i="7"/>
  <c r="R80" i="7"/>
  <c r="S80" i="7"/>
  <c r="T80" i="7"/>
  <c r="U80" i="7"/>
  <c r="V80" i="7"/>
  <c r="W80" i="7"/>
  <c r="Y80" i="7"/>
  <c r="Z80" i="7"/>
  <c r="AA80" i="7"/>
  <c r="AB80" i="7"/>
  <c r="AC80" i="7"/>
  <c r="AD80" i="7"/>
  <c r="AE80" i="7"/>
  <c r="AG80" i="7"/>
  <c r="AH80" i="7"/>
  <c r="AI80" i="7"/>
  <c r="AK80" i="7"/>
  <c r="AL80" i="7"/>
  <c r="AM80" i="7"/>
  <c r="AO80" i="7"/>
  <c r="AP80" i="7"/>
  <c r="AQ80" i="7"/>
  <c r="AS80" i="7"/>
  <c r="AT80" i="7"/>
  <c r="AU80" i="7"/>
  <c r="Q81" i="7"/>
  <c r="R81" i="7"/>
  <c r="S81" i="7"/>
  <c r="T81" i="7"/>
  <c r="U81" i="7"/>
  <c r="J39" i="14" s="1"/>
  <c r="V81" i="7"/>
  <c r="W81" i="7"/>
  <c r="Y81" i="7"/>
  <c r="Z81" i="7"/>
  <c r="AA81" i="7"/>
  <c r="AB81" i="7"/>
  <c r="AC81" i="7"/>
  <c r="AD81" i="7"/>
  <c r="AE81" i="7"/>
  <c r="AG81" i="7"/>
  <c r="AH81" i="7"/>
  <c r="AI81" i="7"/>
  <c r="AK81" i="7"/>
  <c r="AL81" i="7"/>
  <c r="AM81" i="7"/>
  <c r="AO81" i="7"/>
  <c r="AP81" i="7"/>
  <c r="AQ81" i="7"/>
  <c r="AS81" i="7"/>
  <c r="AT81" i="7"/>
  <c r="AU81" i="7"/>
  <c r="Q82" i="7"/>
  <c r="R82" i="7"/>
  <c r="S82" i="7"/>
  <c r="T82" i="7"/>
  <c r="U82" i="7"/>
  <c r="J47" i="14" s="1"/>
  <c r="V82" i="7"/>
  <c r="W82" i="7"/>
  <c r="Y82" i="7"/>
  <c r="Z82" i="7"/>
  <c r="AA82" i="7"/>
  <c r="AB82" i="7"/>
  <c r="AC82" i="7"/>
  <c r="AD82" i="7"/>
  <c r="AE82" i="7"/>
  <c r="AG82" i="7"/>
  <c r="AH82" i="7"/>
  <c r="AI82" i="7"/>
  <c r="AK82" i="7"/>
  <c r="AL82" i="7"/>
  <c r="AM82" i="7"/>
  <c r="AO82" i="7"/>
  <c r="AP82" i="7"/>
  <c r="AQ82" i="7"/>
  <c r="AS82" i="7"/>
  <c r="AT82" i="7"/>
  <c r="AU82" i="7"/>
  <c r="Q83" i="7"/>
  <c r="R83" i="7"/>
  <c r="S83" i="7"/>
  <c r="T83" i="7"/>
  <c r="U83" i="7"/>
  <c r="V83" i="7"/>
  <c r="W83" i="7"/>
  <c r="Y83" i="7"/>
  <c r="Z83" i="7"/>
  <c r="AA83" i="7"/>
  <c r="AB83" i="7"/>
  <c r="AC83" i="7"/>
  <c r="AD83" i="7"/>
  <c r="AE83" i="7"/>
  <c r="AG83" i="7"/>
  <c r="AH83" i="7"/>
  <c r="AI83" i="7"/>
  <c r="AK83" i="7"/>
  <c r="AL83" i="7"/>
  <c r="AM83" i="7"/>
  <c r="AO83" i="7"/>
  <c r="AP83" i="7"/>
  <c r="AQ83" i="7"/>
  <c r="AS83" i="7"/>
  <c r="AT83" i="7"/>
  <c r="AU83" i="7"/>
  <c r="Q84" i="7"/>
  <c r="R84" i="7"/>
  <c r="S84" i="7"/>
  <c r="T84" i="7"/>
  <c r="U84" i="7"/>
  <c r="V84" i="7"/>
  <c r="W84" i="7"/>
  <c r="Y84" i="7"/>
  <c r="Z84" i="7"/>
  <c r="AA84" i="7"/>
  <c r="AB84" i="7"/>
  <c r="AC84" i="7"/>
  <c r="AD84" i="7"/>
  <c r="AE84" i="7"/>
  <c r="AG84" i="7"/>
  <c r="AH84" i="7"/>
  <c r="AI84" i="7"/>
  <c r="AK84" i="7"/>
  <c r="AL84" i="7"/>
  <c r="AM84" i="7"/>
  <c r="AO84" i="7"/>
  <c r="AP84" i="7"/>
  <c r="AQ84" i="7"/>
  <c r="AS84" i="7"/>
  <c r="AT84" i="7"/>
  <c r="AU84" i="7"/>
  <c r="G37" i="14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3" i="7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Y3" i="9"/>
  <c r="AB3" i="9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287" i="14"/>
  <c r="E288" i="14"/>
  <c r="E289" i="14"/>
  <c r="E290" i="14"/>
  <c r="L290" i="14" s="1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287" i="14"/>
  <c r="D288" i="14"/>
  <c r="D289" i="14"/>
  <c r="D290" i="14"/>
  <c r="D291" i="14"/>
  <c r="D292" i="14"/>
  <c r="D293" i="14"/>
  <c r="L293" i="14" s="1"/>
  <c r="D294" i="14"/>
  <c r="L294" i="14" s="1"/>
  <c r="D295" i="14"/>
  <c r="D296" i="14"/>
  <c r="D297" i="14"/>
  <c r="L297" i="14" s="1"/>
  <c r="D298" i="14"/>
  <c r="L298" i="14" s="1"/>
  <c r="D299" i="14"/>
  <c r="D300" i="14"/>
  <c r="D301" i="14"/>
  <c r="D302" i="14"/>
  <c r="L302" i="14" s="1"/>
  <c r="D303" i="14"/>
  <c r="D287" i="14"/>
  <c r="L300" i="14"/>
  <c r="L296" i="14"/>
  <c r="L292" i="14"/>
  <c r="L289" i="14"/>
  <c r="L288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L272" i="14" s="1"/>
  <c r="H273" i="14"/>
  <c r="H274" i="14"/>
  <c r="H275" i="14"/>
  <c r="H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L274" i="14" s="1"/>
  <c r="G275" i="14"/>
  <c r="G259" i="14"/>
  <c r="L270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L273" i="14" s="1"/>
  <c r="E274" i="14"/>
  <c r="E275" i="14"/>
  <c r="E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59" i="14"/>
  <c r="L269" i="14"/>
  <c r="L268" i="14"/>
  <c r="L266" i="14"/>
  <c r="L265" i="14"/>
  <c r="L264" i="14"/>
  <c r="L262" i="14"/>
  <c r="L261" i="14"/>
  <c r="L260" i="14"/>
  <c r="I150" i="14"/>
  <c r="I151" i="14"/>
  <c r="I152" i="14"/>
  <c r="I153" i="14"/>
  <c r="J153" i="14" s="1"/>
  <c r="I154" i="14"/>
  <c r="I155" i="14"/>
  <c r="I156" i="14"/>
  <c r="I157" i="14"/>
  <c r="I158" i="14"/>
  <c r="I159" i="14"/>
  <c r="I160" i="14"/>
  <c r="I161" i="14"/>
  <c r="J161" i="14" s="1"/>
  <c r="I162" i="14"/>
  <c r="I163" i="14"/>
  <c r="I164" i="14"/>
  <c r="I165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21" i="14"/>
  <c r="I149" i="14"/>
  <c r="D150" i="14"/>
  <c r="E150" i="14"/>
  <c r="F150" i="14"/>
  <c r="J150" i="14" s="1"/>
  <c r="G150" i="14"/>
  <c r="H150" i="14"/>
  <c r="D151" i="14"/>
  <c r="J151" i="14" s="1"/>
  <c r="E151" i="14"/>
  <c r="F151" i="14"/>
  <c r="G151" i="14"/>
  <c r="H151" i="14"/>
  <c r="D152" i="14"/>
  <c r="E152" i="14"/>
  <c r="F152" i="14"/>
  <c r="J152" i="14" s="1"/>
  <c r="G152" i="14"/>
  <c r="H152" i="14"/>
  <c r="D153" i="14"/>
  <c r="E153" i="14"/>
  <c r="F153" i="14"/>
  <c r="G153" i="14"/>
  <c r="H153" i="14"/>
  <c r="D154" i="14"/>
  <c r="E154" i="14"/>
  <c r="F154" i="14"/>
  <c r="G154" i="14"/>
  <c r="J154" i="14" s="1"/>
  <c r="H154" i="14"/>
  <c r="D155" i="14"/>
  <c r="J155" i="14" s="1"/>
  <c r="E155" i="14"/>
  <c r="F155" i="14"/>
  <c r="G155" i="14"/>
  <c r="H155" i="14"/>
  <c r="D156" i="14"/>
  <c r="E156" i="14"/>
  <c r="J156" i="14" s="1"/>
  <c r="F156" i="14"/>
  <c r="G156" i="14"/>
  <c r="H156" i="14"/>
  <c r="D157" i="14"/>
  <c r="E157" i="14"/>
  <c r="F157" i="14"/>
  <c r="G157" i="14"/>
  <c r="H157" i="14"/>
  <c r="D158" i="14"/>
  <c r="E158" i="14"/>
  <c r="F158" i="14"/>
  <c r="G158" i="14"/>
  <c r="H158" i="14"/>
  <c r="D159" i="14"/>
  <c r="E159" i="14"/>
  <c r="J159" i="14" s="1"/>
  <c r="F159" i="14"/>
  <c r="G159" i="14"/>
  <c r="H159" i="14"/>
  <c r="D160" i="14"/>
  <c r="E160" i="14"/>
  <c r="F160" i="14"/>
  <c r="J160" i="14" s="1"/>
  <c r="G160" i="14"/>
  <c r="H160" i="14"/>
  <c r="D161" i="14"/>
  <c r="E161" i="14"/>
  <c r="F161" i="14"/>
  <c r="G161" i="14"/>
  <c r="H161" i="14"/>
  <c r="D162" i="14"/>
  <c r="E162" i="14"/>
  <c r="J162" i="14" s="1"/>
  <c r="F162" i="14"/>
  <c r="G162" i="14"/>
  <c r="H162" i="14"/>
  <c r="D163" i="14"/>
  <c r="E163" i="14"/>
  <c r="F163" i="14"/>
  <c r="G163" i="14"/>
  <c r="H163" i="14"/>
  <c r="D164" i="14"/>
  <c r="E164" i="14"/>
  <c r="J164" i="14" s="1"/>
  <c r="F164" i="14"/>
  <c r="G164" i="14"/>
  <c r="H164" i="14"/>
  <c r="D165" i="14"/>
  <c r="E165" i="14"/>
  <c r="F165" i="14"/>
  <c r="G165" i="14"/>
  <c r="H165" i="14"/>
  <c r="H149" i="14"/>
  <c r="G149" i="14"/>
  <c r="F149" i="14"/>
  <c r="E149" i="14"/>
  <c r="D149" i="14"/>
  <c r="J163" i="14"/>
  <c r="J158" i="14"/>
  <c r="D122" i="14"/>
  <c r="E122" i="14"/>
  <c r="F122" i="14"/>
  <c r="G122" i="14"/>
  <c r="J122" i="14" s="1"/>
  <c r="H122" i="14"/>
  <c r="D123" i="14"/>
  <c r="E123" i="14"/>
  <c r="F123" i="14"/>
  <c r="G123" i="14"/>
  <c r="H123" i="14"/>
  <c r="D124" i="14"/>
  <c r="E124" i="14"/>
  <c r="F124" i="14"/>
  <c r="G124" i="14"/>
  <c r="J124" i="14" s="1"/>
  <c r="H124" i="14"/>
  <c r="D125" i="14"/>
  <c r="E125" i="14"/>
  <c r="F125" i="14"/>
  <c r="G125" i="14"/>
  <c r="H125" i="14"/>
  <c r="D126" i="14"/>
  <c r="E126" i="14"/>
  <c r="F126" i="14"/>
  <c r="G126" i="14"/>
  <c r="J126" i="14" s="1"/>
  <c r="H126" i="14"/>
  <c r="D127" i="14"/>
  <c r="E127" i="14"/>
  <c r="F127" i="14"/>
  <c r="G127" i="14"/>
  <c r="H127" i="14"/>
  <c r="D128" i="14"/>
  <c r="E128" i="14"/>
  <c r="F128" i="14"/>
  <c r="G128" i="14"/>
  <c r="J128" i="14" s="1"/>
  <c r="H128" i="14"/>
  <c r="D129" i="14"/>
  <c r="E129" i="14"/>
  <c r="F129" i="14"/>
  <c r="G129" i="14"/>
  <c r="H129" i="14"/>
  <c r="D130" i="14"/>
  <c r="E130" i="14"/>
  <c r="F130" i="14"/>
  <c r="G130" i="14"/>
  <c r="J130" i="14" s="1"/>
  <c r="H130" i="14"/>
  <c r="D131" i="14"/>
  <c r="E131" i="14"/>
  <c r="F131" i="14"/>
  <c r="G131" i="14"/>
  <c r="H131" i="14"/>
  <c r="D132" i="14"/>
  <c r="E132" i="14"/>
  <c r="F132" i="14"/>
  <c r="G132" i="14"/>
  <c r="J132" i="14" s="1"/>
  <c r="H132" i="14"/>
  <c r="D133" i="14"/>
  <c r="E133" i="14"/>
  <c r="F133" i="14"/>
  <c r="G133" i="14"/>
  <c r="H133" i="14"/>
  <c r="D134" i="14"/>
  <c r="E134" i="14"/>
  <c r="F134" i="14"/>
  <c r="G134" i="14"/>
  <c r="J134" i="14" s="1"/>
  <c r="H134" i="14"/>
  <c r="D135" i="14"/>
  <c r="E135" i="14"/>
  <c r="F135" i="14"/>
  <c r="G135" i="14"/>
  <c r="H135" i="14"/>
  <c r="D136" i="14"/>
  <c r="E136" i="14"/>
  <c r="J136" i="14" s="1"/>
  <c r="F136" i="14"/>
  <c r="G136" i="14"/>
  <c r="H136" i="14"/>
  <c r="D137" i="14"/>
  <c r="E137" i="14"/>
  <c r="F137" i="14"/>
  <c r="G137" i="14"/>
  <c r="H137" i="14"/>
  <c r="H121" i="14"/>
  <c r="G121" i="14"/>
  <c r="F121" i="14"/>
  <c r="E121" i="14"/>
  <c r="D121" i="14"/>
  <c r="J123" i="14"/>
  <c r="J127" i="14"/>
  <c r="J131" i="14"/>
  <c r="J135" i="14"/>
  <c r="K107" i="14"/>
  <c r="J107" i="14"/>
  <c r="I107" i="14"/>
  <c r="H107" i="14"/>
  <c r="G107" i="14"/>
  <c r="F107" i="14"/>
  <c r="E107" i="14"/>
  <c r="K106" i="14"/>
  <c r="J106" i="14"/>
  <c r="I106" i="14"/>
  <c r="H106" i="14"/>
  <c r="G106" i="14"/>
  <c r="L106" i="14" s="1"/>
  <c r="F106" i="14"/>
  <c r="E106" i="14"/>
  <c r="K105" i="14"/>
  <c r="J105" i="14"/>
  <c r="I105" i="14"/>
  <c r="H105" i="14"/>
  <c r="G105" i="14"/>
  <c r="F105" i="14"/>
  <c r="E105" i="14"/>
  <c r="K104" i="14"/>
  <c r="J104" i="14"/>
  <c r="I104" i="14"/>
  <c r="H104" i="14"/>
  <c r="G104" i="14"/>
  <c r="F104" i="14"/>
  <c r="E104" i="14"/>
  <c r="L104" i="14" s="1"/>
  <c r="K103" i="14"/>
  <c r="J103" i="14"/>
  <c r="I103" i="14"/>
  <c r="H103" i="14"/>
  <c r="G103" i="14"/>
  <c r="F103" i="14"/>
  <c r="E103" i="14"/>
  <c r="K102" i="14"/>
  <c r="J102" i="14"/>
  <c r="I102" i="14"/>
  <c r="H102" i="14"/>
  <c r="G102" i="14"/>
  <c r="L102" i="14" s="1"/>
  <c r="F102" i="14"/>
  <c r="E102" i="14"/>
  <c r="K101" i="14"/>
  <c r="J101" i="14"/>
  <c r="I101" i="14"/>
  <c r="H101" i="14"/>
  <c r="G101" i="14"/>
  <c r="F101" i="14"/>
  <c r="L101" i="14" s="1"/>
  <c r="E101" i="14"/>
  <c r="K100" i="14"/>
  <c r="J100" i="14"/>
  <c r="I100" i="14"/>
  <c r="H100" i="14"/>
  <c r="G100" i="14"/>
  <c r="F100" i="14"/>
  <c r="E100" i="14"/>
  <c r="L100" i="14" s="1"/>
  <c r="K99" i="14"/>
  <c r="J99" i="14"/>
  <c r="I99" i="14"/>
  <c r="H99" i="14"/>
  <c r="G99" i="14"/>
  <c r="F99" i="14"/>
  <c r="E99" i="14"/>
  <c r="K98" i="14"/>
  <c r="J98" i="14"/>
  <c r="I98" i="14"/>
  <c r="H98" i="14"/>
  <c r="G98" i="14"/>
  <c r="F98" i="14"/>
  <c r="E98" i="14"/>
  <c r="K97" i="14"/>
  <c r="J97" i="14"/>
  <c r="I97" i="14"/>
  <c r="H97" i="14"/>
  <c r="G97" i="14"/>
  <c r="F97" i="14"/>
  <c r="L97" i="14" s="1"/>
  <c r="E97" i="14"/>
  <c r="K96" i="14"/>
  <c r="J96" i="14"/>
  <c r="I96" i="14"/>
  <c r="H96" i="14"/>
  <c r="G96" i="14"/>
  <c r="F96" i="14"/>
  <c r="E96" i="14"/>
  <c r="L96" i="14" s="1"/>
  <c r="K95" i="14"/>
  <c r="J95" i="14"/>
  <c r="I95" i="14"/>
  <c r="H95" i="14"/>
  <c r="G95" i="14"/>
  <c r="F95" i="14"/>
  <c r="E95" i="14"/>
  <c r="K94" i="14"/>
  <c r="J94" i="14"/>
  <c r="I94" i="14"/>
  <c r="H94" i="14"/>
  <c r="G94" i="14"/>
  <c r="L94" i="14" s="1"/>
  <c r="F94" i="14"/>
  <c r="E94" i="14"/>
  <c r="K93" i="14"/>
  <c r="J93" i="14"/>
  <c r="I93" i="14"/>
  <c r="H93" i="14"/>
  <c r="G93" i="14"/>
  <c r="F93" i="14"/>
  <c r="L93" i="14" s="1"/>
  <c r="E93" i="14"/>
  <c r="K92" i="14"/>
  <c r="J92" i="14"/>
  <c r="I92" i="14"/>
  <c r="H92" i="14"/>
  <c r="G92" i="14"/>
  <c r="F92" i="14"/>
  <c r="E92" i="14"/>
  <c r="L92" i="14" s="1"/>
  <c r="L98" i="14"/>
  <c r="L105" i="14"/>
  <c r="K91" i="14"/>
  <c r="J91" i="14"/>
  <c r="I91" i="14"/>
  <c r="H91" i="14"/>
  <c r="G91" i="14"/>
  <c r="F91" i="14"/>
  <c r="E91" i="14"/>
  <c r="D92" i="14"/>
  <c r="D93" i="14"/>
  <c r="D94" i="14"/>
  <c r="D95" i="14"/>
  <c r="L95" i="14" s="1"/>
  <c r="D96" i="14"/>
  <c r="D97" i="14"/>
  <c r="D98" i="14"/>
  <c r="D99" i="14"/>
  <c r="L99" i="14" s="1"/>
  <c r="D100" i="14"/>
  <c r="D101" i="14"/>
  <c r="D102" i="14"/>
  <c r="D103" i="14"/>
  <c r="L103" i="14" s="1"/>
  <c r="D104" i="14"/>
  <c r="D105" i="14"/>
  <c r="D106" i="14"/>
  <c r="D107" i="14"/>
  <c r="D91" i="14"/>
  <c r="I63" i="14"/>
  <c r="J63" i="14"/>
  <c r="K63" i="14"/>
  <c r="L63" i="14" s="1"/>
  <c r="I64" i="14"/>
  <c r="L64" i="14" s="1"/>
  <c r="J64" i="14"/>
  <c r="K64" i="14"/>
  <c r="I65" i="14"/>
  <c r="J65" i="14"/>
  <c r="L65" i="14" s="1"/>
  <c r="K65" i="14"/>
  <c r="I66" i="14"/>
  <c r="J66" i="14"/>
  <c r="K66" i="14"/>
  <c r="I67" i="14"/>
  <c r="J67" i="14"/>
  <c r="K67" i="14"/>
  <c r="I68" i="14"/>
  <c r="J68" i="14"/>
  <c r="K68" i="14"/>
  <c r="I69" i="14"/>
  <c r="L69" i="14" s="1"/>
  <c r="J69" i="14"/>
  <c r="K69" i="14"/>
  <c r="I70" i="14"/>
  <c r="J70" i="14"/>
  <c r="K70" i="14"/>
  <c r="I71" i="14"/>
  <c r="J71" i="14"/>
  <c r="K71" i="14"/>
  <c r="L71" i="14" s="1"/>
  <c r="I72" i="14"/>
  <c r="J72" i="14"/>
  <c r="K72" i="14"/>
  <c r="I73" i="14"/>
  <c r="J73" i="14"/>
  <c r="K73" i="14"/>
  <c r="I74" i="14"/>
  <c r="J74" i="14"/>
  <c r="K74" i="14"/>
  <c r="I75" i="14"/>
  <c r="J75" i="14"/>
  <c r="K75" i="14"/>
  <c r="I76" i="14"/>
  <c r="J76" i="14"/>
  <c r="K76" i="14"/>
  <c r="I77" i="14"/>
  <c r="J77" i="14"/>
  <c r="K77" i="14"/>
  <c r="I78" i="14"/>
  <c r="J78" i="14"/>
  <c r="K78" i="14"/>
  <c r="K62" i="14"/>
  <c r="J62" i="14"/>
  <c r="I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62" i="14"/>
  <c r="E62" i="14"/>
  <c r="D62" i="14"/>
  <c r="D63" i="14"/>
  <c r="D64" i="14"/>
  <c r="D65" i="14"/>
  <c r="D66" i="14"/>
  <c r="L66" i="14" s="1"/>
  <c r="D67" i="14"/>
  <c r="D68" i="14"/>
  <c r="D69" i="14"/>
  <c r="D70" i="14"/>
  <c r="L70" i="14" s="1"/>
  <c r="D71" i="14"/>
  <c r="D72" i="14"/>
  <c r="D73" i="14"/>
  <c r="D74" i="14"/>
  <c r="D75" i="14"/>
  <c r="D76" i="14"/>
  <c r="D77" i="14"/>
  <c r="D78" i="14"/>
  <c r="L67" i="14"/>
  <c r="L75" i="14"/>
  <c r="J36" i="14"/>
  <c r="J37" i="14"/>
  <c r="J38" i="14"/>
  <c r="J40" i="14"/>
  <c r="J41" i="14"/>
  <c r="J42" i="14"/>
  <c r="J44" i="14"/>
  <c r="J45" i="14"/>
  <c r="J46" i="14"/>
  <c r="J48" i="14"/>
  <c r="J49" i="14"/>
  <c r="J50" i="14"/>
  <c r="J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34" i="14"/>
  <c r="G40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34" i="14"/>
  <c r="I8" i="14"/>
  <c r="J8" i="14"/>
  <c r="I9" i="14"/>
  <c r="J9" i="14"/>
  <c r="I10" i="14"/>
  <c r="J10" i="14"/>
  <c r="I11" i="14"/>
  <c r="J11" i="14"/>
  <c r="I12" i="14"/>
  <c r="J12" i="14"/>
  <c r="I13" i="14"/>
  <c r="J13" i="14"/>
  <c r="I14" i="14"/>
  <c r="J14" i="14"/>
  <c r="I15" i="14"/>
  <c r="J15" i="14"/>
  <c r="I16" i="14"/>
  <c r="J16" i="14"/>
  <c r="I17" i="14"/>
  <c r="J17" i="14"/>
  <c r="I18" i="14"/>
  <c r="J18" i="14"/>
  <c r="I19" i="14"/>
  <c r="J19" i="14"/>
  <c r="I20" i="14"/>
  <c r="J20" i="14"/>
  <c r="I21" i="14"/>
  <c r="J21" i="14"/>
  <c r="I22" i="14"/>
  <c r="J22" i="14"/>
  <c r="I23" i="14"/>
  <c r="J23" i="14"/>
  <c r="J7" i="14"/>
  <c r="I7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7" i="14"/>
  <c r="J85" i="8"/>
  <c r="K85" i="8" s="1"/>
  <c r="J80" i="8"/>
  <c r="J81" i="8"/>
  <c r="J82" i="8"/>
  <c r="K82" i="8" s="1"/>
  <c r="J83" i="8"/>
  <c r="K83" i="8" s="1"/>
  <c r="J84" i="8"/>
  <c r="K84" i="8" s="1"/>
  <c r="J79" i="8"/>
  <c r="J87" i="8" s="1"/>
  <c r="K81" i="8"/>
  <c r="K80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3" i="7"/>
  <c r="R28" i="15" l="1"/>
  <c r="R25" i="15"/>
  <c r="R24" i="15"/>
  <c r="D45" i="15"/>
  <c r="D57" i="15"/>
  <c r="D49" i="15"/>
  <c r="D29" i="15"/>
  <c r="D21" i="15"/>
  <c r="D5" i="15"/>
  <c r="D61" i="15"/>
  <c r="L34" i="15"/>
  <c r="D65" i="15"/>
  <c r="D41" i="15"/>
  <c r="D33" i="15"/>
  <c r="M82" i="15"/>
  <c r="M78" i="15"/>
  <c r="M74" i="15"/>
  <c r="M70" i="15"/>
  <c r="M66" i="15"/>
  <c r="M62" i="15"/>
  <c r="M58" i="15"/>
  <c r="M54" i="15"/>
  <c r="M50" i="15"/>
  <c r="M46" i="15"/>
  <c r="M42" i="15"/>
  <c r="M38" i="15"/>
  <c r="M34" i="15"/>
  <c r="M30" i="15"/>
  <c r="M26" i="15"/>
  <c r="M18" i="15"/>
  <c r="M14" i="15"/>
  <c r="M10" i="15"/>
  <c r="K83" i="15"/>
  <c r="K79" i="15"/>
  <c r="K75" i="15"/>
  <c r="K71" i="15"/>
  <c r="K67" i="15"/>
  <c r="K63" i="15"/>
  <c r="K59" i="15"/>
  <c r="K55" i="15"/>
  <c r="K51" i="15"/>
  <c r="K47" i="15"/>
  <c r="K43" i="15"/>
  <c r="K39" i="15"/>
  <c r="K35" i="15"/>
  <c r="K31" i="15"/>
  <c r="K27" i="15"/>
  <c r="K23" i="15"/>
  <c r="K19" i="15"/>
  <c r="K15" i="15"/>
  <c r="K11" i="15"/>
  <c r="K7" i="15"/>
  <c r="L3" i="15"/>
  <c r="L81" i="15"/>
  <c r="L77" i="15"/>
  <c r="L73" i="15"/>
  <c r="L69" i="15"/>
  <c r="L65" i="15"/>
  <c r="L61" i="15"/>
  <c r="L57" i="15"/>
  <c r="L53" i="15"/>
  <c r="L49" i="15"/>
  <c r="L45" i="15"/>
  <c r="L41" i="15"/>
  <c r="L37" i="15"/>
  <c r="L33" i="15"/>
  <c r="L29" i="15"/>
  <c r="L25" i="15"/>
  <c r="L21" i="15"/>
  <c r="L17" i="15"/>
  <c r="L13" i="15"/>
  <c r="L9" i="15"/>
  <c r="L5" i="15"/>
  <c r="M80" i="15"/>
  <c r="M72" i="15"/>
  <c r="M64" i="15"/>
  <c r="M56" i="15"/>
  <c r="M48" i="15"/>
  <c r="M40" i="15"/>
  <c r="M32" i="15"/>
  <c r="M24" i="15"/>
  <c r="M16" i="15"/>
  <c r="M8" i="15"/>
  <c r="L26" i="15"/>
  <c r="L18" i="15"/>
  <c r="L10" i="15"/>
  <c r="M83" i="15"/>
  <c r="M67" i="15"/>
  <c r="M51" i="15"/>
  <c r="M35" i="15"/>
  <c r="M27" i="15"/>
  <c r="M11" i="15"/>
  <c r="M22" i="15"/>
  <c r="D22" i="15"/>
  <c r="M6" i="15"/>
  <c r="D6" i="15"/>
  <c r="M79" i="15"/>
  <c r="M71" i="15"/>
  <c r="M63" i="15"/>
  <c r="M55" i="15"/>
  <c r="M47" i="15"/>
  <c r="M39" i="15"/>
  <c r="M31" i="15"/>
  <c r="M23" i="15"/>
  <c r="M15" i="15"/>
  <c r="M7" i="15"/>
  <c r="K84" i="15"/>
  <c r="K80" i="15"/>
  <c r="K76" i="15"/>
  <c r="K72" i="15"/>
  <c r="K68" i="15"/>
  <c r="K64" i="15"/>
  <c r="K60" i="15"/>
  <c r="K56" i="15"/>
  <c r="K52" i="15"/>
  <c r="K48" i="15"/>
  <c r="K44" i="15"/>
  <c r="K40" i="15"/>
  <c r="K36" i="15"/>
  <c r="K32" i="15"/>
  <c r="K28" i="15"/>
  <c r="K24" i="15"/>
  <c r="K20" i="15"/>
  <c r="K16" i="15"/>
  <c r="K12" i="15"/>
  <c r="K8" i="15"/>
  <c r="K4" i="15"/>
  <c r="L82" i="15"/>
  <c r="L78" i="15"/>
  <c r="L74" i="15"/>
  <c r="L70" i="15"/>
  <c r="L66" i="15"/>
  <c r="L62" i="15"/>
  <c r="L58" i="15"/>
  <c r="L54" i="15"/>
  <c r="L50" i="15"/>
  <c r="L46" i="15"/>
  <c r="L42" i="15"/>
  <c r="L38" i="15"/>
  <c r="L30" i="15"/>
  <c r="L22" i="15"/>
  <c r="L14" i="15"/>
  <c r="L6" i="15"/>
  <c r="M75" i="15"/>
  <c r="M59" i="15"/>
  <c r="M43" i="15"/>
  <c r="M19" i="15"/>
  <c r="D54" i="15"/>
  <c r="D38" i="15"/>
  <c r="D14" i="15"/>
  <c r="D3" i="15"/>
  <c r="M3" i="15"/>
  <c r="M81" i="15"/>
  <c r="M77" i="15"/>
  <c r="M73" i="15"/>
  <c r="M69" i="15"/>
  <c r="M17" i="15"/>
  <c r="D17" i="15"/>
  <c r="D82" i="15"/>
  <c r="D74" i="15"/>
  <c r="D66" i="15"/>
  <c r="D58" i="15"/>
  <c r="D53" i="15"/>
  <c r="D42" i="15"/>
  <c r="D37" i="15"/>
  <c r="D26" i="15"/>
  <c r="D13" i="15"/>
  <c r="M84" i="15"/>
  <c r="M76" i="15"/>
  <c r="M68" i="15"/>
  <c r="M60" i="15"/>
  <c r="M52" i="15"/>
  <c r="M44" i="15"/>
  <c r="M36" i="15"/>
  <c r="M28" i="15"/>
  <c r="M20" i="15"/>
  <c r="M12" i="15"/>
  <c r="M4" i="15"/>
  <c r="L89" i="15"/>
  <c r="J74" i="17"/>
  <c r="P74" i="17"/>
  <c r="AJ4" i="17"/>
  <c r="AJ5" i="17"/>
  <c r="R18" i="17"/>
  <c r="S18" i="17" s="1"/>
  <c r="R13" i="17"/>
  <c r="R6" i="17"/>
  <c r="AE3" i="17"/>
  <c r="AB8" i="17"/>
  <c r="AG9" i="17"/>
  <c r="AH9" i="17" s="1"/>
  <c r="AB9" i="17"/>
  <c r="AJ3" i="17"/>
  <c r="R4" i="17"/>
  <c r="S4" i="17" s="1"/>
  <c r="W5" i="17"/>
  <c r="AJ6" i="17"/>
  <c r="W7" i="17"/>
  <c r="R7" i="17"/>
  <c r="S7" i="17" s="1"/>
  <c r="U7" i="17"/>
  <c r="AJ8" i="17"/>
  <c r="R3" i="17"/>
  <c r="R5" i="17"/>
  <c r="S5" i="17" s="1"/>
  <c r="R8" i="17"/>
  <c r="S8" i="17" s="1"/>
  <c r="U9" i="17"/>
  <c r="AC9" i="17"/>
  <c r="K18" i="17" s="1"/>
  <c r="AJ9" i="17"/>
  <c r="W6" i="17"/>
  <c r="AJ7" i="17"/>
  <c r="AE8" i="17"/>
  <c r="AE9" i="17"/>
  <c r="AJ10" i="17"/>
  <c r="W11" i="17"/>
  <c r="R11" i="17"/>
  <c r="S11" i="17" s="1"/>
  <c r="AB6" i="17"/>
  <c r="R12" i="17"/>
  <c r="S12" i="17" s="1"/>
  <c r="R14" i="17"/>
  <c r="S14" i="17" s="1"/>
  <c r="U5" i="17"/>
  <c r="AG8" i="17"/>
  <c r="AH8" i="17" s="1"/>
  <c r="W9" i="17"/>
  <c r="R9" i="17"/>
  <c r="S9" i="17" s="1"/>
  <c r="AE5" i="17"/>
  <c r="R10" i="17"/>
  <c r="AC5" i="17" s="1"/>
  <c r="K10" i="17" s="1"/>
  <c r="W10" i="17"/>
  <c r="AB5" i="17"/>
  <c r="W13" i="17"/>
  <c r="S13" i="17"/>
  <c r="U16" i="17"/>
  <c r="R16" i="17"/>
  <c r="S16" i="17" s="1"/>
  <c r="W16" i="17"/>
  <c r="W19" i="17"/>
  <c r="R19" i="17"/>
  <c r="AE10" i="17"/>
  <c r="R17" i="17"/>
  <c r="S17" i="17" s="1"/>
  <c r="U12" i="17"/>
  <c r="W15" i="17"/>
  <c r="R15" i="17"/>
  <c r="S15" i="17" s="1"/>
  <c r="U15" i="17"/>
  <c r="AB10" i="17"/>
  <c r="J87" i="17"/>
  <c r="G36" i="14"/>
  <c r="K36" i="14" s="1"/>
  <c r="G48" i="14"/>
  <c r="J43" i="14"/>
  <c r="K40" i="14"/>
  <c r="G34" i="14"/>
  <c r="K34" i="14" s="1"/>
  <c r="G47" i="14"/>
  <c r="K47" i="14" s="1"/>
  <c r="G43" i="14"/>
  <c r="K43" i="14" s="1"/>
  <c r="G39" i="14"/>
  <c r="K39" i="14" s="1"/>
  <c r="G35" i="14"/>
  <c r="K35" i="14" s="1"/>
  <c r="K37" i="14"/>
  <c r="G50" i="14"/>
  <c r="K50" i="14" s="1"/>
  <c r="G46" i="14"/>
  <c r="K46" i="14" s="1"/>
  <c r="G42" i="14"/>
  <c r="K42" i="14" s="1"/>
  <c r="G38" i="14"/>
  <c r="K38" i="14" s="1"/>
  <c r="G49" i="14"/>
  <c r="K49" i="14" s="1"/>
  <c r="G45" i="14"/>
  <c r="K45" i="14" s="1"/>
  <c r="G41" i="14"/>
  <c r="K41" i="14" s="1"/>
  <c r="L301" i="14"/>
  <c r="L287" i="14"/>
  <c r="L303" i="14"/>
  <c r="L299" i="14"/>
  <c r="L295" i="14"/>
  <c r="L291" i="14"/>
  <c r="L275" i="14"/>
  <c r="L271" i="14"/>
  <c r="L267" i="14"/>
  <c r="L263" i="14"/>
  <c r="L259" i="14"/>
  <c r="J165" i="14"/>
  <c r="J157" i="14"/>
  <c r="J137" i="14"/>
  <c r="J133" i="14"/>
  <c r="J129" i="14"/>
  <c r="J125" i="14"/>
  <c r="J149" i="14"/>
  <c r="J167" i="14" s="1"/>
  <c r="J121" i="14"/>
  <c r="L107" i="14"/>
  <c r="L91" i="14"/>
  <c r="L77" i="14"/>
  <c r="L73" i="14"/>
  <c r="L72" i="14"/>
  <c r="L68" i="14"/>
  <c r="L76" i="14"/>
  <c r="L74" i="14"/>
  <c r="L78" i="14"/>
  <c r="L62" i="14"/>
  <c r="K44" i="14"/>
  <c r="K48" i="14"/>
  <c r="K79" i="8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7" i="7"/>
  <c r="D17" i="7"/>
  <c r="E17" i="7"/>
  <c r="F17" i="7"/>
  <c r="C18" i="7"/>
  <c r="D18" i="7"/>
  <c r="E18" i="7"/>
  <c r="F18" i="7"/>
  <c r="C31" i="7"/>
  <c r="D31" i="7"/>
  <c r="E31" i="7"/>
  <c r="F31" i="7"/>
  <c r="O87" i="13"/>
  <c r="N87" i="13"/>
  <c r="M87" i="13"/>
  <c r="L87" i="13"/>
  <c r="K87" i="13"/>
  <c r="J87" i="13"/>
  <c r="I87" i="13"/>
  <c r="H87" i="13"/>
  <c r="G87" i="13"/>
  <c r="F87" i="13"/>
  <c r="E87" i="13"/>
  <c r="D3" i="13"/>
  <c r="C4" i="7" s="1"/>
  <c r="D4" i="13"/>
  <c r="C5" i="7" s="1"/>
  <c r="D5" i="13"/>
  <c r="D6" i="13"/>
  <c r="D7" i="13"/>
  <c r="D8" i="13"/>
  <c r="D9" i="13"/>
  <c r="C10" i="7" s="1"/>
  <c r="D10" i="13"/>
  <c r="C11" i="7" s="1"/>
  <c r="D11" i="13"/>
  <c r="C12" i="7" s="1"/>
  <c r="D12" i="13"/>
  <c r="C13" i="7" s="1"/>
  <c r="D13" i="13"/>
  <c r="C14" i="7" s="1"/>
  <c r="D14" i="13"/>
  <c r="C15" i="7" s="1"/>
  <c r="D15" i="13"/>
  <c r="C16" i="7" s="1"/>
  <c r="D16" i="13"/>
  <c r="D17" i="13"/>
  <c r="D18" i="13"/>
  <c r="D19" i="7" s="1"/>
  <c r="D19" i="13"/>
  <c r="C20" i="7" s="1"/>
  <c r="D20" i="13"/>
  <c r="C21" i="7" s="1"/>
  <c r="D21" i="13"/>
  <c r="D22" i="7" s="1"/>
  <c r="D22" i="13"/>
  <c r="C23" i="7" s="1"/>
  <c r="D23" i="13"/>
  <c r="C24" i="7" s="1"/>
  <c r="D24" i="13"/>
  <c r="C25" i="7" s="1"/>
  <c r="D25" i="13"/>
  <c r="C26" i="7" s="1"/>
  <c r="D26" i="13"/>
  <c r="C27" i="7" s="1"/>
  <c r="D27" i="13"/>
  <c r="C28" i="7" s="1"/>
  <c r="D28" i="13"/>
  <c r="C29" i="7" s="1"/>
  <c r="D29" i="13"/>
  <c r="C30" i="7" s="1"/>
  <c r="D30" i="13"/>
  <c r="D31" i="13"/>
  <c r="C32" i="7" s="1"/>
  <c r="D32" i="13"/>
  <c r="C33" i="7" s="1"/>
  <c r="D33" i="13"/>
  <c r="C34" i="7" s="1"/>
  <c r="D34" i="13"/>
  <c r="C35" i="7" s="1"/>
  <c r="D35" i="13"/>
  <c r="C36" i="7" s="1"/>
  <c r="D36" i="13"/>
  <c r="C37" i="7" s="1"/>
  <c r="D37" i="13"/>
  <c r="C38" i="7" s="1"/>
  <c r="D38" i="13"/>
  <c r="C39" i="7" s="1"/>
  <c r="D39" i="13"/>
  <c r="C40" i="7" s="1"/>
  <c r="D40" i="13"/>
  <c r="C41" i="7" s="1"/>
  <c r="D41" i="13"/>
  <c r="C42" i="7" s="1"/>
  <c r="D42" i="13"/>
  <c r="C43" i="7" s="1"/>
  <c r="D43" i="13"/>
  <c r="C44" i="7" s="1"/>
  <c r="D44" i="13"/>
  <c r="C45" i="7" s="1"/>
  <c r="D45" i="13"/>
  <c r="C46" i="7" s="1"/>
  <c r="D46" i="13"/>
  <c r="C47" i="7" s="1"/>
  <c r="D47" i="13"/>
  <c r="C48" i="7" s="1"/>
  <c r="D48" i="13"/>
  <c r="C49" i="7" s="1"/>
  <c r="D49" i="13"/>
  <c r="C50" i="7" s="1"/>
  <c r="D50" i="13"/>
  <c r="C51" i="7" s="1"/>
  <c r="D51" i="13"/>
  <c r="C52" i="7" s="1"/>
  <c r="D52" i="13"/>
  <c r="C53" i="7" s="1"/>
  <c r="D53" i="13"/>
  <c r="C54" i="7" s="1"/>
  <c r="D54" i="13"/>
  <c r="C55" i="7" s="1"/>
  <c r="D55" i="13"/>
  <c r="C56" i="7" s="1"/>
  <c r="D56" i="13"/>
  <c r="C57" i="7" s="1"/>
  <c r="D57" i="13"/>
  <c r="D58" i="7" s="1"/>
  <c r="D58" i="13"/>
  <c r="C59" i="7" s="1"/>
  <c r="D59" i="13"/>
  <c r="C60" i="7" s="1"/>
  <c r="D60" i="13"/>
  <c r="C61" i="7" s="1"/>
  <c r="D61" i="13"/>
  <c r="C62" i="7" s="1"/>
  <c r="D62" i="13"/>
  <c r="C63" i="7" s="1"/>
  <c r="D63" i="13"/>
  <c r="C64" i="7" s="1"/>
  <c r="D64" i="13"/>
  <c r="C65" i="7" s="1"/>
  <c r="D65" i="13"/>
  <c r="C66" i="7" s="1"/>
  <c r="D66" i="13"/>
  <c r="C67" i="7" s="1"/>
  <c r="D67" i="13"/>
  <c r="D68" i="7" s="1"/>
  <c r="D68" i="13"/>
  <c r="C69" i="7" s="1"/>
  <c r="D69" i="13"/>
  <c r="C70" i="7" s="1"/>
  <c r="D70" i="13"/>
  <c r="C71" i="7" s="1"/>
  <c r="D71" i="13"/>
  <c r="D72" i="7" s="1"/>
  <c r="D72" i="13"/>
  <c r="C73" i="7" s="1"/>
  <c r="D73" i="13"/>
  <c r="D74" i="7" s="1"/>
  <c r="D74" i="13"/>
  <c r="C75" i="7" s="1"/>
  <c r="D75" i="13"/>
  <c r="C76" i="7" s="1"/>
  <c r="D76" i="13"/>
  <c r="C77" i="7" s="1"/>
  <c r="D77" i="13"/>
  <c r="C78" i="7" s="1"/>
  <c r="D78" i="13"/>
  <c r="C79" i="7" s="1"/>
  <c r="D79" i="13"/>
  <c r="D80" i="7" s="1"/>
  <c r="D80" i="13"/>
  <c r="C81" i="7" s="1"/>
  <c r="D81" i="13"/>
  <c r="C82" i="7" s="1"/>
  <c r="D82" i="13"/>
  <c r="C83" i="7" s="1"/>
  <c r="D83" i="13"/>
  <c r="C84" i="7" s="1"/>
  <c r="D2" i="13"/>
  <c r="F3" i="7" s="1"/>
  <c r="C3" i="13"/>
  <c r="C4" i="13"/>
  <c r="C5" i="13"/>
  <c r="C6" i="13"/>
  <c r="C7" i="13"/>
  <c r="C8" i="13"/>
  <c r="C9" i="13"/>
  <c r="C10" i="13"/>
  <c r="C11" i="13"/>
  <c r="C12" i="13"/>
  <c r="C13" i="13"/>
  <c r="C14" i="13"/>
  <c r="C87" i="13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2" i="13"/>
  <c r="P55" i="8"/>
  <c r="Q55" i="8" s="1"/>
  <c r="P56" i="8"/>
  <c r="P57" i="8"/>
  <c r="Q57" i="8" s="1"/>
  <c r="Q56" i="8"/>
  <c r="P53" i="8"/>
  <c r="Q53" i="8" s="1"/>
  <c r="P54" i="8"/>
  <c r="Q54" i="8" s="1"/>
  <c r="P52" i="8"/>
  <c r="Q52" i="8"/>
  <c r="K53" i="8"/>
  <c r="K54" i="8"/>
  <c r="K55" i="8"/>
  <c r="K56" i="8"/>
  <c r="K57" i="8"/>
  <c r="K52" i="8"/>
  <c r="K36" i="8"/>
  <c r="K37" i="8"/>
  <c r="K38" i="8"/>
  <c r="K39" i="8"/>
  <c r="K40" i="8"/>
  <c r="K41" i="8"/>
  <c r="K42" i="8"/>
  <c r="K35" i="8"/>
  <c r="J57" i="8"/>
  <c r="J56" i="8"/>
  <c r="J55" i="8"/>
  <c r="J54" i="8"/>
  <c r="J53" i="8"/>
  <c r="J52" i="8"/>
  <c r="J36" i="8"/>
  <c r="J37" i="8"/>
  <c r="J44" i="8" s="1"/>
  <c r="J38" i="8"/>
  <c r="J39" i="8"/>
  <c r="J40" i="8"/>
  <c r="J41" i="8"/>
  <c r="J42" i="8"/>
  <c r="J35" i="8"/>
  <c r="AP79" i="9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3" i="8"/>
  <c r="O4" i="8"/>
  <c r="O5" i="8"/>
  <c r="O6" i="8"/>
  <c r="O7" i="8"/>
  <c r="Q7" i="8" s="1"/>
  <c r="O8" i="8"/>
  <c r="O9" i="8"/>
  <c r="O10" i="8"/>
  <c r="O11" i="8"/>
  <c r="Q11" i="8" s="1"/>
  <c r="O12" i="8"/>
  <c r="O13" i="8"/>
  <c r="O14" i="8"/>
  <c r="O15" i="8"/>
  <c r="Q15" i="8" s="1"/>
  <c r="O16" i="8"/>
  <c r="O17" i="8"/>
  <c r="O18" i="8"/>
  <c r="O19" i="8"/>
  <c r="Q19" i="8" s="1"/>
  <c r="O3" i="8"/>
  <c r="AP37" i="9"/>
  <c r="AL36" i="9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7" i="7"/>
  <c r="J40" i="7"/>
  <c r="J43" i="7"/>
  <c r="J46" i="7"/>
  <c r="J47" i="7"/>
  <c r="J48" i="7"/>
  <c r="J54" i="7"/>
  <c r="J71" i="7"/>
  <c r="J72" i="7"/>
  <c r="J75" i="7"/>
  <c r="J78" i="7"/>
  <c r="Q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O3" i="7"/>
  <c r="M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3" i="7"/>
  <c r="V4" i="8"/>
  <c r="W4" i="8" s="1"/>
  <c r="V5" i="8"/>
  <c r="W5" i="8" s="1"/>
  <c r="V6" i="8"/>
  <c r="W6" i="8" s="1"/>
  <c r="V8" i="8"/>
  <c r="W8" i="8" s="1"/>
  <c r="V9" i="8"/>
  <c r="W9" i="8" s="1"/>
  <c r="V10" i="8"/>
  <c r="W10" i="8" s="1"/>
  <c r="V12" i="8"/>
  <c r="W12" i="8" s="1"/>
  <c r="V13" i="8"/>
  <c r="W13" i="8" s="1"/>
  <c r="V14" i="8"/>
  <c r="W14" i="8" s="1"/>
  <c r="V16" i="8"/>
  <c r="W16" i="8" s="1"/>
  <c r="V17" i="8"/>
  <c r="W17" i="8" s="1"/>
  <c r="V18" i="8"/>
  <c r="W18" i="8" s="1"/>
  <c r="V3" i="8"/>
  <c r="W3" i="8" s="1"/>
  <c r="AL15" i="9"/>
  <c r="AL14" i="9"/>
  <c r="Q4" i="8"/>
  <c r="Q5" i="8"/>
  <c r="Q6" i="8"/>
  <c r="Q8" i="8"/>
  <c r="Q9" i="8"/>
  <c r="Q10" i="8"/>
  <c r="AB5" i="8" s="1"/>
  <c r="Q12" i="8"/>
  <c r="Q13" i="8"/>
  <c r="Q14" i="8"/>
  <c r="Q16" i="8"/>
  <c r="Q17" i="8"/>
  <c r="AB8" i="8" s="1"/>
  <c r="Q18" i="8"/>
  <c r="Q3" i="8"/>
  <c r="P35" i="8"/>
  <c r="P38" i="8" s="1"/>
  <c r="P36" i="8"/>
  <c r="P39" i="8" s="1"/>
  <c r="AL10" i="9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C15" i="8"/>
  <c r="D15" i="8" s="1"/>
  <c r="C16" i="8"/>
  <c r="D16" i="8" s="1"/>
  <c r="C17" i="8"/>
  <c r="D17" i="8" s="1"/>
  <c r="C18" i="8"/>
  <c r="C19" i="8"/>
  <c r="D19" i="8" s="1"/>
  <c r="C20" i="8"/>
  <c r="C21" i="8"/>
  <c r="D21" i="8" s="1"/>
  <c r="C22" i="8"/>
  <c r="C23" i="8"/>
  <c r="D23" i="8" s="1"/>
  <c r="C24" i="8"/>
  <c r="D24" i="8" s="1"/>
  <c r="C25" i="8"/>
  <c r="D25" i="8" s="1"/>
  <c r="C26" i="8"/>
  <c r="C27" i="8"/>
  <c r="D27" i="8" s="1"/>
  <c r="C28" i="8"/>
  <c r="D28" i="8" s="1"/>
  <c r="C29" i="8"/>
  <c r="D29" i="8" s="1"/>
  <c r="C30" i="8"/>
  <c r="C31" i="8"/>
  <c r="D31" i="8" s="1"/>
  <c r="C32" i="8"/>
  <c r="D32" i="8" s="1"/>
  <c r="C33" i="8"/>
  <c r="D33" i="8" s="1"/>
  <c r="C34" i="8"/>
  <c r="C35" i="8"/>
  <c r="D35" i="8" s="1"/>
  <c r="C36" i="8"/>
  <c r="D36" i="8" s="1"/>
  <c r="C37" i="8"/>
  <c r="D37" i="8" s="1"/>
  <c r="C38" i="8"/>
  <c r="C39" i="8"/>
  <c r="D39" i="8" s="1"/>
  <c r="C40" i="8"/>
  <c r="D40" i="8" s="1"/>
  <c r="C41" i="8"/>
  <c r="C42" i="8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C51" i="8"/>
  <c r="D51" i="8" s="1"/>
  <c r="C52" i="8"/>
  <c r="D52" i="8" s="1"/>
  <c r="C53" i="8"/>
  <c r="D53" i="8" s="1"/>
  <c r="C54" i="8"/>
  <c r="C55" i="8"/>
  <c r="D55" i="8" s="1"/>
  <c r="C56" i="8"/>
  <c r="D56" i="8" s="1"/>
  <c r="C57" i="8"/>
  <c r="D57" i="8" s="1"/>
  <c r="C58" i="8"/>
  <c r="C59" i="8"/>
  <c r="D59" i="8" s="1"/>
  <c r="C60" i="8"/>
  <c r="D60" i="8" s="1"/>
  <c r="C61" i="8"/>
  <c r="D61" i="8" s="1"/>
  <c r="C62" i="8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C79" i="8"/>
  <c r="D79" i="8" s="1"/>
  <c r="C80" i="8"/>
  <c r="D80" i="8" s="1"/>
  <c r="C81" i="8"/>
  <c r="D81" i="8" s="1"/>
  <c r="C82" i="8"/>
  <c r="C83" i="8"/>
  <c r="D83" i="8" s="1"/>
  <c r="C84" i="8"/>
  <c r="D84" i="8" s="1"/>
  <c r="C3" i="8"/>
  <c r="D3" i="8" s="1"/>
  <c r="D14" i="8"/>
  <c r="D18" i="8"/>
  <c r="D20" i="8"/>
  <c r="D22" i="8"/>
  <c r="D26" i="8"/>
  <c r="D30" i="8"/>
  <c r="D34" i="8"/>
  <c r="D38" i="8"/>
  <c r="D41" i="8"/>
  <c r="D42" i="8"/>
  <c r="D50" i="8"/>
  <c r="D54" i="8"/>
  <c r="D58" i="8"/>
  <c r="D62" i="8"/>
  <c r="D70" i="8"/>
  <c r="D78" i="8"/>
  <c r="D82" i="8"/>
  <c r="BH4" i="9"/>
  <c r="BH5" i="9"/>
  <c r="BH6" i="9"/>
  <c r="BH7" i="9"/>
  <c r="BH8" i="9"/>
  <c r="BH9" i="9"/>
  <c r="BH10" i="9"/>
  <c r="BH11" i="9"/>
  <c r="BH12" i="9"/>
  <c r="BH13" i="9"/>
  <c r="BH14" i="9"/>
  <c r="BH15" i="9"/>
  <c r="BH16" i="9"/>
  <c r="BH17" i="9"/>
  <c r="BH18" i="9"/>
  <c r="BH19" i="9"/>
  <c r="BH20" i="9"/>
  <c r="BH21" i="9"/>
  <c r="BH22" i="9"/>
  <c r="BH23" i="9"/>
  <c r="BH24" i="9"/>
  <c r="BH25" i="9"/>
  <c r="BH26" i="9"/>
  <c r="BH27" i="9"/>
  <c r="BH28" i="9"/>
  <c r="BH29" i="9"/>
  <c r="BH30" i="9"/>
  <c r="BH31" i="9"/>
  <c r="BH32" i="9"/>
  <c r="BH33" i="9"/>
  <c r="BH34" i="9"/>
  <c r="BH35" i="9"/>
  <c r="BH36" i="9"/>
  <c r="BH37" i="9"/>
  <c r="BH38" i="9"/>
  <c r="BH39" i="9"/>
  <c r="BH40" i="9"/>
  <c r="BH41" i="9"/>
  <c r="BH42" i="9"/>
  <c r="BH43" i="9"/>
  <c r="BH44" i="9"/>
  <c r="BH45" i="9"/>
  <c r="BH46" i="9"/>
  <c r="BH47" i="9"/>
  <c r="BH48" i="9"/>
  <c r="BH49" i="9"/>
  <c r="BH50" i="9"/>
  <c r="BH51" i="9"/>
  <c r="BH52" i="9"/>
  <c r="BH53" i="9"/>
  <c r="BH55" i="9"/>
  <c r="BH56" i="9"/>
  <c r="BH57" i="9"/>
  <c r="BH58" i="9"/>
  <c r="BH59" i="9"/>
  <c r="BH60" i="9"/>
  <c r="BH61" i="9"/>
  <c r="BH62" i="9"/>
  <c r="BH63" i="9"/>
  <c r="BH64" i="9"/>
  <c r="BH65" i="9"/>
  <c r="BH66" i="9"/>
  <c r="BH67" i="9"/>
  <c r="BH68" i="9"/>
  <c r="BH69" i="9"/>
  <c r="BH70" i="9"/>
  <c r="BH71" i="9"/>
  <c r="BH72" i="9"/>
  <c r="BH73" i="9"/>
  <c r="BH74" i="9"/>
  <c r="BH75" i="9"/>
  <c r="BH76" i="9"/>
  <c r="BH77" i="9"/>
  <c r="BH78" i="9"/>
  <c r="BH79" i="9"/>
  <c r="BH80" i="9"/>
  <c r="BH81" i="9"/>
  <c r="BH82" i="9"/>
  <c r="BH83" i="9"/>
  <c r="BH84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9" i="9"/>
  <c r="AZ20" i="9"/>
  <c r="AZ21" i="9"/>
  <c r="AZ22" i="9"/>
  <c r="AZ23" i="9"/>
  <c r="AZ24" i="9"/>
  <c r="AZ25" i="9"/>
  <c r="AZ26" i="9"/>
  <c r="AZ27" i="9"/>
  <c r="AZ28" i="9"/>
  <c r="AZ29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5" i="9"/>
  <c r="AZ56" i="9"/>
  <c r="AZ57" i="9"/>
  <c r="AZ58" i="9"/>
  <c r="AZ59" i="9"/>
  <c r="AZ60" i="9"/>
  <c r="AZ61" i="9"/>
  <c r="AZ63" i="9"/>
  <c r="AZ65" i="9"/>
  <c r="AZ66" i="9"/>
  <c r="AZ67" i="9"/>
  <c r="AZ68" i="9"/>
  <c r="AZ69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V4" i="9"/>
  <c r="AV5" i="9"/>
  <c r="AV6" i="9"/>
  <c r="AV7" i="9"/>
  <c r="AV8" i="9"/>
  <c r="AV9" i="9"/>
  <c r="AV10" i="9"/>
  <c r="AV11" i="9"/>
  <c r="AV15" i="9"/>
  <c r="AV16" i="9"/>
  <c r="AV17" i="9"/>
  <c r="AV19" i="9"/>
  <c r="AV24" i="9"/>
  <c r="AV25" i="9"/>
  <c r="AV26" i="9"/>
  <c r="AV27" i="9"/>
  <c r="AV28" i="9"/>
  <c r="AV29" i="9"/>
  <c r="AV32" i="9"/>
  <c r="AV33" i="9"/>
  <c r="AV34" i="9"/>
  <c r="AV35" i="9"/>
  <c r="AV36" i="9"/>
  <c r="AV38" i="9"/>
  <c r="AV39" i="9"/>
  <c r="AV40" i="9"/>
  <c r="AV41" i="9"/>
  <c r="AV42" i="9"/>
  <c r="AV43" i="9"/>
  <c r="AV45" i="9"/>
  <c r="AV46" i="9"/>
  <c r="AV47" i="9"/>
  <c r="AV48" i="9"/>
  <c r="AV50" i="9"/>
  <c r="AV57" i="9"/>
  <c r="AV58" i="9"/>
  <c r="AV59" i="9"/>
  <c r="AV60" i="9"/>
  <c r="AV61" i="9"/>
  <c r="AV66" i="9"/>
  <c r="AV67" i="9"/>
  <c r="AV68" i="9"/>
  <c r="AV69" i="9"/>
  <c r="AV73" i="9"/>
  <c r="AV74" i="9"/>
  <c r="AV79" i="9"/>
  <c r="AV80" i="9"/>
  <c r="AV81" i="9"/>
  <c r="AV82" i="9"/>
  <c r="AV84" i="9"/>
  <c r="AR6" i="9"/>
  <c r="AR8" i="9"/>
  <c r="AR9" i="9"/>
  <c r="AR10" i="9"/>
  <c r="AR29" i="9"/>
  <c r="AR32" i="9"/>
  <c r="AR38" i="9"/>
  <c r="AR39" i="9"/>
  <c r="AR40" i="9"/>
  <c r="AR45" i="9"/>
  <c r="AR46" i="9"/>
  <c r="AR50" i="9"/>
  <c r="AR57" i="9"/>
  <c r="AR58" i="9"/>
  <c r="AR60" i="9"/>
  <c r="AR61" i="9"/>
  <c r="AR84" i="9"/>
  <c r="AN6" i="9"/>
  <c r="AN38" i="9"/>
  <c r="AN58" i="9"/>
  <c r="AN61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0" i="9"/>
  <c r="BD71" i="9"/>
  <c r="BD72" i="9"/>
  <c r="BD73" i="9"/>
  <c r="BD74" i="9"/>
  <c r="BD75" i="9"/>
  <c r="BD76" i="9"/>
  <c r="BD77" i="9"/>
  <c r="BD78" i="9"/>
  <c r="BD79" i="9"/>
  <c r="BD80" i="9"/>
  <c r="BD81" i="9"/>
  <c r="BD82" i="9"/>
  <c r="BD83" i="9"/>
  <c r="BD84" i="9"/>
  <c r="BH3" i="9"/>
  <c r="BD3" i="9"/>
  <c r="BF4" i="9"/>
  <c r="BF5" i="9"/>
  <c r="BF6" i="9"/>
  <c r="BF7" i="9"/>
  <c r="BF8" i="9"/>
  <c r="BF9" i="9"/>
  <c r="BF10" i="9"/>
  <c r="BF11" i="9"/>
  <c r="BF12" i="9"/>
  <c r="BF13" i="9"/>
  <c r="BF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33" i="9"/>
  <c r="BF34" i="9"/>
  <c r="BF35" i="9"/>
  <c r="BF36" i="9"/>
  <c r="BF37" i="9"/>
  <c r="BF38" i="9"/>
  <c r="BF39" i="9"/>
  <c r="BF40" i="9"/>
  <c r="BF41" i="9"/>
  <c r="BF42" i="9"/>
  <c r="BF43" i="9"/>
  <c r="BF44" i="9"/>
  <c r="BF45" i="9"/>
  <c r="BF46" i="9"/>
  <c r="BF47" i="9"/>
  <c r="BF48" i="9"/>
  <c r="BF49" i="9"/>
  <c r="BF50" i="9"/>
  <c r="BF51" i="9"/>
  <c r="BF52" i="9"/>
  <c r="BF53" i="9"/>
  <c r="BF54" i="9"/>
  <c r="BF55" i="9"/>
  <c r="BF56" i="9"/>
  <c r="BF57" i="9"/>
  <c r="BF58" i="9"/>
  <c r="BF59" i="9"/>
  <c r="BF60" i="9"/>
  <c r="BF61" i="9"/>
  <c r="BF62" i="9"/>
  <c r="BF63" i="9"/>
  <c r="BF64" i="9"/>
  <c r="BF65" i="9"/>
  <c r="BF66" i="9"/>
  <c r="BF67" i="9"/>
  <c r="BF68" i="9"/>
  <c r="BF69" i="9"/>
  <c r="BF70" i="9"/>
  <c r="BF71" i="9"/>
  <c r="BF72" i="9"/>
  <c r="BF73" i="9"/>
  <c r="BF74" i="9"/>
  <c r="BF75" i="9"/>
  <c r="BF76" i="9"/>
  <c r="BF77" i="9"/>
  <c r="BF78" i="9"/>
  <c r="BF79" i="9"/>
  <c r="BF80" i="9"/>
  <c r="BF81" i="9"/>
  <c r="BF82" i="9"/>
  <c r="BF83" i="9"/>
  <c r="BF84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T81" i="9"/>
  <c r="AT82" i="9"/>
  <c r="AT83" i="9"/>
  <c r="AT84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74" i="9"/>
  <c r="AP75" i="9"/>
  <c r="AP76" i="9"/>
  <c r="AP77" i="9"/>
  <c r="AP78" i="9"/>
  <c r="AP80" i="9"/>
  <c r="AP81" i="9"/>
  <c r="AP82" i="9"/>
  <c r="AP83" i="9"/>
  <c r="AP84" i="9"/>
  <c r="AL4" i="9"/>
  <c r="AL5" i="9"/>
  <c r="AL6" i="9"/>
  <c r="AL7" i="9"/>
  <c r="AL8" i="9"/>
  <c r="AL9" i="9"/>
  <c r="AL11" i="9"/>
  <c r="AL12" i="9"/>
  <c r="AL13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BF3" i="9"/>
  <c r="BB3" i="9"/>
  <c r="AX3" i="9"/>
  <c r="AT3" i="9"/>
  <c r="AP3" i="9"/>
  <c r="AL3" i="9"/>
  <c r="AH3" i="9"/>
  <c r="AD3" i="9"/>
  <c r="J8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2" i="6"/>
  <c r="J83" i="6"/>
  <c r="J3" i="6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Q22" i="9"/>
  <c r="P22" i="9"/>
  <c r="O22" i="9"/>
  <c r="N22" i="9"/>
  <c r="M22" i="9"/>
  <c r="L22" i="9"/>
  <c r="K22" i="9"/>
  <c r="R22" i="9" s="1"/>
  <c r="Q21" i="9"/>
  <c r="P21" i="9"/>
  <c r="O21" i="9"/>
  <c r="N21" i="9"/>
  <c r="M21" i="9"/>
  <c r="L21" i="9"/>
  <c r="K21" i="9"/>
  <c r="R21" i="9" s="1"/>
  <c r="Q20" i="9"/>
  <c r="P20" i="9"/>
  <c r="O20" i="9"/>
  <c r="N20" i="9"/>
  <c r="M20" i="9"/>
  <c r="L20" i="9"/>
  <c r="K20" i="9"/>
  <c r="R20" i="9" s="1"/>
  <c r="Q19" i="9"/>
  <c r="P19" i="9"/>
  <c r="O19" i="9"/>
  <c r="N19" i="9"/>
  <c r="M19" i="9"/>
  <c r="L19" i="9"/>
  <c r="K19" i="9"/>
  <c r="R19" i="9" s="1"/>
  <c r="Q18" i="9"/>
  <c r="P18" i="9"/>
  <c r="O18" i="9"/>
  <c r="N18" i="9"/>
  <c r="M18" i="9"/>
  <c r="L18" i="9"/>
  <c r="K18" i="9"/>
  <c r="R18" i="9" s="1"/>
  <c r="Q17" i="9"/>
  <c r="P17" i="9"/>
  <c r="O17" i="9"/>
  <c r="N17" i="9"/>
  <c r="M17" i="9"/>
  <c r="L17" i="9"/>
  <c r="K17" i="9"/>
  <c r="R17" i="9" s="1"/>
  <c r="Q16" i="9"/>
  <c r="P16" i="9"/>
  <c r="O16" i="9"/>
  <c r="N16" i="9"/>
  <c r="M16" i="9"/>
  <c r="L16" i="9"/>
  <c r="K16" i="9"/>
  <c r="R16" i="9" s="1"/>
  <c r="Q15" i="9"/>
  <c r="P15" i="9"/>
  <c r="O15" i="9"/>
  <c r="N15" i="9"/>
  <c r="M15" i="9"/>
  <c r="L15" i="9"/>
  <c r="K15" i="9"/>
  <c r="R15" i="9" s="1"/>
  <c r="Q14" i="9"/>
  <c r="P14" i="9"/>
  <c r="O14" i="9"/>
  <c r="N14" i="9"/>
  <c r="M14" i="9"/>
  <c r="L14" i="9"/>
  <c r="K14" i="9"/>
  <c r="R14" i="9" s="1"/>
  <c r="Q13" i="9"/>
  <c r="P13" i="9"/>
  <c r="O13" i="9"/>
  <c r="N13" i="9"/>
  <c r="M13" i="9"/>
  <c r="L13" i="9"/>
  <c r="K13" i="9"/>
  <c r="R13" i="9" s="1"/>
  <c r="Q12" i="9"/>
  <c r="P12" i="9"/>
  <c r="O12" i="9"/>
  <c r="N12" i="9"/>
  <c r="M12" i="9"/>
  <c r="L12" i="9"/>
  <c r="K12" i="9"/>
  <c r="R12" i="9" s="1"/>
  <c r="Q11" i="9"/>
  <c r="P11" i="9"/>
  <c r="O11" i="9"/>
  <c r="N11" i="9"/>
  <c r="M11" i="9"/>
  <c r="L11" i="9"/>
  <c r="K11" i="9"/>
  <c r="R11" i="9" s="1"/>
  <c r="Q10" i="9"/>
  <c r="P10" i="9"/>
  <c r="O10" i="9"/>
  <c r="N10" i="9"/>
  <c r="M10" i="9"/>
  <c r="L10" i="9"/>
  <c r="K10" i="9"/>
  <c r="R10" i="9" s="1"/>
  <c r="Q9" i="9"/>
  <c r="P9" i="9"/>
  <c r="O9" i="9"/>
  <c r="N9" i="9"/>
  <c r="M9" i="9"/>
  <c r="L9" i="9"/>
  <c r="K9" i="9"/>
  <c r="R9" i="9" s="1"/>
  <c r="Q8" i="9"/>
  <c r="P8" i="9"/>
  <c r="O8" i="9"/>
  <c r="N8" i="9"/>
  <c r="M8" i="9"/>
  <c r="L8" i="9"/>
  <c r="K8" i="9"/>
  <c r="R8" i="9" s="1"/>
  <c r="Q7" i="9"/>
  <c r="P7" i="9"/>
  <c r="O7" i="9"/>
  <c r="N7" i="9"/>
  <c r="M7" i="9"/>
  <c r="L7" i="9"/>
  <c r="K7" i="9"/>
  <c r="R7" i="9" s="1"/>
  <c r="Q6" i="9"/>
  <c r="P6" i="9"/>
  <c r="O6" i="9"/>
  <c r="N6" i="9"/>
  <c r="M6" i="9"/>
  <c r="L6" i="9"/>
  <c r="K6" i="9"/>
  <c r="R6" i="9" s="1"/>
  <c r="Q5" i="9"/>
  <c r="P5" i="9"/>
  <c r="O5" i="9"/>
  <c r="N5" i="9"/>
  <c r="M5" i="9"/>
  <c r="L5" i="9"/>
  <c r="K5" i="9"/>
  <c r="R5" i="9" s="1"/>
  <c r="Q4" i="9"/>
  <c r="P4" i="9"/>
  <c r="O4" i="9"/>
  <c r="N4" i="9"/>
  <c r="M4" i="9"/>
  <c r="L4" i="9"/>
  <c r="K4" i="9"/>
  <c r="R4" i="9" s="1"/>
  <c r="U4" i="9"/>
  <c r="U5" i="9"/>
  <c r="U6" i="9"/>
  <c r="U3" i="9"/>
  <c r="T4" i="9"/>
  <c r="T5" i="9"/>
  <c r="T6" i="9"/>
  <c r="T3" i="9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AF5" i="17" l="1"/>
  <c r="AF8" i="17"/>
  <c r="AF9" i="17"/>
  <c r="AD9" i="17"/>
  <c r="S6" i="17"/>
  <c r="AD5" i="17"/>
  <c r="AF10" i="17"/>
  <c r="S19" i="17"/>
  <c r="AB7" i="17"/>
  <c r="AC4" i="17"/>
  <c r="AC6" i="17"/>
  <c r="AG4" i="17"/>
  <c r="AH4" i="17" s="1"/>
  <c r="AE4" i="17"/>
  <c r="AE7" i="17"/>
  <c r="AG6" i="17"/>
  <c r="AH6" i="17" s="1"/>
  <c r="U13" i="17"/>
  <c r="AB3" i="17"/>
  <c r="U11" i="17"/>
  <c r="S3" i="17"/>
  <c r="AB4" i="17"/>
  <c r="W3" i="17"/>
  <c r="AC8" i="17"/>
  <c r="K17" i="17" s="1"/>
  <c r="AG10" i="17"/>
  <c r="AH10" i="17" s="1"/>
  <c r="U3" i="17"/>
  <c r="S10" i="17"/>
  <c r="AG7" i="17"/>
  <c r="AH7" i="17" s="1"/>
  <c r="AC3" i="17"/>
  <c r="AG5" i="17"/>
  <c r="AH5" i="17" s="1"/>
  <c r="U19" i="17"/>
  <c r="AC10" i="17"/>
  <c r="K19" i="17" s="1"/>
  <c r="U10" i="17"/>
  <c r="AC7" i="17"/>
  <c r="U6" i="17"/>
  <c r="AG3" i="17"/>
  <c r="AE6" i="17"/>
  <c r="AF6" i="17" s="1"/>
  <c r="L305" i="14"/>
  <c r="L277" i="14"/>
  <c r="J139" i="14"/>
  <c r="L109" i="14"/>
  <c r="L80" i="14"/>
  <c r="D7" i="14"/>
  <c r="K7" i="14" s="1"/>
  <c r="D11" i="14"/>
  <c r="K11" i="14" s="1"/>
  <c r="D15" i="14"/>
  <c r="K15" i="14" s="1"/>
  <c r="D19" i="14"/>
  <c r="K19" i="14" s="1"/>
  <c r="D23" i="14"/>
  <c r="K23" i="14" s="1"/>
  <c r="D20" i="14"/>
  <c r="K20" i="14" s="1"/>
  <c r="D8" i="14"/>
  <c r="K8" i="14" s="1"/>
  <c r="D9" i="14"/>
  <c r="K9" i="14" s="1"/>
  <c r="D13" i="14"/>
  <c r="K13" i="14" s="1"/>
  <c r="D17" i="14"/>
  <c r="K17" i="14" s="1"/>
  <c r="D21" i="14"/>
  <c r="K21" i="14" s="1"/>
  <c r="D16" i="14"/>
  <c r="K16" i="14" s="1"/>
  <c r="D10" i="14"/>
  <c r="K10" i="14" s="1"/>
  <c r="D14" i="14"/>
  <c r="K14" i="14" s="1"/>
  <c r="D18" i="14"/>
  <c r="K18" i="14" s="1"/>
  <c r="D22" i="14"/>
  <c r="K22" i="14" s="1"/>
  <c r="D12" i="14"/>
  <c r="K12" i="14" s="1"/>
  <c r="K52" i="14"/>
  <c r="F33" i="7"/>
  <c r="E33" i="7"/>
  <c r="D33" i="7"/>
  <c r="F64" i="7"/>
  <c r="E64" i="7"/>
  <c r="D64" i="7"/>
  <c r="F24" i="7"/>
  <c r="E24" i="7"/>
  <c r="D24" i="7"/>
  <c r="F23" i="7"/>
  <c r="E23" i="7"/>
  <c r="D23" i="7"/>
  <c r="F83" i="7"/>
  <c r="E83" i="7"/>
  <c r="D83" i="7"/>
  <c r="E80" i="7"/>
  <c r="C80" i="7"/>
  <c r="F80" i="7"/>
  <c r="F79" i="7"/>
  <c r="E79" i="7"/>
  <c r="D79" i="7"/>
  <c r="E68" i="7"/>
  <c r="C68" i="7"/>
  <c r="F68" i="7"/>
  <c r="F66" i="7"/>
  <c r="E66" i="7"/>
  <c r="D66" i="7"/>
  <c r="F63" i="7"/>
  <c r="E63" i="7"/>
  <c r="D63" i="7"/>
  <c r="F41" i="7"/>
  <c r="E41" i="7"/>
  <c r="D41" i="7"/>
  <c r="F36" i="7"/>
  <c r="E36" i="7"/>
  <c r="D36" i="7"/>
  <c r="F35" i="7"/>
  <c r="E35" i="7"/>
  <c r="D35" i="7"/>
  <c r="F51" i="7"/>
  <c r="E51" i="7"/>
  <c r="D51" i="7"/>
  <c r="F50" i="7"/>
  <c r="E50" i="7"/>
  <c r="D50" i="7"/>
  <c r="F49" i="7"/>
  <c r="E49" i="7"/>
  <c r="D49" i="7"/>
  <c r="F61" i="7"/>
  <c r="E61" i="7"/>
  <c r="D61" i="7"/>
  <c r="F60" i="7"/>
  <c r="E60" i="7"/>
  <c r="D60" i="7"/>
  <c r="F62" i="7"/>
  <c r="E62" i="7"/>
  <c r="D62" i="7"/>
  <c r="F67" i="7"/>
  <c r="E67" i="7"/>
  <c r="D67" i="7"/>
  <c r="F71" i="7"/>
  <c r="E71" i="7"/>
  <c r="D71" i="7"/>
  <c r="F55" i="7"/>
  <c r="E55" i="7"/>
  <c r="D55" i="7"/>
  <c r="F52" i="7"/>
  <c r="E52" i="7"/>
  <c r="D52" i="7"/>
  <c r="F82" i="7"/>
  <c r="E82" i="7"/>
  <c r="D82" i="7"/>
  <c r="C58" i="7"/>
  <c r="E58" i="7"/>
  <c r="F58" i="7"/>
  <c r="F59" i="7"/>
  <c r="E59" i="7"/>
  <c r="D59" i="7"/>
  <c r="C3" i="7"/>
  <c r="D3" i="7"/>
  <c r="E3" i="7"/>
  <c r="F20" i="7"/>
  <c r="E20" i="7"/>
  <c r="D20" i="7"/>
  <c r="F32" i="7"/>
  <c r="E32" i="7"/>
  <c r="D32" i="7"/>
  <c r="F65" i="7"/>
  <c r="E65" i="7"/>
  <c r="D65" i="7"/>
  <c r="F46" i="7"/>
  <c r="E46" i="7"/>
  <c r="D46" i="7"/>
  <c r="F53" i="7"/>
  <c r="E53" i="7"/>
  <c r="D53" i="7"/>
  <c r="F48" i="7"/>
  <c r="E48" i="7"/>
  <c r="D48" i="7"/>
  <c r="F45" i="7"/>
  <c r="E45" i="7"/>
  <c r="D45" i="7"/>
  <c r="F21" i="7"/>
  <c r="E21" i="7"/>
  <c r="D21" i="7"/>
  <c r="F57" i="7"/>
  <c r="E57" i="7"/>
  <c r="D57" i="7"/>
  <c r="F56" i="7"/>
  <c r="E56" i="7"/>
  <c r="D56" i="7"/>
  <c r="F13" i="7"/>
  <c r="E13" i="7"/>
  <c r="D13" i="7"/>
  <c r="F11" i="7"/>
  <c r="E11" i="7"/>
  <c r="D11" i="7"/>
  <c r="E22" i="7"/>
  <c r="C22" i="7"/>
  <c r="F22" i="7"/>
  <c r="F4" i="7"/>
  <c r="E4" i="7"/>
  <c r="D4" i="7"/>
  <c r="F47" i="7"/>
  <c r="E47" i="7"/>
  <c r="D47" i="7"/>
  <c r="F38" i="7"/>
  <c r="E38" i="7"/>
  <c r="D38" i="7"/>
  <c r="F12" i="7"/>
  <c r="E12" i="7"/>
  <c r="D12" i="7"/>
  <c r="F34" i="7"/>
  <c r="E34" i="7"/>
  <c r="D34" i="7"/>
  <c r="F78" i="7"/>
  <c r="E78" i="7"/>
  <c r="D78" i="7"/>
  <c r="F70" i="7"/>
  <c r="E70" i="7"/>
  <c r="D70" i="7"/>
  <c r="F54" i="7"/>
  <c r="E54" i="7"/>
  <c r="D54" i="7"/>
  <c r="C72" i="7"/>
  <c r="E72" i="7"/>
  <c r="F72" i="7"/>
  <c r="F44" i="7"/>
  <c r="E44" i="7"/>
  <c r="D44" i="7"/>
  <c r="F39" i="7"/>
  <c r="E39" i="7"/>
  <c r="D39" i="7"/>
  <c r="F25" i="7"/>
  <c r="E25" i="7"/>
  <c r="D25" i="7"/>
  <c r="F69" i="7"/>
  <c r="E69" i="7"/>
  <c r="D69" i="7"/>
  <c r="F14" i="7"/>
  <c r="E14" i="7"/>
  <c r="D14" i="7"/>
  <c r="F43" i="7"/>
  <c r="E43" i="7"/>
  <c r="D43" i="7"/>
  <c r="F75" i="7"/>
  <c r="E75" i="7"/>
  <c r="D75" i="7"/>
  <c r="F16" i="7"/>
  <c r="E16" i="7"/>
  <c r="D16" i="7"/>
  <c r="F73" i="7"/>
  <c r="E73" i="7"/>
  <c r="D73" i="7"/>
  <c r="E74" i="7"/>
  <c r="C74" i="7"/>
  <c r="F74" i="7"/>
  <c r="F76" i="7"/>
  <c r="E76" i="7"/>
  <c r="D76" i="7"/>
  <c r="F28" i="7"/>
  <c r="E28" i="7"/>
  <c r="D28" i="7"/>
  <c r="F15" i="7"/>
  <c r="E15" i="7"/>
  <c r="D15" i="7"/>
  <c r="F40" i="7"/>
  <c r="E40" i="7"/>
  <c r="D40" i="7"/>
  <c r="F27" i="7"/>
  <c r="E27" i="7"/>
  <c r="D27" i="7"/>
  <c r="F77" i="7"/>
  <c r="E77" i="7"/>
  <c r="D77" i="7"/>
  <c r="F29" i="7"/>
  <c r="E29" i="7"/>
  <c r="D29" i="7"/>
  <c r="F5" i="7"/>
  <c r="E5" i="7"/>
  <c r="D5" i="7"/>
  <c r="F30" i="7"/>
  <c r="E30" i="7"/>
  <c r="D30" i="7"/>
  <c r="F42" i="7"/>
  <c r="E42" i="7"/>
  <c r="D42" i="7"/>
  <c r="F26" i="7"/>
  <c r="E26" i="7"/>
  <c r="D26" i="7"/>
  <c r="F81" i="7"/>
  <c r="E81" i="7"/>
  <c r="D81" i="7"/>
  <c r="F19" i="7"/>
  <c r="C19" i="7"/>
  <c r="E19" i="7"/>
  <c r="F84" i="7"/>
  <c r="E84" i="7"/>
  <c r="D84" i="7"/>
  <c r="F37" i="7"/>
  <c r="E37" i="7"/>
  <c r="D37" i="7"/>
  <c r="F10" i="7"/>
  <c r="E10" i="7"/>
  <c r="D10" i="7"/>
  <c r="D87" i="13"/>
  <c r="P59" i="8"/>
  <c r="J59" i="8"/>
  <c r="J84" i="7"/>
  <c r="J83" i="7"/>
  <c r="J82" i="7"/>
  <c r="J81" i="7"/>
  <c r="J79" i="7"/>
  <c r="J77" i="7"/>
  <c r="J80" i="7"/>
  <c r="J76" i="7"/>
  <c r="J74" i="7"/>
  <c r="J73" i="7"/>
  <c r="AG9" i="8"/>
  <c r="AH9" i="8" s="1"/>
  <c r="AG8" i="8"/>
  <c r="AH8" i="8" s="1"/>
  <c r="AB9" i="8"/>
  <c r="AB10" i="8"/>
  <c r="V19" i="8"/>
  <c r="AG10" i="8" s="1"/>
  <c r="AH10" i="8" s="1"/>
  <c r="V15" i="8"/>
  <c r="W15" i="8" s="1"/>
  <c r="V11" i="8"/>
  <c r="W11" i="8" s="1"/>
  <c r="V7" i="8"/>
  <c r="W7" i="8" s="1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3" i="7"/>
  <c r="J52" i="7"/>
  <c r="J51" i="7"/>
  <c r="J50" i="7"/>
  <c r="J49" i="7"/>
  <c r="J45" i="7"/>
  <c r="J44" i="7"/>
  <c r="J42" i="7"/>
  <c r="J41" i="7"/>
  <c r="J39" i="7"/>
  <c r="J38" i="7"/>
  <c r="J37" i="7"/>
  <c r="J36" i="7"/>
  <c r="AI4" i="8"/>
  <c r="J35" i="7"/>
  <c r="AG3" i="8"/>
  <c r="AH3" i="8" s="1"/>
  <c r="AI3" i="8"/>
  <c r="AI7" i="8"/>
  <c r="AI10" i="8"/>
  <c r="AI6" i="8"/>
  <c r="AI9" i="8"/>
  <c r="AI5" i="8"/>
  <c r="AI8" i="8"/>
  <c r="J34" i="7"/>
  <c r="J33" i="7"/>
  <c r="J32" i="7"/>
  <c r="J31" i="7"/>
  <c r="J30" i="7"/>
  <c r="J29" i="7"/>
  <c r="J28" i="7"/>
  <c r="AG5" i="8"/>
  <c r="AH5" i="8" s="1"/>
  <c r="W19" i="8"/>
  <c r="J26" i="7"/>
  <c r="J25" i="7"/>
  <c r="AG7" i="8"/>
  <c r="AH7" i="8" s="1"/>
  <c r="AG6" i="8"/>
  <c r="AH6" i="8" s="1"/>
  <c r="AB3" i="8"/>
  <c r="V25" i="8"/>
  <c r="Q25" i="8"/>
  <c r="AB7" i="8"/>
  <c r="AB6" i="8"/>
  <c r="AB4" i="8"/>
  <c r="R18" i="8"/>
  <c r="S18" i="8" s="1"/>
  <c r="R14" i="8"/>
  <c r="S14" i="8" s="1"/>
  <c r="R10" i="8"/>
  <c r="R6" i="8"/>
  <c r="S6" i="8" s="1"/>
  <c r="R19" i="8"/>
  <c r="R15" i="8"/>
  <c r="R11" i="8"/>
  <c r="R7" i="8"/>
  <c r="R17" i="8"/>
  <c r="AC8" i="8" s="1"/>
  <c r="K17" i="8" s="1"/>
  <c r="R13" i="8"/>
  <c r="S13" i="8" s="1"/>
  <c r="R9" i="8"/>
  <c r="S9" i="8" s="1"/>
  <c r="R5" i="8"/>
  <c r="S5" i="8" s="1"/>
  <c r="R3" i="8"/>
  <c r="R16" i="8"/>
  <c r="S16" i="8" s="1"/>
  <c r="R12" i="8"/>
  <c r="S12" i="8" s="1"/>
  <c r="R8" i="8"/>
  <c r="S8" i="8" s="1"/>
  <c r="R4" i="8"/>
  <c r="S4" i="8" s="1"/>
  <c r="K4" i="17" l="1"/>
  <c r="K3" i="17"/>
  <c r="K5" i="17"/>
  <c r="K6" i="17"/>
  <c r="K11" i="17"/>
  <c r="K12" i="17"/>
  <c r="K13" i="17"/>
  <c r="K14" i="17"/>
  <c r="K7" i="17"/>
  <c r="K8" i="17"/>
  <c r="K9" i="17"/>
  <c r="K15" i="17"/>
  <c r="K16" i="17"/>
  <c r="AF7" i="17"/>
  <c r="AD4" i="17"/>
  <c r="AD7" i="17"/>
  <c r="AF4" i="17"/>
  <c r="AD8" i="17"/>
  <c r="E13" i="17"/>
  <c r="E55" i="17"/>
  <c r="E35" i="17"/>
  <c r="E83" i="17"/>
  <c r="AH3" i="17"/>
  <c r="AD10" i="17"/>
  <c r="AD3" i="17"/>
  <c r="U25" i="17"/>
  <c r="S25" i="17"/>
  <c r="AD6" i="17"/>
  <c r="AF3" i="17"/>
  <c r="K25" i="14"/>
  <c r="S17" i="8"/>
  <c r="AC9" i="8"/>
  <c r="K18" i="8" s="1"/>
  <c r="AD8" i="8"/>
  <c r="AG4" i="8"/>
  <c r="AH4" i="8" s="1"/>
  <c r="AI25" i="8"/>
  <c r="AJ8" i="8" s="1"/>
  <c r="AB25" i="8"/>
  <c r="R25" i="8"/>
  <c r="S25" i="8" s="1"/>
  <c r="S11" i="8"/>
  <c r="AC6" i="8"/>
  <c r="S15" i="8"/>
  <c r="AC7" i="8"/>
  <c r="S10" i="8"/>
  <c r="AC5" i="8"/>
  <c r="K10" i="8" s="1"/>
  <c r="E83" i="8" s="1"/>
  <c r="S3" i="8"/>
  <c r="AC3" i="8"/>
  <c r="S19" i="8"/>
  <c r="AC10" i="8"/>
  <c r="K19" i="8" s="1"/>
  <c r="S7" i="8"/>
  <c r="AC4" i="8"/>
  <c r="AF25" i="17" l="1"/>
  <c r="AD25" i="17"/>
  <c r="E82" i="17"/>
  <c r="E62" i="17"/>
  <c r="E52" i="17"/>
  <c r="E47" i="17"/>
  <c r="E39" i="17"/>
  <c r="E76" i="17"/>
  <c r="E48" i="17"/>
  <c r="E42" i="17"/>
  <c r="E14" i="17"/>
  <c r="E70" i="17"/>
  <c r="E44" i="17"/>
  <c r="E66" i="17"/>
  <c r="E56" i="17"/>
  <c r="E51" i="17"/>
  <c r="E46" i="17"/>
  <c r="E19" i="17"/>
  <c r="E21" i="17"/>
  <c r="E5" i="17"/>
  <c r="E30" i="17"/>
  <c r="E26" i="17"/>
  <c r="E37" i="17"/>
  <c r="E50" i="17"/>
  <c r="E18" i="17"/>
  <c r="E33" i="17"/>
  <c r="E61" i="17"/>
  <c r="E73" i="17"/>
  <c r="E71" i="17"/>
  <c r="E81" i="17"/>
  <c r="E7" i="17"/>
  <c r="E8" i="17"/>
  <c r="E9" i="17"/>
  <c r="E23" i="17"/>
  <c r="E3" i="17"/>
  <c r="E29" i="17"/>
  <c r="E40" i="17"/>
  <c r="E20" i="17"/>
  <c r="E38" i="17"/>
  <c r="E63" i="17"/>
  <c r="E78" i="17"/>
  <c r="E84" i="17"/>
  <c r="E74" i="17"/>
  <c r="E58" i="17"/>
  <c r="E75" i="17"/>
  <c r="E15" i="17"/>
  <c r="E6" i="17"/>
  <c r="E28" i="17"/>
  <c r="E31" i="17"/>
  <c r="E43" i="17"/>
  <c r="E25" i="17"/>
  <c r="E22" i="17"/>
  <c r="E54" i="17"/>
  <c r="E67" i="17"/>
  <c r="E80" i="17"/>
  <c r="E41" i="17"/>
  <c r="E59" i="17"/>
  <c r="E60" i="17"/>
  <c r="E72" i="17"/>
  <c r="E49" i="17"/>
  <c r="E65" i="17"/>
  <c r="E77" i="17"/>
  <c r="E4" i="17"/>
  <c r="E17" i="17"/>
  <c r="E34" i="17"/>
  <c r="E24" i="17"/>
  <c r="E36" i="17"/>
  <c r="E45" i="17"/>
  <c r="E10" i="17"/>
  <c r="E32" i="17"/>
  <c r="E27" i="17"/>
  <c r="E57" i="17"/>
  <c r="E69" i="17"/>
  <c r="E64" i="17"/>
  <c r="E16" i="17"/>
  <c r="E79" i="17"/>
  <c r="E53" i="17"/>
  <c r="E68" i="17"/>
  <c r="E11" i="17"/>
  <c r="E12" i="17"/>
  <c r="K8" i="8"/>
  <c r="K9" i="8"/>
  <c r="K7" i="8"/>
  <c r="K4" i="8"/>
  <c r="K5" i="8"/>
  <c r="K6" i="8"/>
  <c r="K3" i="8"/>
  <c r="E84" i="8" s="1"/>
  <c r="K16" i="8"/>
  <c r="K15" i="8"/>
  <c r="AD9" i="8"/>
  <c r="K12" i="8"/>
  <c r="K13" i="8"/>
  <c r="K14" i="8"/>
  <c r="K11" i="8"/>
  <c r="AG25" i="8"/>
  <c r="AJ3" i="8"/>
  <c r="AJ4" i="8"/>
  <c r="AJ9" i="8"/>
  <c r="AJ10" i="8"/>
  <c r="AJ5" i="8"/>
  <c r="AJ6" i="8"/>
  <c r="AJ7" i="8"/>
  <c r="AC25" i="8"/>
  <c r="AD25" i="8" s="1"/>
  <c r="AD6" i="8"/>
  <c r="AD10" i="8"/>
  <c r="E55" i="8"/>
  <c r="AD5" i="8"/>
  <c r="AD4" i="8"/>
  <c r="AD3" i="8"/>
  <c r="AD7" i="8"/>
  <c r="P46" i="17" l="1"/>
  <c r="P45" i="17"/>
  <c r="P44" i="17"/>
  <c r="E81" i="8"/>
  <c r="E82" i="8"/>
  <c r="E79" i="8"/>
  <c r="E80" i="8"/>
  <c r="E77" i="8"/>
  <c r="E78" i="8"/>
  <c r="E75" i="8"/>
  <c r="E76" i="8"/>
  <c r="E73" i="8"/>
  <c r="E74" i="8"/>
  <c r="E71" i="8"/>
  <c r="E72" i="8"/>
  <c r="E69" i="8"/>
  <c r="E70" i="8"/>
  <c r="E67" i="8"/>
  <c r="E68" i="8"/>
  <c r="E65" i="8"/>
  <c r="E66" i="8"/>
  <c r="E63" i="8"/>
  <c r="E64" i="8"/>
  <c r="E61" i="8"/>
  <c r="E62" i="8"/>
  <c r="E59" i="8"/>
  <c r="E60" i="8"/>
  <c r="E57" i="8"/>
  <c r="E58" i="8"/>
  <c r="E54" i="8"/>
  <c r="E56" i="8"/>
  <c r="E52" i="8"/>
  <c r="E53" i="8"/>
  <c r="E50" i="8"/>
  <c r="E51" i="8"/>
  <c r="E48" i="8"/>
  <c r="E49" i="8"/>
  <c r="E46" i="8"/>
  <c r="E47" i="8"/>
  <c r="E44" i="8"/>
  <c r="E45" i="8"/>
  <c r="E42" i="8"/>
  <c r="E43" i="8"/>
  <c r="E40" i="8"/>
  <c r="E41" i="8"/>
  <c r="E38" i="8"/>
  <c r="E39" i="8"/>
  <c r="E36" i="8"/>
  <c r="E37" i="8"/>
  <c r="E13" i="8"/>
  <c r="E35" i="8"/>
  <c r="E33" i="8"/>
  <c r="E34" i="8"/>
  <c r="E30" i="8"/>
  <c r="E32" i="8"/>
  <c r="E31" i="8"/>
  <c r="E28" i="8"/>
  <c r="E29" i="8"/>
  <c r="E26" i="8"/>
  <c r="E27" i="8"/>
  <c r="E24" i="8"/>
  <c r="E25" i="8"/>
  <c r="E22" i="8"/>
  <c r="E23" i="8"/>
  <c r="E20" i="8"/>
  <c r="E21" i="8"/>
  <c r="E18" i="8"/>
  <c r="E19" i="8"/>
  <c r="E16" i="8"/>
  <c r="E17" i="8"/>
  <c r="E14" i="8"/>
  <c r="E15" i="8"/>
  <c r="E11" i="8"/>
  <c r="E12" i="8"/>
  <c r="E9" i="8"/>
  <c r="E8" i="8"/>
  <c r="E5" i="8"/>
  <c r="E4" i="8"/>
  <c r="E7" i="8"/>
  <c r="E3" i="8"/>
  <c r="E6" i="8"/>
  <c r="E10" i="8"/>
  <c r="P45" i="8" l="1"/>
  <c r="P46" i="8"/>
  <c r="P44" i="8"/>
  <c r="C4" i="9" l="1"/>
  <c r="D4" i="9"/>
  <c r="E4" i="9"/>
  <c r="F4" i="9"/>
  <c r="G4" i="9"/>
  <c r="H4" i="9"/>
  <c r="I4" i="9"/>
  <c r="J4" i="9"/>
  <c r="C5" i="9"/>
  <c r="D5" i="9"/>
  <c r="E5" i="9"/>
  <c r="F5" i="9"/>
  <c r="G5" i="9"/>
  <c r="H5" i="9"/>
  <c r="I5" i="9"/>
  <c r="J5" i="9"/>
  <c r="C6" i="9"/>
  <c r="D6" i="9"/>
  <c r="E6" i="9"/>
  <c r="F6" i="9"/>
  <c r="G6" i="9"/>
  <c r="H6" i="9"/>
  <c r="I6" i="9"/>
  <c r="J6" i="9"/>
  <c r="C7" i="9"/>
  <c r="D7" i="9"/>
  <c r="E7" i="9"/>
  <c r="F7" i="9"/>
  <c r="G7" i="9"/>
  <c r="H7" i="9"/>
  <c r="I7" i="9"/>
  <c r="J7" i="9"/>
  <c r="C8" i="9"/>
  <c r="D8" i="9"/>
  <c r="E8" i="9"/>
  <c r="F8" i="9"/>
  <c r="G8" i="9"/>
  <c r="H8" i="9"/>
  <c r="I8" i="9"/>
  <c r="J8" i="9"/>
  <c r="C9" i="9"/>
  <c r="D9" i="9"/>
  <c r="E9" i="9"/>
  <c r="F9" i="9"/>
  <c r="G9" i="9"/>
  <c r="H9" i="9"/>
  <c r="I9" i="9"/>
  <c r="J9" i="9"/>
  <c r="C10" i="9"/>
  <c r="D10" i="9"/>
  <c r="E10" i="9"/>
  <c r="F10" i="9"/>
  <c r="G10" i="9"/>
  <c r="H10" i="9"/>
  <c r="I10" i="9"/>
  <c r="J10" i="9"/>
  <c r="C11" i="9"/>
  <c r="D11" i="9"/>
  <c r="E11" i="9"/>
  <c r="F11" i="9"/>
  <c r="G11" i="9"/>
  <c r="H11" i="9"/>
  <c r="I11" i="9"/>
  <c r="J11" i="9"/>
  <c r="C12" i="9"/>
  <c r="D12" i="9"/>
  <c r="E12" i="9"/>
  <c r="F12" i="9"/>
  <c r="G12" i="9"/>
  <c r="H12" i="9"/>
  <c r="I12" i="9"/>
  <c r="J12" i="9"/>
  <c r="C13" i="9"/>
  <c r="D13" i="9"/>
  <c r="E13" i="9"/>
  <c r="F13" i="9"/>
  <c r="G13" i="9"/>
  <c r="H13" i="9"/>
  <c r="I13" i="9"/>
  <c r="J13" i="9"/>
  <c r="C14" i="9"/>
  <c r="D14" i="9"/>
  <c r="E14" i="9"/>
  <c r="F14" i="9"/>
  <c r="G14" i="9"/>
  <c r="H14" i="9"/>
  <c r="I14" i="9"/>
  <c r="J14" i="9"/>
  <c r="C15" i="9"/>
  <c r="D15" i="9"/>
  <c r="E15" i="9"/>
  <c r="F15" i="9"/>
  <c r="G15" i="9"/>
  <c r="H15" i="9"/>
  <c r="I15" i="9"/>
  <c r="J15" i="9"/>
  <c r="C16" i="9"/>
  <c r="D16" i="9"/>
  <c r="E16" i="9"/>
  <c r="F16" i="9"/>
  <c r="G16" i="9"/>
  <c r="H16" i="9"/>
  <c r="I16" i="9"/>
  <c r="J16" i="9"/>
  <c r="C17" i="9"/>
  <c r="D17" i="9"/>
  <c r="E17" i="9"/>
  <c r="F17" i="9"/>
  <c r="G17" i="9"/>
  <c r="H17" i="9"/>
  <c r="I17" i="9"/>
  <c r="J17" i="9"/>
  <c r="C18" i="9"/>
  <c r="D18" i="9"/>
  <c r="E18" i="9"/>
  <c r="F18" i="9"/>
  <c r="G18" i="9"/>
  <c r="H18" i="9"/>
  <c r="I18" i="9"/>
  <c r="J18" i="9"/>
  <c r="C19" i="9"/>
  <c r="D19" i="9"/>
  <c r="E19" i="9"/>
  <c r="F19" i="9"/>
  <c r="G19" i="9"/>
  <c r="H19" i="9"/>
  <c r="I19" i="9"/>
  <c r="J19" i="9"/>
  <c r="C20" i="9"/>
  <c r="D20" i="9"/>
  <c r="E20" i="9"/>
  <c r="F20" i="9"/>
  <c r="G20" i="9"/>
  <c r="H20" i="9"/>
  <c r="I20" i="9"/>
  <c r="J20" i="9"/>
  <c r="C21" i="9"/>
  <c r="D21" i="9"/>
  <c r="E21" i="9"/>
  <c r="F21" i="9"/>
  <c r="G21" i="9"/>
  <c r="H21" i="9"/>
  <c r="I21" i="9"/>
  <c r="J21" i="9"/>
  <c r="C22" i="9"/>
  <c r="D22" i="9"/>
  <c r="E22" i="9"/>
  <c r="F22" i="9"/>
  <c r="G22" i="9"/>
  <c r="H22" i="9"/>
  <c r="I22" i="9"/>
  <c r="J22" i="9"/>
  <c r="C23" i="9"/>
  <c r="D23" i="9"/>
  <c r="E23" i="9"/>
  <c r="F23" i="9"/>
  <c r="G23" i="9"/>
  <c r="H23" i="9"/>
  <c r="I23" i="9"/>
  <c r="J23" i="9"/>
  <c r="C24" i="9"/>
  <c r="D24" i="9"/>
  <c r="E24" i="9"/>
  <c r="F24" i="9"/>
  <c r="G24" i="9"/>
  <c r="H24" i="9"/>
  <c r="I24" i="9"/>
  <c r="J24" i="9"/>
  <c r="C25" i="9"/>
  <c r="D25" i="9"/>
  <c r="E25" i="9"/>
  <c r="F25" i="9"/>
  <c r="G25" i="9"/>
  <c r="H25" i="9"/>
  <c r="I25" i="9"/>
  <c r="J25" i="9"/>
  <c r="C26" i="9"/>
  <c r="D26" i="9"/>
  <c r="E26" i="9"/>
  <c r="F26" i="9"/>
  <c r="G26" i="9"/>
  <c r="H26" i="9"/>
  <c r="I26" i="9"/>
  <c r="J26" i="9"/>
  <c r="C27" i="9"/>
  <c r="D27" i="9"/>
  <c r="E27" i="9"/>
  <c r="F27" i="9"/>
  <c r="G27" i="9"/>
  <c r="H27" i="9"/>
  <c r="I27" i="9"/>
  <c r="J27" i="9"/>
  <c r="C28" i="9"/>
  <c r="D28" i="9"/>
  <c r="E28" i="9"/>
  <c r="F28" i="9"/>
  <c r="G28" i="9"/>
  <c r="H28" i="9"/>
  <c r="I28" i="9"/>
  <c r="J28" i="9"/>
  <c r="C29" i="9"/>
  <c r="D29" i="9"/>
  <c r="E29" i="9"/>
  <c r="F29" i="9"/>
  <c r="G29" i="9"/>
  <c r="H29" i="9"/>
  <c r="I29" i="9"/>
  <c r="J29" i="9"/>
  <c r="C30" i="9"/>
  <c r="D30" i="9"/>
  <c r="E30" i="9"/>
  <c r="F30" i="9"/>
  <c r="G30" i="9"/>
  <c r="H30" i="9"/>
  <c r="I30" i="9"/>
  <c r="J30" i="9"/>
  <c r="C31" i="9"/>
  <c r="D31" i="9"/>
  <c r="E31" i="9"/>
  <c r="F31" i="9"/>
  <c r="G31" i="9"/>
  <c r="H31" i="9"/>
  <c r="I31" i="9"/>
  <c r="J31" i="9"/>
  <c r="C32" i="9"/>
  <c r="D32" i="9"/>
  <c r="E32" i="9"/>
  <c r="F32" i="9"/>
  <c r="G32" i="9"/>
  <c r="H32" i="9"/>
  <c r="I32" i="9"/>
  <c r="J32" i="9"/>
  <c r="C33" i="9"/>
  <c r="D33" i="9"/>
  <c r="E33" i="9"/>
  <c r="F33" i="9"/>
  <c r="G33" i="9"/>
  <c r="H33" i="9"/>
  <c r="I33" i="9"/>
  <c r="J33" i="9"/>
  <c r="C34" i="9"/>
  <c r="D34" i="9"/>
  <c r="E34" i="9"/>
  <c r="F34" i="9"/>
  <c r="G34" i="9"/>
  <c r="H34" i="9"/>
  <c r="I34" i="9"/>
  <c r="J34" i="9"/>
  <c r="C35" i="9"/>
  <c r="D35" i="9"/>
  <c r="E35" i="9"/>
  <c r="F35" i="9"/>
  <c r="G35" i="9"/>
  <c r="H35" i="9"/>
  <c r="I35" i="9"/>
  <c r="J35" i="9"/>
  <c r="C36" i="9"/>
  <c r="D36" i="9"/>
  <c r="E36" i="9"/>
  <c r="F36" i="9"/>
  <c r="G36" i="9"/>
  <c r="H36" i="9"/>
  <c r="I36" i="9"/>
  <c r="J36" i="9"/>
  <c r="C37" i="9"/>
  <c r="D37" i="9"/>
  <c r="E37" i="9"/>
  <c r="F37" i="9"/>
  <c r="G37" i="9"/>
  <c r="H37" i="9"/>
  <c r="I37" i="9"/>
  <c r="J37" i="9"/>
  <c r="C38" i="9"/>
  <c r="D38" i="9"/>
  <c r="E38" i="9"/>
  <c r="F38" i="9"/>
  <c r="G38" i="9"/>
  <c r="H38" i="9"/>
  <c r="I38" i="9"/>
  <c r="J38" i="9"/>
  <c r="C39" i="9"/>
  <c r="D39" i="9"/>
  <c r="E39" i="9"/>
  <c r="F39" i="9"/>
  <c r="G39" i="9"/>
  <c r="H39" i="9"/>
  <c r="I39" i="9"/>
  <c r="J39" i="9"/>
  <c r="C40" i="9"/>
  <c r="D40" i="9"/>
  <c r="E40" i="9"/>
  <c r="F40" i="9"/>
  <c r="G40" i="9"/>
  <c r="H40" i="9"/>
  <c r="I40" i="9"/>
  <c r="J40" i="9"/>
  <c r="C41" i="9"/>
  <c r="D41" i="9"/>
  <c r="E41" i="9"/>
  <c r="F41" i="9"/>
  <c r="G41" i="9"/>
  <c r="H41" i="9"/>
  <c r="I41" i="9"/>
  <c r="J41" i="9"/>
  <c r="C42" i="9"/>
  <c r="D42" i="9"/>
  <c r="E42" i="9"/>
  <c r="F42" i="9"/>
  <c r="G42" i="9"/>
  <c r="H42" i="9"/>
  <c r="I42" i="9"/>
  <c r="J42" i="9"/>
  <c r="C43" i="9"/>
  <c r="D43" i="9"/>
  <c r="E43" i="9"/>
  <c r="F43" i="9"/>
  <c r="G43" i="9"/>
  <c r="H43" i="9"/>
  <c r="I43" i="9"/>
  <c r="J43" i="9"/>
  <c r="C44" i="9"/>
  <c r="D44" i="9"/>
  <c r="E44" i="9"/>
  <c r="F44" i="9"/>
  <c r="G44" i="9"/>
  <c r="H44" i="9"/>
  <c r="I44" i="9"/>
  <c r="J44" i="9"/>
  <c r="C45" i="9"/>
  <c r="D45" i="9"/>
  <c r="E45" i="9"/>
  <c r="F45" i="9"/>
  <c r="G45" i="9"/>
  <c r="H45" i="9"/>
  <c r="I45" i="9"/>
  <c r="J45" i="9"/>
  <c r="C46" i="9"/>
  <c r="D46" i="9"/>
  <c r="E46" i="9"/>
  <c r="F46" i="9"/>
  <c r="G46" i="9"/>
  <c r="H46" i="9"/>
  <c r="I46" i="9"/>
  <c r="J46" i="9"/>
  <c r="C47" i="9"/>
  <c r="D47" i="9"/>
  <c r="E47" i="9"/>
  <c r="F47" i="9"/>
  <c r="G47" i="9"/>
  <c r="H47" i="9"/>
  <c r="I47" i="9"/>
  <c r="J47" i="9"/>
  <c r="C48" i="9"/>
  <c r="D48" i="9"/>
  <c r="E48" i="9"/>
  <c r="F48" i="9"/>
  <c r="G48" i="9"/>
  <c r="H48" i="9"/>
  <c r="I48" i="9"/>
  <c r="J48" i="9"/>
  <c r="C49" i="9"/>
  <c r="D49" i="9"/>
  <c r="E49" i="9"/>
  <c r="F49" i="9"/>
  <c r="G49" i="9"/>
  <c r="H49" i="9"/>
  <c r="I49" i="9"/>
  <c r="J49" i="9"/>
  <c r="C50" i="9"/>
  <c r="D50" i="9"/>
  <c r="E50" i="9"/>
  <c r="F50" i="9"/>
  <c r="G50" i="9"/>
  <c r="H50" i="9"/>
  <c r="I50" i="9"/>
  <c r="J50" i="9"/>
  <c r="C51" i="9"/>
  <c r="D51" i="9"/>
  <c r="E51" i="9"/>
  <c r="F51" i="9"/>
  <c r="G51" i="9"/>
  <c r="H51" i="9"/>
  <c r="I51" i="9"/>
  <c r="J51" i="9"/>
  <c r="C52" i="9"/>
  <c r="D52" i="9"/>
  <c r="E52" i="9"/>
  <c r="F52" i="9"/>
  <c r="G52" i="9"/>
  <c r="H52" i="9"/>
  <c r="I52" i="9"/>
  <c r="J52" i="9"/>
  <c r="C53" i="9"/>
  <c r="D53" i="9"/>
  <c r="E53" i="9"/>
  <c r="F53" i="9"/>
  <c r="G53" i="9"/>
  <c r="H53" i="9"/>
  <c r="I53" i="9"/>
  <c r="J53" i="9"/>
  <c r="C54" i="9"/>
  <c r="D54" i="9"/>
  <c r="E54" i="9"/>
  <c r="F54" i="9"/>
  <c r="G54" i="9"/>
  <c r="H54" i="9"/>
  <c r="I54" i="9"/>
  <c r="J54" i="9"/>
  <c r="C55" i="9"/>
  <c r="D55" i="9"/>
  <c r="E55" i="9"/>
  <c r="F55" i="9"/>
  <c r="G55" i="9"/>
  <c r="H55" i="9"/>
  <c r="I55" i="9"/>
  <c r="J55" i="9"/>
  <c r="C56" i="9"/>
  <c r="D56" i="9"/>
  <c r="E56" i="9"/>
  <c r="F56" i="9"/>
  <c r="G56" i="9"/>
  <c r="H56" i="9"/>
  <c r="I56" i="9"/>
  <c r="J56" i="9"/>
  <c r="C57" i="9"/>
  <c r="D57" i="9"/>
  <c r="E57" i="9"/>
  <c r="F57" i="9"/>
  <c r="G57" i="9"/>
  <c r="H57" i="9"/>
  <c r="I57" i="9"/>
  <c r="J57" i="9"/>
  <c r="C58" i="9"/>
  <c r="D58" i="9"/>
  <c r="E58" i="9"/>
  <c r="F58" i="9"/>
  <c r="G58" i="9"/>
  <c r="H58" i="9"/>
  <c r="I58" i="9"/>
  <c r="J58" i="9"/>
  <c r="C59" i="9"/>
  <c r="D59" i="9"/>
  <c r="E59" i="9"/>
  <c r="F59" i="9"/>
  <c r="G59" i="9"/>
  <c r="H59" i="9"/>
  <c r="I59" i="9"/>
  <c r="J59" i="9"/>
  <c r="C60" i="9"/>
  <c r="D60" i="9"/>
  <c r="E60" i="9"/>
  <c r="F60" i="9"/>
  <c r="G60" i="9"/>
  <c r="H60" i="9"/>
  <c r="I60" i="9"/>
  <c r="J60" i="9"/>
  <c r="C61" i="9"/>
  <c r="D61" i="9"/>
  <c r="E61" i="9"/>
  <c r="F61" i="9"/>
  <c r="G61" i="9"/>
  <c r="H61" i="9"/>
  <c r="I61" i="9"/>
  <c r="J61" i="9"/>
  <c r="C62" i="9"/>
  <c r="D62" i="9"/>
  <c r="E62" i="9"/>
  <c r="F62" i="9"/>
  <c r="G62" i="9"/>
  <c r="H62" i="9"/>
  <c r="I62" i="9"/>
  <c r="J62" i="9"/>
  <c r="C63" i="9"/>
  <c r="D63" i="9"/>
  <c r="E63" i="9"/>
  <c r="F63" i="9"/>
  <c r="G63" i="9"/>
  <c r="H63" i="9"/>
  <c r="I63" i="9"/>
  <c r="J63" i="9"/>
  <c r="C64" i="9"/>
  <c r="D64" i="9"/>
  <c r="E64" i="9"/>
  <c r="F64" i="9"/>
  <c r="G64" i="9"/>
  <c r="H64" i="9"/>
  <c r="I64" i="9"/>
  <c r="J64" i="9"/>
  <c r="C65" i="9"/>
  <c r="D65" i="9"/>
  <c r="E65" i="9"/>
  <c r="F65" i="9"/>
  <c r="G65" i="9"/>
  <c r="H65" i="9"/>
  <c r="I65" i="9"/>
  <c r="J65" i="9"/>
  <c r="C66" i="9"/>
  <c r="D66" i="9"/>
  <c r="E66" i="9"/>
  <c r="F66" i="9"/>
  <c r="G66" i="9"/>
  <c r="H66" i="9"/>
  <c r="I66" i="9"/>
  <c r="J66" i="9"/>
  <c r="C67" i="9"/>
  <c r="D67" i="9"/>
  <c r="E67" i="9"/>
  <c r="F67" i="9"/>
  <c r="G67" i="9"/>
  <c r="H67" i="9"/>
  <c r="I67" i="9"/>
  <c r="J67" i="9"/>
  <c r="C68" i="9"/>
  <c r="D68" i="9"/>
  <c r="E68" i="9"/>
  <c r="F68" i="9"/>
  <c r="G68" i="9"/>
  <c r="H68" i="9"/>
  <c r="I68" i="9"/>
  <c r="J68" i="9"/>
  <c r="C69" i="9"/>
  <c r="D69" i="9"/>
  <c r="E69" i="9"/>
  <c r="F69" i="9"/>
  <c r="G69" i="9"/>
  <c r="H69" i="9"/>
  <c r="I69" i="9"/>
  <c r="J69" i="9"/>
  <c r="C70" i="9"/>
  <c r="D70" i="9"/>
  <c r="E70" i="9"/>
  <c r="F70" i="9"/>
  <c r="G70" i="9"/>
  <c r="H70" i="9"/>
  <c r="I70" i="9"/>
  <c r="J70" i="9"/>
  <c r="C71" i="9"/>
  <c r="D71" i="9"/>
  <c r="E71" i="9"/>
  <c r="F71" i="9"/>
  <c r="G71" i="9"/>
  <c r="H71" i="9"/>
  <c r="I71" i="9"/>
  <c r="J71" i="9"/>
  <c r="C72" i="9"/>
  <c r="D72" i="9"/>
  <c r="E72" i="9"/>
  <c r="F72" i="9"/>
  <c r="G72" i="9"/>
  <c r="H72" i="9"/>
  <c r="I72" i="9"/>
  <c r="J72" i="9"/>
  <c r="C73" i="9"/>
  <c r="D73" i="9"/>
  <c r="E73" i="9"/>
  <c r="F73" i="9"/>
  <c r="G73" i="9"/>
  <c r="H73" i="9"/>
  <c r="I73" i="9"/>
  <c r="J73" i="9"/>
  <c r="C74" i="9"/>
  <c r="D74" i="9"/>
  <c r="E74" i="9"/>
  <c r="F74" i="9"/>
  <c r="G74" i="9"/>
  <c r="H74" i="9"/>
  <c r="I74" i="9"/>
  <c r="J74" i="9"/>
  <c r="C75" i="9"/>
  <c r="D75" i="9"/>
  <c r="E75" i="9"/>
  <c r="F75" i="9"/>
  <c r="G75" i="9"/>
  <c r="H75" i="9"/>
  <c r="I75" i="9"/>
  <c r="J75" i="9"/>
  <c r="C76" i="9"/>
  <c r="D76" i="9"/>
  <c r="E76" i="9"/>
  <c r="F76" i="9"/>
  <c r="G76" i="9"/>
  <c r="H76" i="9"/>
  <c r="I76" i="9"/>
  <c r="J76" i="9"/>
  <c r="C77" i="9"/>
  <c r="D77" i="9"/>
  <c r="E77" i="9"/>
  <c r="F77" i="9"/>
  <c r="G77" i="9"/>
  <c r="H77" i="9"/>
  <c r="I77" i="9"/>
  <c r="J77" i="9"/>
  <c r="C78" i="9"/>
  <c r="D78" i="9"/>
  <c r="E78" i="9"/>
  <c r="F78" i="9"/>
  <c r="G78" i="9"/>
  <c r="H78" i="9"/>
  <c r="I78" i="9"/>
  <c r="J78" i="9"/>
  <c r="C79" i="9"/>
  <c r="D79" i="9"/>
  <c r="E79" i="9"/>
  <c r="F79" i="9"/>
  <c r="G79" i="9"/>
  <c r="H79" i="9"/>
  <c r="I79" i="9"/>
  <c r="J79" i="9"/>
  <c r="C80" i="9"/>
  <c r="D80" i="9"/>
  <c r="E80" i="9"/>
  <c r="F80" i="9"/>
  <c r="G80" i="9"/>
  <c r="H80" i="9"/>
  <c r="I80" i="9"/>
  <c r="J80" i="9"/>
  <c r="C81" i="9"/>
  <c r="D81" i="9"/>
  <c r="E81" i="9"/>
  <c r="F81" i="9"/>
  <c r="G81" i="9"/>
  <c r="H81" i="9"/>
  <c r="I81" i="9"/>
  <c r="J81" i="9"/>
  <c r="C82" i="9"/>
  <c r="D82" i="9"/>
  <c r="E82" i="9"/>
  <c r="F82" i="9"/>
  <c r="G82" i="9"/>
  <c r="H82" i="9"/>
  <c r="I82" i="9"/>
  <c r="J82" i="9"/>
  <c r="C83" i="9"/>
  <c r="D83" i="9"/>
  <c r="E83" i="9"/>
  <c r="F83" i="9"/>
  <c r="G83" i="9"/>
  <c r="H83" i="9"/>
  <c r="I83" i="9"/>
  <c r="J83" i="9"/>
  <c r="C84" i="9"/>
  <c r="D84" i="9"/>
  <c r="E84" i="9"/>
  <c r="F84" i="9"/>
  <c r="G84" i="9"/>
  <c r="H84" i="9"/>
  <c r="I84" i="9"/>
  <c r="J84" i="9"/>
  <c r="J3" i="9"/>
  <c r="I3" i="9"/>
  <c r="H3" i="9"/>
  <c r="G3" i="9"/>
  <c r="F3" i="9"/>
  <c r="E3" i="9"/>
  <c r="D3" i="9"/>
  <c r="C3" i="9"/>
  <c r="V4" i="10"/>
  <c r="W4" i="10"/>
  <c r="V5" i="10"/>
  <c r="W5" i="10"/>
  <c r="V6" i="10"/>
  <c r="W6" i="10"/>
  <c r="V7" i="10"/>
  <c r="W7" i="10"/>
  <c r="V8" i="10"/>
  <c r="W8" i="10"/>
  <c r="V9" i="10"/>
  <c r="W9" i="10"/>
  <c r="V10" i="10"/>
  <c r="W10" i="10"/>
  <c r="V11" i="10"/>
  <c r="W11" i="10"/>
  <c r="V12" i="10"/>
  <c r="W12" i="10"/>
  <c r="V13" i="10"/>
  <c r="W13" i="10"/>
  <c r="V14" i="10"/>
  <c r="W14" i="10"/>
  <c r="V15" i="10"/>
  <c r="W15" i="10"/>
  <c r="V16" i="10"/>
  <c r="W16" i="10"/>
  <c r="V17" i="10"/>
  <c r="W17" i="10"/>
  <c r="V18" i="10"/>
  <c r="W18" i="10"/>
  <c r="V19" i="10"/>
  <c r="W19" i="10"/>
  <c r="V20" i="10"/>
  <c r="W20" i="10"/>
  <c r="V21" i="10"/>
  <c r="W21" i="10"/>
  <c r="V22" i="10"/>
  <c r="W22" i="10"/>
  <c r="V23" i="10"/>
  <c r="W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V30" i="10"/>
  <c r="W30" i="10"/>
  <c r="V31" i="10"/>
  <c r="W31" i="10"/>
  <c r="V32" i="10"/>
  <c r="W32" i="10"/>
  <c r="V33" i="10"/>
  <c r="W33" i="10"/>
  <c r="V34" i="10"/>
  <c r="W34" i="10"/>
  <c r="V35" i="10"/>
  <c r="W35" i="10"/>
  <c r="V36" i="10"/>
  <c r="W36" i="10"/>
  <c r="V37" i="10"/>
  <c r="W37" i="10"/>
  <c r="V38" i="10"/>
  <c r="W38" i="10"/>
  <c r="V39" i="10"/>
  <c r="W39" i="10"/>
  <c r="V40" i="10"/>
  <c r="W40" i="10"/>
  <c r="V41" i="10"/>
  <c r="W41" i="10"/>
  <c r="V42" i="10"/>
  <c r="W42" i="10"/>
  <c r="V43" i="10"/>
  <c r="W43" i="10"/>
  <c r="V44" i="10"/>
  <c r="W44" i="10"/>
  <c r="V45" i="10"/>
  <c r="W45" i="10"/>
  <c r="V46" i="10"/>
  <c r="W46" i="10"/>
  <c r="V47" i="10"/>
  <c r="W47" i="10"/>
  <c r="V48" i="10"/>
  <c r="W48" i="10"/>
  <c r="V49" i="10"/>
  <c r="W49" i="10"/>
  <c r="V50" i="10"/>
  <c r="W50" i="10"/>
  <c r="V51" i="10"/>
  <c r="W51" i="10"/>
  <c r="V52" i="10"/>
  <c r="W52" i="10"/>
  <c r="V53" i="10"/>
  <c r="W53" i="10"/>
  <c r="V54" i="10"/>
  <c r="W54" i="10"/>
  <c r="V55" i="10"/>
  <c r="U55" i="10" s="1"/>
  <c r="W55" i="10"/>
  <c r="X55" i="10" s="1"/>
  <c r="V56" i="10"/>
  <c r="W56" i="10"/>
  <c r="V57" i="10"/>
  <c r="W57" i="10"/>
  <c r="V58" i="10"/>
  <c r="W58" i="10"/>
  <c r="V59" i="10"/>
  <c r="W59" i="10"/>
  <c r="V60" i="10"/>
  <c r="W60" i="10"/>
  <c r="V61" i="10"/>
  <c r="W61" i="10"/>
  <c r="V62" i="10"/>
  <c r="W62" i="10"/>
  <c r="V63" i="10"/>
  <c r="W63" i="10"/>
  <c r="V64" i="10"/>
  <c r="W64" i="10"/>
  <c r="V65" i="10"/>
  <c r="W65" i="10"/>
  <c r="V66" i="10"/>
  <c r="W66" i="10"/>
  <c r="V67" i="10"/>
  <c r="W67" i="10"/>
  <c r="V68" i="10"/>
  <c r="W68" i="10"/>
  <c r="V69" i="10"/>
  <c r="W69" i="10"/>
  <c r="V70" i="10"/>
  <c r="W70" i="10"/>
  <c r="V71" i="10"/>
  <c r="W71" i="10"/>
  <c r="V72" i="10"/>
  <c r="W72" i="10"/>
  <c r="V73" i="10"/>
  <c r="W73" i="10"/>
  <c r="V74" i="10"/>
  <c r="W74" i="10"/>
  <c r="V75" i="10"/>
  <c r="W75" i="10"/>
  <c r="V76" i="10"/>
  <c r="W76" i="10"/>
  <c r="V77" i="10"/>
  <c r="W77" i="10"/>
  <c r="V78" i="10"/>
  <c r="W78" i="10"/>
  <c r="V79" i="10"/>
  <c r="W79" i="10"/>
  <c r="V80" i="10"/>
  <c r="W80" i="10"/>
  <c r="V81" i="10"/>
  <c r="W81" i="10"/>
  <c r="V82" i="10"/>
  <c r="W82" i="10"/>
  <c r="V83" i="10"/>
  <c r="W83" i="10"/>
  <c r="V84" i="10"/>
  <c r="W84" i="10"/>
  <c r="W3" i="10"/>
  <c r="V3" i="10"/>
  <c r="S4" i="10"/>
  <c r="S5" i="10"/>
  <c r="S6" i="10"/>
  <c r="S7" i="10"/>
  <c r="X7" i="10" s="1"/>
  <c r="S8" i="10"/>
  <c r="S9" i="10"/>
  <c r="S10" i="10"/>
  <c r="S11" i="10"/>
  <c r="X11" i="10" s="1"/>
  <c r="S12" i="10"/>
  <c r="S13" i="10"/>
  <c r="S14" i="10"/>
  <c r="S15" i="10"/>
  <c r="X15" i="10" s="1"/>
  <c r="S16" i="10"/>
  <c r="S17" i="10"/>
  <c r="S18" i="10"/>
  <c r="S19" i="10"/>
  <c r="X19" i="10" s="1"/>
  <c r="S20" i="10"/>
  <c r="S21" i="10"/>
  <c r="X21" i="10" s="1"/>
  <c r="S22" i="10"/>
  <c r="S23" i="10"/>
  <c r="S24" i="10"/>
  <c r="S25" i="10"/>
  <c r="S26" i="10"/>
  <c r="S27" i="10"/>
  <c r="X27" i="10" s="1"/>
  <c r="S28" i="10"/>
  <c r="S29" i="10"/>
  <c r="S30" i="10"/>
  <c r="S31" i="10"/>
  <c r="S32" i="10"/>
  <c r="S33" i="10"/>
  <c r="S34" i="10"/>
  <c r="S35" i="10"/>
  <c r="S36" i="10"/>
  <c r="S37" i="10"/>
  <c r="U37" i="10" s="1"/>
  <c r="S38" i="10"/>
  <c r="S39" i="10"/>
  <c r="X39" i="10" s="1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X71" i="10" s="1"/>
  <c r="S72" i="10"/>
  <c r="S73" i="10"/>
  <c r="S74" i="10"/>
  <c r="S75" i="10"/>
  <c r="S76" i="10"/>
  <c r="S77" i="10"/>
  <c r="S78" i="10"/>
  <c r="S79" i="10"/>
  <c r="X79" i="10" s="1"/>
  <c r="S80" i="10"/>
  <c r="S81" i="10"/>
  <c r="S82" i="10"/>
  <c r="S83" i="10"/>
  <c r="X83" i="10" s="1"/>
  <c r="S84" i="10"/>
  <c r="S3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AA88" i="9"/>
  <c r="Z88" i="9"/>
  <c r="Y88" i="9"/>
  <c r="AN84" i="9"/>
  <c r="V84" i="9"/>
  <c r="AV83" i="9"/>
  <c r="V83" i="9"/>
  <c r="V82" i="9"/>
  <c r="V81" i="9"/>
  <c r="V80" i="9"/>
  <c r="V79" i="9"/>
  <c r="AV78" i="9"/>
  <c r="V78" i="9"/>
  <c r="AV77" i="9"/>
  <c r="V77" i="9"/>
  <c r="AV76" i="9"/>
  <c r="V76" i="9"/>
  <c r="AV75" i="9"/>
  <c r="V75" i="9"/>
  <c r="V74" i="9"/>
  <c r="V73" i="9"/>
  <c r="AV72" i="9"/>
  <c r="V72" i="9"/>
  <c r="AV71" i="9"/>
  <c r="V71" i="9"/>
  <c r="V70" i="9"/>
  <c r="V69" i="9"/>
  <c r="V68" i="9"/>
  <c r="V67" i="9"/>
  <c r="V66" i="9"/>
  <c r="AV65" i="9"/>
  <c r="V65" i="9"/>
  <c r="V64" i="9"/>
  <c r="AV63" i="9"/>
  <c r="V63" i="9"/>
  <c r="V62" i="9"/>
  <c r="V61" i="9"/>
  <c r="AN60" i="9"/>
  <c r="V60" i="9"/>
  <c r="V59" i="9"/>
  <c r="V58" i="9"/>
  <c r="AN57" i="9"/>
  <c r="V57" i="9"/>
  <c r="AV56" i="9"/>
  <c r="V56" i="9"/>
  <c r="AV55" i="9"/>
  <c r="V55" i="9"/>
  <c r="V54" i="9"/>
  <c r="V53" i="9"/>
  <c r="AV52" i="9"/>
  <c r="V52" i="9"/>
  <c r="AV51" i="9"/>
  <c r="V51" i="9"/>
  <c r="AN50" i="9"/>
  <c r="V50" i="9"/>
  <c r="AV49" i="9"/>
  <c r="V49" i="9"/>
  <c r="V48" i="9"/>
  <c r="V47" i="9"/>
  <c r="AN46" i="9"/>
  <c r="V46" i="9"/>
  <c r="AN45" i="9"/>
  <c r="V45" i="9"/>
  <c r="AV44" i="9"/>
  <c r="V44" i="9"/>
  <c r="V43" i="9"/>
  <c r="V42" i="9"/>
  <c r="V41" i="9"/>
  <c r="AN40" i="9"/>
  <c r="V40" i="9"/>
  <c r="AN39" i="9"/>
  <c r="V39" i="9"/>
  <c r="V38" i="9"/>
  <c r="AV37" i="9"/>
  <c r="V37" i="9"/>
  <c r="V36" i="9"/>
  <c r="V35" i="9"/>
  <c r="V34" i="9"/>
  <c r="V33" i="9"/>
  <c r="AN32" i="9"/>
  <c r="V32" i="9"/>
  <c r="AV31" i="9"/>
  <c r="V31" i="9"/>
  <c r="V30" i="9"/>
  <c r="AN29" i="9"/>
  <c r="V29" i="9"/>
  <c r="V28" i="9"/>
  <c r="V27" i="9"/>
  <c r="V26" i="9"/>
  <c r="V25" i="9"/>
  <c r="V24" i="9"/>
  <c r="AV23" i="9"/>
  <c r="V23" i="9"/>
  <c r="AV22" i="9"/>
  <c r="V22" i="9"/>
  <c r="AV21" i="9"/>
  <c r="V21" i="9"/>
  <c r="AV20" i="9"/>
  <c r="V20" i="9"/>
  <c r="V19" i="9"/>
  <c r="V18" i="9"/>
  <c r="V17" i="9"/>
  <c r="V16" i="9"/>
  <c r="V15" i="9"/>
  <c r="AV14" i="9"/>
  <c r="V14" i="9"/>
  <c r="AV13" i="9"/>
  <c r="V13" i="9"/>
  <c r="AV12" i="9"/>
  <c r="V12" i="9"/>
  <c r="V11" i="9"/>
  <c r="AN10" i="9"/>
  <c r="V10" i="9"/>
  <c r="AN9" i="9"/>
  <c r="V9" i="9"/>
  <c r="AN8" i="9"/>
  <c r="V8" i="9"/>
  <c r="V7" i="9"/>
  <c r="V6" i="9"/>
  <c r="V5" i="9"/>
  <c r="V4" i="9"/>
  <c r="V3" i="9"/>
  <c r="G86" i="6"/>
  <c r="F86" i="6"/>
  <c r="E86" i="6"/>
  <c r="D86" i="6"/>
  <c r="C86" i="6"/>
  <c r="H4" i="7"/>
  <c r="H5" i="7"/>
  <c r="H6" i="7"/>
  <c r="I6" i="7" s="1"/>
  <c r="H7" i="7"/>
  <c r="I7" i="7" s="1"/>
  <c r="H8" i="7"/>
  <c r="H9" i="7"/>
  <c r="H10" i="7"/>
  <c r="I10" i="7" s="1"/>
  <c r="H11" i="7"/>
  <c r="I11" i="7" s="1"/>
  <c r="H12" i="7"/>
  <c r="H13" i="7"/>
  <c r="H14" i="7"/>
  <c r="I14" i="7" s="1"/>
  <c r="H15" i="7"/>
  <c r="I15" i="7" s="1"/>
  <c r="H16" i="7"/>
  <c r="H17" i="7"/>
  <c r="H18" i="7"/>
  <c r="I18" i="7" s="1"/>
  <c r="H19" i="7"/>
  <c r="I19" i="7" s="1"/>
  <c r="H20" i="7"/>
  <c r="H21" i="7"/>
  <c r="H22" i="7"/>
  <c r="I22" i="7" s="1"/>
  <c r="H23" i="7"/>
  <c r="I23" i="7" s="1"/>
  <c r="H24" i="7"/>
  <c r="H25" i="7"/>
  <c r="H26" i="7"/>
  <c r="I26" i="7" s="1"/>
  <c r="H27" i="7"/>
  <c r="I27" i="7" s="1"/>
  <c r="H28" i="7"/>
  <c r="H29" i="7"/>
  <c r="I29" i="7" s="1"/>
  <c r="H30" i="7"/>
  <c r="I30" i="7" s="1"/>
  <c r="H31" i="7"/>
  <c r="I31" i="7" s="1"/>
  <c r="H32" i="7"/>
  <c r="H33" i="7"/>
  <c r="I33" i="7" s="1"/>
  <c r="H34" i="7"/>
  <c r="I34" i="7" s="1"/>
  <c r="H35" i="7"/>
  <c r="I35" i="7" s="1"/>
  <c r="H36" i="7"/>
  <c r="H37" i="7"/>
  <c r="I37" i="7" s="1"/>
  <c r="H38" i="7"/>
  <c r="I38" i="7" s="1"/>
  <c r="H39" i="7"/>
  <c r="I39" i="7" s="1"/>
  <c r="H40" i="7"/>
  <c r="H41" i="7"/>
  <c r="I41" i="7" s="1"/>
  <c r="H42" i="7"/>
  <c r="I42" i="7" s="1"/>
  <c r="H43" i="7"/>
  <c r="I43" i="7" s="1"/>
  <c r="H44" i="7"/>
  <c r="H45" i="7"/>
  <c r="I45" i="7" s="1"/>
  <c r="H46" i="7"/>
  <c r="I46" i="7" s="1"/>
  <c r="H47" i="7"/>
  <c r="I47" i="7" s="1"/>
  <c r="H48" i="7"/>
  <c r="H49" i="7"/>
  <c r="I49" i="7" s="1"/>
  <c r="H50" i="7"/>
  <c r="I50" i="7" s="1"/>
  <c r="H51" i="7"/>
  <c r="I51" i="7" s="1"/>
  <c r="H52" i="7"/>
  <c r="H53" i="7"/>
  <c r="I53" i="7" s="1"/>
  <c r="H54" i="7"/>
  <c r="I54" i="7" s="1"/>
  <c r="H55" i="7"/>
  <c r="I55" i="7" s="1"/>
  <c r="H56" i="7"/>
  <c r="H57" i="7"/>
  <c r="I57" i="7" s="1"/>
  <c r="H58" i="7"/>
  <c r="I58" i="7" s="1"/>
  <c r="H59" i="7"/>
  <c r="I59" i="7" s="1"/>
  <c r="H60" i="7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I67" i="7" s="1"/>
  <c r="H68" i="7"/>
  <c r="H69" i="7"/>
  <c r="I69" i="7" s="1"/>
  <c r="H70" i="7"/>
  <c r="I70" i="7" s="1"/>
  <c r="H71" i="7"/>
  <c r="I71" i="7" s="1"/>
  <c r="H72" i="7"/>
  <c r="H73" i="7"/>
  <c r="I73" i="7" s="1"/>
  <c r="H74" i="7"/>
  <c r="I74" i="7" s="1"/>
  <c r="H75" i="7"/>
  <c r="I75" i="7" s="1"/>
  <c r="H76" i="7"/>
  <c r="H77" i="7"/>
  <c r="I77" i="7" s="1"/>
  <c r="H78" i="7"/>
  <c r="I78" i="7" s="1"/>
  <c r="H79" i="7"/>
  <c r="I79" i="7" s="1"/>
  <c r="H80" i="7"/>
  <c r="H81" i="7"/>
  <c r="I81" i="7" s="1"/>
  <c r="H82" i="7"/>
  <c r="I82" i="7" s="1"/>
  <c r="H83" i="7"/>
  <c r="I83" i="7" s="1"/>
  <c r="H84" i="7"/>
  <c r="H3" i="7"/>
  <c r="I3" i="7" s="1"/>
  <c r="I4" i="7"/>
  <c r="I5" i="7"/>
  <c r="I8" i="7"/>
  <c r="I9" i="7"/>
  <c r="I12" i="7"/>
  <c r="I13" i="7"/>
  <c r="I16" i="7"/>
  <c r="I17" i="7"/>
  <c r="I20" i="7"/>
  <c r="I21" i="7"/>
  <c r="I24" i="7"/>
  <c r="I25" i="7"/>
  <c r="I28" i="7"/>
  <c r="I32" i="7"/>
  <c r="I36" i="7"/>
  <c r="I40" i="7"/>
  <c r="I44" i="7"/>
  <c r="I48" i="7"/>
  <c r="I52" i="7"/>
  <c r="I56" i="7"/>
  <c r="I60" i="7"/>
  <c r="I68" i="7"/>
  <c r="I72" i="7"/>
  <c r="I76" i="7"/>
  <c r="I80" i="7"/>
  <c r="I84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6" i="6"/>
  <c r="I27" i="6"/>
  <c r="I28" i="6"/>
  <c r="I29" i="6"/>
  <c r="I30" i="6"/>
  <c r="I31" i="6"/>
  <c r="I37" i="6"/>
  <c r="I40" i="6"/>
  <c r="I42" i="6"/>
  <c r="I43" i="6"/>
  <c r="I44" i="6"/>
  <c r="I45" i="6"/>
  <c r="I46" i="6"/>
  <c r="I48" i="6"/>
  <c r="I57" i="6"/>
  <c r="I58" i="6"/>
  <c r="I59" i="6"/>
  <c r="I60" i="6"/>
  <c r="I66" i="6"/>
  <c r="I69" i="6"/>
  <c r="I70" i="6"/>
  <c r="I75" i="6"/>
  <c r="I81" i="6"/>
  <c r="I84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I22" i="6" s="1"/>
  <c r="H23" i="6"/>
  <c r="I23" i="6" s="1"/>
  <c r="H24" i="6"/>
  <c r="I24" i="6" s="1"/>
  <c r="H25" i="6"/>
  <c r="I25" i="6" s="1"/>
  <c r="H26" i="6"/>
  <c r="H27" i="6"/>
  <c r="H28" i="6"/>
  <c r="H29" i="6"/>
  <c r="H30" i="6"/>
  <c r="H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H38" i="6"/>
  <c r="I38" i="6" s="1"/>
  <c r="H39" i="6"/>
  <c r="I39" i="6" s="1"/>
  <c r="H40" i="6"/>
  <c r="H41" i="6"/>
  <c r="I41" i="6" s="1"/>
  <c r="H42" i="6"/>
  <c r="H43" i="6"/>
  <c r="H44" i="6"/>
  <c r="H45" i="6"/>
  <c r="H46" i="6"/>
  <c r="H47" i="6"/>
  <c r="I47" i="6" s="1"/>
  <c r="H48" i="6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H58" i="6"/>
  <c r="H59" i="6"/>
  <c r="H60" i="6"/>
  <c r="H61" i="6"/>
  <c r="I61" i="6" s="1"/>
  <c r="H62" i="6"/>
  <c r="I62" i="6" s="1"/>
  <c r="H63" i="6"/>
  <c r="I63" i="6" s="1"/>
  <c r="H64" i="6"/>
  <c r="I64" i="6" s="1"/>
  <c r="H65" i="6"/>
  <c r="I65" i="6" s="1"/>
  <c r="H66" i="6"/>
  <c r="H67" i="6"/>
  <c r="I67" i="6" s="1"/>
  <c r="H68" i="6"/>
  <c r="I68" i="6" s="1"/>
  <c r="H69" i="6"/>
  <c r="H70" i="6"/>
  <c r="H71" i="6"/>
  <c r="I71" i="6" s="1"/>
  <c r="H72" i="6"/>
  <c r="I72" i="6" s="1"/>
  <c r="H73" i="6"/>
  <c r="I73" i="6" s="1"/>
  <c r="H74" i="6"/>
  <c r="I74" i="6" s="1"/>
  <c r="H75" i="6"/>
  <c r="H76" i="6"/>
  <c r="I76" i="6" s="1"/>
  <c r="H77" i="6"/>
  <c r="I77" i="6" s="1"/>
  <c r="H78" i="6"/>
  <c r="I78" i="6" s="1"/>
  <c r="H79" i="6"/>
  <c r="I79" i="6" s="1"/>
  <c r="H80" i="6"/>
  <c r="I80" i="6" s="1"/>
  <c r="H81" i="6"/>
  <c r="H82" i="6"/>
  <c r="I82" i="6" s="1"/>
  <c r="H83" i="6"/>
  <c r="I83" i="6" s="1"/>
  <c r="H84" i="6"/>
  <c r="H3" i="6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O86" i="7"/>
  <c r="N86" i="7"/>
  <c r="M86" i="7"/>
  <c r="K86" i="7"/>
  <c r="G86" i="7" s="1"/>
  <c r="L3" i="7"/>
  <c r="O86" i="6"/>
  <c r="N86" i="6"/>
  <c r="M86" i="6"/>
  <c r="K8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2" i="6"/>
  <c r="L83" i="6"/>
  <c r="P4" i="6"/>
  <c r="U4" i="6" s="1"/>
  <c r="P5" i="6"/>
  <c r="AG5" i="6" s="1"/>
  <c r="P6" i="6"/>
  <c r="AG6" i="6" s="1"/>
  <c r="P7" i="6"/>
  <c r="U7" i="6" s="1"/>
  <c r="P8" i="6"/>
  <c r="AC8" i="6" s="1"/>
  <c r="P9" i="6"/>
  <c r="AG9" i="6" s="1"/>
  <c r="P10" i="6"/>
  <c r="AG10" i="6" s="1"/>
  <c r="P11" i="6"/>
  <c r="U11" i="6" s="1"/>
  <c r="P12" i="6"/>
  <c r="AC12" i="6" s="1"/>
  <c r="P13" i="6"/>
  <c r="U13" i="6" s="1"/>
  <c r="P14" i="6"/>
  <c r="AG14" i="6" s="1"/>
  <c r="P15" i="6"/>
  <c r="U15" i="6" s="1"/>
  <c r="P16" i="6"/>
  <c r="AK16" i="6" s="1"/>
  <c r="P17" i="6"/>
  <c r="AK17" i="6" s="1"/>
  <c r="P18" i="6"/>
  <c r="AK18" i="6" s="1"/>
  <c r="P19" i="6"/>
  <c r="AK19" i="6" s="1"/>
  <c r="P20" i="6"/>
  <c r="AK20" i="6" s="1"/>
  <c r="P21" i="6"/>
  <c r="AK21" i="6" s="1"/>
  <c r="P22" i="6"/>
  <c r="AK22" i="6" s="1"/>
  <c r="P23" i="6"/>
  <c r="AK23" i="6" s="1"/>
  <c r="P24" i="6"/>
  <c r="AK24" i="6" s="1"/>
  <c r="P25" i="6"/>
  <c r="AK25" i="6" s="1"/>
  <c r="P26" i="6"/>
  <c r="AK26" i="6" s="1"/>
  <c r="P27" i="6"/>
  <c r="AK27" i="6" s="1"/>
  <c r="P28" i="6"/>
  <c r="AK28" i="6" s="1"/>
  <c r="P29" i="6"/>
  <c r="AK29" i="6" s="1"/>
  <c r="P30" i="6"/>
  <c r="AK30" i="6" s="1"/>
  <c r="P31" i="6"/>
  <c r="AK31" i="6" s="1"/>
  <c r="P32" i="6"/>
  <c r="AK32" i="6" s="1"/>
  <c r="P33" i="6"/>
  <c r="AK33" i="6" s="1"/>
  <c r="P34" i="6"/>
  <c r="AK34" i="6" s="1"/>
  <c r="P35" i="6"/>
  <c r="AK35" i="6" s="1"/>
  <c r="P36" i="6"/>
  <c r="AK36" i="6" s="1"/>
  <c r="P37" i="6"/>
  <c r="AK37" i="6" s="1"/>
  <c r="P38" i="6"/>
  <c r="AK38" i="6" s="1"/>
  <c r="P39" i="6"/>
  <c r="AK39" i="6" s="1"/>
  <c r="P40" i="6"/>
  <c r="AK40" i="6" s="1"/>
  <c r="P41" i="6"/>
  <c r="AK41" i="6" s="1"/>
  <c r="P42" i="6"/>
  <c r="U42" i="6" s="1"/>
  <c r="P43" i="6"/>
  <c r="AK43" i="6" s="1"/>
  <c r="P44" i="6"/>
  <c r="AK44" i="6" s="1"/>
  <c r="P45" i="6"/>
  <c r="AG45" i="6" s="1"/>
  <c r="P46" i="6"/>
  <c r="AK46" i="6" s="1"/>
  <c r="P47" i="6"/>
  <c r="AG47" i="6" s="1"/>
  <c r="P48" i="6"/>
  <c r="AK48" i="6" s="1"/>
  <c r="P49" i="6"/>
  <c r="U49" i="6" s="1"/>
  <c r="P50" i="6"/>
  <c r="AK50" i="6" s="1"/>
  <c r="P51" i="6"/>
  <c r="AG51" i="6" s="1"/>
  <c r="P52" i="6"/>
  <c r="AK52" i="6" s="1"/>
  <c r="P53" i="6"/>
  <c r="U53" i="6" s="1"/>
  <c r="P54" i="6"/>
  <c r="AK54" i="6" s="1"/>
  <c r="P55" i="6"/>
  <c r="AG55" i="6" s="1"/>
  <c r="P56" i="6"/>
  <c r="AK56" i="6" s="1"/>
  <c r="P57" i="6"/>
  <c r="U57" i="6" s="1"/>
  <c r="P58" i="6"/>
  <c r="AK58" i="6" s="1"/>
  <c r="P59" i="6"/>
  <c r="AG59" i="6" s="1"/>
  <c r="P60" i="6"/>
  <c r="AK60" i="6" s="1"/>
  <c r="P61" i="6"/>
  <c r="U61" i="6" s="1"/>
  <c r="P62" i="6"/>
  <c r="AK62" i="6" s="1"/>
  <c r="P63" i="6"/>
  <c r="AC63" i="6" s="1"/>
  <c r="P64" i="6"/>
  <c r="AK64" i="6" s="1"/>
  <c r="P65" i="6"/>
  <c r="U65" i="6" s="1"/>
  <c r="P66" i="6"/>
  <c r="AK66" i="6" s="1"/>
  <c r="P67" i="6"/>
  <c r="AG67" i="6" s="1"/>
  <c r="P68" i="6"/>
  <c r="AK68" i="6" s="1"/>
  <c r="P69" i="6"/>
  <c r="U69" i="6" s="1"/>
  <c r="P70" i="6"/>
  <c r="AK70" i="6" s="1"/>
  <c r="P71" i="6"/>
  <c r="AG71" i="6" s="1"/>
  <c r="P72" i="6"/>
  <c r="AK72" i="6" s="1"/>
  <c r="P73" i="6"/>
  <c r="U73" i="6" s="1"/>
  <c r="P74" i="6"/>
  <c r="AK74" i="6" s="1"/>
  <c r="P75" i="6"/>
  <c r="AG75" i="6" s="1"/>
  <c r="P76" i="6"/>
  <c r="AK76" i="6" s="1"/>
  <c r="P77" i="6"/>
  <c r="U77" i="6" s="1"/>
  <c r="P78" i="6"/>
  <c r="AK78" i="6" s="1"/>
  <c r="P79" i="6"/>
  <c r="AG79" i="6" s="1"/>
  <c r="P80" i="6"/>
  <c r="AK80" i="6" s="1"/>
  <c r="P82" i="6"/>
  <c r="AK82" i="6" s="1"/>
  <c r="P83" i="6"/>
  <c r="AK83" i="6" s="1"/>
  <c r="P3" i="6"/>
  <c r="AK3" i="6" s="1"/>
  <c r="L3" i="6"/>
  <c r="I118" i="1"/>
  <c r="F118" i="1"/>
  <c r="E118" i="1"/>
  <c r="J114" i="3"/>
  <c r="K114" i="3" s="1"/>
  <c r="G114" i="3"/>
  <c r="H114" i="3" s="1"/>
  <c r="J113" i="3"/>
  <c r="K113" i="3" s="1"/>
  <c r="G113" i="3"/>
  <c r="H113" i="3" s="1"/>
  <c r="I112" i="3"/>
  <c r="F112" i="3"/>
  <c r="G112" i="3" s="1"/>
  <c r="H112" i="3" s="1"/>
  <c r="E112" i="3"/>
  <c r="K111" i="3"/>
  <c r="J111" i="3"/>
  <c r="H111" i="3"/>
  <c r="G111" i="3"/>
  <c r="K110" i="3"/>
  <c r="J110" i="3"/>
  <c r="H110" i="3"/>
  <c r="G110" i="3"/>
  <c r="I109" i="3"/>
  <c r="G109" i="3"/>
  <c r="H109" i="3" s="1"/>
  <c r="F109" i="3"/>
  <c r="J109" i="3" s="1"/>
  <c r="K109" i="3" s="1"/>
  <c r="E109" i="3"/>
  <c r="J108" i="3"/>
  <c r="K108" i="3" s="1"/>
  <c r="G108" i="3"/>
  <c r="H108" i="3" s="1"/>
  <c r="J107" i="3"/>
  <c r="K107" i="3" s="1"/>
  <c r="G107" i="3"/>
  <c r="H107" i="3" s="1"/>
  <c r="J106" i="3"/>
  <c r="K106" i="3" s="1"/>
  <c r="G106" i="3"/>
  <c r="H106" i="3" s="1"/>
  <c r="I105" i="3"/>
  <c r="F105" i="3"/>
  <c r="G105" i="3" s="1"/>
  <c r="H105" i="3" s="1"/>
  <c r="E105" i="3"/>
  <c r="K104" i="3"/>
  <c r="J104" i="3"/>
  <c r="H104" i="3"/>
  <c r="G104" i="3"/>
  <c r="K103" i="3"/>
  <c r="J103" i="3"/>
  <c r="H103" i="3"/>
  <c r="G103" i="3"/>
  <c r="K102" i="3"/>
  <c r="J102" i="3"/>
  <c r="H102" i="3"/>
  <c r="G102" i="3"/>
  <c r="I101" i="3"/>
  <c r="F101" i="3"/>
  <c r="J101" i="3" s="1"/>
  <c r="K101" i="3" s="1"/>
  <c r="E101" i="3"/>
  <c r="G101" i="3" s="1"/>
  <c r="H101" i="3" s="1"/>
  <c r="J100" i="3"/>
  <c r="K100" i="3" s="1"/>
  <c r="G100" i="3"/>
  <c r="H100" i="3" s="1"/>
  <c r="J99" i="3"/>
  <c r="K99" i="3" s="1"/>
  <c r="G99" i="3"/>
  <c r="H99" i="3" s="1"/>
  <c r="I98" i="3"/>
  <c r="F98" i="3"/>
  <c r="G98" i="3" s="1"/>
  <c r="H98" i="3" s="1"/>
  <c r="E98" i="3"/>
  <c r="K97" i="3"/>
  <c r="J97" i="3"/>
  <c r="H97" i="3"/>
  <c r="G97" i="3"/>
  <c r="K96" i="3"/>
  <c r="J96" i="3"/>
  <c r="H96" i="3"/>
  <c r="G96" i="3"/>
  <c r="K95" i="3"/>
  <c r="J95" i="3"/>
  <c r="H95" i="3"/>
  <c r="G95" i="3"/>
  <c r="K94" i="3"/>
  <c r="J94" i="3"/>
  <c r="H94" i="3"/>
  <c r="G94" i="3"/>
  <c r="I93" i="3"/>
  <c r="G93" i="3"/>
  <c r="H93" i="3" s="1"/>
  <c r="F93" i="3"/>
  <c r="J93" i="3" s="1"/>
  <c r="K93" i="3" s="1"/>
  <c r="E93" i="3"/>
  <c r="J92" i="3"/>
  <c r="K92" i="3" s="1"/>
  <c r="G92" i="3"/>
  <c r="H92" i="3" s="1"/>
  <c r="J91" i="3"/>
  <c r="K91" i="3" s="1"/>
  <c r="G91" i="3"/>
  <c r="H91" i="3" s="1"/>
  <c r="J90" i="3"/>
  <c r="K90" i="3" s="1"/>
  <c r="G90" i="3"/>
  <c r="H90" i="3" s="1"/>
  <c r="I89" i="3"/>
  <c r="F89" i="3"/>
  <c r="G89" i="3" s="1"/>
  <c r="H89" i="3" s="1"/>
  <c r="E89" i="3"/>
  <c r="K88" i="3"/>
  <c r="J88" i="3"/>
  <c r="H88" i="3"/>
  <c r="G88" i="3"/>
  <c r="K87" i="3"/>
  <c r="J87" i="3"/>
  <c r="H87" i="3"/>
  <c r="G87" i="3"/>
  <c r="K86" i="3"/>
  <c r="J86" i="3"/>
  <c r="H86" i="3"/>
  <c r="G86" i="3"/>
  <c r="I85" i="3"/>
  <c r="F85" i="3"/>
  <c r="J85" i="3" s="1"/>
  <c r="K85" i="3" s="1"/>
  <c r="E85" i="3"/>
  <c r="G85" i="3" s="1"/>
  <c r="H85" i="3" s="1"/>
  <c r="J84" i="3"/>
  <c r="K84" i="3" s="1"/>
  <c r="G84" i="3"/>
  <c r="H84" i="3" s="1"/>
  <c r="J83" i="3"/>
  <c r="K83" i="3" s="1"/>
  <c r="G83" i="3"/>
  <c r="H83" i="3" s="1"/>
  <c r="I82" i="3"/>
  <c r="F82" i="3"/>
  <c r="G82" i="3" s="1"/>
  <c r="H82" i="3" s="1"/>
  <c r="E82" i="3"/>
  <c r="K81" i="3"/>
  <c r="J81" i="3"/>
  <c r="H81" i="3"/>
  <c r="G81" i="3"/>
  <c r="K80" i="3"/>
  <c r="J80" i="3"/>
  <c r="H80" i="3"/>
  <c r="G80" i="3"/>
  <c r="K79" i="3"/>
  <c r="J79" i="3"/>
  <c r="H79" i="3"/>
  <c r="G79" i="3"/>
  <c r="I78" i="3"/>
  <c r="G78" i="3"/>
  <c r="H78" i="3" s="1"/>
  <c r="F78" i="3"/>
  <c r="J78" i="3" s="1"/>
  <c r="K78" i="3" s="1"/>
  <c r="E78" i="3"/>
  <c r="J77" i="3"/>
  <c r="K77" i="3" s="1"/>
  <c r="G77" i="3"/>
  <c r="H77" i="3" s="1"/>
  <c r="J76" i="3"/>
  <c r="K76" i="3" s="1"/>
  <c r="G76" i="3"/>
  <c r="H76" i="3" s="1"/>
  <c r="J75" i="3"/>
  <c r="K75" i="3" s="1"/>
  <c r="G75" i="3"/>
  <c r="H75" i="3" s="1"/>
  <c r="I74" i="3"/>
  <c r="F74" i="3"/>
  <c r="J74" i="3" s="1"/>
  <c r="K74" i="3" s="1"/>
  <c r="E74" i="3"/>
  <c r="K73" i="3"/>
  <c r="J73" i="3"/>
  <c r="H73" i="3"/>
  <c r="G73" i="3"/>
  <c r="K72" i="3"/>
  <c r="J72" i="3"/>
  <c r="H72" i="3"/>
  <c r="G72" i="3"/>
  <c r="I71" i="3"/>
  <c r="F71" i="3"/>
  <c r="J71" i="3" s="1"/>
  <c r="K71" i="3" s="1"/>
  <c r="E71" i="3"/>
  <c r="G71" i="3" s="1"/>
  <c r="H71" i="3" s="1"/>
  <c r="J70" i="3"/>
  <c r="K70" i="3" s="1"/>
  <c r="G70" i="3"/>
  <c r="H70" i="3" s="1"/>
  <c r="J69" i="3"/>
  <c r="K69" i="3" s="1"/>
  <c r="G69" i="3"/>
  <c r="H69" i="3" s="1"/>
  <c r="I68" i="3"/>
  <c r="F68" i="3"/>
  <c r="G68" i="3" s="1"/>
  <c r="H68" i="3" s="1"/>
  <c r="E68" i="3"/>
  <c r="K67" i="3"/>
  <c r="J67" i="3"/>
  <c r="H67" i="3"/>
  <c r="G67" i="3"/>
  <c r="K66" i="3"/>
  <c r="J66" i="3"/>
  <c r="H66" i="3"/>
  <c r="G66" i="3"/>
  <c r="I65" i="3"/>
  <c r="G65" i="3"/>
  <c r="H65" i="3" s="1"/>
  <c r="F65" i="3"/>
  <c r="J65" i="3" s="1"/>
  <c r="K65" i="3" s="1"/>
  <c r="E65" i="3"/>
  <c r="J64" i="3"/>
  <c r="K64" i="3" s="1"/>
  <c r="G64" i="3"/>
  <c r="H64" i="3" s="1"/>
  <c r="J63" i="3"/>
  <c r="K63" i="3" s="1"/>
  <c r="G63" i="3"/>
  <c r="H63" i="3" s="1"/>
  <c r="I62" i="3"/>
  <c r="F62" i="3"/>
  <c r="J62" i="3" s="1"/>
  <c r="K62" i="3" s="1"/>
  <c r="E62" i="3"/>
  <c r="K61" i="3"/>
  <c r="J61" i="3"/>
  <c r="H61" i="3"/>
  <c r="G61" i="3"/>
  <c r="K60" i="3"/>
  <c r="J60" i="3"/>
  <c r="H60" i="3"/>
  <c r="G60" i="3"/>
  <c r="I59" i="3"/>
  <c r="F59" i="3"/>
  <c r="J59" i="3" s="1"/>
  <c r="K59" i="3" s="1"/>
  <c r="E59" i="3"/>
  <c r="G59" i="3" s="1"/>
  <c r="H59" i="3" s="1"/>
  <c r="J58" i="3"/>
  <c r="K58" i="3" s="1"/>
  <c r="G58" i="3"/>
  <c r="H58" i="3" s="1"/>
  <c r="J57" i="3"/>
  <c r="K57" i="3" s="1"/>
  <c r="G57" i="3"/>
  <c r="H57" i="3" s="1"/>
  <c r="I56" i="3"/>
  <c r="F56" i="3"/>
  <c r="G56" i="3" s="1"/>
  <c r="H56" i="3" s="1"/>
  <c r="E56" i="3"/>
  <c r="K55" i="3"/>
  <c r="J55" i="3"/>
  <c r="H55" i="3"/>
  <c r="G55" i="3"/>
  <c r="K54" i="3"/>
  <c r="J54" i="3"/>
  <c r="H54" i="3"/>
  <c r="G54" i="3"/>
  <c r="K53" i="3"/>
  <c r="J53" i="3"/>
  <c r="H53" i="3"/>
  <c r="G53" i="3"/>
  <c r="I52" i="3"/>
  <c r="G52" i="3"/>
  <c r="H52" i="3" s="1"/>
  <c r="F52" i="3"/>
  <c r="J52" i="3" s="1"/>
  <c r="K52" i="3" s="1"/>
  <c r="E52" i="3"/>
  <c r="J51" i="3"/>
  <c r="K51" i="3" s="1"/>
  <c r="G51" i="3"/>
  <c r="H51" i="3" s="1"/>
  <c r="J50" i="3"/>
  <c r="K50" i="3" s="1"/>
  <c r="G50" i="3"/>
  <c r="H50" i="3" s="1"/>
  <c r="J49" i="3"/>
  <c r="K49" i="3" s="1"/>
  <c r="G49" i="3"/>
  <c r="H49" i="3" s="1"/>
  <c r="I48" i="3"/>
  <c r="F48" i="3"/>
  <c r="J48" i="3" s="1"/>
  <c r="K48" i="3" s="1"/>
  <c r="E48" i="3"/>
  <c r="K47" i="3"/>
  <c r="J47" i="3"/>
  <c r="H47" i="3"/>
  <c r="G47" i="3"/>
  <c r="K46" i="3"/>
  <c r="J46" i="3"/>
  <c r="H46" i="3"/>
  <c r="G46" i="3"/>
  <c r="I45" i="3"/>
  <c r="F45" i="3"/>
  <c r="J45" i="3" s="1"/>
  <c r="K45" i="3" s="1"/>
  <c r="E45" i="3"/>
  <c r="G45" i="3" s="1"/>
  <c r="H45" i="3" s="1"/>
  <c r="J44" i="3"/>
  <c r="K44" i="3" s="1"/>
  <c r="G44" i="3"/>
  <c r="H44" i="3" s="1"/>
  <c r="J43" i="3"/>
  <c r="K43" i="3" s="1"/>
  <c r="G43" i="3"/>
  <c r="H43" i="3" s="1"/>
  <c r="J42" i="3"/>
  <c r="K42" i="3" s="1"/>
  <c r="G42" i="3"/>
  <c r="H42" i="3" s="1"/>
  <c r="I41" i="3"/>
  <c r="F41" i="3"/>
  <c r="G41" i="3" s="1"/>
  <c r="H41" i="3" s="1"/>
  <c r="E41" i="3"/>
  <c r="K40" i="3"/>
  <c r="J40" i="3"/>
  <c r="H40" i="3"/>
  <c r="G40" i="3"/>
  <c r="K39" i="3"/>
  <c r="J39" i="3"/>
  <c r="H39" i="3"/>
  <c r="G39" i="3"/>
  <c r="K38" i="3"/>
  <c r="J38" i="3"/>
  <c r="H38" i="3"/>
  <c r="G38" i="3"/>
  <c r="I37" i="3"/>
  <c r="G37" i="3"/>
  <c r="H37" i="3" s="1"/>
  <c r="F37" i="3"/>
  <c r="J37" i="3" s="1"/>
  <c r="K37" i="3" s="1"/>
  <c r="E37" i="3"/>
  <c r="J36" i="3"/>
  <c r="K36" i="3" s="1"/>
  <c r="G36" i="3"/>
  <c r="H36" i="3" s="1"/>
  <c r="J35" i="3"/>
  <c r="K35" i="3" s="1"/>
  <c r="G35" i="3"/>
  <c r="H35" i="3" s="1"/>
  <c r="J34" i="3"/>
  <c r="K34" i="3" s="1"/>
  <c r="G34" i="3"/>
  <c r="H34" i="3" s="1"/>
  <c r="I33" i="3"/>
  <c r="F33" i="3"/>
  <c r="J33" i="3" s="1"/>
  <c r="K33" i="3" s="1"/>
  <c r="E33" i="3"/>
  <c r="K32" i="3"/>
  <c r="J32" i="3"/>
  <c r="H32" i="3"/>
  <c r="G32" i="3"/>
  <c r="K31" i="3"/>
  <c r="J31" i="3"/>
  <c r="H31" i="3"/>
  <c r="G31" i="3"/>
  <c r="K30" i="3"/>
  <c r="J30" i="3"/>
  <c r="H30" i="3"/>
  <c r="G30" i="3"/>
  <c r="I29" i="3"/>
  <c r="F29" i="3"/>
  <c r="J29" i="3" s="1"/>
  <c r="K29" i="3" s="1"/>
  <c r="E29" i="3"/>
  <c r="G29" i="3" s="1"/>
  <c r="H29" i="3" s="1"/>
  <c r="J28" i="3"/>
  <c r="K28" i="3" s="1"/>
  <c r="G28" i="3"/>
  <c r="H28" i="3" s="1"/>
  <c r="J27" i="3"/>
  <c r="K27" i="3" s="1"/>
  <c r="G27" i="3"/>
  <c r="H27" i="3" s="1"/>
  <c r="J26" i="3"/>
  <c r="K26" i="3" s="1"/>
  <c r="G26" i="3"/>
  <c r="H26" i="3" s="1"/>
  <c r="I25" i="3"/>
  <c r="F25" i="3"/>
  <c r="G25" i="3" s="1"/>
  <c r="H25" i="3" s="1"/>
  <c r="E25" i="3"/>
  <c r="K24" i="3"/>
  <c r="J24" i="3"/>
  <c r="H24" i="3"/>
  <c r="G24" i="3"/>
  <c r="K23" i="3"/>
  <c r="J23" i="3"/>
  <c r="H23" i="3"/>
  <c r="G23" i="3"/>
  <c r="K22" i="3"/>
  <c r="J22" i="3"/>
  <c r="H22" i="3"/>
  <c r="G22" i="3"/>
  <c r="I21" i="3"/>
  <c r="G21" i="3"/>
  <c r="H21" i="3" s="1"/>
  <c r="F21" i="3"/>
  <c r="J21" i="3" s="1"/>
  <c r="K21" i="3" s="1"/>
  <c r="E21" i="3"/>
  <c r="J20" i="3"/>
  <c r="K20" i="3" s="1"/>
  <c r="G20" i="3"/>
  <c r="H20" i="3" s="1"/>
  <c r="J19" i="3"/>
  <c r="K19" i="3" s="1"/>
  <c r="G19" i="3"/>
  <c r="H19" i="3" s="1"/>
  <c r="J18" i="3"/>
  <c r="K18" i="3" s="1"/>
  <c r="G18" i="3"/>
  <c r="H18" i="3" s="1"/>
  <c r="I17" i="3"/>
  <c r="F17" i="3"/>
  <c r="J17" i="3" s="1"/>
  <c r="K17" i="3" s="1"/>
  <c r="E17" i="3"/>
  <c r="K16" i="3"/>
  <c r="J16" i="3"/>
  <c r="H16" i="3"/>
  <c r="G16" i="3"/>
  <c r="K15" i="3"/>
  <c r="J15" i="3"/>
  <c r="H15" i="3"/>
  <c r="G15" i="3"/>
  <c r="K14" i="3"/>
  <c r="J14" i="3"/>
  <c r="H14" i="3"/>
  <c r="G14" i="3"/>
  <c r="I13" i="3"/>
  <c r="F13" i="3"/>
  <c r="J13" i="3" s="1"/>
  <c r="K13" i="3" s="1"/>
  <c r="E13" i="3"/>
  <c r="G13" i="3" s="1"/>
  <c r="H13" i="3" s="1"/>
  <c r="J12" i="3"/>
  <c r="K12" i="3" s="1"/>
  <c r="G12" i="3"/>
  <c r="H12" i="3" s="1"/>
  <c r="J11" i="3"/>
  <c r="K11" i="3" s="1"/>
  <c r="G11" i="3"/>
  <c r="H11" i="3" s="1"/>
  <c r="J10" i="3"/>
  <c r="K10" i="3" s="1"/>
  <c r="G10" i="3"/>
  <c r="H10" i="3" s="1"/>
  <c r="I9" i="3"/>
  <c r="F9" i="3"/>
  <c r="G9" i="3" s="1"/>
  <c r="H9" i="3" s="1"/>
  <c r="E9" i="3"/>
  <c r="K8" i="3"/>
  <c r="J8" i="3"/>
  <c r="H8" i="3"/>
  <c r="G8" i="3"/>
  <c r="K7" i="3"/>
  <c r="J7" i="3"/>
  <c r="H7" i="3"/>
  <c r="G7" i="3"/>
  <c r="K6" i="3"/>
  <c r="J6" i="3"/>
  <c r="H6" i="3"/>
  <c r="G6" i="3"/>
  <c r="I5" i="3"/>
  <c r="G5" i="3"/>
  <c r="H5" i="3" s="1"/>
  <c r="F5" i="3"/>
  <c r="J5" i="3" s="1"/>
  <c r="K5" i="3" s="1"/>
  <c r="E5" i="3"/>
  <c r="J4" i="3"/>
  <c r="K4" i="3" s="1"/>
  <c r="G4" i="3"/>
  <c r="H4" i="3" s="1"/>
  <c r="J3" i="3"/>
  <c r="K3" i="3" s="1"/>
  <c r="G3" i="3"/>
  <c r="H3" i="3" s="1"/>
  <c r="I2" i="3"/>
  <c r="I116" i="3" s="1"/>
  <c r="F2" i="3"/>
  <c r="F116" i="3" s="1"/>
  <c r="E2" i="3"/>
  <c r="H114" i="1"/>
  <c r="I114" i="1" s="1"/>
  <c r="H113" i="1"/>
  <c r="I113" i="1" s="1"/>
  <c r="H111" i="1"/>
  <c r="I111" i="1" s="1"/>
  <c r="H110" i="1"/>
  <c r="I110" i="1" s="1"/>
  <c r="H108" i="1"/>
  <c r="I108" i="1" s="1"/>
  <c r="H107" i="1"/>
  <c r="I107" i="1" s="1"/>
  <c r="H106" i="1"/>
  <c r="I106" i="1" s="1"/>
  <c r="H104" i="1"/>
  <c r="I104" i="1" s="1"/>
  <c r="H103" i="1"/>
  <c r="I103" i="1" s="1"/>
  <c r="H102" i="1"/>
  <c r="I102" i="1" s="1"/>
  <c r="H100" i="1"/>
  <c r="I100" i="1" s="1"/>
  <c r="H99" i="1"/>
  <c r="I99" i="1" s="1"/>
  <c r="H97" i="1"/>
  <c r="I97" i="1" s="1"/>
  <c r="H96" i="1"/>
  <c r="I96" i="1" s="1"/>
  <c r="H95" i="1"/>
  <c r="I95" i="1" s="1"/>
  <c r="H94" i="1"/>
  <c r="I94" i="1" s="1"/>
  <c r="H92" i="1"/>
  <c r="I92" i="1" s="1"/>
  <c r="H91" i="1"/>
  <c r="I91" i="1" s="1"/>
  <c r="H90" i="1"/>
  <c r="I90" i="1" s="1"/>
  <c r="H88" i="1"/>
  <c r="I88" i="1" s="1"/>
  <c r="H87" i="1"/>
  <c r="I87" i="1" s="1"/>
  <c r="H86" i="1"/>
  <c r="I86" i="1" s="1"/>
  <c r="H84" i="1"/>
  <c r="I84" i="1" s="1"/>
  <c r="H83" i="1"/>
  <c r="I83" i="1" s="1"/>
  <c r="H81" i="1"/>
  <c r="I81" i="1" s="1"/>
  <c r="H80" i="1"/>
  <c r="I80" i="1" s="1"/>
  <c r="H79" i="1"/>
  <c r="I79" i="1" s="1"/>
  <c r="H77" i="1"/>
  <c r="I77" i="1" s="1"/>
  <c r="H76" i="1"/>
  <c r="I76" i="1" s="1"/>
  <c r="H75" i="1"/>
  <c r="I75" i="1" s="1"/>
  <c r="H73" i="1"/>
  <c r="I73" i="1" s="1"/>
  <c r="H72" i="1"/>
  <c r="I72" i="1" s="1"/>
  <c r="H70" i="1"/>
  <c r="I70" i="1" s="1"/>
  <c r="H69" i="1"/>
  <c r="I69" i="1" s="1"/>
  <c r="H67" i="1"/>
  <c r="I67" i="1" s="1"/>
  <c r="H66" i="1"/>
  <c r="I66" i="1" s="1"/>
  <c r="H64" i="1"/>
  <c r="I64" i="1" s="1"/>
  <c r="H63" i="1"/>
  <c r="I63" i="1" s="1"/>
  <c r="H61" i="1"/>
  <c r="I61" i="1" s="1"/>
  <c r="H60" i="1"/>
  <c r="I60" i="1" s="1"/>
  <c r="H58" i="1"/>
  <c r="I58" i="1" s="1"/>
  <c r="H57" i="1"/>
  <c r="I57" i="1" s="1"/>
  <c r="H55" i="1"/>
  <c r="I55" i="1" s="1"/>
  <c r="H54" i="1"/>
  <c r="I54" i="1" s="1"/>
  <c r="H53" i="1"/>
  <c r="I53" i="1" s="1"/>
  <c r="H51" i="1"/>
  <c r="I51" i="1" s="1"/>
  <c r="H50" i="1"/>
  <c r="I50" i="1" s="1"/>
  <c r="H49" i="1"/>
  <c r="I49" i="1" s="1"/>
  <c r="H47" i="1"/>
  <c r="I47" i="1" s="1"/>
  <c r="H46" i="1"/>
  <c r="I46" i="1" s="1"/>
  <c r="H44" i="1"/>
  <c r="I44" i="1" s="1"/>
  <c r="H43" i="1"/>
  <c r="I43" i="1" s="1"/>
  <c r="H42" i="1"/>
  <c r="I42" i="1" s="1"/>
  <c r="H40" i="1"/>
  <c r="I40" i="1" s="1"/>
  <c r="H39" i="1"/>
  <c r="I39" i="1" s="1"/>
  <c r="H38" i="1"/>
  <c r="I38" i="1" s="1"/>
  <c r="H36" i="1"/>
  <c r="I36" i="1" s="1"/>
  <c r="H35" i="1"/>
  <c r="I35" i="1" s="1"/>
  <c r="H34" i="1"/>
  <c r="I34" i="1" s="1"/>
  <c r="H32" i="1"/>
  <c r="I32" i="1" s="1"/>
  <c r="H31" i="1"/>
  <c r="I31" i="1" s="1"/>
  <c r="H30" i="1"/>
  <c r="I30" i="1" s="1"/>
  <c r="H28" i="1"/>
  <c r="I28" i="1" s="1"/>
  <c r="H27" i="1"/>
  <c r="I27" i="1" s="1"/>
  <c r="H26" i="1"/>
  <c r="I26" i="1" s="1"/>
  <c r="H24" i="1"/>
  <c r="I24" i="1" s="1"/>
  <c r="H23" i="1"/>
  <c r="I23" i="1" s="1"/>
  <c r="H22" i="1"/>
  <c r="I22" i="1" s="1"/>
  <c r="H20" i="1"/>
  <c r="I20" i="1" s="1"/>
  <c r="H19" i="1"/>
  <c r="I19" i="1" s="1"/>
  <c r="H18" i="1"/>
  <c r="I18" i="1" s="1"/>
  <c r="H16" i="1"/>
  <c r="I16" i="1" s="1"/>
  <c r="H15" i="1"/>
  <c r="I15" i="1" s="1"/>
  <c r="H14" i="1"/>
  <c r="I14" i="1" s="1"/>
  <c r="H12" i="1"/>
  <c r="I12" i="1" s="1"/>
  <c r="H11" i="1"/>
  <c r="I11" i="1" s="1"/>
  <c r="H10" i="1"/>
  <c r="I10" i="1" s="1"/>
  <c r="H8" i="1"/>
  <c r="I8" i="1" s="1"/>
  <c r="H7" i="1"/>
  <c r="I7" i="1" s="1"/>
  <c r="H6" i="1"/>
  <c r="I6" i="1" s="1"/>
  <c r="H4" i="1"/>
  <c r="I4" i="1" s="1"/>
  <c r="H3" i="1"/>
  <c r="I3" i="1" s="1"/>
  <c r="E114" i="1"/>
  <c r="F114" i="1" s="1"/>
  <c r="E113" i="1"/>
  <c r="F113" i="1" s="1"/>
  <c r="E111" i="1"/>
  <c r="F111" i="1" s="1"/>
  <c r="E110" i="1"/>
  <c r="F110" i="1" s="1"/>
  <c r="E108" i="1"/>
  <c r="F108" i="1" s="1"/>
  <c r="E107" i="1"/>
  <c r="F107" i="1" s="1"/>
  <c r="E106" i="1"/>
  <c r="F106" i="1" s="1"/>
  <c r="E104" i="1"/>
  <c r="F104" i="1" s="1"/>
  <c r="E103" i="1"/>
  <c r="F103" i="1" s="1"/>
  <c r="E102" i="1"/>
  <c r="F102" i="1" s="1"/>
  <c r="E100" i="1"/>
  <c r="F100" i="1" s="1"/>
  <c r="E99" i="1"/>
  <c r="F99" i="1" s="1"/>
  <c r="E97" i="1"/>
  <c r="F97" i="1" s="1"/>
  <c r="E96" i="1"/>
  <c r="F96" i="1" s="1"/>
  <c r="E95" i="1"/>
  <c r="F95" i="1" s="1"/>
  <c r="E94" i="1"/>
  <c r="F94" i="1" s="1"/>
  <c r="E92" i="1"/>
  <c r="F92" i="1" s="1"/>
  <c r="E91" i="1"/>
  <c r="F91" i="1" s="1"/>
  <c r="E90" i="1"/>
  <c r="F90" i="1" s="1"/>
  <c r="E88" i="1"/>
  <c r="F88" i="1" s="1"/>
  <c r="E87" i="1"/>
  <c r="F87" i="1" s="1"/>
  <c r="E86" i="1"/>
  <c r="F86" i="1" s="1"/>
  <c r="E84" i="1"/>
  <c r="F84" i="1" s="1"/>
  <c r="E83" i="1"/>
  <c r="F83" i="1" s="1"/>
  <c r="E81" i="1"/>
  <c r="F81" i="1" s="1"/>
  <c r="E80" i="1"/>
  <c r="F80" i="1" s="1"/>
  <c r="E79" i="1"/>
  <c r="F79" i="1" s="1"/>
  <c r="E77" i="1"/>
  <c r="F77" i="1" s="1"/>
  <c r="E76" i="1"/>
  <c r="F76" i="1" s="1"/>
  <c r="E75" i="1"/>
  <c r="F75" i="1" s="1"/>
  <c r="E73" i="1"/>
  <c r="F73" i="1" s="1"/>
  <c r="E72" i="1"/>
  <c r="F72" i="1" s="1"/>
  <c r="E70" i="1"/>
  <c r="F70" i="1" s="1"/>
  <c r="E69" i="1"/>
  <c r="F69" i="1" s="1"/>
  <c r="E67" i="1"/>
  <c r="F67" i="1" s="1"/>
  <c r="E66" i="1"/>
  <c r="F66" i="1" s="1"/>
  <c r="E64" i="1"/>
  <c r="F64" i="1" s="1"/>
  <c r="E63" i="1"/>
  <c r="F63" i="1" s="1"/>
  <c r="E61" i="1"/>
  <c r="F61" i="1" s="1"/>
  <c r="E60" i="1"/>
  <c r="F60" i="1" s="1"/>
  <c r="E58" i="1"/>
  <c r="F58" i="1" s="1"/>
  <c r="E57" i="1"/>
  <c r="F57" i="1" s="1"/>
  <c r="E55" i="1"/>
  <c r="F55" i="1" s="1"/>
  <c r="E54" i="1"/>
  <c r="F54" i="1" s="1"/>
  <c r="E53" i="1"/>
  <c r="F53" i="1" s="1"/>
  <c r="E51" i="1"/>
  <c r="F51" i="1" s="1"/>
  <c r="E50" i="1"/>
  <c r="F50" i="1" s="1"/>
  <c r="E49" i="1"/>
  <c r="F49" i="1" s="1"/>
  <c r="E47" i="1"/>
  <c r="F47" i="1" s="1"/>
  <c r="E46" i="1"/>
  <c r="F46" i="1" s="1"/>
  <c r="E44" i="1"/>
  <c r="F44" i="1" s="1"/>
  <c r="E43" i="1"/>
  <c r="F43" i="1" s="1"/>
  <c r="E42" i="1"/>
  <c r="F42" i="1" s="1"/>
  <c r="E40" i="1"/>
  <c r="F40" i="1" s="1"/>
  <c r="E39" i="1"/>
  <c r="F39" i="1" s="1"/>
  <c r="E38" i="1"/>
  <c r="F38" i="1" s="1"/>
  <c r="E36" i="1"/>
  <c r="F36" i="1" s="1"/>
  <c r="E35" i="1"/>
  <c r="F35" i="1" s="1"/>
  <c r="E34" i="1"/>
  <c r="F34" i="1" s="1"/>
  <c r="E32" i="1"/>
  <c r="F32" i="1" s="1"/>
  <c r="E31" i="1"/>
  <c r="F31" i="1" s="1"/>
  <c r="E30" i="1"/>
  <c r="F30" i="1" s="1"/>
  <c r="E28" i="1"/>
  <c r="F28" i="1" s="1"/>
  <c r="E27" i="1"/>
  <c r="F27" i="1" s="1"/>
  <c r="E26" i="1"/>
  <c r="F26" i="1" s="1"/>
  <c r="E24" i="1"/>
  <c r="F24" i="1" s="1"/>
  <c r="E23" i="1"/>
  <c r="F23" i="1" s="1"/>
  <c r="E22" i="1"/>
  <c r="F22" i="1" s="1"/>
  <c r="E20" i="1"/>
  <c r="F20" i="1" s="1"/>
  <c r="E19" i="1"/>
  <c r="F19" i="1" s="1"/>
  <c r="E18" i="1"/>
  <c r="F18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8" i="1"/>
  <c r="F8" i="1" s="1"/>
  <c r="E7" i="1"/>
  <c r="F7" i="1" s="1"/>
  <c r="E6" i="1"/>
  <c r="F6" i="1" s="1"/>
  <c r="E4" i="1"/>
  <c r="F4" i="1" s="1"/>
  <c r="E3" i="1"/>
  <c r="F3" i="1" s="1"/>
  <c r="D112" i="1"/>
  <c r="D109" i="1"/>
  <c r="D105" i="1"/>
  <c r="D101" i="1"/>
  <c r="D98" i="1"/>
  <c r="D93" i="1"/>
  <c r="D89" i="1"/>
  <c r="D85" i="1"/>
  <c r="D82" i="1"/>
  <c r="D78" i="1"/>
  <c r="D74" i="1"/>
  <c r="D71" i="1"/>
  <c r="D68" i="1"/>
  <c r="D65" i="1"/>
  <c r="D62" i="1"/>
  <c r="D59" i="1"/>
  <c r="D56" i="1"/>
  <c r="D52" i="1"/>
  <c r="D48" i="1"/>
  <c r="D45" i="1"/>
  <c r="D41" i="1"/>
  <c r="D37" i="1"/>
  <c r="D33" i="1"/>
  <c r="D29" i="1"/>
  <c r="D25" i="1"/>
  <c r="D21" i="1"/>
  <c r="D17" i="1"/>
  <c r="D13" i="1"/>
  <c r="D9" i="1"/>
  <c r="D5" i="1"/>
  <c r="D2" i="1"/>
  <c r="C112" i="1"/>
  <c r="C109" i="1"/>
  <c r="C105" i="1"/>
  <c r="C101" i="1"/>
  <c r="C98" i="1"/>
  <c r="C93" i="1"/>
  <c r="C89" i="1"/>
  <c r="C85" i="1"/>
  <c r="C82" i="1"/>
  <c r="C78" i="1"/>
  <c r="C74" i="1"/>
  <c r="C71" i="1"/>
  <c r="C68" i="1"/>
  <c r="C65" i="1"/>
  <c r="C62" i="1"/>
  <c r="C59" i="1"/>
  <c r="C56" i="1"/>
  <c r="C52" i="1"/>
  <c r="C48" i="1"/>
  <c r="C45" i="1"/>
  <c r="C41" i="1"/>
  <c r="C37" i="1"/>
  <c r="C33" i="1"/>
  <c r="C29" i="1"/>
  <c r="C25" i="1"/>
  <c r="C21" i="1"/>
  <c r="C17" i="1"/>
  <c r="C13" i="1"/>
  <c r="C9" i="1"/>
  <c r="C5" i="1"/>
  <c r="C2" i="1"/>
  <c r="G112" i="1"/>
  <c r="G109" i="1"/>
  <c r="G105" i="1"/>
  <c r="G101" i="1"/>
  <c r="G98" i="1"/>
  <c r="G93" i="1"/>
  <c r="G89" i="1"/>
  <c r="G85" i="1"/>
  <c r="G82" i="1"/>
  <c r="G78" i="1"/>
  <c r="G74" i="1"/>
  <c r="G71" i="1"/>
  <c r="G68" i="1"/>
  <c r="G65" i="1"/>
  <c r="G62" i="1"/>
  <c r="G59" i="1"/>
  <c r="G56" i="1"/>
  <c r="G52" i="1"/>
  <c r="G48" i="1"/>
  <c r="G45" i="1"/>
  <c r="G41" i="1"/>
  <c r="G37" i="1"/>
  <c r="G33" i="1"/>
  <c r="G29" i="1"/>
  <c r="G25" i="1"/>
  <c r="G21" i="1"/>
  <c r="G17" i="1"/>
  <c r="G13" i="1"/>
  <c r="G9" i="1"/>
  <c r="G118" i="1" s="1"/>
  <c r="G5" i="1"/>
  <c r="G2" i="1"/>
  <c r="AR4" i="9" l="1"/>
  <c r="AN4" i="9"/>
  <c r="AF4" i="9"/>
  <c r="P3" i="7"/>
  <c r="AV3" i="9"/>
  <c r="AF3" i="9"/>
  <c r="AR3" i="9"/>
  <c r="AN3" i="9"/>
  <c r="AJ3" i="9"/>
  <c r="AZ3" i="9"/>
  <c r="H86" i="7"/>
  <c r="AF84" i="9"/>
  <c r="AN83" i="9"/>
  <c r="AR83" i="9"/>
  <c r="AF83" i="9"/>
  <c r="AN82" i="9"/>
  <c r="AR82" i="9"/>
  <c r="AF82" i="9"/>
  <c r="AN81" i="9"/>
  <c r="AR81" i="9"/>
  <c r="AF81" i="9"/>
  <c r="AN79" i="9"/>
  <c r="AR79" i="9"/>
  <c r="AF79" i="9"/>
  <c r="AN77" i="9"/>
  <c r="AR77" i="9"/>
  <c r="AF77" i="9"/>
  <c r="AN80" i="9"/>
  <c r="AR80" i="9"/>
  <c r="AF80" i="9"/>
  <c r="AN78" i="9"/>
  <c r="AR78" i="9"/>
  <c r="AF78" i="9"/>
  <c r="AN76" i="9"/>
  <c r="AR76" i="9"/>
  <c r="AF76" i="9"/>
  <c r="AN75" i="9"/>
  <c r="AR75" i="9"/>
  <c r="AF75" i="9"/>
  <c r="AN74" i="9"/>
  <c r="AR74" i="9"/>
  <c r="AF74" i="9"/>
  <c r="AN73" i="9"/>
  <c r="AR73" i="9"/>
  <c r="AF73" i="9"/>
  <c r="AN72" i="9"/>
  <c r="AR72" i="9"/>
  <c r="AF72" i="9"/>
  <c r="AN71" i="9"/>
  <c r="AR71" i="9"/>
  <c r="AF71" i="9"/>
  <c r="AV70" i="9"/>
  <c r="AZ70" i="9"/>
  <c r="AN70" i="9"/>
  <c r="AR70" i="9"/>
  <c r="AF70" i="9"/>
  <c r="AN69" i="9"/>
  <c r="AR69" i="9"/>
  <c r="AF69" i="9"/>
  <c r="AN68" i="9"/>
  <c r="AR68" i="9"/>
  <c r="AF68" i="9"/>
  <c r="AN67" i="9"/>
  <c r="AR67" i="9"/>
  <c r="AF67" i="9"/>
  <c r="AN66" i="9"/>
  <c r="AR66" i="9"/>
  <c r="AF66" i="9"/>
  <c r="AN65" i="9"/>
  <c r="AR65" i="9"/>
  <c r="AF65" i="9"/>
  <c r="AV64" i="9"/>
  <c r="AZ64" i="9"/>
  <c r="AN64" i="9"/>
  <c r="AR64" i="9"/>
  <c r="AF64" i="9"/>
  <c r="AN63" i="9"/>
  <c r="AR63" i="9"/>
  <c r="AF63" i="9"/>
  <c r="AV62" i="9"/>
  <c r="AZ62" i="9"/>
  <c r="AN62" i="9"/>
  <c r="AR62" i="9"/>
  <c r="AF62" i="9"/>
  <c r="AF61" i="9"/>
  <c r="AF60" i="9"/>
  <c r="AN59" i="9"/>
  <c r="AR59" i="9"/>
  <c r="AF59" i="9"/>
  <c r="AF58" i="9"/>
  <c r="AF57" i="9"/>
  <c r="AN56" i="9"/>
  <c r="AR56" i="9"/>
  <c r="AF56" i="9"/>
  <c r="AN55" i="9"/>
  <c r="AR55" i="9"/>
  <c r="AF55" i="9"/>
  <c r="BD54" i="9"/>
  <c r="BH54" i="9"/>
  <c r="AV54" i="9"/>
  <c r="AZ54" i="9"/>
  <c r="AN54" i="9"/>
  <c r="AR54" i="9"/>
  <c r="AF54" i="9"/>
  <c r="AV53" i="9"/>
  <c r="AZ53" i="9"/>
  <c r="AN53" i="9"/>
  <c r="AR53" i="9"/>
  <c r="AF53" i="9"/>
  <c r="AN52" i="9"/>
  <c r="AR52" i="9"/>
  <c r="AF52" i="9"/>
  <c r="AN51" i="9"/>
  <c r="AR51" i="9"/>
  <c r="AF51" i="9"/>
  <c r="AF50" i="9"/>
  <c r="AN49" i="9"/>
  <c r="AR49" i="9"/>
  <c r="AF49" i="9"/>
  <c r="AN48" i="9"/>
  <c r="AR48" i="9"/>
  <c r="AF48" i="9"/>
  <c r="AN47" i="9"/>
  <c r="AR47" i="9"/>
  <c r="AF47" i="9"/>
  <c r="AF46" i="9"/>
  <c r="AF45" i="9"/>
  <c r="AN44" i="9"/>
  <c r="AR44" i="9"/>
  <c r="AF44" i="9"/>
  <c r="AN43" i="9"/>
  <c r="AR43" i="9"/>
  <c r="AF43" i="9"/>
  <c r="AN42" i="9"/>
  <c r="AR42" i="9"/>
  <c r="AF42" i="9"/>
  <c r="AN41" i="9"/>
  <c r="AR41" i="9"/>
  <c r="AF41" i="9"/>
  <c r="AF40" i="9"/>
  <c r="AF39" i="9"/>
  <c r="AF38" i="9"/>
  <c r="AN37" i="9"/>
  <c r="AR37" i="9"/>
  <c r="AF37" i="9"/>
  <c r="AN36" i="9"/>
  <c r="AR36" i="9"/>
  <c r="AF36" i="9"/>
  <c r="AN35" i="9"/>
  <c r="AR35" i="9"/>
  <c r="AF35" i="9"/>
  <c r="AN34" i="9"/>
  <c r="AR34" i="9"/>
  <c r="AF34" i="9"/>
  <c r="AN33" i="9"/>
  <c r="AR33" i="9"/>
  <c r="AF33" i="9"/>
  <c r="AN31" i="9"/>
  <c r="AR31" i="9"/>
  <c r="AV30" i="9"/>
  <c r="AZ30" i="9"/>
  <c r="AN30" i="9"/>
  <c r="AR30" i="9"/>
  <c r="AN28" i="9"/>
  <c r="AR28" i="9"/>
  <c r="AN27" i="9"/>
  <c r="AR27" i="9"/>
  <c r="AF32" i="9"/>
  <c r="AF31" i="9"/>
  <c r="AF30" i="9"/>
  <c r="AF29" i="9"/>
  <c r="AF28" i="9"/>
  <c r="AF27" i="9"/>
  <c r="AN26" i="9"/>
  <c r="AR26" i="9"/>
  <c r="AF26" i="9"/>
  <c r="AN25" i="9"/>
  <c r="AR25" i="9"/>
  <c r="AF25" i="9"/>
  <c r="D86" i="7"/>
  <c r="E86" i="7"/>
  <c r="F86" i="7"/>
  <c r="C86" i="7"/>
  <c r="AN24" i="9"/>
  <c r="AR24" i="9"/>
  <c r="AF24" i="9"/>
  <c r="AN23" i="9"/>
  <c r="AR23" i="9"/>
  <c r="AF23" i="9"/>
  <c r="AN22" i="9"/>
  <c r="AR22" i="9"/>
  <c r="AF22" i="9"/>
  <c r="AN21" i="9"/>
  <c r="AR21" i="9"/>
  <c r="AF21" i="9"/>
  <c r="AN20" i="9"/>
  <c r="AR20" i="9"/>
  <c r="AF20" i="9"/>
  <c r="AN19" i="9"/>
  <c r="AR19" i="9"/>
  <c r="AF19" i="9"/>
  <c r="AV18" i="9"/>
  <c r="AZ18" i="9"/>
  <c r="AN18" i="9"/>
  <c r="AR18" i="9"/>
  <c r="AF18" i="9"/>
  <c r="AN17" i="9"/>
  <c r="AR17" i="9"/>
  <c r="AF17" i="9"/>
  <c r="AN16" i="9"/>
  <c r="AR16" i="9"/>
  <c r="AF16" i="9"/>
  <c r="AN15" i="9"/>
  <c r="AR15" i="9"/>
  <c r="AF15" i="9"/>
  <c r="AN14" i="9"/>
  <c r="AR14" i="9"/>
  <c r="AF14" i="9"/>
  <c r="AN13" i="9"/>
  <c r="AR13" i="9"/>
  <c r="AF13" i="9"/>
  <c r="AN12" i="9"/>
  <c r="AR12" i="9"/>
  <c r="AF12" i="9"/>
  <c r="AN11" i="9"/>
  <c r="AR11" i="9"/>
  <c r="AF11" i="9"/>
  <c r="AF10" i="9"/>
  <c r="AF9" i="9"/>
  <c r="AF8" i="9"/>
  <c r="AN7" i="9"/>
  <c r="AR7" i="9"/>
  <c r="AF7" i="9"/>
  <c r="AF6" i="9"/>
  <c r="AN5" i="9"/>
  <c r="AR5" i="9"/>
  <c r="AF5" i="9"/>
  <c r="U84" i="10"/>
  <c r="Q84" i="9"/>
  <c r="M84" i="9"/>
  <c r="P84" i="9"/>
  <c r="L84" i="9"/>
  <c r="O84" i="9"/>
  <c r="N84" i="9"/>
  <c r="X84" i="10"/>
  <c r="T84" i="9"/>
  <c r="K84" i="9"/>
  <c r="U83" i="10"/>
  <c r="P83" i="9"/>
  <c r="L83" i="9"/>
  <c r="O83" i="9"/>
  <c r="N83" i="9"/>
  <c r="Q83" i="9"/>
  <c r="M83" i="9"/>
  <c r="T83" i="9"/>
  <c r="K83" i="9"/>
  <c r="U82" i="10"/>
  <c r="O82" i="9"/>
  <c r="N82" i="9"/>
  <c r="Q82" i="9"/>
  <c r="M82" i="9"/>
  <c r="P82" i="9"/>
  <c r="L82" i="9"/>
  <c r="X82" i="10"/>
  <c r="K82" i="9"/>
  <c r="T82" i="9"/>
  <c r="U81" i="10"/>
  <c r="N81" i="9"/>
  <c r="Q81" i="9"/>
  <c r="M81" i="9"/>
  <c r="P81" i="9"/>
  <c r="L81" i="9"/>
  <c r="O81" i="9"/>
  <c r="X81" i="10"/>
  <c r="T81" i="9"/>
  <c r="K81" i="9"/>
  <c r="U80" i="10"/>
  <c r="Q80" i="9"/>
  <c r="M80" i="9"/>
  <c r="P80" i="9"/>
  <c r="L80" i="9"/>
  <c r="O80" i="9"/>
  <c r="N80" i="9"/>
  <c r="X80" i="10"/>
  <c r="T80" i="9"/>
  <c r="K80" i="9"/>
  <c r="U79" i="10"/>
  <c r="P79" i="9"/>
  <c r="L79" i="9"/>
  <c r="O79" i="9"/>
  <c r="N79" i="9"/>
  <c r="Q79" i="9"/>
  <c r="M79" i="9"/>
  <c r="T79" i="9"/>
  <c r="K79" i="9"/>
  <c r="U78" i="10"/>
  <c r="O78" i="9"/>
  <c r="N78" i="9"/>
  <c r="Q78" i="9"/>
  <c r="M78" i="9"/>
  <c r="P78" i="9"/>
  <c r="L78" i="9"/>
  <c r="X78" i="10"/>
  <c r="K78" i="9"/>
  <c r="T78" i="9"/>
  <c r="U77" i="10"/>
  <c r="N77" i="9"/>
  <c r="Q77" i="9"/>
  <c r="M77" i="9"/>
  <c r="P77" i="9"/>
  <c r="L77" i="9"/>
  <c r="O77" i="9"/>
  <c r="X77" i="10"/>
  <c r="T77" i="9"/>
  <c r="K77" i="9"/>
  <c r="U76" i="10"/>
  <c r="Q76" i="9"/>
  <c r="M76" i="9"/>
  <c r="P76" i="9"/>
  <c r="L76" i="9"/>
  <c r="O76" i="9"/>
  <c r="N76" i="9"/>
  <c r="X76" i="10"/>
  <c r="T76" i="9"/>
  <c r="K76" i="9"/>
  <c r="U75" i="10"/>
  <c r="P75" i="9"/>
  <c r="L75" i="9"/>
  <c r="O75" i="9"/>
  <c r="N75" i="9"/>
  <c r="Q75" i="9"/>
  <c r="M75" i="9"/>
  <c r="X75" i="10"/>
  <c r="T75" i="9"/>
  <c r="K75" i="9"/>
  <c r="U74" i="10"/>
  <c r="O74" i="9"/>
  <c r="N74" i="9"/>
  <c r="Q74" i="9"/>
  <c r="M74" i="9"/>
  <c r="P74" i="9"/>
  <c r="L74" i="9"/>
  <c r="X74" i="10"/>
  <c r="K74" i="9"/>
  <c r="T74" i="9"/>
  <c r="U73" i="10"/>
  <c r="N73" i="9"/>
  <c r="Q73" i="9"/>
  <c r="M73" i="9"/>
  <c r="P73" i="9"/>
  <c r="L73" i="9"/>
  <c r="O73" i="9"/>
  <c r="X73" i="10"/>
  <c r="T73" i="9"/>
  <c r="K73" i="9"/>
  <c r="U72" i="10"/>
  <c r="Q72" i="9"/>
  <c r="M72" i="9"/>
  <c r="P72" i="9"/>
  <c r="L72" i="9"/>
  <c r="O72" i="9"/>
  <c r="N72" i="9"/>
  <c r="X72" i="10"/>
  <c r="T72" i="9"/>
  <c r="K72" i="9"/>
  <c r="U71" i="10"/>
  <c r="P71" i="9"/>
  <c r="L71" i="9"/>
  <c r="O71" i="9"/>
  <c r="N71" i="9"/>
  <c r="Q71" i="9"/>
  <c r="M71" i="9"/>
  <c r="T71" i="9"/>
  <c r="K71" i="9"/>
  <c r="U70" i="10"/>
  <c r="O70" i="9"/>
  <c r="N70" i="9"/>
  <c r="Q70" i="9"/>
  <c r="M70" i="9"/>
  <c r="P70" i="9"/>
  <c r="L70" i="9"/>
  <c r="X70" i="10"/>
  <c r="K70" i="9"/>
  <c r="T70" i="9"/>
  <c r="N69" i="9"/>
  <c r="Q69" i="9"/>
  <c r="M69" i="9"/>
  <c r="P69" i="9"/>
  <c r="L69" i="9"/>
  <c r="O69" i="9"/>
  <c r="X69" i="10"/>
  <c r="U69" i="10"/>
  <c r="T69" i="9"/>
  <c r="K69" i="9"/>
  <c r="U68" i="10"/>
  <c r="Q68" i="9"/>
  <c r="M68" i="9"/>
  <c r="P68" i="9"/>
  <c r="L68" i="9"/>
  <c r="O68" i="9"/>
  <c r="N68" i="9"/>
  <c r="X68" i="10"/>
  <c r="T68" i="9"/>
  <c r="K68" i="9"/>
  <c r="U67" i="10"/>
  <c r="P67" i="9"/>
  <c r="L67" i="9"/>
  <c r="O67" i="9"/>
  <c r="N67" i="9"/>
  <c r="Q67" i="9"/>
  <c r="M67" i="9"/>
  <c r="X67" i="10"/>
  <c r="T67" i="9"/>
  <c r="K67" i="9"/>
  <c r="U66" i="10"/>
  <c r="O66" i="9"/>
  <c r="N66" i="9"/>
  <c r="Q66" i="9"/>
  <c r="M66" i="9"/>
  <c r="P66" i="9"/>
  <c r="L66" i="9"/>
  <c r="X66" i="10"/>
  <c r="K66" i="9"/>
  <c r="T66" i="9"/>
  <c r="U65" i="10"/>
  <c r="N65" i="9"/>
  <c r="Q65" i="9"/>
  <c r="M65" i="9"/>
  <c r="P65" i="9"/>
  <c r="L65" i="9"/>
  <c r="O65" i="9"/>
  <c r="X65" i="10"/>
  <c r="T65" i="9"/>
  <c r="K65" i="9"/>
  <c r="X64" i="10"/>
  <c r="U64" i="10"/>
  <c r="Q64" i="9"/>
  <c r="M64" i="9"/>
  <c r="P64" i="9"/>
  <c r="L64" i="9"/>
  <c r="O64" i="9"/>
  <c r="N64" i="9"/>
  <c r="T64" i="9"/>
  <c r="K64" i="9"/>
  <c r="U63" i="10"/>
  <c r="P63" i="9"/>
  <c r="L63" i="9"/>
  <c r="O63" i="9"/>
  <c r="N63" i="9"/>
  <c r="Q63" i="9"/>
  <c r="M63" i="9"/>
  <c r="X63" i="10"/>
  <c r="T63" i="9"/>
  <c r="K63" i="9"/>
  <c r="U62" i="10"/>
  <c r="O62" i="9"/>
  <c r="N62" i="9"/>
  <c r="Q62" i="9"/>
  <c r="M62" i="9"/>
  <c r="P62" i="9"/>
  <c r="L62" i="9"/>
  <c r="X62" i="10"/>
  <c r="K62" i="9"/>
  <c r="T62" i="9"/>
  <c r="U61" i="10"/>
  <c r="N61" i="9"/>
  <c r="Q61" i="9"/>
  <c r="M61" i="9"/>
  <c r="P61" i="9"/>
  <c r="L61" i="9"/>
  <c r="O61" i="9"/>
  <c r="X61" i="10"/>
  <c r="T61" i="9"/>
  <c r="K61" i="9"/>
  <c r="U60" i="10"/>
  <c r="Q60" i="9"/>
  <c r="M60" i="9"/>
  <c r="P60" i="9"/>
  <c r="L60" i="9"/>
  <c r="O60" i="9"/>
  <c r="N60" i="9"/>
  <c r="X60" i="10"/>
  <c r="T60" i="9"/>
  <c r="K60" i="9"/>
  <c r="U59" i="10"/>
  <c r="P59" i="9"/>
  <c r="L59" i="9"/>
  <c r="O59" i="9"/>
  <c r="N59" i="9"/>
  <c r="Q59" i="9"/>
  <c r="M59" i="9"/>
  <c r="X59" i="10"/>
  <c r="T59" i="9"/>
  <c r="K59" i="9"/>
  <c r="U58" i="10"/>
  <c r="O58" i="9"/>
  <c r="N58" i="9"/>
  <c r="Q58" i="9"/>
  <c r="M58" i="9"/>
  <c r="P58" i="9"/>
  <c r="L58" i="9"/>
  <c r="X58" i="10"/>
  <c r="K58" i="9"/>
  <c r="T58" i="9"/>
  <c r="U57" i="10"/>
  <c r="N57" i="9"/>
  <c r="Q57" i="9"/>
  <c r="M57" i="9"/>
  <c r="P57" i="9"/>
  <c r="L57" i="9"/>
  <c r="O57" i="9"/>
  <c r="X57" i="10"/>
  <c r="T57" i="9"/>
  <c r="K57" i="9"/>
  <c r="U56" i="10"/>
  <c r="Q56" i="9"/>
  <c r="M56" i="9"/>
  <c r="P56" i="9"/>
  <c r="L56" i="9"/>
  <c r="O56" i="9"/>
  <c r="N56" i="9"/>
  <c r="X56" i="10"/>
  <c r="T56" i="9"/>
  <c r="K56" i="9"/>
  <c r="N55" i="9"/>
  <c r="Q55" i="9"/>
  <c r="M55" i="9"/>
  <c r="P55" i="9"/>
  <c r="L55" i="9"/>
  <c r="O55" i="9"/>
  <c r="T55" i="9"/>
  <c r="K55" i="9"/>
  <c r="U54" i="10"/>
  <c r="O54" i="9"/>
  <c r="N54" i="9"/>
  <c r="Q54" i="9"/>
  <c r="M54" i="9"/>
  <c r="P54" i="9"/>
  <c r="L54" i="9"/>
  <c r="X54" i="10"/>
  <c r="K54" i="9"/>
  <c r="T54" i="9"/>
  <c r="U53" i="10"/>
  <c r="N53" i="9"/>
  <c r="M53" i="9"/>
  <c r="O53" i="9"/>
  <c r="Q53" i="9"/>
  <c r="P53" i="9"/>
  <c r="X53" i="10"/>
  <c r="L53" i="9"/>
  <c r="T53" i="9"/>
  <c r="K53" i="9"/>
  <c r="U52" i="10"/>
  <c r="Q52" i="9"/>
  <c r="M52" i="9"/>
  <c r="P52" i="9"/>
  <c r="L52" i="9"/>
  <c r="O52" i="9"/>
  <c r="N52" i="9"/>
  <c r="X52" i="10"/>
  <c r="T52" i="9"/>
  <c r="K52" i="9"/>
  <c r="U51" i="10"/>
  <c r="P51" i="9"/>
  <c r="L51" i="9"/>
  <c r="O51" i="9"/>
  <c r="N51" i="9"/>
  <c r="Q51" i="9"/>
  <c r="M51" i="9"/>
  <c r="X51" i="10"/>
  <c r="T51" i="9"/>
  <c r="K51" i="9"/>
  <c r="U50" i="10"/>
  <c r="O50" i="9"/>
  <c r="N50" i="9"/>
  <c r="Q50" i="9"/>
  <c r="M50" i="9"/>
  <c r="P50" i="9"/>
  <c r="L50" i="9"/>
  <c r="X50" i="10"/>
  <c r="K50" i="9"/>
  <c r="T50" i="9"/>
  <c r="U49" i="10"/>
  <c r="N49" i="9"/>
  <c r="Q49" i="9"/>
  <c r="M49" i="9"/>
  <c r="P49" i="9"/>
  <c r="L49" i="9"/>
  <c r="O49" i="9"/>
  <c r="X49" i="10"/>
  <c r="T49" i="9"/>
  <c r="K49" i="9"/>
  <c r="U48" i="10"/>
  <c r="Q48" i="9"/>
  <c r="M48" i="9"/>
  <c r="P48" i="9"/>
  <c r="L48" i="9"/>
  <c r="O48" i="9"/>
  <c r="N48" i="9"/>
  <c r="X48" i="10"/>
  <c r="T48" i="9"/>
  <c r="K48" i="9"/>
  <c r="U47" i="10"/>
  <c r="P47" i="9"/>
  <c r="L47" i="9"/>
  <c r="O47" i="9"/>
  <c r="N47" i="9"/>
  <c r="Q47" i="9"/>
  <c r="M47" i="9"/>
  <c r="X47" i="10"/>
  <c r="T47" i="9"/>
  <c r="K47" i="9"/>
  <c r="U46" i="10"/>
  <c r="O46" i="9"/>
  <c r="N46" i="9"/>
  <c r="Q46" i="9"/>
  <c r="M46" i="9"/>
  <c r="P46" i="9"/>
  <c r="L46" i="9"/>
  <c r="X46" i="10"/>
  <c r="K46" i="9"/>
  <c r="T46" i="9"/>
  <c r="U45" i="10"/>
  <c r="N45" i="9"/>
  <c r="Q45" i="9"/>
  <c r="M45" i="9"/>
  <c r="P45" i="9"/>
  <c r="L45" i="9"/>
  <c r="O45" i="9"/>
  <c r="X45" i="10"/>
  <c r="T45" i="9"/>
  <c r="K45" i="9"/>
  <c r="U44" i="10"/>
  <c r="P44" i="9"/>
  <c r="L44" i="9"/>
  <c r="O44" i="9"/>
  <c r="N44" i="9"/>
  <c r="Q44" i="9"/>
  <c r="M44" i="9"/>
  <c r="X44" i="10"/>
  <c r="K44" i="9"/>
  <c r="T44" i="9"/>
  <c r="U43" i="10"/>
  <c r="P43" i="9"/>
  <c r="L43" i="9"/>
  <c r="O43" i="9"/>
  <c r="N43" i="9"/>
  <c r="Q43" i="9"/>
  <c r="M43" i="9"/>
  <c r="X43" i="10"/>
  <c r="T43" i="9"/>
  <c r="K43" i="9"/>
  <c r="U42" i="10"/>
  <c r="O42" i="9"/>
  <c r="N42" i="9"/>
  <c r="Q42" i="9"/>
  <c r="M42" i="9"/>
  <c r="P42" i="9"/>
  <c r="L42" i="9"/>
  <c r="X42" i="10"/>
  <c r="K42" i="9"/>
  <c r="T42" i="9"/>
  <c r="N41" i="9"/>
  <c r="Q41" i="9"/>
  <c r="M41" i="9"/>
  <c r="P41" i="9"/>
  <c r="L41" i="9"/>
  <c r="O41" i="9"/>
  <c r="X41" i="10"/>
  <c r="U41" i="10"/>
  <c r="T41" i="9"/>
  <c r="K41" i="9"/>
  <c r="U40" i="10"/>
  <c r="Q40" i="9"/>
  <c r="M40" i="9"/>
  <c r="P40" i="9"/>
  <c r="L40" i="9"/>
  <c r="O40" i="9"/>
  <c r="N40" i="9"/>
  <c r="X40" i="10"/>
  <c r="T40" i="9"/>
  <c r="K40" i="9"/>
  <c r="U39" i="10"/>
  <c r="P39" i="9"/>
  <c r="L39" i="9"/>
  <c r="O39" i="9"/>
  <c r="N39" i="9"/>
  <c r="Q39" i="9"/>
  <c r="M39" i="9"/>
  <c r="T39" i="9"/>
  <c r="K39" i="9"/>
  <c r="U38" i="10"/>
  <c r="O38" i="9"/>
  <c r="N38" i="9"/>
  <c r="L38" i="9"/>
  <c r="Q38" i="9"/>
  <c r="M38" i="9"/>
  <c r="P38" i="9"/>
  <c r="X38" i="10"/>
  <c r="K38" i="9"/>
  <c r="T38" i="9"/>
  <c r="N37" i="9"/>
  <c r="Q37" i="9"/>
  <c r="M37" i="9"/>
  <c r="P37" i="9"/>
  <c r="L37" i="9"/>
  <c r="O37" i="9"/>
  <c r="X37" i="10"/>
  <c r="T37" i="9"/>
  <c r="K37" i="9"/>
  <c r="U36" i="10"/>
  <c r="Q36" i="9"/>
  <c r="M36" i="9"/>
  <c r="P36" i="9"/>
  <c r="L36" i="9"/>
  <c r="O36" i="9"/>
  <c r="N36" i="9"/>
  <c r="X36" i="10"/>
  <c r="T36" i="9"/>
  <c r="K36" i="9"/>
  <c r="U35" i="10"/>
  <c r="P35" i="9"/>
  <c r="L35" i="9"/>
  <c r="O35" i="9"/>
  <c r="N35" i="9"/>
  <c r="Q35" i="9"/>
  <c r="M35" i="9"/>
  <c r="X35" i="10"/>
  <c r="T35" i="9"/>
  <c r="K35" i="9"/>
  <c r="U34" i="10"/>
  <c r="O34" i="9"/>
  <c r="N34" i="9"/>
  <c r="Q34" i="9"/>
  <c r="M34" i="9"/>
  <c r="P34" i="9"/>
  <c r="L34" i="9"/>
  <c r="X34" i="10"/>
  <c r="K34" i="9"/>
  <c r="T34" i="9"/>
  <c r="U33" i="10"/>
  <c r="N33" i="9"/>
  <c r="Q33" i="9"/>
  <c r="M33" i="9"/>
  <c r="P33" i="9"/>
  <c r="L33" i="9"/>
  <c r="O33" i="9"/>
  <c r="X33" i="10"/>
  <c r="T33" i="9"/>
  <c r="K33" i="9"/>
  <c r="U32" i="10"/>
  <c r="Q32" i="9"/>
  <c r="M32" i="9"/>
  <c r="P32" i="9"/>
  <c r="L32" i="9"/>
  <c r="O32" i="9"/>
  <c r="N32" i="9"/>
  <c r="X32" i="10"/>
  <c r="T32" i="9"/>
  <c r="K32" i="9"/>
  <c r="U31" i="10"/>
  <c r="P31" i="9"/>
  <c r="L31" i="9"/>
  <c r="O31" i="9"/>
  <c r="N31" i="9"/>
  <c r="Q31" i="9"/>
  <c r="M31" i="9"/>
  <c r="X31" i="10"/>
  <c r="T31" i="9"/>
  <c r="K31" i="9"/>
  <c r="U30" i="10"/>
  <c r="O30" i="9"/>
  <c r="N30" i="9"/>
  <c r="Q30" i="9"/>
  <c r="M30" i="9"/>
  <c r="P30" i="9"/>
  <c r="L30" i="9"/>
  <c r="X30" i="10"/>
  <c r="K30" i="9"/>
  <c r="T30" i="9"/>
  <c r="U29" i="10"/>
  <c r="N29" i="9"/>
  <c r="Q29" i="9"/>
  <c r="M29" i="9"/>
  <c r="P29" i="9"/>
  <c r="L29" i="9"/>
  <c r="O29" i="9"/>
  <c r="X29" i="10"/>
  <c r="T29" i="9"/>
  <c r="K29" i="9"/>
  <c r="U28" i="10"/>
  <c r="Q28" i="9"/>
  <c r="M28" i="9"/>
  <c r="P28" i="9"/>
  <c r="L28" i="9"/>
  <c r="O28" i="9"/>
  <c r="N28" i="9"/>
  <c r="X28" i="10"/>
  <c r="T28" i="9"/>
  <c r="K28" i="9"/>
  <c r="U27" i="10"/>
  <c r="P27" i="9"/>
  <c r="L27" i="9"/>
  <c r="O27" i="9"/>
  <c r="N27" i="9"/>
  <c r="Q27" i="9"/>
  <c r="M27" i="9"/>
  <c r="T27" i="9"/>
  <c r="U27" i="9" s="1"/>
  <c r="K27" i="9"/>
  <c r="U26" i="10"/>
  <c r="O26" i="9"/>
  <c r="L26" i="9"/>
  <c r="N26" i="9"/>
  <c r="Q26" i="9"/>
  <c r="M26" i="9"/>
  <c r="P26" i="9"/>
  <c r="X26" i="10"/>
  <c r="K26" i="9"/>
  <c r="T26" i="9"/>
  <c r="U25" i="10"/>
  <c r="N25" i="9"/>
  <c r="Q25" i="9"/>
  <c r="M25" i="9"/>
  <c r="P25" i="9"/>
  <c r="L25" i="9"/>
  <c r="O25" i="9"/>
  <c r="X25" i="10"/>
  <c r="T25" i="9"/>
  <c r="K25" i="9"/>
  <c r="U24" i="10"/>
  <c r="Q24" i="9"/>
  <c r="M24" i="9"/>
  <c r="P24" i="9"/>
  <c r="L24" i="9"/>
  <c r="O24" i="9"/>
  <c r="N24" i="9"/>
  <c r="X24" i="10"/>
  <c r="T24" i="9"/>
  <c r="K24" i="9"/>
  <c r="U23" i="10"/>
  <c r="O23" i="9"/>
  <c r="N23" i="9"/>
  <c r="Q23" i="9"/>
  <c r="M23" i="9"/>
  <c r="P23" i="9"/>
  <c r="L23" i="9"/>
  <c r="X23" i="10"/>
  <c r="K23" i="9"/>
  <c r="T23" i="9"/>
  <c r="X22" i="10"/>
  <c r="U22" i="10"/>
  <c r="T22" i="9"/>
  <c r="U21" i="10"/>
  <c r="T21" i="9"/>
  <c r="X20" i="10"/>
  <c r="U20" i="10"/>
  <c r="T20" i="9"/>
  <c r="U19" i="10"/>
  <c r="T19" i="9"/>
  <c r="X18" i="10"/>
  <c r="U18" i="10"/>
  <c r="T18" i="9"/>
  <c r="X17" i="10"/>
  <c r="U17" i="10"/>
  <c r="T17" i="9"/>
  <c r="X16" i="10"/>
  <c r="U16" i="10"/>
  <c r="T16" i="9"/>
  <c r="U15" i="10"/>
  <c r="T15" i="9"/>
  <c r="X14" i="10"/>
  <c r="U14" i="10"/>
  <c r="T14" i="9"/>
  <c r="X13" i="10"/>
  <c r="U13" i="10"/>
  <c r="T13" i="9"/>
  <c r="X12" i="10"/>
  <c r="U12" i="10"/>
  <c r="T12" i="9"/>
  <c r="T11" i="9"/>
  <c r="U11" i="10"/>
  <c r="X10" i="10"/>
  <c r="U10" i="10"/>
  <c r="T10" i="9"/>
  <c r="X9" i="10"/>
  <c r="U9" i="10"/>
  <c r="T9" i="9"/>
  <c r="X8" i="10"/>
  <c r="T8" i="9"/>
  <c r="U8" i="10"/>
  <c r="U7" i="10"/>
  <c r="T7" i="9"/>
  <c r="X6" i="10"/>
  <c r="H88" i="9"/>
  <c r="G88" i="9"/>
  <c r="D88" i="9"/>
  <c r="U6" i="10"/>
  <c r="X5" i="10"/>
  <c r="U5" i="10"/>
  <c r="W3" i="9"/>
  <c r="X3" i="9" s="1"/>
  <c r="C88" i="9"/>
  <c r="E88" i="9"/>
  <c r="I88" i="9"/>
  <c r="F88" i="9"/>
  <c r="J88" i="9"/>
  <c r="W84" i="9"/>
  <c r="X84" i="9" s="1"/>
  <c r="W83" i="9"/>
  <c r="X83" i="9" s="1"/>
  <c r="W82" i="9"/>
  <c r="X82" i="9" s="1"/>
  <c r="W81" i="9"/>
  <c r="X81" i="9" s="1"/>
  <c r="W80" i="9"/>
  <c r="X80" i="9" s="1"/>
  <c r="W79" i="9"/>
  <c r="X79" i="9" s="1"/>
  <c r="W78" i="9"/>
  <c r="X78" i="9" s="1"/>
  <c r="W77" i="9"/>
  <c r="X77" i="9" s="1"/>
  <c r="W76" i="9"/>
  <c r="X76" i="9" s="1"/>
  <c r="W75" i="9"/>
  <c r="X75" i="9" s="1"/>
  <c r="W74" i="9"/>
  <c r="X74" i="9" s="1"/>
  <c r="W73" i="9"/>
  <c r="X73" i="9" s="1"/>
  <c r="W72" i="9"/>
  <c r="X72" i="9" s="1"/>
  <c r="W71" i="9"/>
  <c r="X71" i="9" s="1"/>
  <c r="W70" i="9"/>
  <c r="X70" i="9" s="1"/>
  <c r="W69" i="9"/>
  <c r="X69" i="9" s="1"/>
  <c r="W68" i="9"/>
  <c r="X68" i="9" s="1"/>
  <c r="W67" i="9"/>
  <c r="X67" i="9" s="1"/>
  <c r="W66" i="9"/>
  <c r="X66" i="9" s="1"/>
  <c r="W65" i="9"/>
  <c r="X65" i="9" s="1"/>
  <c r="W64" i="9"/>
  <c r="X64" i="9" s="1"/>
  <c r="W63" i="9"/>
  <c r="X63" i="9" s="1"/>
  <c r="W62" i="9"/>
  <c r="X62" i="9" s="1"/>
  <c r="W61" i="9"/>
  <c r="X61" i="9" s="1"/>
  <c r="W60" i="9"/>
  <c r="X60" i="9" s="1"/>
  <c r="W59" i="9"/>
  <c r="X59" i="9" s="1"/>
  <c r="W58" i="9"/>
  <c r="X58" i="9" s="1"/>
  <c r="W57" i="9"/>
  <c r="X57" i="9" s="1"/>
  <c r="W56" i="9"/>
  <c r="X56" i="9" s="1"/>
  <c r="W55" i="9"/>
  <c r="X55" i="9" s="1"/>
  <c r="W54" i="9"/>
  <c r="X54" i="9" s="1"/>
  <c r="W53" i="9"/>
  <c r="X53" i="9" s="1"/>
  <c r="W52" i="9"/>
  <c r="X52" i="9" s="1"/>
  <c r="W51" i="9"/>
  <c r="X51" i="9" s="1"/>
  <c r="W50" i="9"/>
  <c r="X50" i="9" s="1"/>
  <c r="W49" i="9"/>
  <c r="X49" i="9" s="1"/>
  <c r="W48" i="9"/>
  <c r="X48" i="9" s="1"/>
  <c r="W47" i="9"/>
  <c r="X47" i="9" s="1"/>
  <c r="W46" i="9"/>
  <c r="X46" i="9" s="1"/>
  <c r="W45" i="9"/>
  <c r="X45" i="9" s="1"/>
  <c r="W44" i="9"/>
  <c r="X44" i="9" s="1"/>
  <c r="W43" i="9"/>
  <c r="X43" i="9" s="1"/>
  <c r="W42" i="9"/>
  <c r="X42" i="9" s="1"/>
  <c r="W41" i="9"/>
  <c r="X41" i="9" s="1"/>
  <c r="W40" i="9"/>
  <c r="X40" i="9" s="1"/>
  <c r="W39" i="9"/>
  <c r="X39" i="9" s="1"/>
  <c r="W38" i="9"/>
  <c r="X38" i="9" s="1"/>
  <c r="W37" i="9"/>
  <c r="X37" i="9" s="1"/>
  <c r="W36" i="9"/>
  <c r="X36" i="9" s="1"/>
  <c r="W35" i="9"/>
  <c r="X35" i="9" s="1"/>
  <c r="W34" i="9"/>
  <c r="X34" i="9" s="1"/>
  <c r="W33" i="9"/>
  <c r="X33" i="9" s="1"/>
  <c r="W32" i="9"/>
  <c r="X32" i="9" s="1"/>
  <c r="W31" i="9"/>
  <c r="X31" i="9" s="1"/>
  <c r="W30" i="9"/>
  <c r="X30" i="9" s="1"/>
  <c r="W29" i="9"/>
  <c r="X29" i="9" s="1"/>
  <c r="W28" i="9"/>
  <c r="X28" i="9" s="1"/>
  <c r="W27" i="9"/>
  <c r="X27" i="9" s="1"/>
  <c r="W26" i="9"/>
  <c r="X26" i="9" s="1"/>
  <c r="W25" i="9"/>
  <c r="X25" i="9" s="1"/>
  <c r="W24" i="9"/>
  <c r="X24" i="9" s="1"/>
  <c r="W23" i="9"/>
  <c r="X23" i="9" s="1"/>
  <c r="W22" i="9"/>
  <c r="X22" i="9" s="1"/>
  <c r="W21" i="9"/>
  <c r="X21" i="9" s="1"/>
  <c r="W20" i="9"/>
  <c r="X20" i="9" s="1"/>
  <c r="W19" i="9"/>
  <c r="X19" i="9" s="1"/>
  <c r="W18" i="9"/>
  <c r="X18" i="9" s="1"/>
  <c r="W17" i="9"/>
  <c r="X17" i="9" s="1"/>
  <c r="W16" i="9"/>
  <c r="X16" i="9" s="1"/>
  <c r="W15" i="9"/>
  <c r="X15" i="9" s="1"/>
  <c r="W14" i="9"/>
  <c r="X14" i="9" s="1"/>
  <c r="W13" i="9"/>
  <c r="X13" i="9" s="1"/>
  <c r="W12" i="9"/>
  <c r="X12" i="9" s="1"/>
  <c r="W11" i="9"/>
  <c r="X11" i="9" s="1"/>
  <c r="W10" i="9"/>
  <c r="X10" i="9" s="1"/>
  <c r="W9" i="9"/>
  <c r="X9" i="9" s="1"/>
  <c r="W8" i="9"/>
  <c r="X8" i="9" s="1"/>
  <c r="W7" i="9"/>
  <c r="X7" i="9" s="1"/>
  <c r="W6" i="9"/>
  <c r="X6" i="9" s="1"/>
  <c r="W5" i="9"/>
  <c r="X5" i="9" s="1"/>
  <c r="W4" i="9"/>
  <c r="Z89" i="9"/>
  <c r="X3" i="10"/>
  <c r="W86" i="10"/>
  <c r="U4" i="10"/>
  <c r="X4" i="10"/>
  <c r="O3" i="9"/>
  <c r="S86" i="10"/>
  <c r="U3" i="10"/>
  <c r="N3" i="9"/>
  <c r="K3" i="9"/>
  <c r="L3" i="9"/>
  <c r="P3" i="9"/>
  <c r="V86" i="10"/>
  <c r="M3" i="9"/>
  <c r="Q3" i="9"/>
  <c r="AA89" i="9"/>
  <c r="V88" i="9"/>
  <c r="AB88" i="9"/>
  <c r="AB89" i="9" s="1"/>
  <c r="H86" i="6"/>
  <c r="I86" i="6" s="1"/>
  <c r="L86" i="7"/>
  <c r="O87" i="7"/>
  <c r="N87" i="7"/>
  <c r="AK11" i="6"/>
  <c r="Y4" i="6"/>
  <c r="AK10" i="6"/>
  <c r="AK15" i="6"/>
  <c r="AK6" i="6"/>
  <c r="U34" i="6"/>
  <c r="AK14" i="6"/>
  <c r="AC3" i="6"/>
  <c r="AK8" i="6"/>
  <c r="Y83" i="6"/>
  <c r="AK4" i="6"/>
  <c r="AG4" i="6"/>
  <c r="AG3" i="6"/>
  <c r="AK12" i="6"/>
  <c r="AK7" i="6"/>
  <c r="AC45" i="6"/>
  <c r="AK45" i="6"/>
  <c r="U45" i="6"/>
  <c r="AC40" i="6"/>
  <c r="U3" i="6"/>
  <c r="Y45" i="6"/>
  <c r="AC4" i="6"/>
  <c r="Y3" i="6"/>
  <c r="Y34" i="6"/>
  <c r="AK13" i="6"/>
  <c r="AK9" i="6"/>
  <c r="AK5" i="6"/>
  <c r="P86" i="7"/>
  <c r="P87" i="7" s="1"/>
  <c r="J86" i="7"/>
  <c r="U83" i="6"/>
  <c r="AG83" i="6"/>
  <c r="AC83" i="6"/>
  <c r="AG82" i="6"/>
  <c r="U82" i="6"/>
  <c r="Y82" i="6"/>
  <c r="AC82" i="6"/>
  <c r="Y80" i="6"/>
  <c r="U80" i="6"/>
  <c r="AC80" i="6"/>
  <c r="AG80" i="6"/>
  <c r="Y79" i="6"/>
  <c r="U79" i="6"/>
  <c r="AC79" i="6"/>
  <c r="AK79" i="6"/>
  <c r="Y78" i="6"/>
  <c r="AC78" i="6"/>
  <c r="U78" i="6"/>
  <c r="AG78" i="6"/>
  <c r="Y77" i="6"/>
  <c r="AG77" i="6"/>
  <c r="AC77" i="6"/>
  <c r="AK77" i="6"/>
  <c r="Y76" i="6"/>
  <c r="U76" i="6"/>
  <c r="AC76" i="6"/>
  <c r="AG76" i="6"/>
  <c r="Y75" i="6"/>
  <c r="AC75" i="6"/>
  <c r="U75" i="6"/>
  <c r="AK75" i="6"/>
  <c r="Y74" i="6"/>
  <c r="AC74" i="6"/>
  <c r="U74" i="6"/>
  <c r="AG74" i="6"/>
  <c r="Y73" i="6"/>
  <c r="AG73" i="6"/>
  <c r="AC73" i="6"/>
  <c r="AK73" i="6"/>
  <c r="Y72" i="6"/>
  <c r="U72" i="6"/>
  <c r="AC72" i="6"/>
  <c r="AG72" i="6"/>
  <c r="Y71" i="6"/>
  <c r="U71" i="6"/>
  <c r="AC71" i="6"/>
  <c r="AK71" i="6"/>
  <c r="Y70" i="6"/>
  <c r="AC70" i="6"/>
  <c r="U70" i="6"/>
  <c r="AG70" i="6"/>
  <c r="Y69" i="6"/>
  <c r="AG69" i="6"/>
  <c r="AC69" i="6"/>
  <c r="AK69" i="6"/>
  <c r="Y68" i="6"/>
  <c r="U68" i="6"/>
  <c r="AC68" i="6"/>
  <c r="AG68" i="6"/>
  <c r="Y67" i="6"/>
  <c r="U67" i="6"/>
  <c r="AC67" i="6"/>
  <c r="AK67" i="6"/>
  <c r="Y66" i="6"/>
  <c r="AC66" i="6"/>
  <c r="U66" i="6"/>
  <c r="AG66" i="6"/>
  <c r="Y65" i="6"/>
  <c r="AG65" i="6"/>
  <c r="AC65" i="6"/>
  <c r="AK65" i="6"/>
  <c r="Y64" i="6"/>
  <c r="U64" i="6"/>
  <c r="AC64" i="6"/>
  <c r="AG64" i="6"/>
  <c r="AG62" i="6"/>
  <c r="U62" i="6"/>
  <c r="Y62" i="6"/>
  <c r="AC62" i="6"/>
  <c r="U63" i="6"/>
  <c r="AG63" i="6"/>
  <c r="AK63" i="6"/>
  <c r="Y63" i="6"/>
  <c r="Y61" i="6"/>
  <c r="AG61" i="6"/>
  <c r="AC61" i="6"/>
  <c r="AK61" i="6"/>
  <c r="Y60" i="6"/>
  <c r="U60" i="6"/>
  <c r="AC60" i="6"/>
  <c r="AG60" i="6"/>
  <c r="Y59" i="6"/>
  <c r="U59" i="6"/>
  <c r="AC59" i="6"/>
  <c r="AK59" i="6"/>
  <c r="Y58" i="6"/>
  <c r="AC58" i="6"/>
  <c r="U58" i="6"/>
  <c r="AG58" i="6"/>
  <c r="Y57" i="6"/>
  <c r="AG57" i="6"/>
  <c r="AC57" i="6"/>
  <c r="AK57" i="6"/>
  <c r="Y56" i="6"/>
  <c r="U56" i="6"/>
  <c r="AC56" i="6"/>
  <c r="AG56" i="6"/>
  <c r="Y55" i="6"/>
  <c r="U55" i="6"/>
  <c r="AC55" i="6"/>
  <c r="AK55" i="6"/>
  <c r="Y54" i="6"/>
  <c r="AC54" i="6"/>
  <c r="U54" i="6"/>
  <c r="AG54" i="6"/>
  <c r="Y53" i="6"/>
  <c r="AG53" i="6"/>
  <c r="AC53" i="6"/>
  <c r="AK53" i="6"/>
  <c r="Y52" i="6"/>
  <c r="U52" i="6"/>
  <c r="AC52" i="6"/>
  <c r="AG52" i="6"/>
  <c r="Y51" i="6"/>
  <c r="U51" i="6"/>
  <c r="AC51" i="6"/>
  <c r="AK51" i="6"/>
  <c r="Y50" i="6"/>
  <c r="AC50" i="6"/>
  <c r="U50" i="6"/>
  <c r="AG50" i="6"/>
  <c r="AC49" i="6"/>
  <c r="Y49" i="6"/>
  <c r="AG49" i="6"/>
  <c r="AK49" i="6"/>
  <c r="Y48" i="6"/>
  <c r="U48" i="6"/>
  <c r="AC48" i="6"/>
  <c r="AG48" i="6"/>
  <c r="Y47" i="6"/>
  <c r="U47" i="6"/>
  <c r="AC47" i="6"/>
  <c r="AK47" i="6"/>
  <c r="Y46" i="6"/>
  <c r="AC46" i="6"/>
  <c r="U46" i="6"/>
  <c r="AG46" i="6"/>
  <c r="U44" i="6"/>
  <c r="Y44" i="6"/>
  <c r="AG44" i="6"/>
  <c r="AC44" i="6"/>
  <c r="Y43" i="6"/>
  <c r="U43" i="6"/>
  <c r="AC43" i="6"/>
  <c r="AG43" i="6"/>
  <c r="Y42" i="6"/>
  <c r="AK42" i="6"/>
  <c r="AC42" i="6"/>
  <c r="AG42" i="6"/>
  <c r="Y41" i="6"/>
  <c r="AC41" i="6"/>
  <c r="U41" i="6"/>
  <c r="AG41" i="6"/>
  <c r="Y40" i="6"/>
  <c r="AG40" i="6"/>
  <c r="U40" i="6"/>
  <c r="AG39" i="6"/>
  <c r="Y39" i="6"/>
  <c r="U39" i="6"/>
  <c r="AC39" i="6"/>
  <c r="AC38" i="6"/>
  <c r="AG38" i="6"/>
  <c r="Y38" i="6"/>
  <c r="U38" i="6"/>
  <c r="AG37" i="6"/>
  <c r="U37" i="6"/>
  <c r="Y37" i="6"/>
  <c r="AC37" i="6"/>
  <c r="AC36" i="6"/>
  <c r="Y36" i="6"/>
  <c r="U36" i="6"/>
  <c r="AG36" i="6"/>
  <c r="AG35" i="6"/>
  <c r="Y35" i="6"/>
  <c r="U35" i="6"/>
  <c r="AC35" i="6"/>
  <c r="AC34" i="6"/>
  <c r="AG34" i="6"/>
  <c r="Y33" i="6"/>
  <c r="U33" i="6"/>
  <c r="AC33" i="6"/>
  <c r="AG33" i="6"/>
  <c r="Y32" i="6"/>
  <c r="AC32" i="6"/>
  <c r="U32" i="6"/>
  <c r="AG32" i="6"/>
  <c r="Y31" i="6"/>
  <c r="AG31" i="6"/>
  <c r="AC31" i="6"/>
  <c r="U31" i="6"/>
  <c r="Y30" i="6"/>
  <c r="U30" i="6"/>
  <c r="AC30" i="6"/>
  <c r="AG30" i="6"/>
  <c r="Y29" i="6"/>
  <c r="U29" i="6"/>
  <c r="AC29" i="6"/>
  <c r="AG29" i="6"/>
  <c r="AC28" i="6"/>
  <c r="Y28" i="6"/>
  <c r="U28" i="6"/>
  <c r="AG28" i="6"/>
  <c r="Y27" i="6"/>
  <c r="AG27" i="6"/>
  <c r="AC27" i="6"/>
  <c r="U27" i="6"/>
  <c r="Y26" i="6"/>
  <c r="U26" i="6"/>
  <c r="AC26" i="6"/>
  <c r="AG26" i="6"/>
  <c r="Y25" i="6"/>
  <c r="U25" i="6"/>
  <c r="AC25" i="6"/>
  <c r="AG25" i="6"/>
  <c r="Y24" i="6"/>
  <c r="AC24" i="6"/>
  <c r="U24" i="6"/>
  <c r="AG24" i="6"/>
  <c r="Y23" i="6"/>
  <c r="AG23" i="6"/>
  <c r="AC23" i="6"/>
  <c r="U23" i="6"/>
  <c r="Y22" i="6"/>
  <c r="U22" i="6"/>
  <c r="AC22" i="6"/>
  <c r="AG22" i="6"/>
  <c r="Y21" i="6"/>
  <c r="U21" i="6"/>
  <c r="AC21" i="6"/>
  <c r="AG21" i="6"/>
  <c r="Y20" i="6"/>
  <c r="AC20" i="6"/>
  <c r="U20" i="6"/>
  <c r="AG20" i="6"/>
  <c r="Y19" i="6"/>
  <c r="AG19" i="6"/>
  <c r="AC19" i="6"/>
  <c r="U19" i="6"/>
  <c r="Y18" i="6"/>
  <c r="U18" i="6"/>
  <c r="AC18" i="6"/>
  <c r="AG18" i="6"/>
  <c r="Y17" i="6"/>
  <c r="U17" i="6"/>
  <c r="AC17" i="6"/>
  <c r="AG17" i="6"/>
  <c r="Y16" i="6"/>
  <c r="AC16" i="6"/>
  <c r="U16" i="6"/>
  <c r="AG16" i="6"/>
  <c r="Y15" i="6"/>
  <c r="AC15" i="6"/>
  <c r="AG15" i="6"/>
  <c r="Y14" i="6"/>
  <c r="U14" i="6"/>
  <c r="AC14" i="6"/>
  <c r="AC13" i="6"/>
  <c r="Y13" i="6"/>
  <c r="AG13" i="6"/>
  <c r="Y11" i="6"/>
  <c r="U12" i="6"/>
  <c r="AG12" i="6"/>
  <c r="Y12" i="6"/>
  <c r="AG11" i="6"/>
  <c r="AC11" i="6"/>
  <c r="L86" i="6"/>
  <c r="Y10" i="6"/>
  <c r="U10" i="6"/>
  <c r="AC10" i="6"/>
  <c r="Y9" i="6"/>
  <c r="N87" i="6"/>
  <c r="U9" i="6"/>
  <c r="O87" i="6"/>
  <c r="AC9" i="6"/>
  <c r="U8" i="6"/>
  <c r="AG8" i="6"/>
  <c r="Y8" i="6"/>
  <c r="P86" i="6"/>
  <c r="P87" i="6" s="1"/>
  <c r="Y7" i="6"/>
  <c r="AG7" i="6"/>
  <c r="AC7" i="6"/>
  <c r="Y6" i="6"/>
  <c r="U6" i="6"/>
  <c r="AC6" i="6"/>
  <c r="Y5" i="6"/>
  <c r="U5" i="6"/>
  <c r="AC5" i="6"/>
  <c r="E89" i="1"/>
  <c r="F89" i="1" s="1"/>
  <c r="H9" i="1"/>
  <c r="I9" i="1" s="1"/>
  <c r="H25" i="1"/>
  <c r="I25" i="1" s="1"/>
  <c r="H41" i="1"/>
  <c r="I41" i="1" s="1"/>
  <c r="H56" i="1"/>
  <c r="I56" i="1" s="1"/>
  <c r="H68" i="1"/>
  <c r="I68" i="1" s="1"/>
  <c r="H112" i="1"/>
  <c r="I112" i="1" s="1"/>
  <c r="E13" i="1"/>
  <c r="F13" i="1" s="1"/>
  <c r="E71" i="1"/>
  <c r="F71" i="1" s="1"/>
  <c r="E85" i="1"/>
  <c r="F85" i="1" s="1"/>
  <c r="E101" i="1"/>
  <c r="F101" i="1" s="1"/>
  <c r="J2" i="3"/>
  <c r="J89" i="3"/>
  <c r="K89" i="3" s="1"/>
  <c r="J105" i="3"/>
  <c r="K105" i="3" s="1"/>
  <c r="E116" i="3"/>
  <c r="G2" i="3"/>
  <c r="H2" i="3" s="1"/>
  <c r="G17" i="3"/>
  <c r="H17" i="3" s="1"/>
  <c r="G33" i="3"/>
  <c r="H33" i="3" s="1"/>
  <c r="G48" i="3"/>
  <c r="H48" i="3" s="1"/>
  <c r="G62" i="3"/>
  <c r="H62" i="3" s="1"/>
  <c r="G74" i="3"/>
  <c r="H74" i="3" s="1"/>
  <c r="J9" i="3"/>
  <c r="K9" i="3" s="1"/>
  <c r="J25" i="3"/>
  <c r="K25" i="3" s="1"/>
  <c r="J41" i="3"/>
  <c r="K41" i="3" s="1"/>
  <c r="J56" i="3"/>
  <c r="K56" i="3" s="1"/>
  <c r="J68" i="3"/>
  <c r="K68" i="3" s="1"/>
  <c r="J82" i="3"/>
  <c r="K82" i="3" s="1"/>
  <c r="J98" i="3"/>
  <c r="K98" i="3" s="1"/>
  <c r="J112" i="3"/>
  <c r="K112" i="3" s="1"/>
  <c r="E105" i="1"/>
  <c r="F105" i="1" s="1"/>
  <c r="H74" i="1"/>
  <c r="I74" i="1" s="1"/>
  <c r="H62" i="1"/>
  <c r="I62" i="1" s="1"/>
  <c r="E59" i="1"/>
  <c r="F59" i="1" s="1"/>
  <c r="E48" i="1"/>
  <c r="F48" i="1" s="1"/>
  <c r="E45" i="1"/>
  <c r="F45" i="1" s="1"/>
  <c r="E33" i="1"/>
  <c r="F33" i="1" s="1"/>
  <c r="E29" i="1"/>
  <c r="F29" i="1" s="1"/>
  <c r="E17" i="1"/>
  <c r="F17" i="1" s="1"/>
  <c r="D118" i="1"/>
  <c r="C118" i="1"/>
  <c r="H2" i="1"/>
  <c r="I2" i="1" s="1"/>
  <c r="E2" i="1"/>
  <c r="F2" i="1" s="1"/>
  <c r="E62" i="1"/>
  <c r="F62" i="1" s="1"/>
  <c r="E74" i="1"/>
  <c r="F74" i="1" s="1"/>
  <c r="H59" i="1"/>
  <c r="I59" i="1" s="1"/>
  <c r="H71" i="1"/>
  <c r="I71" i="1" s="1"/>
  <c r="H5" i="1"/>
  <c r="H21" i="1"/>
  <c r="I21" i="1" s="1"/>
  <c r="H37" i="1"/>
  <c r="I37" i="1" s="1"/>
  <c r="H52" i="1"/>
  <c r="I52" i="1" s="1"/>
  <c r="H65" i="1"/>
  <c r="I65" i="1" s="1"/>
  <c r="H78" i="1"/>
  <c r="I78" i="1" s="1"/>
  <c r="H93" i="1"/>
  <c r="I93" i="1" s="1"/>
  <c r="H109" i="1"/>
  <c r="I109" i="1" s="1"/>
  <c r="E82" i="1"/>
  <c r="F82" i="1" s="1"/>
  <c r="E98" i="1"/>
  <c r="F98" i="1" s="1"/>
  <c r="H13" i="1"/>
  <c r="I13" i="1" s="1"/>
  <c r="H29" i="1"/>
  <c r="I29" i="1" s="1"/>
  <c r="H45" i="1"/>
  <c r="I45" i="1" s="1"/>
  <c r="H85" i="1"/>
  <c r="I85" i="1" s="1"/>
  <c r="H101" i="1"/>
  <c r="I101" i="1" s="1"/>
  <c r="E65" i="1"/>
  <c r="F65" i="1" s="1"/>
  <c r="E93" i="1"/>
  <c r="F93" i="1" s="1"/>
  <c r="H17" i="1"/>
  <c r="I17" i="1" s="1"/>
  <c r="H33" i="1"/>
  <c r="I33" i="1" s="1"/>
  <c r="H48" i="1"/>
  <c r="I48" i="1" s="1"/>
  <c r="H89" i="1"/>
  <c r="I89" i="1" s="1"/>
  <c r="H105" i="1"/>
  <c r="I105" i="1" s="1"/>
  <c r="E52" i="1"/>
  <c r="F52" i="1" s="1"/>
  <c r="E56" i="1"/>
  <c r="F56" i="1" s="1"/>
  <c r="H82" i="1"/>
  <c r="I82" i="1" s="1"/>
  <c r="E78" i="1"/>
  <c r="F78" i="1" s="1"/>
  <c r="E5" i="1"/>
  <c r="F5" i="1" s="1"/>
  <c r="E9" i="1"/>
  <c r="F9" i="1" s="1"/>
  <c r="E21" i="1"/>
  <c r="F21" i="1" s="1"/>
  <c r="E25" i="1"/>
  <c r="F25" i="1" s="1"/>
  <c r="E37" i="1"/>
  <c r="F37" i="1" s="1"/>
  <c r="E41" i="1"/>
  <c r="F41" i="1" s="1"/>
  <c r="E112" i="1"/>
  <c r="F112" i="1" s="1"/>
  <c r="H98" i="1"/>
  <c r="I98" i="1" s="1"/>
  <c r="E68" i="1"/>
  <c r="F68" i="1" s="1"/>
  <c r="E109" i="1"/>
  <c r="F109" i="1" s="1"/>
  <c r="F233" i="14" l="1"/>
  <c r="J233" i="14"/>
  <c r="F234" i="14"/>
  <c r="J234" i="14"/>
  <c r="F235" i="14"/>
  <c r="J235" i="14"/>
  <c r="F236" i="14"/>
  <c r="J236" i="14"/>
  <c r="F237" i="14"/>
  <c r="J237" i="14"/>
  <c r="F238" i="14"/>
  <c r="J238" i="14"/>
  <c r="F239" i="14"/>
  <c r="J239" i="14"/>
  <c r="F240" i="14"/>
  <c r="J240" i="14"/>
  <c r="F241" i="14"/>
  <c r="J241" i="14"/>
  <c r="F242" i="14"/>
  <c r="J242" i="14"/>
  <c r="F243" i="14"/>
  <c r="J243" i="14"/>
  <c r="F244" i="14"/>
  <c r="J244" i="14"/>
  <c r="F245" i="14"/>
  <c r="J245" i="14"/>
  <c r="F246" i="14"/>
  <c r="J246" i="14"/>
  <c r="F247" i="14"/>
  <c r="J247" i="14"/>
  <c r="F248" i="14"/>
  <c r="J248" i="14"/>
  <c r="D232" i="14"/>
  <c r="G233" i="14"/>
  <c r="K233" i="14"/>
  <c r="G234" i="14"/>
  <c r="K234" i="14"/>
  <c r="G235" i="14"/>
  <c r="K235" i="14"/>
  <c r="G236" i="14"/>
  <c r="K236" i="14"/>
  <c r="G237" i="14"/>
  <c r="K237" i="14"/>
  <c r="G238" i="14"/>
  <c r="K238" i="14"/>
  <c r="G239" i="14"/>
  <c r="K239" i="14"/>
  <c r="G240" i="14"/>
  <c r="K240" i="14"/>
  <c r="G241" i="14"/>
  <c r="K241" i="14"/>
  <c r="G242" i="14"/>
  <c r="K242" i="14"/>
  <c r="G243" i="14"/>
  <c r="K243" i="14"/>
  <c r="G244" i="14"/>
  <c r="K244" i="14"/>
  <c r="G245" i="14"/>
  <c r="K245" i="14"/>
  <c r="G246" i="14"/>
  <c r="K246" i="14"/>
  <c r="G247" i="14"/>
  <c r="K247" i="14"/>
  <c r="G248" i="14"/>
  <c r="K248" i="14"/>
  <c r="G232" i="14"/>
  <c r="D233" i="14"/>
  <c r="H233" i="14"/>
  <c r="D234" i="14"/>
  <c r="H234" i="14"/>
  <c r="D235" i="14"/>
  <c r="H235" i="14"/>
  <c r="D236" i="14"/>
  <c r="H236" i="14"/>
  <c r="D237" i="14"/>
  <c r="H237" i="14"/>
  <c r="D238" i="14"/>
  <c r="H238" i="14"/>
  <c r="D239" i="14"/>
  <c r="H239" i="14"/>
  <c r="D240" i="14"/>
  <c r="H240" i="14"/>
  <c r="D241" i="14"/>
  <c r="H241" i="14"/>
  <c r="D242" i="14"/>
  <c r="H242" i="14"/>
  <c r="D243" i="14"/>
  <c r="H243" i="14"/>
  <c r="D244" i="14"/>
  <c r="H244" i="14"/>
  <c r="D245" i="14"/>
  <c r="H245" i="14"/>
  <c r="D246" i="14"/>
  <c r="H246" i="14"/>
  <c r="D247" i="14"/>
  <c r="H247" i="14"/>
  <c r="D248" i="14"/>
  <c r="H248" i="14"/>
  <c r="J232" i="14"/>
  <c r="K232" i="14"/>
  <c r="F232" i="14"/>
  <c r="E233" i="14"/>
  <c r="I233" i="14"/>
  <c r="E234" i="14"/>
  <c r="I234" i="14"/>
  <c r="E235" i="14"/>
  <c r="I235" i="14"/>
  <c r="E236" i="14"/>
  <c r="I236" i="14"/>
  <c r="E237" i="14"/>
  <c r="I237" i="14"/>
  <c r="E238" i="14"/>
  <c r="I238" i="14"/>
  <c r="E239" i="14"/>
  <c r="I239" i="14"/>
  <c r="E240" i="14"/>
  <c r="I240" i="14"/>
  <c r="E241" i="14"/>
  <c r="I241" i="14"/>
  <c r="E242" i="14"/>
  <c r="I242" i="14"/>
  <c r="E243" i="14"/>
  <c r="I243" i="14"/>
  <c r="E244" i="14"/>
  <c r="I244" i="14"/>
  <c r="E245" i="14"/>
  <c r="I245" i="14"/>
  <c r="E246" i="14"/>
  <c r="I246" i="14"/>
  <c r="E247" i="14"/>
  <c r="I247" i="14"/>
  <c r="E248" i="14"/>
  <c r="I248" i="14"/>
  <c r="I232" i="14"/>
  <c r="H232" i="14"/>
  <c r="E232" i="14"/>
  <c r="P69" i="8"/>
  <c r="Q69" i="8" s="1"/>
  <c r="P65" i="8"/>
  <c r="P68" i="8"/>
  <c r="Q68" i="8" s="1"/>
  <c r="P67" i="8"/>
  <c r="Q67" i="8" s="1"/>
  <c r="P70" i="8"/>
  <c r="Q70" i="8" s="1"/>
  <c r="P66" i="8"/>
  <c r="Q66" i="8" s="1"/>
  <c r="I86" i="7"/>
  <c r="T4" i="8"/>
  <c r="U4" i="8" s="1"/>
  <c r="T19" i="8"/>
  <c r="T6" i="8"/>
  <c r="U6" i="8" s="1"/>
  <c r="T5" i="8"/>
  <c r="U5" i="8" s="1"/>
  <c r="T3" i="8"/>
  <c r="T15" i="8"/>
  <c r="T18" i="8"/>
  <c r="T17" i="8"/>
  <c r="T16" i="8"/>
  <c r="U16" i="8" s="1"/>
  <c r="T11" i="8"/>
  <c r="T14" i="8"/>
  <c r="U14" i="8" s="1"/>
  <c r="T13" i="8"/>
  <c r="U13" i="8" s="1"/>
  <c r="T12" i="8"/>
  <c r="U12" i="8" s="1"/>
  <c r="T7" i="8"/>
  <c r="T10" i="8"/>
  <c r="T9" i="8"/>
  <c r="U9" i="8" s="1"/>
  <c r="T8" i="8"/>
  <c r="U8" i="8" s="1"/>
  <c r="U84" i="9"/>
  <c r="R84" i="9"/>
  <c r="R83" i="9"/>
  <c r="U83" i="9"/>
  <c r="R82" i="9"/>
  <c r="U82" i="9"/>
  <c r="U81" i="9"/>
  <c r="R81" i="9"/>
  <c r="U80" i="9"/>
  <c r="R80" i="9"/>
  <c r="S80" i="9" s="1"/>
  <c r="R79" i="9"/>
  <c r="U79" i="9"/>
  <c r="R78" i="9"/>
  <c r="U78" i="9"/>
  <c r="U77" i="9"/>
  <c r="R77" i="9"/>
  <c r="S77" i="9" s="1"/>
  <c r="U76" i="9"/>
  <c r="R76" i="9"/>
  <c r="S76" i="9" s="1"/>
  <c r="U75" i="9"/>
  <c r="R75" i="9"/>
  <c r="R74" i="9"/>
  <c r="U74" i="9"/>
  <c r="U73" i="9"/>
  <c r="R73" i="9"/>
  <c r="U72" i="9"/>
  <c r="R72" i="9"/>
  <c r="S72" i="9" s="1"/>
  <c r="U71" i="9"/>
  <c r="R71" i="9"/>
  <c r="R70" i="9"/>
  <c r="U70" i="9"/>
  <c r="R69" i="9"/>
  <c r="U69" i="9"/>
  <c r="U68" i="9"/>
  <c r="R68" i="9"/>
  <c r="S68" i="9" s="1"/>
  <c r="U67" i="9"/>
  <c r="R67" i="9"/>
  <c r="R66" i="9"/>
  <c r="U66" i="9"/>
  <c r="U65" i="9"/>
  <c r="R65" i="9"/>
  <c r="S65" i="9" s="1"/>
  <c r="U64" i="9"/>
  <c r="R64" i="9"/>
  <c r="U63" i="9"/>
  <c r="R63" i="9"/>
  <c r="S63" i="9" s="1"/>
  <c r="R62" i="9"/>
  <c r="U62" i="9"/>
  <c r="U61" i="9"/>
  <c r="R61" i="9"/>
  <c r="S61" i="9" s="1"/>
  <c r="U60" i="9"/>
  <c r="R60" i="9"/>
  <c r="U59" i="9"/>
  <c r="R59" i="9"/>
  <c r="R58" i="9"/>
  <c r="U58" i="9"/>
  <c r="U57" i="9"/>
  <c r="R57" i="9"/>
  <c r="U56" i="9"/>
  <c r="R56" i="9"/>
  <c r="S56" i="9" s="1"/>
  <c r="R55" i="9"/>
  <c r="U55" i="9"/>
  <c r="R54" i="9"/>
  <c r="U54" i="9"/>
  <c r="R53" i="9"/>
  <c r="U53" i="9"/>
  <c r="U52" i="9"/>
  <c r="R52" i="9"/>
  <c r="S52" i="9" s="1"/>
  <c r="U51" i="9"/>
  <c r="R51" i="9"/>
  <c r="S51" i="9" s="1"/>
  <c r="R50" i="9"/>
  <c r="U50" i="9"/>
  <c r="U49" i="9"/>
  <c r="R49" i="9"/>
  <c r="U48" i="9"/>
  <c r="R48" i="9"/>
  <c r="U47" i="9"/>
  <c r="R47" i="9"/>
  <c r="S47" i="9" s="1"/>
  <c r="R46" i="9"/>
  <c r="U46" i="9"/>
  <c r="U45" i="9"/>
  <c r="R45" i="9"/>
  <c r="R44" i="9"/>
  <c r="U44" i="9"/>
  <c r="U43" i="9"/>
  <c r="R43" i="9"/>
  <c r="R42" i="9"/>
  <c r="S42" i="9" s="1"/>
  <c r="U42" i="9"/>
  <c r="R41" i="9"/>
  <c r="U41" i="9"/>
  <c r="U40" i="9"/>
  <c r="R40" i="9"/>
  <c r="R39" i="9"/>
  <c r="U39" i="9"/>
  <c r="R38" i="9"/>
  <c r="U38" i="9"/>
  <c r="U37" i="9"/>
  <c r="R37" i="9"/>
  <c r="U36" i="9"/>
  <c r="R36" i="9"/>
  <c r="U35" i="9"/>
  <c r="R35" i="9"/>
  <c r="R34" i="9"/>
  <c r="U34" i="9"/>
  <c r="U33" i="9"/>
  <c r="R33" i="9"/>
  <c r="U32" i="9"/>
  <c r="R32" i="9"/>
  <c r="U31" i="9"/>
  <c r="R31" i="9"/>
  <c r="R30" i="9"/>
  <c r="U30" i="9"/>
  <c r="U29" i="9"/>
  <c r="R29" i="9"/>
  <c r="U28" i="9"/>
  <c r="R28" i="9"/>
  <c r="R27" i="9"/>
  <c r="S27" i="9" s="1"/>
  <c r="R26" i="9"/>
  <c r="U26" i="9"/>
  <c r="U25" i="9"/>
  <c r="R25" i="9"/>
  <c r="U24" i="9"/>
  <c r="R24" i="9"/>
  <c r="R23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T88" i="9"/>
  <c r="U8" i="9"/>
  <c r="U7" i="9"/>
  <c r="S7" i="9"/>
  <c r="S11" i="9"/>
  <c r="S23" i="9"/>
  <c r="S31" i="9"/>
  <c r="S35" i="9"/>
  <c r="S15" i="9"/>
  <c r="S19" i="9"/>
  <c r="S5" i="9"/>
  <c r="S9" i="9"/>
  <c r="S13" i="9"/>
  <c r="S17" i="9"/>
  <c r="S21" i="9"/>
  <c r="S25" i="9"/>
  <c r="S29" i="9"/>
  <c r="S33" i="9"/>
  <c r="S37" i="9"/>
  <c r="S39" i="9"/>
  <c r="S41" i="9"/>
  <c r="S43" i="9"/>
  <c r="S45" i="9"/>
  <c r="S49" i="9"/>
  <c r="S53" i="9"/>
  <c r="S55" i="9"/>
  <c r="S57" i="9"/>
  <c r="S59" i="9"/>
  <c r="S67" i="9"/>
  <c r="S69" i="9"/>
  <c r="S71" i="9"/>
  <c r="S73" i="9"/>
  <c r="S75" i="9"/>
  <c r="S79" i="9"/>
  <c r="S81" i="9"/>
  <c r="S83" i="9"/>
  <c r="S8" i="9"/>
  <c r="S12" i="9"/>
  <c r="S16" i="9"/>
  <c r="S20" i="9"/>
  <c r="S24" i="9"/>
  <c r="S28" i="9"/>
  <c r="S36" i="9"/>
  <c r="S54" i="9"/>
  <c r="S6" i="9"/>
  <c r="S10" i="9"/>
  <c r="S14" i="9"/>
  <c r="S18" i="9"/>
  <c r="S22" i="9"/>
  <c r="S26" i="9"/>
  <c r="S30" i="9"/>
  <c r="S32" i="9"/>
  <c r="S34" i="9"/>
  <c r="S38" i="9"/>
  <c r="S40" i="9"/>
  <c r="S44" i="9"/>
  <c r="S46" i="9"/>
  <c r="S48" i="9"/>
  <c r="S50" i="9"/>
  <c r="S58" i="9"/>
  <c r="S60" i="9"/>
  <c r="S62" i="9"/>
  <c r="S64" i="9"/>
  <c r="S66" i="9"/>
  <c r="S70" i="9"/>
  <c r="S74" i="9"/>
  <c r="S78" i="9"/>
  <c r="S82" i="9"/>
  <c r="S84" i="9"/>
  <c r="X86" i="10"/>
  <c r="W88" i="9"/>
  <c r="X4" i="9"/>
  <c r="D205" i="14" s="1"/>
  <c r="S4" i="9"/>
  <c r="U86" i="10"/>
  <c r="R3" i="9"/>
  <c r="S3" i="9" s="1"/>
  <c r="J116" i="3"/>
  <c r="K2" i="3"/>
  <c r="I5" i="1"/>
  <c r="H118" i="1"/>
  <c r="J68" i="8" l="1"/>
  <c r="K68" i="8" s="1"/>
  <c r="F192" i="14"/>
  <c r="D180" i="14"/>
  <c r="G213" i="14"/>
  <c r="I179" i="14"/>
  <c r="H180" i="14"/>
  <c r="E183" i="14"/>
  <c r="F183" i="14"/>
  <c r="G183" i="14"/>
  <c r="D183" i="14"/>
  <c r="D220" i="14"/>
  <c r="F217" i="14"/>
  <c r="H214" i="14"/>
  <c r="D212" i="14"/>
  <c r="F209" i="14"/>
  <c r="H206" i="14"/>
  <c r="H193" i="14"/>
  <c r="F180" i="14"/>
  <c r="I220" i="14"/>
  <c r="E212" i="14"/>
  <c r="I177" i="14"/>
  <c r="I178" i="14"/>
  <c r="H179" i="14"/>
  <c r="E182" i="14"/>
  <c r="F182" i="14"/>
  <c r="G182" i="14"/>
  <c r="D182" i="14"/>
  <c r="G220" i="14"/>
  <c r="I217" i="14"/>
  <c r="E215" i="14"/>
  <c r="G212" i="14"/>
  <c r="I209" i="14"/>
  <c r="E207" i="14"/>
  <c r="I184" i="14"/>
  <c r="F188" i="14"/>
  <c r="G219" i="14"/>
  <c r="I212" i="14"/>
  <c r="D177" i="14"/>
  <c r="I181" i="14"/>
  <c r="H182" i="14"/>
  <c r="E185" i="14"/>
  <c r="F185" i="14"/>
  <c r="G185" i="14"/>
  <c r="D185" i="14"/>
  <c r="F220" i="14"/>
  <c r="H217" i="14"/>
  <c r="D215" i="14"/>
  <c r="F212" i="14"/>
  <c r="H209" i="14"/>
  <c r="D207" i="14"/>
  <c r="I188" i="14"/>
  <c r="G205" i="14"/>
  <c r="J70" i="8"/>
  <c r="K70" i="8" s="1"/>
  <c r="I180" i="14"/>
  <c r="F184" i="14"/>
  <c r="E220" i="14"/>
  <c r="G211" i="14"/>
  <c r="I191" i="14"/>
  <c r="H192" i="14"/>
  <c r="F177" i="14"/>
  <c r="E179" i="14"/>
  <c r="F179" i="14"/>
  <c r="G179" i="14"/>
  <c r="D179" i="14"/>
  <c r="F219" i="14"/>
  <c r="H216" i="14"/>
  <c r="D214" i="14"/>
  <c r="F211" i="14"/>
  <c r="H208" i="14"/>
  <c r="D206" i="14"/>
  <c r="H181" i="14"/>
  <c r="G184" i="14"/>
  <c r="E218" i="14"/>
  <c r="E210" i="14"/>
  <c r="I190" i="14"/>
  <c r="H191" i="14"/>
  <c r="E177" i="14"/>
  <c r="E178" i="14"/>
  <c r="F178" i="14"/>
  <c r="G178" i="14"/>
  <c r="D178" i="14"/>
  <c r="I219" i="14"/>
  <c r="E217" i="14"/>
  <c r="G214" i="14"/>
  <c r="I211" i="14"/>
  <c r="E209" i="14"/>
  <c r="G206" i="14"/>
  <c r="H189" i="14"/>
  <c r="G192" i="14"/>
  <c r="G217" i="14"/>
  <c r="I210" i="14"/>
  <c r="I193" i="14"/>
  <c r="H177" i="14"/>
  <c r="H178" i="14"/>
  <c r="E181" i="14"/>
  <c r="F181" i="14"/>
  <c r="G181" i="14"/>
  <c r="D181" i="14"/>
  <c r="H219" i="14"/>
  <c r="D217" i="14"/>
  <c r="F214" i="14"/>
  <c r="H211" i="14"/>
  <c r="D209" i="14"/>
  <c r="F206" i="14"/>
  <c r="J65" i="8"/>
  <c r="K65" i="8" s="1"/>
  <c r="H185" i="14"/>
  <c r="G188" i="14"/>
  <c r="G209" i="14"/>
  <c r="I187" i="14"/>
  <c r="H188" i="14"/>
  <c r="E191" i="14"/>
  <c r="F191" i="14"/>
  <c r="G191" i="14"/>
  <c r="D191" i="14"/>
  <c r="G204" i="14"/>
  <c r="H218" i="14"/>
  <c r="D216" i="14"/>
  <c r="F213" i="14"/>
  <c r="H210" i="14"/>
  <c r="D208" i="14"/>
  <c r="F205" i="14"/>
  <c r="E192" i="14"/>
  <c r="D188" i="14"/>
  <c r="G215" i="14"/>
  <c r="E208" i="14"/>
  <c r="I186" i="14"/>
  <c r="H187" i="14"/>
  <c r="E190" i="14"/>
  <c r="F190" i="14"/>
  <c r="G190" i="14"/>
  <c r="D190" i="14"/>
  <c r="D204" i="14"/>
  <c r="E219" i="14"/>
  <c r="G216" i="14"/>
  <c r="I213" i="14"/>
  <c r="E211" i="14"/>
  <c r="G208" i="14"/>
  <c r="I205" i="14"/>
  <c r="G177" i="14"/>
  <c r="G180" i="14"/>
  <c r="I216" i="14"/>
  <c r="I208" i="14"/>
  <c r="I189" i="14"/>
  <c r="H190" i="14"/>
  <c r="E193" i="14"/>
  <c r="F193" i="14"/>
  <c r="G193" i="14"/>
  <c r="D193" i="14"/>
  <c r="E204" i="14"/>
  <c r="D219" i="14"/>
  <c r="F216" i="14"/>
  <c r="H213" i="14"/>
  <c r="D211" i="14"/>
  <c r="F208" i="14"/>
  <c r="H205" i="14"/>
  <c r="J66" i="8"/>
  <c r="K66" i="8" s="1"/>
  <c r="I218" i="14"/>
  <c r="J67" i="8"/>
  <c r="K67" i="8" s="1"/>
  <c r="J69" i="8"/>
  <c r="K69" i="8" s="1"/>
  <c r="E188" i="14"/>
  <c r="D192" i="14"/>
  <c r="E216" i="14"/>
  <c r="G207" i="14"/>
  <c r="I183" i="14"/>
  <c r="H184" i="14"/>
  <c r="E187" i="14"/>
  <c r="F187" i="14"/>
  <c r="G187" i="14"/>
  <c r="D187" i="14"/>
  <c r="H220" i="14"/>
  <c r="D218" i="14"/>
  <c r="F215" i="14"/>
  <c r="H212" i="14"/>
  <c r="D210" i="14"/>
  <c r="F207" i="14"/>
  <c r="I192" i="14"/>
  <c r="E180" i="14"/>
  <c r="F204" i="14"/>
  <c r="E214" i="14"/>
  <c r="E206" i="14"/>
  <c r="I182" i="14"/>
  <c r="H183" i="14"/>
  <c r="E186" i="14"/>
  <c r="F186" i="14"/>
  <c r="G186" i="14"/>
  <c r="D186" i="14"/>
  <c r="H204" i="14"/>
  <c r="G218" i="14"/>
  <c r="I215" i="14"/>
  <c r="E213" i="14"/>
  <c r="G210" i="14"/>
  <c r="I207" i="14"/>
  <c r="E205" i="14"/>
  <c r="E184" i="14"/>
  <c r="D184" i="14"/>
  <c r="I214" i="14"/>
  <c r="I206" i="14"/>
  <c r="I185" i="14"/>
  <c r="H186" i="14"/>
  <c r="E189" i="14"/>
  <c r="F189" i="14"/>
  <c r="G189" i="14"/>
  <c r="D189" i="14"/>
  <c r="I204" i="14"/>
  <c r="F218" i="14"/>
  <c r="H215" i="14"/>
  <c r="D213" i="14"/>
  <c r="F210" i="14"/>
  <c r="H207" i="14"/>
  <c r="L245" i="14"/>
  <c r="L247" i="14"/>
  <c r="L243" i="14"/>
  <c r="L241" i="14"/>
  <c r="L239" i="14"/>
  <c r="L237" i="14"/>
  <c r="L235" i="14"/>
  <c r="L233" i="14"/>
  <c r="P72" i="8"/>
  <c r="Q65" i="8"/>
  <c r="L248" i="14"/>
  <c r="L246" i="14"/>
  <c r="L244" i="14"/>
  <c r="L242" i="14"/>
  <c r="L240" i="14"/>
  <c r="L238" i="14"/>
  <c r="L236" i="14"/>
  <c r="L234" i="14"/>
  <c r="L232" i="14"/>
  <c r="U18" i="8"/>
  <c r="AE9" i="8"/>
  <c r="AF9" i="8" s="1"/>
  <c r="U17" i="8"/>
  <c r="AE8" i="8"/>
  <c r="AF8" i="8" s="1"/>
  <c r="T25" i="8"/>
  <c r="U25" i="8" s="1"/>
  <c r="AE5" i="8"/>
  <c r="AF5" i="8" s="1"/>
  <c r="U10" i="8"/>
  <c r="U7" i="8"/>
  <c r="AE4" i="8"/>
  <c r="AF4" i="8" s="1"/>
  <c r="U11" i="8"/>
  <c r="AE6" i="8"/>
  <c r="AF6" i="8" s="1"/>
  <c r="U15" i="8"/>
  <c r="AE7" i="8"/>
  <c r="AF7" i="8" s="1"/>
  <c r="AE10" i="8"/>
  <c r="AF10" i="8" s="1"/>
  <c r="U19" i="8"/>
  <c r="U3" i="8"/>
  <c r="AE3" i="8"/>
  <c r="X88" i="9"/>
  <c r="Q88" i="9"/>
  <c r="M88" i="9"/>
  <c r="P88" i="9"/>
  <c r="L88" i="9"/>
  <c r="O88" i="9"/>
  <c r="N88" i="9"/>
  <c r="K88" i="9"/>
  <c r="U88" i="9"/>
  <c r="J192" i="14" l="1"/>
  <c r="J188" i="14"/>
  <c r="J191" i="14"/>
  <c r="J209" i="14"/>
  <c r="J217" i="14"/>
  <c r="J179" i="14"/>
  <c r="J204" i="14"/>
  <c r="J181" i="14"/>
  <c r="J186" i="14"/>
  <c r="J178" i="14"/>
  <c r="J211" i="14"/>
  <c r="J208" i="14"/>
  <c r="J184" i="14"/>
  <c r="J177" i="14"/>
  <c r="J220" i="14"/>
  <c r="J205" i="14"/>
  <c r="J189" i="14"/>
  <c r="J215" i="14"/>
  <c r="J206" i="14"/>
  <c r="J182" i="14"/>
  <c r="J183" i="14"/>
  <c r="J187" i="14"/>
  <c r="J190" i="14"/>
  <c r="J214" i="14"/>
  <c r="J185" i="14"/>
  <c r="J212" i="14"/>
  <c r="J193" i="14"/>
  <c r="J72" i="8"/>
  <c r="J216" i="14"/>
  <c r="J207" i="14"/>
  <c r="J219" i="14"/>
  <c r="J213" i="14"/>
  <c r="J180" i="14"/>
  <c r="J210" i="14"/>
  <c r="J218" i="14"/>
  <c r="L250" i="14"/>
  <c r="AF3" i="8"/>
  <c r="AE25" i="8"/>
  <c r="AF25" i="8" s="1"/>
  <c r="R88" i="9"/>
  <c r="S88" i="9" s="1"/>
  <c r="J195" i="14" l="1"/>
  <c r="J22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Santhul Narwhal</author>
  </authors>
  <commentList>
    <comment ref="R3" authorId="0" shapeId="0" xr:uid="{E0E4616F-3151-442A-9BFB-8E0E5384325E}">
      <text>
        <r>
          <rPr>
            <b/>
            <sz val="9"/>
            <color indexed="81"/>
            <rFont val="Tahoma"/>
            <family val="2"/>
          </rPr>
          <t>Santhul Narwhal:</t>
        </r>
        <r>
          <rPr>
            <sz val="9"/>
            <color indexed="81"/>
            <rFont val="Tahoma"/>
            <family val="2"/>
          </rPr>
          <t xml:space="preserve">
ex-SUPP, GPS</t>
        </r>
      </text>
    </comment>
    <comment ref="R11" authorId="0" shapeId="0" xr:uid="{1D6D53F2-F375-459A-BDCD-D2B52B577C20}">
      <text>
        <r>
          <rPr>
            <b/>
            <sz val="9"/>
            <color indexed="81"/>
            <rFont val="Tahoma"/>
            <family val="2"/>
          </rPr>
          <t>Santhul Narwhal:</t>
        </r>
        <r>
          <rPr>
            <sz val="9"/>
            <color indexed="81"/>
            <rFont val="Tahoma"/>
            <family val="2"/>
          </rPr>
          <t xml:space="preserve">
ex-DAP, PH</t>
        </r>
      </text>
    </comment>
    <comment ref="R13" authorId="0" shapeId="0" xr:uid="{F73FEB0D-0F29-4EAB-88F6-CC5CD98E000B}">
      <text>
        <r>
          <rPr>
            <b/>
            <sz val="9"/>
            <color indexed="81"/>
            <rFont val="Tahoma"/>
            <family val="2"/>
          </rPr>
          <t>Santhul Narwhal:</t>
        </r>
        <r>
          <rPr>
            <sz val="9"/>
            <color indexed="81"/>
            <rFont val="Tahoma"/>
            <family val="2"/>
          </rPr>
          <t xml:space="preserve">
ex-PKR, PH</t>
        </r>
      </text>
    </comment>
    <comment ref="R35" authorId="0" shapeId="0" xr:uid="{94990BE0-36D9-4D49-AD19-3805D8880C2E}">
      <text>
        <r>
          <rPr>
            <b/>
            <sz val="9"/>
            <color indexed="81"/>
            <rFont val="Tahoma"/>
            <family val="2"/>
          </rPr>
          <t>Santhul Narwhal:</t>
        </r>
        <r>
          <rPr>
            <sz val="9"/>
            <color indexed="81"/>
            <rFont val="Tahoma"/>
            <family val="2"/>
          </rPr>
          <t xml:space="preserve">
ex-SUPP, GPS</t>
        </r>
      </text>
    </comment>
    <comment ref="R54" authorId="0" shapeId="0" xr:uid="{CD255F5E-90EC-41B9-8149-07E88F547C0F}">
      <text>
        <r>
          <rPr>
            <b/>
            <sz val="9"/>
            <color indexed="81"/>
            <rFont val="Tahoma"/>
            <family val="2"/>
          </rPr>
          <t>Santhul Narwhal:</t>
        </r>
        <r>
          <rPr>
            <sz val="9"/>
            <color indexed="81"/>
            <rFont val="Tahoma"/>
            <family val="2"/>
          </rPr>
          <t xml:space="preserve">
ex-SUPP, GPS</t>
        </r>
      </text>
    </comment>
    <comment ref="R55" authorId="0" shapeId="0" xr:uid="{311269DE-FB90-451F-BDED-C0A722EDA9B4}">
      <text>
        <r>
          <rPr>
            <b/>
            <sz val="9"/>
            <color indexed="81"/>
            <rFont val="Tahoma"/>
            <family val="2"/>
          </rPr>
          <t>Santhul Narwhal:</t>
        </r>
        <r>
          <rPr>
            <sz val="9"/>
            <color indexed="81"/>
            <rFont val="Tahoma"/>
            <family val="2"/>
          </rPr>
          <t xml:space="preserve">
ex-SUPP, GPS</t>
        </r>
      </text>
    </comment>
    <comment ref="R83" authorId="0" shapeId="0" xr:uid="{94786324-B1BB-4F1B-B3CA-01888B56FAB6}">
      <text>
        <r>
          <rPr>
            <b/>
            <sz val="9"/>
            <color indexed="81"/>
            <rFont val="Tahoma"/>
            <family val="2"/>
          </rPr>
          <t>Santhul Narwhal:</t>
        </r>
        <r>
          <rPr>
            <sz val="9"/>
            <color indexed="81"/>
            <rFont val="Tahoma"/>
            <family val="2"/>
          </rPr>
          <t xml:space="preserve">
ex-PKR, PH</t>
        </r>
      </text>
    </comment>
  </commentList>
</comments>
</file>

<file path=xl/sharedStrings.xml><?xml version="1.0" encoding="utf-8"?>
<sst xmlns="http://schemas.openxmlformats.org/spreadsheetml/2006/main" count="3924" uniqueCount="372">
  <si>
    <t>KOD</t>
  </si>
  <si>
    <t>BAHAGIAN PILIHAN RAYA</t>
  </si>
  <si>
    <t>SPPA</t>
  </si>
  <si>
    <t>PARLIMEN</t>
  </si>
  <si>
    <t>P192</t>
  </si>
  <si>
    <t>N01</t>
  </si>
  <si>
    <t>OPAR</t>
  </si>
  <si>
    <t>TASIK BIRU</t>
  </si>
  <si>
    <t>N02</t>
  </si>
  <si>
    <t>MAS GADING</t>
  </si>
  <si>
    <t>P193</t>
  </si>
  <si>
    <t>SANTUBONG</t>
  </si>
  <si>
    <t>N03</t>
  </si>
  <si>
    <t>N04</t>
  </si>
  <si>
    <t>N05</t>
  </si>
  <si>
    <t>TANJONG DATU</t>
  </si>
  <si>
    <t>PANTAI DAMAI</t>
  </si>
  <si>
    <t>DEMAK LAUT</t>
  </si>
  <si>
    <t>P194</t>
  </si>
  <si>
    <t>PETRA JAYA</t>
  </si>
  <si>
    <t>N06</t>
  </si>
  <si>
    <t>N07</t>
  </si>
  <si>
    <t>N08</t>
  </si>
  <si>
    <t>TUPONG</t>
  </si>
  <si>
    <t>SAMARIANG</t>
  </si>
  <si>
    <t>SATOK</t>
  </si>
  <si>
    <t>P195</t>
  </si>
  <si>
    <t>BANDAR KUCHING</t>
  </si>
  <si>
    <t>N09</t>
  </si>
  <si>
    <t>N10</t>
  </si>
  <si>
    <t>N11</t>
  </si>
  <si>
    <t>PADUNGAN</t>
  </si>
  <si>
    <t>PENDING</t>
  </si>
  <si>
    <t>BATU LINTANG</t>
  </si>
  <si>
    <t>P196</t>
  </si>
  <si>
    <t>STAMPIN</t>
  </si>
  <si>
    <t>N12</t>
  </si>
  <si>
    <t>N13</t>
  </si>
  <si>
    <t>N14</t>
  </si>
  <si>
    <t>KOTA SENTOSA</t>
  </si>
  <si>
    <t>BATU KITANG</t>
  </si>
  <si>
    <t>BATU KAWAH</t>
  </si>
  <si>
    <t>P197</t>
  </si>
  <si>
    <t>KOTA SAMARAHAN</t>
  </si>
  <si>
    <t>N15</t>
  </si>
  <si>
    <t>N16</t>
  </si>
  <si>
    <t>N17</t>
  </si>
  <si>
    <t>ASAJAYA</t>
  </si>
  <si>
    <t>MUARA TUANG</t>
  </si>
  <si>
    <t>STAKAN</t>
  </si>
  <si>
    <t>P198</t>
  </si>
  <si>
    <t>PUNCAK BORNEO</t>
  </si>
  <si>
    <t>N18</t>
  </si>
  <si>
    <t>N19</t>
  </si>
  <si>
    <t>N20</t>
  </si>
  <si>
    <t>SEREMBU</t>
  </si>
  <si>
    <t>MAMBONG</t>
  </si>
  <si>
    <t>TARAT</t>
  </si>
  <si>
    <t>P199</t>
  </si>
  <si>
    <t>SERIAN</t>
  </si>
  <si>
    <t>N21</t>
  </si>
  <si>
    <t>N22</t>
  </si>
  <si>
    <t>N23</t>
  </si>
  <si>
    <t>TEBEDU</t>
  </si>
  <si>
    <t>KEDUP</t>
  </si>
  <si>
    <t>BUKIT SEMUJA</t>
  </si>
  <si>
    <t>P200</t>
  </si>
  <si>
    <t>BATANG SADONG</t>
  </si>
  <si>
    <t>N24</t>
  </si>
  <si>
    <t>N25</t>
  </si>
  <si>
    <t>N26</t>
  </si>
  <si>
    <t>SADONG JAYA</t>
  </si>
  <si>
    <t>SIMUNJAN</t>
  </si>
  <si>
    <t>GEDONG</t>
  </si>
  <si>
    <t>P201</t>
  </si>
  <si>
    <t>BATANG LUPAR</t>
  </si>
  <si>
    <t>N27</t>
  </si>
  <si>
    <t>N28</t>
  </si>
  <si>
    <t>N29</t>
  </si>
  <si>
    <t>SEBUYAU</t>
  </si>
  <si>
    <t>LINGGA</t>
  </si>
  <si>
    <t>BETING MARO</t>
  </si>
  <si>
    <t>P202</t>
  </si>
  <si>
    <t>SRI AMAN</t>
  </si>
  <si>
    <t>N30</t>
  </si>
  <si>
    <t>N31</t>
  </si>
  <si>
    <t>N32</t>
  </si>
  <si>
    <t>BALAI RINGIN</t>
  </si>
  <si>
    <t>BUKIT BEGUNAN</t>
  </si>
  <si>
    <t>SIMANGGANG</t>
  </si>
  <si>
    <t>P203</t>
  </si>
  <si>
    <t>LUBOK ANTU</t>
  </si>
  <si>
    <t>N33</t>
  </si>
  <si>
    <t>N34</t>
  </si>
  <si>
    <t>ENGKILILI</t>
  </si>
  <si>
    <t>BATANG AI</t>
  </si>
  <si>
    <t>P204</t>
  </si>
  <si>
    <t>BETONG</t>
  </si>
  <si>
    <t>N35</t>
  </si>
  <si>
    <t>N36</t>
  </si>
  <si>
    <t>N37</t>
  </si>
  <si>
    <t>SARIBAS</t>
  </si>
  <si>
    <t>LAYAR</t>
  </si>
  <si>
    <t>BUKIT SABAN</t>
  </si>
  <si>
    <t>P205</t>
  </si>
  <si>
    <t>SARATOK</t>
  </si>
  <si>
    <t>N38</t>
  </si>
  <si>
    <t>N39</t>
  </si>
  <si>
    <t>N40</t>
  </si>
  <si>
    <t>KALAKA</t>
  </si>
  <si>
    <t>KRIAN</t>
  </si>
  <si>
    <t>KABONG</t>
  </si>
  <si>
    <t>P206</t>
  </si>
  <si>
    <t>TANJONG MANIS</t>
  </si>
  <si>
    <t>N41</t>
  </si>
  <si>
    <t>N42</t>
  </si>
  <si>
    <t>KUALA RAJANG</t>
  </si>
  <si>
    <t>SEMOP</t>
  </si>
  <si>
    <t>P207</t>
  </si>
  <si>
    <t>IGAN</t>
  </si>
  <si>
    <t>N43</t>
  </si>
  <si>
    <t>N44</t>
  </si>
  <si>
    <t>DARO</t>
  </si>
  <si>
    <t>JEMORENG</t>
  </si>
  <si>
    <t>P208</t>
  </si>
  <si>
    <t>SARIKEI</t>
  </si>
  <si>
    <t>N45</t>
  </si>
  <si>
    <t>N46</t>
  </si>
  <si>
    <t>REPOK</t>
  </si>
  <si>
    <t>MERADONG</t>
  </si>
  <si>
    <t>P209</t>
  </si>
  <si>
    <t>JULAU</t>
  </si>
  <si>
    <t>N47</t>
  </si>
  <si>
    <t>N48</t>
  </si>
  <si>
    <t>PAKAN</t>
  </si>
  <si>
    <t>MELUAN</t>
  </si>
  <si>
    <t>P210</t>
  </si>
  <si>
    <t>KANOWIT</t>
  </si>
  <si>
    <t>N49</t>
  </si>
  <si>
    <t>N50</t>
  </si>
  <si>
    <t>NGEMAH</t>
  </si>
  <si>
    <t>MACHAN</t>
  </si>
  <si>
    <t>P211</t>
  </si>
  <si>
    <t>LANANG</t>
  </si>
  <si>
    <t>N51</t>
  </si>
  <si>
    <t>N52</t>
  </si>
  <si>
    <t>BUKIT ASSEK</t>
  </si>
  <si>
    <t>DUDONG</t>
  </si>
  <si>
    <t>P212</t>
  </si>
  <si>
    <t>SIBU</t>
  </si>
  <si>
    <t>N53</t>
  </si>
  <si>
    <t>N54</t>
  </si>
  <si>
    <t>N55</t>
  </si>
  <si>
    <t>BAWANG ASSAN</t>
  </si>
  <si>
    <t>PELAWAN</t>
  </si>
  <si>
    <t>NANGKA</t>
  </si>
  <si>
    <t>P213</t>
  </si>
  <si>
    <t>MUKAH</t>
  </si>
  <si>
    <t>N56</t>
  </si>
  <si>
    <t>N57</t>
  </si>
  <si>
    <t>N58</t>
  </si>
  <si>
    <t>DALAT</t>
  </si>
  <si>
    <t>TELLIAN</t>
  </si>
  <si>
    <t>BALINGIAN</t>
  </si>
  <si>
    <t>P214</t>
  </si>
  <si>
    <t>SELANGAU</t>
  </si>
  <si>
    <t>N59</t>
  </si>
  <si>
    <t>N60</t>
  </si>
  <si>
    <t>TAMIN</t>
  </si>
  <si>
    <t>KAKUS</t>
  </si>
  <si>
    <t>P215</t>
  </si>
  <si>
    <t>KAPIT</t>
  </si>
  <si>
    <t>N61</t>
  </si>
  <si>
    <t>N62</t>
  </si>
  <si>
    <t>N63</t>
  </si>
  <si>
    <t>PELAGUS</t>
  </si>
  <si>
    <t>KATIBAS</t>
  </si>
  <si>
    <t>BUKIT GORAM</t>
  </si>
  <si>
    <t>P216</t>
  </si>
  <si>
    <t>HULU RAJANG</t>
  </si>
  <si>
    <t>N64</t>
  </si>
  <si>
    <t>N65</t>
  </si>
  <si>
    <t>N66</t>
  </si>
  <si>
    <t>BALEH</t>
  </si>
  <si>
    <t>BELAGA</t>
  </si>
  <si>
    <t>MURUM</t>
  </si>
  <si>
    <t>BINTULU</t>
  </si>
  <si>
    <t>P217</t>
  </si>
  <si>
    <t>N67</t>
  </si>
  <si>
    <t>N68</t>
  </si>
  <si>
    <t>N69</t>
  </si>
  <si>
    <t>N70</t>
  </si>
  <si>
    <t>JEPAK</t>
  </si>
  <si>
    <t>TANJONG BATU</t>
  </si>
  <si>
    <t>KEMENA</t>
  </si>
  <si>
    <t>SAMALAJU</t>
  </si>
  <si>
    <t>P218</t>
  </si>
  <si>
    <t>SIBUTI</t>
  </si>
  <si>
    <t>N71</t>
  </si>
  <si>
    <t>N72</t>
  </si>
  <si>
    <t>BEKENU</t>
  </si>
  <si>
    <t>LAMBIR</t>
  </si>
  <si>
    <t>P219</t>
  </si>
  <si>
    <t>MIRI</t>
  </si>
  <si>
    <t>N73</t>
  </si>
  <si>
    <t>N74</t>
  </si>
  <si>
    <t>N75</t>
  </si>
  <si>
    <t>PIASAU</t>
  </si>
  <si>
    <t>PUJUT</t>
  </si>
  <si>
    <t>SENADIN</t>
  </si>
  <si>
    <t>P220</t>
  </si>
  <si>
    <t>BARAM</t>
  </si>
  <si>
    <t>N76</t>
  </si>
  <si>
    <t>N77</t>
  </si>
  <si>
    <t>N78</t>
  </si>
  <si>
    <t>MARUDI</t>
  </si>
  <si>
    <t>TELANG USAN</t>
  </si>
  <si>
    <t>MULU</t>
  </si>
  <si>
    <t>P221</t>
  </si>
  <si>
    <t>P222</t>
  </si>
  <si>
    <t>LIMBANG</t>
  </si>
  <si>
    <t>N79</t>
  </si>
  <si>
    <t>N80</t>
  </si>
  <si>
    <t>BUKIT KOTA</t>
  </si>
  <si>
    <t>BATU DANAU</t>
  </si>
  <si>
    <t>LAWAS</t>
  </si>
  <si>
    <t>N81</t>
  </si>
  <si>
    <t>N82</t>
  </si>
  <si>
    <t>BA'KELALAN</t>
  </si>
  <si>
    <t>BUKIT SARI</t>
  </si>
  <si>
    <t>PRU 2018</t>
  </si>
  <si>
    <t>TOTAL</t>
  </si>
  <si>
    <t>ST2/2021</t>
  </si>
  <si>
    <t>%</t>
  </si>
  <si>
    <t>DIFF</t>
  </si>
  <si>
    <t>JUMLAH</t>
  </si>
  <si>
    <t>PARTI POLITIK</t>
  </si>
  <si>
    <t>PAKATAN</t>
  </si>
  <si>
    <t>BLOK</t>
  </si>
  <si>
    <t>SUPP</t>
  </si>
  <si>
    <t>PDP</t>
  </si>
  <si>
    <t>GPS</t>
  </si>
  <si>
    <t>KERAJAAN</t>
  </si>
  <si>
    <t>PBB</t>
  </si>
  <si>
    <t>DAP</t>
  </si>
  <si>
    <t>PH</t>
  </si>
  <si>
    <t>PN</t>
  </si>
  <si>
    <t>PEMBANGKANG</t>
  </si>
  <si>
    <t>BERSATU</t>
  </si>
  <si>
    <t>PRS</t>
  </si>
  <si>
    <t>PAS</t>
  </si>
  <si>
    <t>BEBAS</t>
  </si>
  <si>
    <t>PSB</t>
  </si>
  <si>
    <t>PKR</t>
  </si>
  <si>
    <t>AMANAH</t>
  </si>
  <si>
    <t>DUN</t>
  </si>
  <si>
    <t>UNDI</t>
  </si>
  <si>
    <t>JUMLAH UNDI BERSIH</t>
  </si>
  <si>
    <t>UNDI%</t>
  </si>
  <si>
    <t>CALON 2</t>
  </si>
  <si>
    <t>CALON 1 (PEMENANG)</t>
  </si>
  <si>
    <t>MAJORITI</t>
  </si>
  <si>
    <t>% KELUAR MENGUNDI</t>
  </si>
  <si>
    <t>UNDI ROSAK</t>
  </si>
  <si>
    <t>PEMILIH BERDAFTAR</t>
  </si>
  <si>
    <t>JUMLAH KELUAR MENGUNDI</t>
  </si>
  <si>
    <t>CALON 3</t>
  </si>
  <si>
    <t>CALON 4</t>
  </si>
  <si>
    <t>UNDI TIDAK DIKEMBALIKAN</t>
  </si>
  <si>
    <t>PBDS BARU</t>
  </si>
  <si>
    <t>GAS</t>
  </si>
  <si>
    <t>KESELURUHAN</t>
  </si>
  <si>
    <t>STAR</t>
  </si>
  <si>
    <t>CALON 5</t>
  </si>
  <si>
    <t>N/A</t>
  </si>
  <si>
    <t>MELAYU / MELANAU</t>
  </si>
  <si>
    <t>CINA</t>
  </si>
  <si>
    <t>IBAN</t>
  </si>
  <si>
    <t>BIDAYUH</t>
  </si>
  <si>
    <t>LAIN-LAIN</t>
  </si>
  <si>
    <t>KATEGORI</t>
  </si>
  <si>
    <t>ORANG ULU</t>
  </si>
  <si>
    <t>11th Sarawak Election: Full official results (nst.com.my)</t>
  </si>
  <si>
    <t>SUMBER DATA</t>
  </si>
  <si>
    <t>CALON 8</t>
  </si>
  <si>
    <t>CALON 7</t>
  </si>
  <si>
    <t>CALON 6</t>
  </si>
  <si>
    <t>2021 - DUN</t>
  </si>
  <si>
    <t>21-29</t>
  </si>
  <si>
    <t>30-39</t>
  </si>
  <si>
    <t>40-49</t>
  </si>
  <si>
    <t>50-59</t>
  </si>
  <si>
    <t>60-69</t>
  </si>
  <si>
    <t>70-79</t>
  </si>
  <si>
    <t>80-89</t>
  </si>
  <si>
    <t>90+</t>
  </si>
  <si>
    <t>LELAKI</t>
  </si>
  <si>
    <t>PEREMPUAN</t>
  </si>
  <si>
    <t>21-39</t>
  </si>
  <si>
    <t>UMUR</t>
  </si>
  <si>
    <t>UMUR MAJORITI</t>
  </si>
  <si>
    <t>PBK</t>
  </si>
  <si>
    <t>ASPIRASI</t>
  </si>
  <si>
    <t>PBDSB</t>
  </si>
  <si>
    <t>SEDAR</t>
  </si>
  <si>
    <t>BEBAS - K</t>
  </si>
  <si>
    <t>BEBAS - P</t>
  </si>
  <si>
    <t>SIMPLE MAJORITY</t>
  </si>
  <si>
    <t>2/3 MAJORITY</t>
  </si>
  <si>
    <t>1/2 OF SUM</t>
  </si>
  <si>
    <t>2/3 OF SUM</t>
  </si>
  <si>
    <t>HILANG DEPOSIT</t>
  </si>
  <si>
    <t>CALON BERTANDING</t>
  </si>
  <si>
    <t>CALON MENANG</t>
  </si>
  <si>
    <t>TEMPAT KE-2</t>
  </si>
  <si>
    <t>% UMUR (21-39)</t>
  </si>
  <si>
    <t>&lt;10.00%</t>
  </si>
  <si>
    <t>10.00%-19.99%</t>
  </si>
  <si>
    <t>20.00%-29.99%</t>
  </si>
  <si>
    <t>30.00%-39.99%</t>
  </si>
  <si>
    <t>40.00%-49.99%</t>
  </si>
  <si>
    <t>&gt;49.99%</t>
  </si>
  <si>
    <t>&lt;100</t>
  </si>
  <si>
    <t>100-299</t>
  </si>
  <si>
    <t>300-499</t>
  </si>
  <si>
    <t>500-999</t>
  </si>
  <si>
    <t>1000-2999</t>
  </si>
  <si>
    <t>&gt;2999</t>
  </si>
  <si>
    <t>% KELUAR UNDI</t>
  </si>
  <si>
    <t>&lt;30.00%</t>
  </si>
  <si>
    <t>50.00%-59.99%</t>
  </si>
  <si>
    <t>60.00%-69.99%</t>
  </si>
  <si>
    <t>&gt;69.99%</t>
  </si>
  <si>
    <t>% UNDI MENANG</t>
  </si>
  <si>
    <t>JUMLAH (SPR)</t>
  </si>
  <si>
    <t>MELAYU</t>
  </si>
  <si>
    <t>INDIA</t>
  </si>
  <si>
    <t>ORANG ASAL</t>
  </si>
  <si>
    <t>BUMIPUTERA SARAWAK</t>
  </si>
  <si>
    <r>
      <t xml:space="preserve">BIDAYUH
</t>
    </r>
    <r>
      <rPr>
        <i/>
        <sz val="11"/>
        <color theme="1"/>
        <rFont val="Helvetica Neue"/>
      </rPr>
      <t>LAND DAYAK</t>
    </r>
  </si>
  <si>
    <r>
      <t xml:space="preserve">IBAN
</t>
    </r>
    <r>
      <rPr>
        <i/>
        <sz val="11"/>
        <color theme="1"/>
        <rFont val="Helvetica Neue"/>
      </rPr>
      <t>SEA DAYAK</t>
    </r>
  </si>
  <si>
    <t>MELANAU SARAWAK</t>
  </si>
  <si>
    <t>SARAWAKIAN</t>
  </si>
  <si>
    <t>SABAHAN</t>
  </si>
  <si>
    <t>ETNIK MAJORITI</t>
  </si>
  <si>
    <t>MIXED</t>
  </si>
  <si>
    <t>DUN MENANG MENGIKUT ETNIK MAJORITI</t>
  </si>
  <si>
    <t>DUN TEMPAT KE-2 MENGIKUT ETNIK MAJORITI</t>
  </si>
  <si>
    <t>DUN MENANG MENGIKUT UMUR MAJORITI</t>
  </si>
  <si>
    <t>DUN TEMPAT KE-2 MENGIKUT UMUR MAJORITI</t>
  </si>
  <si>
    <t>DUN MENANG MENGIKUT PERATUS GOLONGAN BELIA</t>
  </si>
  <si>
    <t>DUN TEMPAT KE-2 MENGIKUT PERATUS GOLONGAN BELIA</t>
  </si>
  <si>
    <t>DUN MENANG MENGIKUT PERATUS KELUAR UNDI</t>
  </si>
  <si>
    <t>DUN TEMPAT KE-2 MENGIKUT PERATUS KELUAR UNDI</t>
  </si>
  <si>
    <t>DUN MENANG MENGIKUT PERATUS UNDI CALON</t>
  </si>
  <si>
    <t>70.00%-79.99%</t>
  </si>
  <si>
    <t>80.00%-89.99%</t>
  </si>
  <si>
    <t>&gt;90.00%</t>
  </si>
  <si>
    <t>DUN MENANG MENGIKUT UNDI MAJORITI</t>
  </si>
  <si>
    <t>&lt;50</t>
  </si>
  <si>
    <t>50-99</t>
  </si>
  <si>
    <t>3000-9999</t>
  </si>
  <si>
    <t>&gt;9999</t>
  </si>
  <si>
    <t>DUN TEMPAT KE-2 MENGIKUT UNDI MAJORITI</t>
  </si>
  <si>
    <t>KELUAR UNDI%</t>
  </si>
  <si>
    <t>UNCONTESTED</t>
  </si>
  <si>
    <t>±</t>
  </si>
  <si>
    <t>±UNDI%</t>
  </si>
  <si>
    <t>±KELUAR UNDI%</t>
  </si>
  <si>
    <t>TUKAR</t>
  </si>
  <si>
    <t>&gt;89.99%</t>
  </si>
  <si>
    <t>&gt;79.99%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</si>
</sst>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1"/>
      <color theme="1"/>
      <name val="Helvetica Neue"/>
    </font>
    <font>
      <sz val="11"/>
      <color theme="1"/>
      <name val="Helvetica"/>
    </font>
    <font>
      <b/>
      <sz val="11"/>
      <color theme="1"/>
      <name val="Helvetic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Helvetica"/>
    </font>
    <font>
      <u/>
      <sz val="11"/>
      <color theme="11"/>
      <name val="Helvetica Neue"/>
    </font>
    <font>
      <u/>
      <sz val="11"/>
      <color theme="10"/>
      <name val="Helvetica Neue"/>
    </font>
    <font>
      <b/>
      <sz val="11"/>
      <color theme="1"/>
      <name val="Helvetica Neue"/>
    </font>
    <font>
      <i/>
      <sz val="11"/>
      <color theme="1"/>
      <name val="Helvetica Neue"/>
    </font>
    <font>
      <i/>
      <sz val="11"/>
      <color theme="1"/>
      <name val="Helvetica"/>
    </font>
    <font>
      <sz val="10"/>
      <color theme="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B8F0F6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5" fillId="4" borderId="0" applyNumberFormat="0" applyBorder="0" applyProtection="0">
      <alignment vertical="center"/>
    </xf>
    <xf numFmtId="0" fontId="6" fillId="5" borderId="0" applyNumberFormat="0" applyBorder="0" applyProtection="0">
      <alignment vertical="center"/>
    </xf>
    <xf numFmtId="0" fontId="7" fillId="6" borderId="0" applyNumberFormat="0" applyBorder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0" fontId="2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10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0" fillId="0" borderId="0" xfId="1"/>
    <xf numFmtId="3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1" fillId="7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" fontId="2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0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>
      <alignment vertical="center"/>
    </xf>
    <xf numFmtId="0" fontId="11" fillId="0" borderId="3" xfId="0" applyFont="1" applyBorder="1">
      <alignment vertical="center"/>
    </xf>
    <xf numFmtId="3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</cellXfs>
  <cellStyles count="6">
    <cellStyle name="Bad" xfId="4" builtinId="27" customBuiltin="1"/>
    <cellStyle name="Followed Hyperlink" xfId="2" builtinId="9" customBuiltin="1"/>
    <cellStyle name="Good" xfId="3" builtinId="26" customBuiltin="1"/>
    <cellStyle name="Hyperlink" xfId="1" builtinId="8" customBuiltin="1"/>
    <cellStyle name="Neutral" xfId="5" builtinId="28" customBuiltin="1"/>
    <cellStyle name="Normal" xfId="0" builtinId="0" customBuiltin="1"/>
  </cellStyles>
  <dxfs count="261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fgColor theme="0"/>
          <bgColor theme="0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>
          <fgColor theme="0"/>
          <bgColor theme="0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>
          <fgColor theme="0"/>
          <bgColor theme="0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>
          <fgColor theme="0"/>
          <bgColor theme="0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fgColor theme="0"/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fgColor theme="0"/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ill>
        <patternFill>
          <bgColor rgb="FFB8F0F6"/>
        </patternFill>
      </fill>
    </dxf>
    <dxf>
      <fill>
        <patternFill>
          <bgColor rgb="FFECF99B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B8F0F6"/>
        </patternFill>
      </fill>
    </dxf>
    <dxf>
      <fill>
        <patternFill>
          <bgColor rgb="FFF1F89C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ill>
        <patternFill>
          <bgColor rgb="FFB8F0F6"/>
        </patternFill>
      </fill>
    </dxf>
    <dxf>
      <fill>
        <patternFill>
          <bgColor rgb="FFF1F89C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fgColor theme="0"/>
          <bgColor theme="0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>
          <fgColor theme="0"/>
          <bgColor theme="0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>
          <fgColor theme="0"/>
          <bgColor theme="0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>
          <fgColor theme="0"/>
          <bgColor theme="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ill>
        <patternFill>
          <bgColor rgb="FFB8F0F6"/>
        </patternFill>
      </fill>
    </dxf>
    <dxf>
      <fill>
        <patternFill>
          <bgColor rgb="FFECF99B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B8F0F6"/>
        </patternFill>
      </fill>
    </dxf>
    <dxf>
      <fill>
        <patternFill>
          <bgColor rgb="FFF1F89C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B8F0F6"/>
        </patternFill>
      </fill>
    </dxf>
    <dxf>
      <fill>
        <patternFill>
          <bgColor rgb="FFF1F89C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fgColor theme="0"/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0"/>
      </font>
      <fill>
        <patternFill>
          <bgColor rgb="FF0099CC"/>
        </patternFill>
      </fill>
    </dxf>
    <dxf>
      <fill>
        <patternFill patternType="none">
          <bgColor auto="1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>
          <bgColor rgb="FFFCCCB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CCC"/>
      <color rgb="FFFF7C80"/>
      <color rgb="FFFF9999"/>
      <color rgb="FFB8F0F6"/>
      <color rgb="FFF1F89C"/>
      <color rgb="FFECF99B"/>
      <color rgb="FF0099CC"/>
      <color rgb="FFFFCC66"/>
      <color rgb="FFFCCCB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st.com.my/news/2016/05/144292/11th-sarawak-election-full-official-results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2A31-68E2-46F8-802C-1811557FB9AA}">
  <dimension ref="A1:I118"/>
  <sheetViews>
    <sheetView workbookViewId="0">
      <selection activeCell="E15" sqref="E15"/>
    </sheetView>
  </sheetViews>
  <sheetFormatPr defaultRowHeight="14.25"/>
  <cols>
    <col min="1" max="1" width="5.75" style="4" customWidth="1"/>
    <col min="2" max="2" width="46.875" style="1" customWidth="1"/>
    <col min="3" max="3" width="10.625" style="5" customWidth="1"/>
    <col min="4" max="4" width="10" style="5" customWidth="1"/>
    <col min="5" max="5" width="7.25" style="5" customWidth="1"/>
    <col min="6" max="6" width="7.875" style="8" customWidth="1"/>
    <col min="7" max="7" width="8.375" style="5" customWidth="1"/>
    <col min="8" max="8" width="10" style="5" customWidth="1"/>
    <col min="9" max="9" width="7.875" style="8" customWidth="1"/>
    <col min="10" max="16384" width="9" style="1"/>
  </cols>
  <sheetData>
    <row r="1" spans="1:9" s="2" customFormat="1" ht="15">
      <c r="A1" s="9" t="s">
        <v>0</v>
      </c>
      <c r="B1" s="9" t="s">
        <v>1</v>
      </c>
      <c r="C1" s="9" t="s">
        <v>230</v>
      </c>
      <c r="D1" s="9" t="s">
        <v>232</v>
      </c>
      <c r="E1" s="9" t="s">
        <v>234</v>
      </c>
      <c r="F1" s="9" t="s">
        <v>233</v>
      </c>
      <c r="G1" s="10" t="s">
        <v>2</v>
      </c>
      <c r="H1" s="10" t="s">
        <v>231</v>
      </c>
      <c r="I1" s="10" t="s">
        <v>233</v>
      </c>
    </row>
    <row r="2" spans="1:9" s="6" customFormat="1" ht="15">
      <c r="A2" s="9" t="s">
        <v>4</v>
      </c>
      <c r="B2" s="11" t="s">
        <v>9</v>
      </c>
      <c r="C2" s="10">
        <f>SUM(C3:C4)</f>
        <v>29617</v>
      </c>
      <c r="D2" s="10">
        <f>SUM(D3:D4)</f>
        <v>30309</v>
      </c>
      <c r="E2" s="10">
        <f>D2-C2</f>
        <v>692</v>
      </c>
      <c r="F2" s="12">
        <f>E2/C2</f>
        <v>2.3364959313907554E-2</v>
      </c>
      <c r="G2" s="10">
        <f>SUM(G3:G4)</f>
        <v>16480</v>
      </c>
      <c r="H2" s="10">
        <f>D2+G2</f>
        <v>46789</v>
      </c>
      <c r="I2" s="12">
        <f t="shared" ref="I2:I33" si="0">(H2-D2)/D2</f>
        <v>0.54373288462172953</v>
      </c>
    </row>
    <row r="3" spans="1:9">
      <c r="A3" s="13" t="s">
        <v>5</v>
      </c>
      <c r="B3" s="14" t="s">
        <v>6</v>
      </c>
      <c r="C3" s="15">
        <v>11256</v>
      </c>
      <c r="D3" s="15">
        <v>11486</v>
      </c>
      <c r="E3" s="15">
        <f t="shared" ref="E3:E66" si="1">D3-C3</f>
        <v>230</v>
      </c>
      <c r="F3" s="16">
        <f t="shared" ref="F3:F66" si="2">E3/C3</f>
        <v>2.0433546552949537E-2</v>
      </c>
      <c r="G3" s="15">
        <v>6936</v>
      </c>
      <c r="H3" s="15">
        <f t="shared" ref="H3:H66" si="3">D3+G3</f>
        <v>18422</v>
      </c>
      <c r="I3" s="16">
        <f t="shared" si="0"/>
        <v>0.60386557548319697</v>
      </c>
    </row>
    <row r="4" spans="1:9">
      <c r="A4" s="13" t="s">
        <v>8</v>
      </c>
      <c r="B4" s="14" t="s">
        <v>7</v>
      </c>
      <c r="C4" s="15">
        <v>18361</v>
      </c>
      <c r="D4" s="15">
        <v>18823</v>
      </c>
      <c r="E4" s="15">
        <f t="shared" si="1"/>
        <v>462</v>
      </c>
      <c r="F4" s="16">
        <f t="shared" si="2"/>
        <v>2.5162028211971027E-2</v>
      </c>
      <c r="G4" s="15">
        <v>9544</v>
      </c>
      <c r="H4" s="15">
        <f t="shared" si="3"/>
        <v>28367</v>
      </c>
      <c r="I4" s="16">
        <f t="shared" si="0"/>
        <v>0.507039260479201</v>
      </c>
    </row>
    <row r="5" spans="1:9" ht="15">
      <c r="A5" s="9" t="s">
        <v>10</v>
      </c>
      <c r="B5" s="17" t="s">
        <v>11</v>
      </c>
      <c r="C5" s="10">
        <f>SUM(C6:C8)</f>
        <v>45627</v>
      </c>
      <c r="D5" s="10">
        <f>SUM(D6:D8)</f>
        <v>46936</v>
      </c>
      <c r="E5" s="10">
        <f t="shared" si="1"/>
        <v>1309</v>
      </c>
      <c r="F5" s="12">
        <f t="shared" si="2"/>
        <v>2.8689153352181824E-2</v>
      </c>
      <c r="G5" s="10">
        <f>SUM(G6:G8)</f>
        <v>30929</v>
      </c>
      <c r="H5" s="10">
        <f t="shared" si="3"/>
        <v>77865</v>
      </c>
      <c r="I5" s="12">
        <f t="shared" si="0"/>
        <v>0.65896113857167204</v>
      </c>
    </row>
    <row r="6" spans="1:9">
      <c r="A6" s="13" t="s">
        <v>12</v>
      </c>
      <c r="B6" s="14" t="s">
        <v>15</v>
      </c>
      <c r="C6" s="15">
        <v>11413</v>
      </c>
      <c r="D6" s="15">
        <v>11443</v>
      </c>
      <c r="E6" s="15">
        <f t="shared" si="1"/>
        <v>30</v>
      </c>
      <c r="F6" s="16">
        <f t="shared" si="2"/>
        <v>2.6285814422150181E-3</v>
      </c>
      <c r="G6" s="15">
        <v>4511</v>
      </c>
      <c r="H6" s="15">
        <f t="shared" si="3"/>
        <v>15954</v>
      </c>
      <c r="I6" s="16">
        <f t="shared" si="0"/>
        <v>0.39421480381018964</v>
      </c>
    </row>
    <row r="7" spans="1:9">
      <c r="A7" s="13" t="s">
        <v>13</v>
      </c>
      <c r="B7" s="14" t="s">
        <v>16</v>
      </c>
      <c r="C7" s="15">
        <v>19678</v>
      </c>
      <c r="D7" s="15">
        <v>20603</v>
      </c>
      <c r="E7" s="15">
        <f t="shared" si="1"/>
        <v>925</v>
      </c>
      <c r="F7" s="16">
        <f t="shared" si="2"/>
        <v>4.7006809635125518E-2</v>
      </c>
      <c r="G7" s="15">
        <v>16172</v>
      </c>
      <c r="H7" s="15">
        <f t="shared" si="3"/>
        <v>36775</v>
      </c>
      <c r="I7" s="16">
        <f t="shared" si="0"/>
        <v>0.78493423287870701</v>
      </c>
    </row>
    <row r="8" spans="1:9">
      <c r="A8" s="13" t="s">
        <v>14</v>
      </c>
      <c r="B8" s="14" t="s">
        <v>17</v>
      </c>
      <c r="C8" s="15">
        <v>14536</v>
      </c>
      <c r="D8" s="15">
        <v>14890</v>
      </c>
      <c r="E8" s="15">
        <f t="shared" si="1"/>
        <v>354</v>
      </c>
      <c r="F8" s="16">
        <f t="shared" si="2"/>
        <v>2.4353329664281782E-2</v>
      </c>
      <c r="G8" s="15">
        <v>10246</v>
      </c>
      <c r="H8" s="15">
        <f t="shared" si="3"/>
        <v>25136</v>
      </c>
      <c r="I8" s="16">
        <f t="shared" si="0"/>
        <v>0.68811282740094026</v>
      </c>
    </row>
    <row r="9" spans="1:9" ht="15">
      <c r="A9" s="9" t="s">
        <v>18</v>
      </c>
      <c r="B9" s="17" t="s">
        <v>19</v>
      </c>
      <c r="C9" s="10">
        <f>SUM(C10:C12)</f>
        <v>57925</v>
      </c>
      <c r="D9" s="10">
        <f>SUM(D10:D12)</f>
        <v>61967</v>
      </c>
      <c r="E9" s="10">
        <f t="shared" si="1"/>
        <v>4042</v>
      </c>
      <c r="F9" s="12">
        <f t="shared" si="2"/>
        <v>6.9779887785930084E-2</v>
      </c>
      <c r="G9" s="10">
        <f>SUM(G10:G12)</f>
        <v>46815</v>
      </c>
      <c r="H9" s="10">
        <f t="shared" si="3"/>
        <v>108782</v>
      </c>
      <c r="I9" s="12">
        <f t="shared" si="0"/>
        <v>0.75548275695128053</v>
      </c>
    </row>
    <row r="10" spans="1:9">
      <c r="A10" s="13" t="s">
        <v>20</v>
      </c>
      <c r="B10" s="14" t="s">
        <v>23</v>
      </c>
      <c r="C10" s="15">
        <v>23908</v>
      </c>
      <c r="D10" s="15">
        <v>26113</v>
      </c>
      <c r="E10" s="15">
        <f t="shared" si="1"/>
        <v>2205</v>
      </c>
      <c r="F10" s="16">
        <f t="shared" si="2"/>
        <v>9.2228542747197592E-2</v>
      </c>
      <c r="G10" s="15">
        <v>24851</v>
      </c>
      <c r="H10" s="15">
        <f t="shared" si="3"/>
        <v>50964</v>
      </c>
      <c r="I10" s="16">
        <f t="shared" si="0"/>
        <v>0.95167158120476392</v>
      </c>
    </row>
    <row r="11" spans="1:9">
      <c r="A11" s="13" t="s">
        <v>21</v>
      </c>
      <c r="B11" s="14" t="s">
        <v>24</v>
      </c>
      <c r="C11" s="15">
        <v>19946</v>
      </c>
      <c r="D11" s="15">
        <v>21459</v>
      </c>
      <c r="E11" s="15">
        <f t="shared" si="1"/>
        <v>1513</v>
      </c>
      <c r="F11" s="16">
        <f t="shared" si="2"/>
        <v>7.5854807981550185E-2</v>
      </c>
      <c r="G11" s="15">
        <v>16043</v>
      </c>
      <c r="H11" s="15">
        <f t="shared" si="3"/>
        <v>37502</v>
      </c>
      <c r="I11" s="16">
        <f t="shared" si="0"/>
        <v>0.74761172468428161</v>
      </c>
    </row>
    <row r="12" spans="1:9">
      <c r="A12" s="13" t="s">
        <v>22</v>
      </c>
      <c r="B12" s="14" t="s">
        <v>25</v>
      </c>
      <c r="C12" s="15">
        <v>14071</v>
      </c>
      <c r="D12" s="15">
        <v>14395</v>
      </c>
      <c r="E12" s="15">
        <f t="shared" si="1"/>
        <v>324</v>
      </c>
      <c r="F12" s="16">
        <f t="shared" si="2"/>
        <v>2.3026082012650131E-2</v>
      </c>
      <c r="G12" s="15">
        <v>5921</v>
      </c>
      <c r="H12" s="15">
        <f t="shared" si="3"/>
        <v>20316</v>
      </c>
      <c r="I12" s="16">
        <f t="shared" si="0"/>
        <v>0.41132337617228204</v>
      </c>
    </row>
    <row r="13" spans="1:9" ht="15">
      <c r="A13" s="9" t="s">
        <v>26</v>
      </c>
      <c r="B13" s="17" t="s">
        <v>27</v>
      </c>
      <c r="C13" s="10">
        <f>SUM(C14:C16)</f>
        <v>81855</v>
      </c>
      <c r="D13" s="10">
        <f>SUM(D14:D16)</f>
        <v>80831</v>
      </c>
      <c r="E13" s="10">
        <f t="shared" si="1"/>
        <v>-1024</v>
      </c>
      <c r="F13" s="12">
        <f t="shared" si="2"/>
        <v>-1.2509926088815588E-2</v>
      </c>
      <c r="G13" s="10">
        <f>SUM(G14:G16)</f>
        <v>29947</v>
      </c>
      <c r="H13" s="10">
        <f t="shared" si="3"/>
        <v>110778</v>
      </c>
      <c r="I13" s="12">
        <f t="shared" si="0"/>
        <v>0.37048904504459923</v>
      </c>
    </row>
    <row r="14" spans="1:9">
      <c r="A14" s="13" t="s">
        <v>28</v>
      </c>
      <c r="B14" s="14" t="s">
        <v>31</v>
      </c>
      <c r="C14" s="15">
        <v>21957</v>
      </c>
      <c r="D14" s="15">
        <v>21100</v>
      </c>
      <c r="E14" s="15">
        <f t="shared" si="1"/>
        <v>-857</v>
      </c>
      <c r="F14" s="16">
        <f t="shared" si="2"/>
        <v>-3.9030832991756616E-2</v>
      </c>
      <c r="G14" s="15">
        <v>4510</v>
      </c>
      <c r="H14" s="15">
        <f t="shared" si="3"/>
        <v>25610</v>
      </c>
      <c r="I14" s="16">
        <f t="shared" si="0"/>
        <v>0.21374407582938387</v>
      </c>
    </row>
    <row r="15" spans="1:9">
      <c r="A15" s="13" t="s">
        <v>29</v>
      </c>
      <c r="B15" s="14" t="s">
        <v>32</v>
      </c>
      <c r="C15" s="15">
        <v>30497</v>
      </c>
      <c r="D15" s="15">
        <v>29923</v>
      </c>
      <c r="E15" s="15">
        <f t="shared" si="1"/>
        <v>-574</v>
      </c>
      <c r="F15" s="16">
        <f t="shared" si="2"/>
        <v>-1.8821523428533955E-2</v>
      </c>
      <c r="G15" s="15">
        <v>8870</v>
      </c>
      <c r="H15" s="15">
        <f t="shared" si="3"/>
        <v>38793</v>
      </c>
      <c r="I15" s="16">
        <f t="shared" si="0"/>
        <v>0.2964274972429235</v>
      </c>
    </row>
    <row r="16" spans="1:9">
      <c r="A16" s="13" t="s">
        <v>30</v>
      </c>
      <c r="B16" s="14" t="s">
        <v>33</v>
      </c>
      <c r="C16" s="15">
        <v>29401</v>
      </c>
      <c r="D16" s="15">
        <v>29808</v>
      </c>
      <c r="E16" s="15">
        <f t="shared" si="1"/>
        <v>407</v>
      </c>
      <c r="F16" s="16">
        <f t="shared" si="2"/>
        <v>1.3843066562361825E-2</v>
      </c>
      <c r="G16" s="15">
        <v>16567</v>
      </c>
      <c r="H16" s="15">
        <f t="shared" si="3"/>
        <v>46375</v>
      </c>
      <c r="I16" s="16">
        <f t="shared" si="0"/>
        <v>0.55579039184111645</v>
      </c>
    </row>
    <row r="17" spans="1:9" ht="15">
      <c r="A17" s="9" t="s">
        <v>34</v>
      </c>
      <c r="B17" s="17" t="s">
        <v>35</v>
      </c>
      <c r="C17" s="10">
        <f>SUM(C18:C20)</f>
        <v>66239</v>
      </c>
      <c r="D17" s="10">
        <f>SUM(D18:D20)</f>
        <v>70176</v>
      </c>
      <c r="E17" s="10">
        <f t="shared" si="1"/>
        <v>3937</v>
      </c>
      <c r="F17" s="12">
        <f t="shared" si="2"/>
        <v>5.9436283760322471E-2</v>
      </c>
      <c r="G17" s="10">
        <f>SUM(G18:G20)</f>
        <v>49008</v>
      </c>
      <c r="H17" s="10">
        <f t="shared" si="3"/>
        <v>119184</v>
      </c>
      <c r="I17" s="12">
        <f t="shared" si="0"/>
        <v>0.69835841313269498</v>
      </c>
    </row>
    <row r="18" spans="1:9">
      <c r="A18" s="13" t="s">
        <v>36</v>
      </c>
      <c r="B18" s="14" t="s">
        <v>39</v>
      </c>
      <c r="C18" s="15">
        <v>27462</v>
      </c>
      <c r="D18" s="15">
        <v>28508</v>
      </c>
      <c r="E18" s="15">
        <f t="shared" si="1"/>
        <v>1046</v>
      </c>
      <c r="F18" s="16">
        <f t="shared" si="2"/>
        <v>3.8088995703153446E-2</v>
      </c>
      <c r="G18" s="15">
        <v>16773</v>
      </c>
      <c r="H18" s="15">
        <f t="shared" si="3"/>
        <v>45281</v>
      </c>
      <c r="I18" s="16">
        <f t="shared" si="0"/>
        <v>0.58836116177914977</v>
      </c>
    </row>
    <row r="19" spans="1:9">
      <c r="A19" s="13" t="s">
        <v>37</v>
      </c>
      <c r="B19" s="14" t="s">
        <v>40</v>
      </c>
      <c r="C19" s="15">
        <v>19351</v>
      </c>
      <c r="D19" s="15">
        <v>20902</v>
      </c>
      <c r="E19" s="15">
        <f t="shared" si="1"/>
        <v>1551</v>
      </c>
      <c r="F19" s="16">
        <f t="shared" si="2"/>
        <v>8.0150896594491247E-2</v>
      </c>
      <c r="G19" s="15">
        <v>15753</v>
      </c>
      <c r="H19" s="15">
        <f t="shared" si="3"/>
        <v>36655</v>
      </c>
      <c r="I19" s="16">
        <f t="shared" si="0"/>
        <v>0.75365993684814847</v>
      </c>
    </row>
    <row r="20" spans="1:9">
      <c r="A20" s="13" t="s">
        <v>38</v>
      </c>
      <c r="B20" s="14" t="s">
        <v>41</v>
      </c>
      <c r="C20" s="15">
        <v>19426</v>
      </c>
      <c r="D20" s="15">
        <v>20766</v>
      </c>
      <c r="E20" s="15">
        <f t="shared" si="1"/>
        <v>1340</v>
      </c>
      <c r="F20" s="16">
        <f t="shared" si="2"/>
        <v>6.8979717903840221E-2</v>
      </c>
      <c r="G20" s="15">
        <v>16482</v>
      </c>
      <c r="H20" s="15">
        <f t="shared" si="3"/>
        <v>37248</v>
      </c>
      <c r="I20" s="16">
        <f t="shared" si="0"/>
        <v>0.7937012424154869</v>
      </c>
    </row>
    <row r="21" spans="1:9" ht="15">
      <c r="A21" s="9" t="s">
        <v>42</v>
      </c>
      <c r="B21" s="17" t="s">
        <v>43</v>
      </c>
      <c r="C21" s="10">
        <f>SUM(C22:C24)</f>
        <v>46300</v>
      </c>
      <c r="D21" s="10">
        <f>SUM(D22:D24)</f>
        <v>48204</v>
      </c>
      <c r="E21" s="10">
        <f t="shared" si="1"/>
        <v>1904</v>
      </c>
      <c r="F21" s="12">
        <f t="shared" si="2"/>
        <v>4.1123110151187907E-2</v>
      </c>
      <c r="G21" s="10">
        <f>SUM(G22:G24)</f>
        <v>31981</v>
      </c>
      <c r="H21" s="10">
        <f t="shared" si="3"/>
        <v>80185</v>
      </c>
      <c r="I21" s="12">
        <f t="shared" si="0"/>
        <v>0.66345116587835029</v>
      </c>
    </row>
    <row r="22" spans="1:9">
      <c r="A22" s="13" t="s">
        <v>44</v>
      </c>
      <c r="B22" s="14" t="s">
        <v>47</v>
      </c>
      <c r="C22" s="15">
        <v>12451</v>
      </c>
      <c r="D22" s="15">
        <v>12419</v>
      </c>
      <c r="E22" s="15">
        <f t="shared" si="1"/>
        <v>-32</v>
      </c>
      <c r="F22" s="16">
        <f t="shared" si="2"/>
        <v>-2.5700746927957594E-3</v>
      </c>
      <c r="G22" s="15">
        <v>6023</v>
      </c>
      <c r="H22" s="15">
        <f t="shared" si="3"/>
        <v>18442</v>
      </c>
      <c r="I22" s="16">
        <f t="shared" si="0"/>
        <v>0.4849826878170545</v>
      </c>
    </row>
    <row r="23" spans="1:9">
      <c r="A23" s="13" t="s">
        <v>45</v>
      </c>
      <c r="B23" s="14" t="s">
        <v>48</v>
      </c>
      <c r="C23" s="15">
        <v>18325</v>
      </c>
      <c r="D23" s="15">
        <v>18738</v>
      </c>
      <c r="E23" s="15">
        <f t="shared" si="1"/>
        <v>413</v>
      </c>
      <c r="F23" s="16">
        <f t="shared" si="2"/>
        <v>2.2537517053206002E-2</v>
      </c>
      <c r="G23" s="15">
        <v>12541</v>
      </c>
      <c r="H23" s="15">
        <f t="shared" si="3"/>
        <v>31279</v>
      </c>
      <c r="I23" s="16">
        <f t="shared" si="0"/>
        <v>0.66928167360444013</v>
      </c>
    </row>
    <row r="24" spans="1:9">
      <c r="A24" s="13" t="s">
        <v>46</v>
      </c>
      <c r="B24" s="14" t="s">
        <v>49</v>
      </c>
      <c r="C24" s="15">
        <v>15524</v>
      </c>
      <c r="D24" s="15">
        <v>17047</v>
      </c>
      <c r="E24" s="15">
        <f t="shared" si="1"/>
        <v>1523</v>
      </c>
      <c r="F24" s="16">
        <f t="shared" si="2"/>
        <v>9.8106158206647767E-2</v>
      </c>
      <c r="G24" s="15">
        <v>13417</v>
      </c>
      <c r="H24" s="15">
        <f t="shared" si="3"/>
        <v>30464</v>
      </c>
      <c r="I24" s="16">
        <f t="shared" si="0"/>
        <v>0.78705930662286616</v>
      </c>
    </row>
    <row r="25" spans="1:9" ht="15">
      <c r="A25" s="9" t="s">
        <v>50</v>
      </c>
      <c r="B25" s="17" t="s">
        <v>51</v>
      </c>
      <c r="C25" s="10">
        <f>SUM(C26:C28)</f>
        <v>46179</v>
      </c>
      <c r="D25" s="10">
        <f>SUM(D26:D28)</f>
        <v>47132</v>
      </c>
      <c r="E25" s="10">
        <f t="shared" si="1"/>
        <v>953</v>
      </c>
      <c r="F25" s="12">
        <f t="shared" si="2"/>
        <v>2.0637086121397172E-2</v>
      </c>
      <c r="G25" s="10">
        <f>SUM(G26:G28)</f>
        <v>32726</v>
      </c>
      <c r="H25" s="10">
        <f t="shared" si="3"/>
        <v>79858</v>
      </c>
      <c r="I25" s="12">
        <f t="shared" si="0"/>
        <v>0.69434778918781292</v>
      </c>
    </row>
    <row r="26" spans="1:9">
      <c r="A26" s="13" t="s">
        <v>52</v>
      </c>
      <c r="B26" s="14" t="s">
        <v>55</v>
      </c>
      <c r="C26" s="15">
        <v>9752</v>
      </c>
      <c r="D26" s="15">
        <v>9891</v>
      </c>
      <c r="E26" s="15">
        <f t="shared" si="1"/>
        <v>139</v>
      </c>
      <c r="F26" s="16">
        <f t="shared" si="2"/>
        <v>1.4253486464315013E-2</v>
      </c>
      <c r="G26" s="15">
        <v>6015</v>
      </c>
      <c r="H26" s="15">
        <f t="shared" si="3"/>
        <v>15906</v>
      </c>
      <c r="I26" s="16">
        <f t="shared" si="0"/>
        <v>0.60812860175917505</v>
      </c>
    </row>
    <row r="27" spans="1:9">
      <c r="A27" s="13" t="s">
        <v>53</v>
      </c>
      <c r="B27" s="14" t="s">
        <v>56</v>
      </c>
      <c r="C27" s="15">
        <v>19009</v>
      </c>
      <c r="D27" s="15">
        <v>19416</v>
      </c>
      <c r="E27" s="15">
        <f t="shared" si="1"/>
        <v>407</v>
      </c>
      <c r="F27" s="16">
        <f t="shared" si="2"/>
        <v>2.1410910621284654E-2</v>
      </c>
      <c r="G27" s="15">
        <v>14061</v>
      </c>
      <c r="H27" s="15">
        <f t="shared" si="3"/>
        <v>33477</v>
      </c>
      <c r="I27" s="16">
        <f t="shared" si="0"/>
        <v>0.72419653893695923</v>
      </c>
    </row>
    <row r="28" spans="1:9">
      <c r="A28" s="13" t="s">
        <v>54</v>
      </c>
      <c r="B28" s="14" t="s">
        <v>57</v>
      </c>
      <c r="C28" s="15">
        <v>17418</v>
      </c>
      <c r="D28" s="15">
        <v>17825</v>
      </c>
      <c r="E28" s="15">
        <f t="shared" si="1"/>
        <v>407</v>
      </c>
      <c r="F28" s="16">
        <f t="shared" si="2"/>
        <v>2.3366632219543E-2</v>
      </c>
      <c r="G28" s="15">
        <v>12650</v>
      </c>
      <c r="H28" s="15">
        <f t="shared" si="3"/>
        <v>30475</v>
      </c>
      <c r="I28" s="16">
        <f t="shared" si="0"/>
        <v>0.70967741935483875</v>
      </c>
    </row>
    <row r="29" spans="1:9" ht="15">
      <c r="A29" s="9" t="s">
        <v>58</v>
      </c>
      <c r="B29" s="17" t="s">
        <v>59</v>
      </c>
      <c r="C29" s="10">
        <f>SUM(C30:C32)</f>
        <v>37629</v>
      </c>
      <c r="D29" s="10">
        <f>SUM(D30:D32)</f>
        <v>38385</v>
      </c>
      <c r="E29" s="10">
        <f t="shared" si="1"/>
        <v>756</v>
      </c>
      <c r="F29" s="12">
        <f t="shared" si="2"/>
        <v>2.0090887347524514E-2</v>
      </c>
      <c r="G29" s="10">
        <f>SUM(G30:G32)</f>
        <v>26146</v>
      </c>
      <c r="H29" s="10">
        <f t="shared" si="3"/>
        <v>64531</v>
      </c>
      <c r="I29" s="12">
        <f t="shared" si="0"/>
        <v>0.68115149146802134</v>
      </c>
    </row>
    <row r="30" spans="1:9">
      <c r="A30" s="13" t="s">
        <v>60</v>
      </c>
      <c r="B30" s="14" t="s">
        <v>63</v>
      </c>
      <c r="C30" s="15">
        <v>12095</v>
      </c>
      <c r="D30" s="15">
        <v>12118</v>
      </c>
      <c r="E30" s="15">
        <f t="shared" si="1"/>
        <v>23</v>
      </c>
      <c r="F30" s="16">
        <f t="shared" si="2"/>
        <v>1.9016122364613477E-3</v>
      </c>
      <c r="G30" s="15">
        <v>8206</v>
      </c>
      <c r="H30" s="15">
        <f t="shared" si="3"/>
        <v>20324</v>
      </c>
      <c r="I30" s="16">
        <f t="shared" si="0"/>
        <v>0.67717445122957587</v>
      </c>
    </row>
    <row r="31" spans="1:9">
      <c r="A31" s="13" t="s">
        <v>61</v>
      </c>
      <c r="B31" s="14" t="s">
        <v>64</v>
      </c>
      <c r="C31" s="15">
        <v>11140</v>
      </c>
      <c r="D31" s="15">
        <v>11288</v>
      </c>
      <c r="E31" s="15">
        <f t="shared" si="1"/>
        <v>148</v>
      </c>
      <c r="F31" s="16">
        <f t="shared" si="2"/>
        <v>1.3285457809694794E-2</v>
      </c>
      <c r="G31" s="15">
        <v>7618</v>
      </c>
      <c r="H31" s="15">
        <f t="shared" si="3"/>
        <v>18906</v>
      </c>
      <c r="I31" s="16">
        <f t="shared" si="0"/>
        <v>0.67487597448617997</v>
      </c>
    </row>
    <row r="32" spans="1:9">
      <c r="A32" s="13" t="s">
        <v>62</v>
      </c>
      <c r="B32" s="14" t="s">
        <v>65</v>
      </c>
      <c r="C32" s="15">
        <v>14394</v>
      </c>
      <c r="D32" s="15">
        <v>14979</v>
      </c>
      <c r="E32" s="15">
        <f t="shared" si="1"/>
        <v>585</v>
      </c>
      <c r="F32" s="16">
        <f t="shared" si="2"/>
        <v>4.0641934139224678E-2</v>
      </c>
      <c r="G32" s="15">
        <v>10322</v>
      </c>
      <c r="H32" s="15">
        <f t="shared" si="3"/>
        <v>25301</v>
      </c>
      <c r="I32" s="16">
        <f t="shared" si="0"/>
        <v>0.6890980706322184</v>
      </c>
    </row>
    <row r="33" spans="1:9" ht="15">
      <c r="A33" s="9" t="s">
        <v>66</v>
      </c>
      <c r="B33" s="17" t="s">
        <v>67</v>
      </c>
      <c r="C33" s="10">
        <f>SUM(C34:C36)</f>
        <v>23213</v>
      </c>
      <c r="D33" s="10">
        <f>SUM(D34:D36)</f>
        <v>23308</v>
      </c>
      <c r="E33" s="10">
        <f t="shared" si="1"/>
        <v>95</v>
      </c>
      <c r="F33" s="12">
        <f t="shared" si="2"/>
        <v>4.0925343557489339E-3</v>
      </c>
      <c r="G33" s="10">
        <f>SUM(G34:G36)</f>
        <v>9294</v>
      </c>
      <c r="H33" s="10">
        <f t="shared" si="3"/>
        <v>32602</v>
      </c>
      <c r="I33" s="12">
        <f t="shared" si="0"/>
        <v>0.39874721125793716</v>
      </c>
    </row>
    <row r="34" spans="1:9">
      <c r="A34" s="13" t="s">
        <v>68</v>
      </c>
      <c r="B34" s="14" t="s">
        <v>71</v>
      </c>
      <c r="C34" s="15">
        <v>7606</v>
      </c>
      <c r="D34" s="15">
        <v>7697</v>
      </c>
      <c r="E34" s="15">
        <f t="shared" si="1"/>
        <v>91</v>
      </c>
      <c r="F34" s="16">
        <f t="shared" si="2"/>
        <v>1.1964238758874573E-2</v>
      </c>
      <c r="G34" s="15">
        <v>2731</v>
      </c>
      <c r="H34" s="15">
        <f t="shared" si="3"/>
        <v>10428</v>
      </c>
      <c r="I34" s="16">
        <f t="shared" ref="I34:I65" si="4">(H34-D34)/D34</f>
        <v>0.35481356372612705</v>
      </c>
    </row>
    <row r="35" spans="1:9">
      <c r="A35" s="13" t="s">
        <v>69</v>
      </c>
      <c r="B35" s="14" t="s">
        <v>72</v>
      </c>
      <c r="C35" s="15">
        <v>8329</v>
      </c>
      <c r="D35" s="15">
        <v>8364</v>
      </c>
      <c r="E35" s="15">
        <f t="shared" si="1"/>
        <v>35</v>
      </c>
      <c r="F35" s="16">
        <f t="shared" si="2"/>
        <v>4.2021851362708607E-3</v>
      </c>
      <c r="G35" s="15">
        <v>3780</v>
      </c>
      <c r="H35" s="15">
        <f t="shared" si="3"/>
        <v>12144</v>
      </c>
      <c r="I35" s="16">
        <f t="shared" si="4"/>
        <v>0.4519368723098996</v>
      </c>
    </row>
    <row r="36" spans="1:9">
      <c r="A36" s="13" t="s">
        <v>70</v>
      </c>
      <c r="B36" s="14" t="s">
        <v>73</v>
      </c>
      <c r="C36" s="15">
        <v>7278</v>
      </c>
      <c r="D36" s="15">
        <v>7247</v>
      </c>
      <c r="E36" s="15">
        <f t="shared" si="1"/>
        <v>-31</v>
      </c>
      <c r="F36" s="16">
        <f t="shared" si="2"/>
        <v>-4.2594119263533936E-3</v>
      </c>
      <c r="G36" s="15">
        <v>2783</v>
      </c>
      <c r="H36" s="15">
        <f t="shared" si="3"/>
        <v>10030</v>
      </c>
      <c r="I36" s="16">
        <f t="shared" si="4"/>
        <v>0.38402097419621911</v>
      </c>
    </row>
    <row r="37" spans="1:9" ht="15">
      <c r="A37" s="9" t="s">
        <v>74</v>
      </c>
      <c r="B37" s="17" t="s">
        <v>75</v>
      </c>
      <c r="C37" s="10">
        <f>SUM(C38:C40)</f>
        <v>29811</v>
      </c>
      <c r="D37" s="10">
        <f>SUM(D38:D40)</f>
        <v>30268</v>
      </c>
      <c r="E37" s="10">
        <f t="shared" si="1"/>
        <v>457</v>
      </c>
      <c r="F37" s="12">
        <f t="shared" si="2"/>
        <v>1.5329911777531784E-2</v>
      </c>
      <c r="G37" s="10">
        <f>SUM(G38:G40)</f>
        <v>12568</v>
      </c>
      <c r="H37" s="10">
        <f t="shared" si="3"/>
        <v>42836</v>
      </c>
      <c r="I37" s="12">
        <f t="shared" si="4"/>
        <v>0.41522399894277784</v>
      </c>
    </row>
    <row r="38" spans="1:9">
      <c r="A38" s="13" t="s">
        <v>76</v>
      </c>
      <c r="B38" s="14" t="s">
        <v>79</v>
      </c>
      <c r="C38" s="15">
        <v>9427</v>
      </c>
      <c r="D38" s="15">
        <v>9415</v>
      </c>
      <c r="E38" s="15">
        <f t="shared" si="1"/>
        <v>-12</v>
      </c>
      <c r="F38" s="16">
        <f t="shared" si="2"/>
        <v>-1.2729394292988225E-3</v>
      </c>
      <c r="G38" s="15">
        <v>4269</v>
      </c>
      <c r="H38" s="15">
        <f t="shared" si="3"/>
        <v>13684</v>
      </c>
      <c r="I38" s="16">
        <f t="shared" si="4"/>
        <v>0.45342538502389801</v>
      </c>
    </row>
    <row r="39" spans="1:9">
      <c r="A39" s="13" t="s">
        <v>77</v>
      </c>
      <c r="B39" s="14" t="s">
        <v>80</v>
      </c>
      <c r="C39" s="15">
        <v>9495</v>
      </c>
      <c r="D39" s="15">
        <v>9667</v>
      </c>
      <c r="E39" s="15">
        <f t="shared" si="1"/>
        <v>172</v>
      </c>
      <c r="F39" s="16">
        <f t="shared" si="2"/>
        <v>1.8114797261716692E-2</v>
      </c>
      <c r="G39" s="15">
        <v>4302</v>
      </c>
      <c r="H39" s="15">
        <f t="shared" si="3"/>
        <v>13969</v>
      </c>
      <c r="I39" s="16">
        <f t="shared" si="4"/>
        <v>0.44501913727112857</v>
      </c>
    </row>
    <row r="40" spans="1:9">
      <c r="A40" s="13" t="s">
        <v>78</v>
      </c>
      <c r="B40" s="14" t="s">
        <v>81</v>
      </c>
      <c r="C40" s="15">
        <v>10889</v>
      </c>
      <c r="D40" s="15">
        <v>11186</v>
      </c>
      <c r="E40" s="15">
        <f t="shared" si="1"/>
        <v>297</v>
      </c>
      <c r="F40" s="16">
        <f t="shared" si="2"/>
        <v>2.7275231885388926E-2</v>
      </c>
      <c r="G40" s="15">
        <v>3997</v>
      </c>
      <c r="H40" s="15">
        <f t="shared" si="3"/>
        <v>15183</v>
      </c>
      <c r="I40" s="16">
        <f t="shared" si="4"/>
        <v>0.35732165206508137</v>
      </c>
    </row>
    <row r="41" spans="1:9" ht="15">
      <c r="A41" s="9" t="s">
        <v>82</v>
      </c>
      <c r="B41" s="17" t="s">
        <v>83</v>
      </c>
      <c r="C41" s="10">
        <f>SUM(C42:C44)</f>
        <v>33015</v>
      </c>
      <c r="D41" s="10">
        <f>SUM(D42:D44)</f>
        <v>33911</v>
      </c>
      <c r="E41" s="10">
        <f t="shared" si="1"/>
        <v>896</v>
      </c>
      <c r="F41" s="12">
        <f t="shared" si="2"/>
        <v>2.7139179160987431E-2</v>
      </c>
      <c r="G41" s="10">
        <f>SUM(G42:G44)</f>
        <v>16183</v>
      </c>
      <c r="H41" s="10">
        <f t="shared" si="3"/>
        <v>50094</v>
      </c>
      <c r="I41" s="12">
        <f t="shared" si="4"/>
        <v>0.47721978119194364</v>
      </c>
    </row>
    <row r="42" spans="1:9">
      <c r="A42" s="13" t="s">
        <v>84</v>
      </c>
      <c r="B42" s="14" t="s">
        <v>87</v>
      </c>
      <c r="C42" s="15">
        <v>10503</v>
      </c>
      <c r="D42" s="15">
        <v>10870</v>
      </c>
      <c r="E42" s="15">
        <f t="shared" si="1"/>
        <v>367</v>
      </c>
      <c r="F42" s="16">
        <f t="shared" si="2"/>
        <v>3.4942397410263733E-2</v>
      </c>
      <c r="G42" s="15">
        <v>4818</v>
      </c>
      <c r="H42" s="15">
        <f t="shared" si="3"/>
        <v>15688</v>
      </c>
      <c r="I42" s="16">
        <f t="shared" si="4"/>
        <v>0.44323827046918124</v>
      </c>
    </row>
    <row r="43" spans="1:9">
      <c r="A43" s="13" t="s">
        <v>85</v>
      </c>
      <c r="B43" s="14" t="s">
        <v>88</v>
      </c>
      <c r="C43" s="15">
        <v>9658</v>
      </c>
      <c r="D43" s="15">
        <v>9721</v>
      </c>
      <c r="E43" s="15">
        <f t="shared" si="1"/>
        <v>63</v>
      </c>
      <c r="F43" s="16">
        <f t="shared" si="2"/>
        <v>6.5230896665976392E-3</v>
      </c>
      <c r="G43" s="15">
        <v>4148</v>
      </c>
      <c r="H43" s="15">
        <f t="shared" si="3"/>
        <v>13869</v>
      </c>
      <c r="I43" s="16">
        <f t="shared" si="4"/>
        <v>0.42670507149470221</v>
      </c>
    </row>
    <row r="44" spans="1:9">
      <c r="A44" s="13" t="s">
        <v>86</v>
      </c>
      <c r="B44" s="14" t="s">
        <v>89</v>
      </c>
      <c r="C44" s="15">
        <v>12854</v>
      </c>
      <c r="D44" s="15">
        <v>13320</v>
      </c>
      <c r="E44" s="15">
        <f t="shared" si="1"/>
        <v>466</v>
      </c>
      <c r="F44" s="16">
        <f t="shared" si="2"/>
        <v>3.6253306363777812E-2</v>
      </c>
      <c r="G44" s="15">
        <v>7217</v>
      </c>
      <c r="H44" s="15">
        <f t="shared" si="3"/>
        <v>20537</v>
      </c>
      <c r="I44" s="16">
        <f t="shared" si="4"/>
        <v>0.54181681681681682</v>
      </c>
    </row>
    <row r="45" spans="1:9" ht="15">
      <c r="A45" s="9" t="s">
        <v>90</v>
      </c>
      <c r="B45" s="11" t="s">
        <v>91</v>
      </c>
      <c r="C45" s="10">
        <f>SUM(C46:C47)</f>
        <v>20801</v>
      </c>
      <c r="D45" s="10">
        <f>SUM(D46:D47)</f>
        <v>21149</v>
      </c>
      <c r="E45" s="10">
        <f t="shared" si="1"/>
        <v>348</v>
      </c>
      <c r="F45" s="12">
        <f t="shared" si="2"/>
        <v>1.6729964905533388E-2</v>
      </c>
      <c r="G45" s="10">
        <f>SUM(G46:G47)</f>
        <v>7963</v>
      </c>
      <c r="H45" s="10">
        <f t="shared" si="3"/>
        <v>29112</v>
      </c>
      <c r="I45" s="12">
        <f t="shared" si="4"/>
        <v>0.37651898434914183</v>
      </c>
    </row>
    <row r="46" spans="1:9">
      <c r="A46" s="13" t="s">
        <v>92</v>
      </c>
      <c r="B46" s="14" t="s">
        <v>94</v>
      </c>
      <c r="C46" s="15">
        <v>11020</v>
      </c>
      <c r="D46" s="15">
        <v>11139</v>
      </c>
      <c r="E46" s="15">
        <f t="shared" si="1"/>
        <v>119</v>
      </c>
      <c r="F46" s="16">
        <f t="shared" si="2"/>
        <v>1.0798548094373866E-2</v>
      </c>
      <c r="G46" s="15">
        <v>3691</v>
      </c>
      <c r="H46" s="15">
        <f t="shared" si="3"/>
        <v>14830</v>
      </c>
      <c r="I46" s="16">
        <f t="shared" si="4"/>
        <v>0.33135829069036715</v>
      </c>
    </row>
    <row r="47" spans="1:9">
      <c r="A47" s="13" t="s">
        <v>93</v>
      </c>
      <c r="B47" s="14" t="s">
        <v>95</v>
      </c>
      <c r="C47" s="15">
        <v>9781</v>
      </c>
      <c r="D47" s="15">
        <v>10010</v>
      </c>
      <c r="E47" s="15">
        <f t="shared" si="1"/>
        <v>229</v>
      </c>
      <c r="F47" s="16">
        <f t="shared" si="2"/>
        <v>2.3412738983743995E-2</v>
      </c>
      <c r="G47" s="15">
        <v>4272</v>
      </c>
      <c r="H47" s="15">
        <f t="shared" si="3"/>
        <v>14282</v>
      </c>
      <c r="I47" s="16">
        <f t="shared" si="4"/>
        <v>0.42677322677322677</v>
      </c>
    </row>
    <row r="48" spans="1:9" ht="15">
      <c r="A48" s="9" t="s">
        <v>96</v>
      </c>
      <c r="B48" s="17" t="s">
        <v>97</v>
      </c>
      <c r="C48" s="10">
        <f>SUM(C49:C51)</f>
        <v>29145</v>
      </c>
      <c r="D48" s="10">
        <f>SUM(D49:D51)</f>
        <v>30044</v>
      </c>
      <c r="E48" s="10">
        <f t="shared" si="1"/>
        <v>899</v>
      </c>
      <c r="F48" s="12">
        <f t="shared" si="2"/>
        <v>3.0845771144278607E-2</v>
      </c>
      <c r="G48" s="10">
        <f>SUM(G49:G51)</f>
        <v>11931</v>
      </c>
      <c r="H48" s="10">
        <f t="shared" si="3"/>
        <v>41975</v>
      </c>
      <c r="I48" s="12">
        <f t="shared" si="4"/>
        <v>0.39711756091066436</v>
      </c>
    </row>
    <row r="49" spans="1:9">
      <c r="A49" s="13" t="s">
        <v>98</v>
      </c>
      <c r="B49" s="14" t="s">
        <v>101</v>
      </c>
      <c r="C49" s="15">
        <v>10550</v>
      </c>
      <c r="D49" s="15">
        <v>11069</v>
      </c>
      <c r="E49" s="15">
        <f t="shared" si="1"/>
        <v>519</v>
      </c>
      <c r="F49" s="16">
        <f t="shared" si="2"/>
        <v>4.9194312796208534E-2</v>
      </c>
      <c r="G49" s="15">
        <v>5352</v>
      </c>
      <c r="H49" s="15">
        <f t="shared" si="3"/>
        <v>16421</v>
      </c>
      <c r="I49" s="16">
        <f t="shared" si="4"/>
        <v>0.48351251242207965</v>
      </c>
    </row>
    <row r="50" spans="1:9">
      <c r="A50" s="13" t="s">
        <v>99</v>
      </c>
      <c r="B50" s="14" t="s">
        <v>102</v>
      </c>
      <c r="C50" s="15">
        <v>9367</v>
      </c>
      <c r="D50" s="15">
        <v>9384</v>
      </c>
      <c r="E50" s="15">
        <f t="shared" si="1"/>
        <v>17</v>
      </c>
      <c r="F50" s="16">
        <f t="shared" si="2"/>
        <v>1.8148820326678765E-3</v>
      </c>
      <c r="G50" s="15">
        <v>3364</v>
      </c>
      <c r="H50" s="15">
        <f t="shared" si="3"/>
        <v>12748</v>
      </c>
      <c r="I50" s="16">
        <f t="shared" si="4"/>
        <v>0.35848252344416026</v>
      </c>
    </row>
    <row r="51" spans="1:9">
      <c r="A51" s="13" t="s">
        <v>100</v>
      </c>
      <c r="B51" s="14" t="s">
        <v>103</v>
      </c>
      <c r="C51" s="15">
        <v>9228</v>
      </c>
      <c r="D51" s="15">
        <v>9591</v>
      </c>
      <c r="E51" s="15">
        <f t="shared" si="1"/>
        <v>363</v>
      </c>
      <c r="F51" s="16">
        <f t="shared" si="2"/>
        <v>3.9336801040312092E-2</v>
      </c>
      <c r="G51" s="15">
        <v>3215</v>
      </c>
      <c r="H51" s="15">
        <f t="shared" si="3"/>
        <v>12806</v>
      </c>
      <c r="I51" s="16">
        <f t="shared" si="4"/>
        <v>0.33521009279532893</v>
      </c>
    </row>
    <row r="52" spans="1:9" ht="15">
      <c r="A52" s="9" t="s">
        <v>104</v>
      </c>
      <c r="B52" s="17" t="s">
        <v>105</v>
      </c>
      <c r="C52" s="10">
        <f>SUM(C53:C55)</f>
        <v>30517</v>
      </c>
      <c r="D52" s="10">
        <f>SUM(D53:D55)</f>
        <v>31458</v>
      </c>
      <c r="E52" s="10">
        <f t="shared" si="1"/>
        <v>941</v>
      </c>
      <c r="F52" s="12">
        <f t="shared" si="2"/>
        <v>3.0835272143395483E-2</v>
      </c>
      <c r="G52" s="10">
        <f>SUM(G53:G55)</f>
        <v>13123</v>
      </c>
      <c r="H52" s="10">
        <f t="shared" si="3"/>
        <v>44581</v>
      </c>
      <c r="I52" s="12">
        <f t="shared" si="4"/>
        <v>0.4171593871193337</v>
      </c>
    </row>
    <row r="53" spans="1:9">
      <c r="A53" s="13" t="s">
        <v>106</v>
      </c>
      <c r="B53" s="14" t="s">
        <v>109</v>
      </c>
      <c r="C53" s="15">
        <v>7828</v>
      </c>
      <c r="D53" s="15">
        <v>8101</v>
      </c>
      <c r="E53" s="15">
        <f t="shared" si="1"/>
        <v>273</v>
      </c>
      <c r="F53" s="16">
        <f t="shared" si="2"/>
        <v>3.4874808380173733E-2</v>
      </c>
      <c r="G53" s="15">
        <v>3831</v>
      </c>
      <c r="H53" s="15">
        <f t="shared" si="3"/>
        <v>11932</v>
      </c>
      <c r="I53" s="16">
        <f t="shared" si="4"/>
        <v>0.47290457968152078</v>
      </c>
    </row>
    <row r="54" spans="1:9">
      <c r="A54" s="13" t="s">
        <v>107</v>
      </c>
      <c r="B54" s="14" t="s">
        <v>110</v>
      </c>
      <c r="C54" s="15">
        <v>12756</v>
      </c>
      <c r="D54" s="15">
        <v>13191</v>
      </c>
      <c r="E54" s="15">
        <f t="shared" si="1"/>
        <v>435</v>
      </c>
      <c r="F54" s="16">
        <f t="shared" si="2"/>
        <v>3.4101599247412982E-2</v>
      </c>
      <c r="G54" s="15">
        <v>5033</v>
      </c>
      <c r="H54" s="15">
        <f t="shared" si="3"/>
        <v>18224</v>
      </c>
      <c r="I54" s="16">
        <f t="shared" si="4"/>
        <v>0.38154802516867559</v>
      </c>
    </row>
    <row r="55" spans="1:9">
      <c r="A55" s="13" t="s">
        <v>108</v>
      </c>
      <c r="B55" s="14" t="s">
        <v>111</v>
      </c>
      <c r="C55" s="15">
        <v>9933</v>
      </c>
      <c r="D55" s="15">
        <v>10166</v>
      </c>
      <c r="E55" s="15">
        <f t="shared" si="1"/>
        <v>233</v>
      </c>
      <c r="F55" s="16">
        <f t="shared" si="2"/>
        <v>2.3457162992046712E-2</v>
      </c>
      <c r="G55" s="15">
        <v>4259</v>
      </c>
      <c r="H55" s="15">
        <f t="shared" si="3"/>
        <v>14425</v>
      </c>
      <c r="I55" s="16">
        <f t="shared" si="4"/>
        <v>0.41894550462325397</v>
      </c>
    </row>
    <row r="56" spans="1:9" ht="15">
      <c r="A56" s="9" t="s">
        <v>112</v>
      </c>
      <c r="B56" s="11" t="s">
        <v>113</v>
      </c>
      <c r="C56" s="10">
        <f>SUM(C57:C58)</f>
        <v>21899</v>
      </c>
      <c r="D56" s="10">
        <f>SUM(D57:D58)</f>
        <v>21885</v>
      </c>
      <c r="E56" s="10">
        <f t="shared" si="1"/>
        <v>-14</v>
      </c>
      <c r="F56" s="12">
        <f t="shared" si="2"/>
        <v>-6.3929859810950274E-4</v>
      </c>
      <c r="G56" s="10">
        <f>SUM(G57:G58)</f>
        <v>11129</v>
      </c>
      <c r="H56" s="10">
        <f t="shared" si="3"/>
        <v>33014</v>
      </c>
      <c r="I56" s="12">
        <f t="shared" si="4"/>
        <v>0.50852181859721268</v>
      </c>
    </row>
    <row r="57" spans="1:9">
      <c r="A57" s="13" t="s">
        <v>114</v>
      </c>
      <c r="B57" s="14" t="s">
        <v>116</v>
      </c>
      <c r="C57" s="15">
        <v>11305</v>
      </c>
      <c r="D57" s="15">
        <v>11507</v>
      </c>
      <c r="E57" s="15">
        <f t="shared" si="1"/>
        <v>202</v>
      </c>
      <c r="F57" s="16">
        <f t="shared" si="2"/>
        <v>1.7868199911543564E-2</v>
      </c>
      <c r="G57" s="15">
        <v>6647</v>
      </c>
      <c r="H57" s="15">
        <f t="shared" si="3"/>
        <v>18154</v>
      </c>
      <c r="I57" s="16">
        <f t="shared" si="4"/>
        <v>0.57764838793777695</v>
      </c>
    </row>
    <row r="58" spans="1:9">
      <c r="A58" s="13" t="s">
        <v>115</v>
      </c>
      <c r="B58" s="14" t="s">
        <v>117</v>
      </c>
      <c r="C58" s="15">
        <v>10594</v>
      </c>
      <c r="D58" s="15">
        <v>10378</v>
      </c>
      <c r="E58" s="15">
        <f t="shared" si="1"/>
        <v>-216</v>
      </c>
      <c r="F58" s="16">
        <f t="shared" si="2"/>
        <v>-2.0388899377005852E-2</v>
      </c>
      <c r="G58" s="15">
        <v>4482</v>
      </c>
      <c r="H58" s="15">
        <f t="shared" si="3"/>
        <v>14860</v>
      </c>
      <c r="I58" s="16">
        <f t="shared" si="4"/>
        <v>0.43187512044709964</v>
      </c>
    </row>
    <row r="59" spans="1:9" ht="15">
      <c r="A59" s="9" t="s">
        <v>118</v>
      </c>
      <c r="B59" s="11" t="s">
        <v>119</v>
      </c>
      <c r="C59" s="10">
        <f>SUM(C60:C61)</f>
        <v>19592</v>
      </c>
      <c r="D59" s="10">
        <f>SUM(D60:D61)</f>
        <v>19296</v>
      </c>
      <c r="E59" s="10">
        <f t="shared" si="1"/>
        <v>-296</v>
      </c>
      <c r="F59" s="12">
        <f t="shared" si="2"/>
        <v>-1.5108207431604737E-2</v>
      </c>
      <c r="G59" s="10">
        <f>SUM(G60:G61)</f>
        <v>9134</v>
      </c>
      <c r="H59" s="10">
        <f t="shared" si="3"/>
        <v>28430</v>
      </c>
      <c r="I59" s="12">
        <f t="shared" si="4"/>
        <v>0.47336235489220563</v>
      </c>
    </row>
    <row r="60" spans="1:9">
      <c r="A60" s="13" t="s">
        <v>120</v>
      </c>
      <c r="B60" s="14" t="s">
        <v>122</v>
      </c>
      <c r="C60" s="15">
        <v>9413</v>
      </c>
      <c r="D60" s="15">
        <v>9261</v>
      </c>
      <c r="E60" s="15">
        <f t="shared" si="1"/>
        <v>-152</v>
      </c>
      <c r="F60" s="16">
        <f t="shared" si="2"/>
        <v>-1.6147880590672473E-2</v>
      </c>
      <c r="G60" s="15">
        <v>4928</v>
      </c>
      <c r="H60" s="15">
        <f t="shared" si="3"/>
        <v>14189</v>
      </c>
      <c r="I60" s="16">
        <f t="shared" si="4"/>
        <v>0.53212396069538925</v>
      </c>
    </row>
    <row r="61" spans="1:9">
      <c r="A61" s="13" t="s">
        <v>121</v>
      </c>
      <c r="B61" s="14" t="s">
        <v>123</v>
      </c>
      <c r="C61" s="15">
        <v>10179</v>
      </c>
      <c r="D61" s="15">
        <v>10035</v>
      </c>
      <c r="E61" s="15">
        <f t="shared" si="1"/>
        <v>-144</v>
      </c>
      <c r="F61" s="16">
        <f t="shared" si="2"/>
        <v>-1.4146772767462422E-2</v>
      </c>
      <c r="G61" s="15">
        <v>4206</v>
      </c>
      <c r="H61" s="15">
        <f t="shared" si="3"/>
        <v>14241</v>
      </c>
      <c r="I61" s="16">
        <f t="shared" si="4"/>
        <v>0.41913303437967114</v>
      </c>
    </row>
    <row r="62" spans="1:9" ht="15">
      <c r="A62" s="9" t="s">
        <v>124</v>
      </c>
      <c r="B62" s="11" t="s">
        <v>125</v>
      </c>
      <c r="C62" s="10">
        <f>SUM(C63:C64)</f>
        <v>39559</v>
      </c>
      <c r="D62" s="10">
        <f>SUM(D63:D64)</f>
        <v>41918</v>
      </c>
      <c r="E62" s="10">
        <f t="shared" si="1"/>
        <v>2359</v>
      </c>
      <c r="F62" s="12">
        <f t="shared" si="2"/>
        <v>5.9632447736292629E-2</v>
      </c>
      <c r="G62" s="10">
        <f>SUM(G63:G64)</f>
        <v>13145</v>
      </c>
      <c r="H62" s="10">
        <f t="shared" si="3"/>
        <v>55063</v>
      </c>
      <c r="I62" s="12">
        <f t="shared" si="4"/>
        <v>0.31358843456271768</v>
      </c>
    </row>
    <row r="63" spans="1:9">
      <c r="A63" s="13" t="s">
        <v>126</v>
      </c>
      <c r="B63" s="14" t="s">
        <v>128</v>
      </c>
      <c r="C63" s="15">
        <v>21666</v>
      </c>
      <c r="D63" s="15">
        <v>23665</v>
      </c>
      <c r="E63" s="15">
        <f t="shared" si="1"/>
        <v>1999</v>
      </c>
      <c r="F63" s="16">
        <f t="shared" si="2"/>
        <v>9.2264377365457395E-2</v>
      </c>
      <c r="G63" s="15">
        <v>7485</v>
      </c>
      <c r="H63" s="15">
        <f t="shared" si="3"/>
        <v>31150</v>
      </c>
      <c r="I63" s="16">
        <f t="shared" si="4"/>
        <v>0.31628987956898375</v>
      </c>
    </row>
    <row r="64" spans="1:9">
      <c r="A64" s="13" t="s">
        <v>127</v>
      </c>
      <c r="B64" s="14" t="s">
        <v>129</v>
      </c>
      <c r="C64" s="15">
        <v>17893</v>
      </c>
      <c r="D64" s="15">
        <v>18253</v>
      </c>
      <c r="E64" s="15">
        <f t="shared" si="1"/>
        <v>360</v>
      </c>
      <c r="F64" s="16">
        <f t="shared" si="2"/>
        <v>2.0119599843514222E-2</v>
      </c>
      <c r="G64" s="15">
        <v>5660</v>
      </c>
      <c r="H64" s="15">
        <f t="shared" si="3"/>
        <v>23913</v>
      </c>
      <c r="I64" s="16">
        <f t="shared" si="4"/>
        <v>0.31008601325809454</v>
      </c>
    </row>
    <row r="65" spans="1:9" ht="15">
      <c r="A65" s="9" t="s">
        <v>130</v>
      </c>
      <c r="B65" s="11" t="s">
        <v>131</v>
      </c>
      <c r="C65" s="10">
        <f>SUM(C66:C67)</f>
        <v>25380</v>
      </c>
      <c r="D65" s="10">
        <f>SUM(D66:D67)</f>
        <v>25986</v>
      </c>
      <c r="E65" s="10">
        <f t="shared" si="1"/>
        <v>606</v>
      </c>
      <c r="F65" s="12">
        <f t="shared" si="2"/>
        <v>2.3877068557919622E-2</v>
      </c>
      <c r="G65" s="10">
        <f>SUM(G66:G67)</f>
        <v>8956</v>
      </c>
      <c r="H65" s="10">
        <f t="shared" si="3"/>
        <v>34942</v>
      </c>
      <c r="I65" s="12">
        <f t="shared" si="4"/>
        <v>0.34464711767875011</v>
      </c>
    </row>
    <row r="66" spans="1:9">
      <c r="A66" s="13" t="s">
        <v>132</v>
      </c>
      <c r="B66" s="14" t="s">
        <v>134</v>
      </c>
      <c r="C66" s="15">
        <v>11095</v>
      </c>
      <c r="D66" s="15">
        <v>11223</v>
      </c>
      <c r="E66" s="15">
        <f t="shared" si="1"/>
        <v>128</v>
      </c>
      <c r="F66" s="16">
        <f t="shared" si="2"/>
        <v>1.1536728255971159E-2</v>
      </c>
      <c r="G66" s="15">
        <v>3465</v>
      </c>
      <c r="H66" s="15">
        <f t="shared" si="3"/>
        <v>14688</v>
      </c>
      <c r="I66" s="16">
        <f t="shared" ref="I66:I97" si="5">(H66-D66)/D66</f>
        <v>0.30874097834803527</v>
      </c>
    </row>
    <row r="67" spans="1:9">
      <c r="A67" s="13" t="s">
        <v>133</v>
      </c>
      <c r="B67" s="14" t="s">
        <v>135</v>
      </c>
      <c r="C67" s="15">
        <v>14285</v>
      </c>
      <c r="D67" s="15">
        <v>14763</v>
      </c>
      <c r="E67" s="15">
        <f t="shared" ref="E67:E114" si="6">D67-C67</f>
        <v>478</v>
      </c>
      <c r="F67" s="16">
        <f t="shared" ref="F67:F114" si="7">E67/C67</f>
        <v>3.3461673083654185E-2</v>
      </c>
      <c r="G67" s="15">
        <v>5491</v>
      </c>
      <c r="H67" s="15">
        <f t="shared" ref="H67:H114" si="8">D67+G67</f>
        <v>20254</v>
      </c>
      <c r="I67" s="16">
        <f t="shared" si="5"/>
        <v>0.37194337194337196</v>
      </c>
    </row>
    <row r="68" spans="1:9" ht="15">
      <c r="A68" s="9" t="s">
        <v>136</v>
      </c>
      <c r="B68" s="11" t="s">
        <v>137</v>
      </c>
      <c r="C68" s="10">
        <f>SUM(C69:C70)</f>
        <v>21022</v>
      </c>
      <c r="D68" s="10">
        <f>SUM(D69:D70)</f>
        <v>21830</v>
      </c>
      <c r="E68" s="10">
        <f t="shared" si="6"/>
        <v>808</v>
      </c>
      <c r="F68" s="12">
        <f t="shared" si="7"/>
        <v>3.8435924269812578E-2</v>
      </c>
      <c r="G68" s="10">
        <f>SUM(G69:G70)</f>
        <v>9308</v>
      </c>
      <c r="H68" s="10">
        <f t="shared" si="8"/>
        <v>31138</v>
      </c>
      <c r="I68" s="12">
        <f t="shared" si="5"/>
        <v>0.42638570774163992</v>
      </c>
    </row>
    <row r="69" spans="1:9">
      <c r="A69" s="13" t="s">
        <v>138</v>
      </c>
      <c r="B69" s="14" t="s">
        <v>140</v>
      </c>
      <c r="C69" s="15">
        <v>9516</v>
      </c>
      <c r="D69" s="15">
        <v>9960</v>
      </c>
      <c r="E69" s="15">
        <f t="shared" si="6"/>
        <v>444</v>
      </c>
      <c r="F69" s="16">
        <f t="shared" si="7"/>
        <v>4.6658259773013869E-2</v>
      </c>
      <c r="G69" s="15">
        <v>4217</v>
      </c>
      <c r="H69" s="15">
        <f t="shared" si="8"/>
        <v>14177</v>
      </c>
      <c r="I69" s="16">
        <f t="shared" si="5"/>
        <v>0.42339357429718877</v>
      </c>
    </row>
    <row r="70" spans="1:9">
      <c r="A70" s="13" t="s">
        <v>139</v>
      </c>
      <c r="B70" s="14" t="s">
        <v>141</v>
      </c>
      <c r="C70" s="15">
        <v>11506</v>
      </c>
      <c r="D70" s="15">
        <v>11870</v>
      </c>
      <c r="E70" s="15">
        <f t="shared" si="6"/>
        <v>364</v>
      </c>
      <c r="F70" s="16">
        <f t="shared" si="7"/>
        <v>3.1635668346949419E-2</v>
      </c>
      <c r="G70" s="15">
        <v>5091</v>
      </c>
      <c r="H70" s="15">
        <f t="shared" si="8"/>
        <v>16961</v>
      </c>
      <c r="I70" s="16">
        <f t="shared" si="5"/>
        <v>0.42889637742207243</v>
      </c>
    </row>
    <row r="71" spans="1:9" ht="15">
      <c r="A71" s="9" t="s">
        <v>142</v>
      </c>
      <c r="B71" s="11" t="s">
        <v>143</v>
      </c>
      <c r="C71" s="10">
        <f>SUM(C72:C73)</f>
        <v>61972</v>
      </c>
      <c r="D71" s="10">
        <f>SUM(D72:D73)</f>
        <v>62979</v>
      </c>
      <c r="E71" s="10">
        <f t="shared" si="6"/>
        <v>1007</v>
      </c>
      <c r="F71" s="12">
        <f t="shared" si="7"/>
        <v>1.6249273865616729E-2</v>
      </c>
      <c r="G71" s="10">
        <f>SUM(G72:G73)</f>
        <v>25132</v>
      </c>
      <c r="H71" s="10">
        <f t="shared" si="8"/>
        <v>88111</v>
      </c>
      <c r="I71" s="12">
        <f t="shared" si="5"/>
        <v>0.39905365280490324</v>
      </c>
    </row>
    <row r="72" spans="1:9">
      <c r="A72" s="13" t="s">
        <v>144</v>
      </c>
      <c r="B72" s="14" t="s">
        <v>146</v>
      </c>
      <c r="C72" s="15">
        <v>28577</v>
      </c>
      <c r="D72" s="15">
        <v>27825</v>
      </c>
      <c r="E72" s="15">
        <f t="shared" si="6"/>
        <v>-752</v>
      </c>
      <c r="F72" s="16">
        <f t="shared" si="7"/>
        <v>-2.6314868600622879E-2</v>
      </c>
      <c r="G72" s="15">
        <v>7793</v>
      </c>
      <c r="H72" s="15">
        <f t="shared" si="8"/>
        <v>35618</v>
      </c>
      <c r="I72" s="16">
        <f t="shared" si="5"/>
        <v>0.28007187780772685</v>
      </c>
    </row>
    <row r="73" spans="1:9">
      <c r="A73" s="13" t="s">
        <v>145</v>
      </c>
      <c r="B73" s="14" t="s">
        <v>147</v>
      </c>
      <c r="C73" s="15">
        <v>33395</v>
      </c>
      <c r="D73" s="15">
        <v>35154</v>
      </c>
      <c r="E73" s="15">
        <f t="shared" si="6"/>
        <v>1759</v>
      </c>
      <c r="F73" s="16">
        <f t="shared" si="7"/>
        <v>5.267255577182213E-2</v>
      </c>
      <c r="G73" s="15">
        <v>17339</v>
      </c>
      <c r="H73" s="15">
        <f t="shared" si="8"/>
        <v>52493</v>
      </c>
      <c r="I73" s="16">
        <f t="shared" si="5"/>
        <v>0.49322978892871366</v>
      </c>
    </row>
    <row r="74" spans="1:9" ht="15">
      <c r="A74" s="9" t="s">
        <v>148</v>
      </c>
      <c r="B74" s="17" t="s">
        <v>149</v>
      </c>
      <c r="C74" s="10">
        <f>SUM(C75:C77)</f>
        <v>74148</v>
      </c>
      <c r="D74" s="10">
        <f>SUM(D75:D77)</f>
        <v>77660</v>
      </c>
      <c r="E74" s="10">
        <f t="shared" si="6"/>
        <v>3512</v>
      </c>
      <c r="F74" s="12">
        <f t="shared" si="7"/>
        <v>4.7364729999460536E-2</v>
      </c>
      <c r="G74" s="10">
        <f>SUM(G75:G77)</f>
        <v>27631</v>
      </c>
      <c r="H74" s="10">
        <f t="shared" si="8"/>
        <v>105291</v>
      </c>
      <c r="I74" s="12">
        <f t="shared" si="5"/>
        <v>0.35579448879732167</v>
      </c>
    </row>
    <row r="75" spans="1:9">
      <c r="A75" s="13" t="s">
        <v>150</v>
      </c>
      <c r="B75" s="14" t="s">
        <v>153</v>
      </c>
      <c r="C75" s="15">
        <v>19674</v>
      </c>
      <c r="D75" s="15">
        <v>19802</v>
      </c>
      <c r="E75" s="15">
        <f t="shared" si="6"/>
        <v>128</v>
      </c>
      <c r="F75" s="16">
        <f t="shared" si="7"/>
        <v>6.5060485920504221E-3</v>
      </c>
      <c r="G75" s="15">
        <v>2866</v>
      </c>
      <c r="H75" s="15">
        <f t="shared" si="8"/>
        <v>22668</v>
      </c>
      <c r="I75" s="16">
        <f t="shared" si="5"/>
        <v>0.14473285526714474</v>
      </c>
    </row>
    <row r="76" spans="1:9">
      <c r="A76" s="13" t="s">
        <v>151</v>
      </c>
      <c r="B76" s="14" t="s">
        <v>154</v>
      </c>
      <c r="C76" s="15">
        <v>34626</v>
      </c>
      <c r="D76" s="15">
        <v>34599</v>
      </c>
      <c r="E76" s="15">
        <f t="shared" si="6"/>
        <v>-27</v>
      </c>
      <c r="F76" s="16">
        <f t="shared" si="7"/>
        <v>-7.7976087333217817E-4</v>
      </c>
      <c r="G76" s="15">
        <v>15246</v>
      </c>
      <c r="H76" s="15">
        <f t="shared" si="8"/>
        <v>49845</v>
      </c>
      <c r="I76" s="16">
        <f t="shared" si="5"/>
        <v>0.44064857365819821</v>
      </c>
    </row>
    <row r="77" spans="1:9">
      <c r="A77" s="13" t="s">
        <v>152</v>
      </c>
      <c r="B77" s="14" t="s">
        <v>155</v>
      </c>
      <c r="C77" s="15">
        <v>19848</v>
      </c>
      <c r="D77" s="15">
        <v>23259</v>
      </c>
      <c r="E77" s="15">
        <f t="shared" si="6"/>
        <v>3411</v>
      </c>
      <c r="F77" s="16">
        <f t="shared" si="7"/>
        <v>0.17185610640870616</v>
      </c>
      <c r="G77" s="15">
        <v>9519</v>
      </c>
      <c r="H77" s="15">
        <f t="shared" si="8"/>
        <v>32778</v>
      </c>
      <c r="I77" s="16">
        <f t="shared" si="5"/>
        <v>0.40926093125241841</v>
      </c>
    </row>
    <row r="78" spans="1:9" ht="15">
      <c r="A78" s="9" t="s">
        <v>156</v>
      </c>
      <c r="B78" s="17" t="s">
        <v>157</v>
      </c>
      <c r="C78" s="10">
        <f>SUM(C79:C81)</f>
        <v>30607</v>
      </c>
      <c r="D78" s="10">
        <f>SUM(D79:D81)</f>
        <v>31440</v>
      </c>
      <c r="E78" s="10">
        <f t="shared" si="6"/>
        <v>833</v>
      </c>
      <c r="F78" s="12">
        <f t="shared" si="7"/>
        <v>2.7215996340706376E-2</v>
      </c>
      <c r="G78" s="10">
        <f>SUM(G79:G81)</f>
        <v>15613</v>
      </c>
      <c r="H78" s="10">
        <f t="shared" si="8"/>
        <v>47053</v>
      </c>
      <c r="I78" s="12">
        <f t="shared" si="5"/>
        <v>0.49659669211195928</v>
      </c>
    </row>
    <row r="79" spans="1:9">
      <c r="A79" s="13" t="s">
        <v>158</v>
      </c>
      <c r="B79" s="14" t="s">
        <v>161</v>
      </c>
      <c r="C79" s="15">
        <v>12015</v>
      </c>
      <c r="D79" s="15">
        <v>12558</v>
      </c>
      <c r="E79" s="15">
        <f t="shared" si="6"/>
        <v>543</v>
      </c>
      <c r="F79" s="16">
        <f t="shared" si="7"/>
        <v>4.519350811485643E-2</v>
      </c>
      <c r="G79" s="15">
        <v>5325</v>
      </c>
      <c r="H79" s="15">
        <f t="shared" si="8"/>
        <v>17883</v>
      </c>
      <c r="I79" s="16">
        <f t="shared" si="5"/>
        <v>0.42403248924988057</v>
      </c>
    </row>
    <row r="80" spans="1:9">
      <c r="A80" s="13" t="s">
        <v>159</v>
      </c>
      <c r="B80" s="14" t="s">
        <v>162</v>
      </c>
      <c r="C80" s="15">
        <v>9860</v>
      </c>
      <c r="D80" s="15">
        <v>10133</v>
      </c>
      <c r="E80" s="15">
        <f t="shared" si="6"/>
        <v>273</v>
      </c>
      <c r="F80" s="16">
        <f t="shared" si="7"/>
        <v>2.768762677484787E-2</v>
      </c>
      <c r="G80" s="15">
        <v>5841</v>
      </c>
      <c r="H80" s="15">
        <f t="shared" si="8"/>
        <v>15974</v>
      </c>
      <c r="I80" s="16">
        <f t="shared" si="5"/>
        <v>0.57643343531037206</v>
      </c>
    </row>
    <row r="81" spans="1:9">
      <c r="A81" s="13" t="s">
        <v>160</v>
      </c>
      <c r="B81" s="14" t="s">
        <v>163</v>
      </c>
      <c r="C81" s="15">
        <v>8732</v>
      </c>
      <c r="D81" s="15">
        <v>8749</v>
      </c>
      <c r="E81" s="15">
        <f t="shared" si="6"/>
        <v>17</v>
      </c>
      <c r="F81" s="16">
        <f t="shared" si="7"/>
        <v>1.9468621163536417E-3</v>
      </c>
      <c r="G81" s="15">
        <v>4447</v>
      </c>
      <c r="H81" s="15">
        <f t="shared" si="8"/>
        <v>13196</v>
      </c>
      <c r="I81" s="16">
        <f t="shared" si="5"/>
        <v>0.50828666133272371</v>
      </c>
    </row>
    <row r="82" spans="1:9" ht="15">
      <c r="A82" s="9" t="s">
        <v>164</v>
      </c>
      <c r="B82" s="11" t="s">
        <v>165</v>
      </c>
      <c r="C82" s="10">
        <f>SUM(C83:C84)</f>
        <v>30024</v>
      </c>
      <c r="D82" s="10">
        <f>SUM(D83:D84)</f>
        <v>31297</v>
      </c>
      <c r="E82" s="10">
        <f t="shared" si="6"/>
        <v>1273</v>
      </c>
      <c r="F82" s="12">
        <f t="shared" si="7"/>
        <v>4.2399413802291501E-2</v>
      </c>
      <c r="G82" s="10">
        <f>SUM(G83:G84)</f>
        <v>13649</v>
      </c>
      <c r="H82" s="10">
        <f t="shared" si="8"/>
        <v>44946</v>
      </c>
      <c r="I82" s="12">
        <f t="shared" si="5"/>
        <v>0.43611208742051955</v>
      </c>
    </row>
    <row r="83" spans="1:9">
      <c r="A83" s="13" t="s">
        <v>166</v>
      </c>
      <c r="B83" s="14" t="s">
        <v>168</v>
      </c>
      <c r="C83" s="15">
        <v>16201</v>
      </c>
      <c r="D83" s="15">
        <v>16772</v>
      </c>
      <c r="E83" s="15">
        <f t="shared" si="6"/>
        <v>571</v>
      </c>
      <c r="F83" s="16">
        <f t="shared" si="7"/>
        <v>3.5244737979137089E-2</v>
      </c>
      <c r="G83" s="15">
        <v>6002</v>
      </c>
      <c r="H83" s="15">
        <f t="shared" si="8"/>
        <v>22774</v>
      </c>
      <c r="I83" s="16">
        <f t="shared" si="5"/>
        <v>0.35785833532077271</v>
      </c>
    </row>
    <row r="84" spans="1:9">
      <c r="A84" s="13" t="s">
        <v>167</v>
      </c>
      <c r="B84" s="14" t="s">
        <v>169</v>
      </c>
      <c r="C84" s="15">
        <v>13823</v>
      </c>
      <c r="D84" s="15">
        <v>14525</v>
      </c>
      <c r="E84" s="15">
        <f t="shared" si="6"/>
        <v>702</v>
      </c>
      <c r="F84" s="16">
        <f t="shared" si="7"/>
        <v>5.0784923677928091E-2</v>
      </c>
      <c r="G84" s="15">
        <v>7647</v>
      </c>
      <c r="H84" s="15">
        <f t="shared" si="8"/>
        <v>22172</v>
      </c>
      <c r="I84" s="16">
        <f t="shared" si="5"/>
        <v>0.52647160068846821</v>
      </c>
    </row>
    <row r="85" spans="1:9" ht="15">
      <c r="A85" s="9" t="s">
        <v>170</v>
      </c>
      <c r="B85" s="17" t="s">
        <v>171</v>
      </c>
      <c r="C85" s="10">
        <f>SUM(C86:C88)</f>
        <v>30656</v>
      </c>
      <c r="D85" s="10">
        <f>SUM(D86:D88)</f>
        <v>30789</v>
      </c>
      <c r="E85" s="10">
        <f t="shared" si="6"/>
        <v>133</v>
      </c>
      <c r="F85" s="12">
        <f t="shared" si="7"/>
        <v>4.3384655532359082E-3</v>
      </c>
      <c r="G85" s="10">
        <f>SUM(G86:G88)</f>
        <v>14314</v>
      </c>
      <c r="H85" s="10">
        <f t="shared" si="8"/>
        <v>45103</v>
      </c>
      <c r="I85" s="12">
        <f t="shared" si="5"/>
        <v>0.46490629770372538</v>
      </c>
    </row>
    <row r="86" spans="1:9">
      <c r="A86" s="13" t="s">
        <v>172</v>
      </c>
      <c r="B86" s="14" t="s">
        <v>175</v>
      </c>
      <c r="C86" s="15">
        <v>7862</v>
      </c>
      <c r="D86" s="15">
        <v>7947</v>
      </c>
      <c r="E86" s="15">
        <f t="shared" si="6"/>
        <v>85</v>
      </c>
      <c r="F86" s="16">
        <f t="shared" si="7"/>
        <v>1.0811498346476723E-2</v>
      </c>
      <c r="G86" s="15">
        <v>3419</v>
      </c>
      <c r="H86" s="15">
        <f t="shared" si="8"/>
        <v>11366</v>
      </c>
      <c r="I86" s="16">
        <f t="shared" si="5"/>
        <v>0.43022524222977226</v>
      </c>
    </row>
    <row r="87" spans="1:9">
      <c r="A87" s="13" t="s">
        <v>173</v>
      </c>
      <c r="B87" s="14" t="s">
        <v>176</v>
      </c>
      <c r="C87" s="15">
        <v>10627</v>
      </c>
      <c r="D87" s="15">
        <v>10615</v>
      </c>
      <c r="E87" s="15">
        <f t="shared" si="6"/>
        <v>-12</v>
      </c>
      <c r="F87" s="16">
        <f t="shared" si="7"/>
        <v>-1.1291992095605534E-3</v>
      </c>
      <c r="G87" s="15">
        <v>5408</v>
      </c>
      <c r="H87" s="15">
        <f t="shared" si="8"/>
        <v>16023</v>
      </c>
      <c r="I87" s="16">
        <f t="shared" si="5"/>
        <v>0.5094677343382007</v>
      </c>
    </row>
    <row r="88" spans="1:9">
      <c r="A88" s="13" t="s">
        <v>174</v>
      </c>
      <c r="B88" s="14" t="s">
        <v>177</v>
      </c>
      <c r="C88" s="15">
        <v>12167</v>
      </c>
      <c r="D88" s="15">
        <v>12227</v>
      </c>
      <c r="E88" s="15">
        <f t="shared" si="6"/>
        <v>60</v>
      </c>
      <c r="F88" s="16">
        <f t="shared" si="7"/>
        <v>4.931371743239911E-3</v>
      </c>
      <c r="G88" s="15">
        <v>5487</v>
      </c>
      <c r="H88" s="15">
        <f t="shared" si="8"/>
        <v>17714</v>
      </c>
      <c r="I88" s="16">
        <f t="shared" si="5"/>
        <v>0.44876093890570051</v>
      </c>
    </row>
    <row r="89" spans="1:9" ht="15">
      <c r="A89" s="9" t="s">
        <v>178</v>
      </c>
      <c r="B89" s="17" t="s">
        <v>179</v>
      </c>
      <c r="C89" s="10">
        <f>SUM(C90:C92)</f>
        <v>27518</v>
      </c>
      <c r="D89" s="10">
        <f>SUM(D90:D92)</f>
        <v>28037</v>
      </c>
      <c r="E89" s="10">
        <f t="shared" si="6"/>
        <v>519</v>
      </c>
      <c r="F89" s="12">
        <f t="shared" si="7"/>
        <v>1.8860382295224944E-2</v>
      </c>
      <c r="G89" s="10">
        <f>SUM(G90:G92)</f>
        <v>14849</v>
      </c>
      <c r="H89" s="10">
        <f t="shared" si="8"/>
        <v>42886</v>
      </c>
      <c r="I89" s="12">
        <f t="shared" si="5"/>
        <v>0.52962157149481048</v>
      </c>
    </row>
    <row r="90" spans="1:9">
      <c r="A90" s="13" t="s">
        <v>180</v>
      </c>
      <c r="B90" s="14" t="s">
        <v>183</v>
      </c>
      <c r="C90" s="15">
        <v>10223</v>
      </c>
      <c r="D90" s="15">
        <v>10225</v>
      </c>
      <c r="E90" s="15">
        <f t="shared" si="6"/>
        <v>2</v>
      </c>
      <c r="F90" s="16">
        <f t="shared" si="7"/>
        <v>1.9563728846718183E-4</v>
      </c>
      <c r="G90" s="15">
        <v>5237</v>
      </c>
      <c r="H90" s="15">
        <f t="shared" si="8"/>
        <v>15462</v>
      </c>
      <c r="I90" s="16">
        <f t="shared" si="5"/>
        <v>0.51217603911980436</v>
      </c>
    </row>
    <row r="91" spans="1:9">
      <c r="A91" s="13" t="s">
        <v>181</v>
      </c>
      <c r="B91" s="14" t="s">
        <v>184</v>
      </c>
      <c r="C91" s="15">
        <v>7925</v>
      </c>
      <c r="D91" s="15">
        <v>8043</v>
      </c>
      <c r="E91" s="15">
        <f t="shared" si="6"/>
        <v>118</v>
      </c>
      <c r="F91" s="16">
        <f t="shared" si="7"/>
        <v>1.4889589905362776E-2</v>
      </c>
      <c r="G91" s="15">
        <v>4003</v>
      </c>
      <c r="H91" s="15">
        <f t="shared" si="8"/>
        <v>12046</v>
      </c>
      <c r="I91" s="16">
        <f t="shared" si="5"/>
        <v>0.49769986323511128</v>
      </c>
    </row>
    <row r="92" spans="1:9">
      <c r="A92" s="13" t="s">
        <v>182</v>
      </c>
      <c r="B92" s="14" t="s">
        <v>185</v>
      </c>
      <c r="C92" s="15">
        <v>9370</v>
      </c>
      <c r="D92" s="15">
        <v>9769</v>
      </c>
      <c r="E92" s="15">
        <f t="shared" si="6"/>
        <v>399</v>
      </c>
      <c r="F92" s="16">
        <f t="shared" si="7"/>
        <v>4.2582710779082177E-2</v>
      </c>
      <c r="G92" s="15">
        <v>5609</v>
      </c>
      <c r="H92" s="15">
        <f t="shared" si="8"/>
        <v>15378</v>
      </c>
      <c r="I92" s="16">
        <f t="shared" si="5"/>
        <v>0.57416316920872146</v>
      </c>
    </row>
    <row r="93" spans="1:9" ht="15">
      <c r="A93" s="9" t="s">
        <v>187</v>
      </c>
      <c r="B93" s="17" t="s">
        <v>186</v>
      </c>
      <c r="C93" s="10">
        <f>SUM(C94:C97)</f>
        <v>65047</v>
      </c>
      <c r="D93" s="10">
        <f>SUM(D94:D97)</f>
        <v>69960</v>
      </c>
      <c r="E93" s="10">
        <f t="shared" si="6"/>
        <v>4913</v>
      </c>
      <c r="F93" s="12">
        <f t="shared" si="7"/>
        <v>7.5530001383614931E-2</v>
      </c>
      <c r="G93" s="10">
        <f>SUM(G94:G97)</f>
        <v>43189</v>
      </c>
      <c r="H93" s="10">
        <f t="shared" si="8"/>
        <v>113149</v>
      </c>
      <c r="I93" s="12">
        <f t="shared" si="5"/>
        <v>0.61733847913093198</v>
      </c>
    </row>
    <row r="94" spans="1:9">
      <c r="A94" s="13" t="s">
        <v>188</v>
      </c>
      <c r="B94" s="14" t="s">
        <v>192</v>
      </c>
      <c r="C94" s="15">
        <v>14406</v>
      </c>
      <c r="D94" s="15">
        <v>14718</v>
      </c>
      <c r="E94" s="15">
        <f t="shared" si="6"/>
        <v>312</v>
      </c>
      <c r="F94" s="16">
        <f t="shared" si="7"/>
        <v>2.1657642648896292E-2</v>
      </c>
      <c r="G94" s="15">
        <v>7817</v>
      </c>
      <c r="H94" s="15">
        <f t="shared" si="8"/>
        <v>22535</v>
      </c>
      <c r="I94" s="16">
        <f t="shared" si="5"/>
        <v>0.53111835847261857</v>
      </c>
    </row>
    <row r="95" spans="1:9">
      <c r="A95" s="13" t="s">
        <v>189</v>
      </c>
      <c r="B95" s="14" t="s">
        <v>193</v>
      </c>
      <c r="C95" s="15">
        <v>21531</v>
      </c>
      <c r="D95" s="15">
        <v>22809</v>
      </c>
      <c r="E95" s="15">
        <f t="shared" si="6"/>
        <v>1278</v>
      </c>
      <c r="F95" s="16">
        <f t="shared" si="7"/>
        <v>5.9356276995959315E-2</v>
      </c>
      <c r="G95" s="15">
        <v>14730</v>
      </c>
      <c r="H95" s="15">
        <f t="shared" si="8"/>
        <v>37539</v>
      </c>
      <c r="I95" s="16">
        <f t="shared" si="5"/>
        <v>0.64579771142969877</v>
      </c>
    </row>
    <row r="96" spans="1:9">
      <c r="A96" s="13" t="s">
        <v>190</v>
      </c>
      <c r="B96" s="14" t="s">
        <v>194</v>
      </c>
      <c r="C96" s="15">
        <v>14102</v>
      </c>
      <c r="D96" s="15">
        <v>14378</v>
      </c>
      <c r="E96" s="15">
        <f t="shared" si="6"/>
        <v>276</v>
      </c>
      <c r="F96" s="16">
        <f t="shared" si="7"/>
        <v>1.9571691958587434E-2</v>
      </c>
      <c r="G96" s="15">
        <v>8127</v>
      </c>
      <c r="H96" s="15">
        <f t="shared" si="8"/>
        <v>22505</v>
      </c>
      <c r="I96" s="16">
        <f t="shared" si="5"/>
        <v>0.56523855890944497</v>
      </c>
    </row>
    <row r="97" spans="1:9">
      <c r="A97" s="13" t="s">
        <v>191</v>
      </c>
      <c r="B97" s="14" t="s">
        <v>195</v>
      </c>
      <c r="C97" s="15">
        <v>15008</v>
      </c>
      <c r="D97" s="15">
        <v>18055</v>
      </c>
      <c r="E97" s="15">
        <f t="shared" si="6"/>
        <v>3047</v>
      </c>
      <c r="F97" s="16">
        <f t="shared" si="7"/>
        <v>0.20302505330490406</v>
      </c>
      <c r="G97" s="15">
        <v>12515</v>
      </c>
      <c r="H97" s="15">
        <f t="shared" si="8"/>
        <v>30570</v>
      </c>
      <c r="I97" s="16">
        <f t="shared" si="5"/>
        <v>0.69315978953198565</v>
      </c>
    </row>
    <row r="98" spans="1:9" ht="15">
      <c r="A98" s="9" t="s">
        <v>196</v>
      </c>
      <c r="B98" s="11" t="s">
        <v>197</v>
      </c>
      <c r="C98" s="10">
        <f>SUM(C99:C100)</f>
        <v>31868</v>
      </c>
      <c r="D98" s="10">
        <f>SUM(D99:D100)</f>
        <v>32758</v>
      </c>
      <c r="E98" s="10">
        <f t="shared" si="6"/>
        <v>890</v>
      </c>
      <c r="F98" s="12">
        <f t="shared" si="7"/>
        <v>2.7927701769800427E-2</v>
      </c>
      <c r="G98" s="10">
        <f>SUM(G99:G100)</f>
        <v>25219</v>
      </c>
      <c r="H98" s="10">
        <f t="shared" si="8"/>
        <v>57977</v>
      </c>
      <c r="I98" s="12">
        <f t="shared" ref="I98:I114" si="9">(H98-D98)/D98</f>
        <v>0.76985774467305701</v>
      </c>
    </row>
    <row r="99" spans="1:9">
      <c r="A99" s="13" t="s">
        <v>198</v>
      </c>
      <c r="B99" s="14" t="s">
        <v>200</v>
      </c>
      <c r="C99" s="15">
        <v>12692</v>
      </c>
      <c r="D99" s="15">
        <v>12764</v>
      </c>
      <c r="E99" s="15">
        <f t="shared" si="6"/>
        <v>72</v>
      </c>
      <c r="F99" s="16">
        <f t="shared" si="7"/>
        <v>5.6728647967223449E-3</v>
      </c>
      <c r="G99" s="15">
        <v>7265</v>
      </c>
      <c r="H99" s="15">
        <f t="shared" si="8"/>
        <v>20029</v>
      </c>
      <c r="I99" s="16">
        <f t="shared" si="9"/>
        <v>0.56917894077091824</v>
      </c>
    </row>
    <row r="100" spans="1:9">
      <c r="A100" s="13" t="s">
        <v>199</v>
      </c>
      <c r="B100" s="14" t="s">
        <v>201</v>
      </c>
      <c r="C100" s="15">
        <v>19176</v>
      </c>
      <c r="D100" s="15">
        <v>19994</v>
      </c>
      <c r="E100" s="15">
        <f t="shared" si="6"/>
        <v>818</v>
      </c>
      <c r="F100" s="16">
        <f t="shared" si="7"/>
        <v>4.2657488527325822E-2</v>
      </c>
      <c r="G100" s="15">
        <v>17954</v>
      </c>
      <c r="H100" s="15">
        <f t="shared" si="8"/>
        <v>37948</v>
      </c>
      <c r="I100" s="16">
        <f t="shared" si="9"/>
        <v>0.89796939081724514</v>
      </c>
    </row>
    <row r="101" spans="1:9" ht="15">
      <c r="A101" s="9" t="s">
        <v>202</v>
      </c>
      <c r="B101" s="17" t="s">
        <v>203</v>
      </c>
      <c r="C101" s="10">
        <f>SUM(C102:C104)</f>
        <v>80385</v>
      </c>
      <c r="D101" s="10">
        <f>SUM(D102:D104)</f>
        <v>83434</v>
      </c>
      <c r="E101" s="10">
        <f t="shared" si="6"/>
        <v>3049</v>
      </c>
      <c r="F101" s="12">
        <f t="shared" si="7"/>
        <v>3.7929962057597813E-2</v>
      </c>
      <c r="G101" s="10">
        <f>SUM(G102:G104)</f>
        <v>59166</v>
      </c>
      <c r="H101" s="10">
        <f t="shared" si="8"/>
        <v>142600</v>
      </c>
      <c r="I101" s="12">
        <f t="shared" si="9"/>
        <v>0.70913536447970849</v>
      </c>
    </row>
    <row r="102" spans="1:9">
      <c r="A102" s="13" t="s">
        <v>204</v>
      </c>
      <c r="B102" s="14" t="s">
        <v>207</v>
      </c>
      <c r="C102" s="15">
        <v>21665</v>
      </c>
      <c r="D102" s="15">
        <v>21515</v>
      </c>
      <c r="E102" s="15">
        <f t="shared" si="6"/>
        <v>-150</v>
      </c>
      <c r="F102" s="16">
        <f t="shared" si="7"/>
        <v>-6.9236095084237248E-3</v>
      </c>
      <c r="G102" s="15">
        <v>9407</v>
      </c>
      <c r="H102" s="15">
        <f t="shared" si="8"/>
        <v>30922</v>
      </c>
      <c r="I102" s="16">
        <f t="shared" si="9"/>
        <v>0.4372298396467581</v>
      </c>
    </row>
    <row r="103" spans="1:9">
      <c r="A103" s="13" t="s">
        <v>205</v>
      </c>
      <c r="B103" s="14" t="s">
        <v>208</v>
      </c>
      <c r="C103" s="15">
        <v>27681</v>
      </c>
      <c r="D103" s="15">
        <v>27679</v>
      </c>
      <c r="E103" s="15">
        <f t="shared" si="6"/>
        <v>-2</v>
      </c>
      <c r="F103" s="16">
        <f t="shared" si="7"/>
        <v>-7.2251725009934612E-5</v>
      </c>
      <c r="G103" s="15">
        <v>16540</v>
      </c>
      <c r="H103" s="15">
        <f t="shared" si="8"/>
        <v>44219</v>
      </c>
      <c r="I103" s="16">
        <f t="shared" si="9"/>
        <v>0.59756494092994694</v>
      </c>
    </row>
    <row r="104" spans="1:9">
      <c r="A104" s="13" t="s">
        <v>206</v>
      </c>
      <c r="B104" s="14" t="s">
        <v>209</v>
      </c>
      <c r="C104" s="15">
        <v>31039</v>
      </c>
      <c r="D104" s="15">
        <v>34240</v>
      </c>
      <c r="E104" s="15">
        <f t="shared" si="6"/>
        <v>3201</v>
      </c>
      <c r="F104" s="16">
        <f t="shared" si="7"/>
        <v>0.10312832243306808</v>
      </c>
      <c r="G104" s="15">
        <v>33219</v>
      </c>
      <c r="H104" s="15">
        <f t="shared" si="8"/>
        <v>67459</v>
      </c>
      <c r="I104" s="16">
        <f t="shared" si="9"/>
        <v>0.97018107476635518</v>
      </c>
    </row>
    <row r="105" spans="1:9" ht="15">
      <c r="A105" s="9" t="s">
        <v>210</v>
      </c>
      <c r="B105" s="17" t="s">
        <v>211</v>
      </c>
      <c r="C105" s="10">
        <f>SUM(C106:C108)</f>
        <v>35684</v>
      </c>
      <c r="D105" s="10">
        <f>SUM(D106:D108)</f>
        <v>37766</v>
      </c>
      <c r="E105" s="10">
        <f t="shared" si="6"/>
        <v>2082</v>
      </c>
      <c r="F105" s="12">
        <f t="shared" si="7"/>
        <v>5.8345476964465869E-2</v>
      </c>
      <c r="G105" s="10">
        <f>SUM(G106:G108)</f>
        <v>21183</v>
      </c>
      <c r="H105" s="10">
        <f t="shared" si="8"/>
        <v>58949</v>
      </c>
      <c r="I105" s="12">
        <f t="shared" si="9"/>
        <v>0.56090133982947621</v>
      </c>
    </row>
    <row r="106" spans="1:9">
      <c r="A106" s="13" t="s">
        <v>212</v>
      </c>
      <c r="B106" s="14" t="s">
        <v>215</v>
      </c>
      <c r="C106" s="15">
        <v>15685</v>
      </c>
      <c r="D106" s="15">
        <v>16612</v>
      </c>
      <c r="E106" s="15">
        <f t="shared" si="6"/>
        <v>927</v>
      </c>
      <c r="F106" s="16">
        <f t="shared" si="7"/>
        <v>5.9101051960471787E-2</v>
      </c>
      <c r="G106" s="15">
        <v>8689</v>
      </c>
      <c r="H106" s="15">
        <f t="shared" si="8"/>
        <v>25301</v>
      </c>
      <c r="I106" s="16">
        <f t="shared" si="9"/>
        <v>0.52305562244160853</v>
      </c>
    </row>
    <row r="107" spans="1:9">
      <c r="A107" s="13" t="s">
        <v>213</v>
      </c>
      <c r="B107" s="14" t="s">
        <v>216</v>
      </c>
      <c r="C107" s="15">
        <v>10813</v>
      </c>
      <c r="D107" s="15">
        <v>11535</v>
      </c>
      <c r="E107" s="15">
        <f t="shared" si="6"/>
        <v>722</v>
      </c>
      <c r="F107" s="16">
        <f t="shared" si="7"/>
        <v>6.6771478775547954E-2</v>
      </c>
      <c r="G107" s="15">
        <v>6318</v>
      </c>
      <c r="H107" s="15">
        <f t="shared" si="8"/>
        <v>17853</v>
      </c>
      <c r="I107" s="16">
        <f t="shared" si="9"/>
        <v>0.54772431729518856</v>
      </c>
    </row>
    <row r="108" spans="1:9">
      <c r="A108" s="13" t="s">
        <v>214</v>
      </c>
      <c r="B108" s="14" t="s">
        <v>217</v>
      </c>
      <c r="C108" s="15">
        <v>9186</v>
      </c>
      <c r="D108" s="15">
        <v>9619</v>
      </c>
      <c r="E108" s="15">
        <f t="shared" si="6"/>
        <v>433</v>
      </c>
      <c r="F108" s="16">
        <f t="shared" si="7"/>
        <v>4.7136947528848248E-2</v>
      </c>
      <c r="G108" s="15">
        <v>6176</v>
      </c>
      <c r="H108" s="15">
        <f t="shared" si="8"/>
        <v>15795</v>
      </c>
      <c r="I108" s="16">
        <f t="shared" si="9"/>
        <v>0.64206258446823994</v>
      </c>
    </row>
    <row r="109" spans="1:9" ht="15">
      <c r="A109" s="9" t="s">
        <v>218</v>
      </c>
      <c r="B109" s="11" t="s">
        <v>220</v>
      </c>
      <c r="C109" s="10">
        <f>SUM(C110:C111)</f>
        <v>26408</v>
      </c>
      <c r="D109" s="10">
        <f>SUM(D110:D111)</f>
        <v>26490</v>
      </c>
      <c r="E109" s="10">
        <f t="shared" si="6"/>
        <v>82</v>
      </c>
      <c r="F109" s="12">
        <f t="shared" si="7"/>
        <v>3.105119660708876E-3</v>
      </c>
      <c r="G109" s="10">
        <f>SUM(G110:G111)</f>
        <v>15930</v>
      </c>
      <c r="H109" s="10">
        <f t="shared" si="8"/>
        <v>42420</v>
      </c>
      <c r="I109" s="12">
        <f t="shared" si="9"/>
        <v>0.60135900339750847</v>
      </c>
    </row>
    <row r="110" spans="1:9">
      <c r="A110" s="13" t="s">
        <v>221</v>
      </c>
      <c r="B110" s="14" t="s">
        <v>223</v>
      </c>
      <c r="C110" s="15">
        <v>17057</v>
      </c>
      <c r="D110" s="15">
        <v>17055</v>
      </c>
      <c r="E110" s="15">
        <f t="shared" si="6"/>
        <v>-2</v>
      </c>
      <c r="F110" s="16">
        <f t="shared" si="7"/>
        <v>-1.1725391334935803E-4</v>
      </c>
      <c r="G110" s="15">
        <v>10119</v>
      </c>
      <c r="H110" s="15">
        <f t="shared" si="8"/>
        <v>27174</v>
      </c>
      <c r="I110" s="16">
        <f t="shared" si="9"/>
        <v>0.59331574318381708</v>
      </c>
    </row>
    <row r="111" spans="1:9">
      <c r="A111" s="13" t="s">
        <v>222</v>
      </c>
      <c r="B111" s="14" t="s">
        <v>224</v>
      </c>
      <c r="C111" s="15">
        <v>9351</v>
      </c>
      <c r="D111" s="15">
        <v>9435</v>
      </c>
      <c r="E111" s="15">
        <f t="shared" si="6"/>
        <v>84</v>
      </c>
      <c r="F111" s="16">
        <f t="shared" si="7"/>
        <v>8.9829964709656727E-3</v>
      </c>
      <c r="G111" s="15">
        <v>5811</v>
      </c>
      <c r="H111" s="15">
        <f t="shared" si="8"/>
        <v>15246</v>
      </c>
      <c r="I111" s="16">
        <f t="shared" si="9"/>
        <v>0.61589825119236885</v>
      </c>
    </row>
    <row r="112" spans="1:9" ht="15">
      <c r="A112" s="9" t="s">
        <v>219</v>
      </c>
      <c r="B112" s="11" t="s">
        <v>225</v>
      </c>
      <c r="C112" s="10">
        <f>SUM(C113:C114)</f>
        <v>21297</v>
      </c>
      <c r="D112" s="10">
        <f>SUM(D113:D114)</f>
        <v>21649</v>
      </c>
      <c r="E112" s="10">
        <f t="shared" si="6"/>
        <v>352</v>
      </c>
      <c r="F112" s="12">
        <f t="shared" si="7"/>
        <v>1.6528149504625063E-2</v>
      </c>
      <c r="G112" s="10">
        <f>SUM(G113:G114)</f>
        <v>12091</v>
      </c>
      <c r="H112" s="10">
        <f t="shared" si="8"/>
        <v>33740</v>
      </c>
      <c r="I112" s="12">
        <f t="shared" si="9"/>
        <v>0.558501547415585</v>
      </c>
    </row>
    <row r="113" spans="1:9">
      <c r="A113" s="13" t="s">
        <v>226</v>
      </c>
      <c r="B113" s="14" t="s">
        <v>228</v>
      </c>
      <c r="C113" s="15">
        <v>8151</v>
      </c>
      <c r="D113" s="15">
        <v>8552</v>
      </c>
      <c r="E113" s="15">
        <f t="shared" si="6"/>
        <v>401</v>
      </c>
      <c r="F113" s="16">
        <f t="shared" si="7"/>
        <v>4.9196417617470248E-2</v>
      </c>
      <c r="G113" s="15">
        <v>5197</v>
      </c>
      <c r="H113" s="15">
        <f t="shared" si="8"/>
        <v>13749</v>
      </c>
      <c r="I113" s="16">
        <f t="shared" si="9"/>
        <v>0.60769410664172119</v>
      </c>
    </row>
    <row r="114" spans="1:9">
      <c r="A114" s="13" t="s">
        <v>227</v>
      </c>
      <c r="B114" s="14" t="s">
        <v>229</v>
      </c>
      <c r="C114" s="15">
        <v>13146</v>
      </c>
      <c r="D114" s="15">
        <v>13097</v>
      </c>
      <c r="E114" s="15">
        <f t="shared" si="6"/>
        <v>-49</v>
      </c>
      <c r="F114" s="16">
        <f t="shared" si="7"/>
        <v>-3.7273695420660278E-3</v>
      </c>
      <c r="G114" s="15">
        <v>6894</v>
      </c>
      <c r="H114" s="15">
        <f t="shared" si="8"/>
        <v>19991</v>
      </c>
      <c r="I114" s="16">
        <f t="shared" si="9"/>
        <v>0.52638008704283423</v>
      </c>
    </row>
    <row r="117" spans="1:9" ht="15">
      <c r="C117" s="9" t="s">
        <v>230</v>
      </c>
      <c r="D117" s="9" t="s">
        <v>232</v>
      </c>
      <c r="E117" s="9" t="s">
        <v>234</v>
      </c>
      <c r="F117" s="9" t="s">
        <v>233</v>
      </c>
      <c r="G117" s="10" t="s">
        <v>2</v>
      </c>
      <c r="H117" s="10" t="s">
        <v>231</v>
      </c>
      <c r="I117" s="10" t="s">
        <v>233</v>
      </c>
    </row>
    <row r="118" spans="1:9" ht="15">
      <c r="A118" s="19"/>
      <c r="B118" s="20" t="s">
        <v>235</v>
      </c>
      <c r="C118" s="21">
        <f>C2+C5+C9+C13+C17+C21+C25+C29+C33+C37+C41+C45+C48+C52+C56+C59+C62+C65+C68+C71+C74+C78+C82+C85+C89+C93+C98+C101+C105+C109+C112</f>
        <v>1220939</v>
      </c>
      <c r="D118" s="22">
        <f>D2+D5+D9+D13+D17+D21+D25+D29+D33+D37+D41+D45+D48+D52+D56+D59+D62+D65+D68+D71+D74+D78+D82+D85+D89+D93+D98+D101+D105+D109+D112</f>
        <v>1259252</v>
      </c>
      <c r="E118" s="10">
        <f t="shared" ref="E118" si="10">D118-C118</f>
        <v>38313</v>
      </c>
      <c r="F118" s="12">
        <f t="shared" ref="F118" si="11">E118/C118</f>
        <v>3.1379946090672836E-2</v>
      </c>
      <c r="G118" s="21">
        <f>G2+G5+G9+G13+G17+G21+G25+G29+G33+G37+G41+G45+G48+G52+G56+G59+G62+G65+G68+G71+G74+G78+G82+G85+G89+G93+G98+G101+G105+G109+G112</f>
        <v>674732</v>
      </c>
      <c r="H118" s="22">
        <f>H2+H5+H9+H13+H17+H21+H25+H29+H33+H37+H41+H45+H48+H52+H56+H59+H62+H65+H68+H71+H74+H78+H82+H85+H89+H93+H98+H101+H105+H109+H112</f>
        <v>1933984</v>
      </c>
      <c r="I118" s="12">
        <f>(H118-D118)/D118</f>
        <v>0.53581967707813849</v>
      </c>
    </row>
  </sheetData>
  <conditionalFormatting sqref="E2:E114">
    <cfRule type="cellIs" dxfId="260" priority="8" operator="greaterThan">
      <formula>0</formula>
    </cfRule>
    <cfRule type="cellIs" dxfId="259" priority="9" operator="lessThan">
      <formula>0</formula>
    </cfRule>
  </conditionalFormatting>
  <conditionalFormatting sqref="F2:F114">
    <cfRule type="cellIs" dxfId="258" priority="10" operator="greaterThan">
      <formula>0</formula>
    </cfRule>
    <cfRule type="cellIs" dxfId="257" priority="11" operator="lessThan">
      <formula>0</formula>
    </cfRule>
  </conditionalFormatting>
  <conditionalFormatting sqref="I2:I114">
    <cfRule type="colorScale" priority="6">
      <colorScale>
        <cfvo type="percent" val="0"/>
        <cfvo type="percentile" val="50"/>
        <cfvo type="percent" val="100"/>
        <color rgb="FFFFCCCC"/>
        <color rgb="FFFFEB84"/>
        <color rgb="FF63BE7B"/>
      </colorScale>
    </cfRule>
  </conditionalFormatting>
  <conditionalFormatting sqref="E118">
    <cfRule type="cellIs" dxfId="256" priority="4" operator="greaterThan">
      <formula>0</formula>
    </cfRule>
    <cfRule type="cellIs" dxfId="255" priority="5" operator="lessThan">
      <formula>0</formula>
    </cfRule>
  </conditionalFormatting>
  <conditionalFormatting sqref="F118">
    <cfRule type="cellIs" dxfId="254" priority="2" operator="greaterThan">
      <formula>0</formula>
    </cfRule>
    <cfRule type="cellIs" dxfId="253" priority="3" operator="lessThan">
      <formula>0</formula>
    </cfRule>
  </conditionalFormatting>
  <conditionalFormatting sqref="I118">
    <cfRule type="colorScale" priority="1">
      <colorScale>
        <cfvo type="percent" val="0"/>
        <cfvo type="percentile" val="50"/>
        <cfvo type="percent" val="100"/>
        <color rgb="FFFFCCCC"/>
        <color rgb="FFFFEB84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5FF8-6B81-4176-A760-2620F85320BD}">
  <dimension ref="A1:AV133"/>
  <sheetViews>
    <sheetView showZeros="0" workbookViewId="0">
      <pane xSplit="2" ySplit="2" topLeftCell="I51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RowHeight="14.25"/>
  <cols>
    <col min="1" max="1" width="5.75" style="24" customWidth="1"/>
    <col min="2" max="2" width="19.375" style="23" customWidth="1"/>
    <col min="3" max="3" width="11.25" style="23" customWidth="1"/>
    <col min="4" max="5" width="6.75" style="23" customWidth="1"/>
    <col min="6" max="6" width="10.5" style="23" customWidth="1"/>
    <col min="7" max="7" width="12.125" style="23" bestFit="1" customWidth="1"/>
    <col min="8" max="8" width="11" style="23" customWidth="1"/>
    <col min="9" max="9" width="12.25" style="23" customWidth="1"/>
    <col min="10" max="10" width="11" style="24" customWidth="1"/>
    <col min="11" max="11" width="14" style="24" customWidth="1"/>
    <col min="12" max="12" width="13.25" style="24" customWidth="1"/>
    <col min="13" max="13" width="14" style="24" customWidth="1"/>
    <col min="14" max="14" width="16.75" style="24" customWidth="1"/>
    <col min="15" max="15" width="9" style="24" customWidth="1"/>
    <col min="16" max="16" width="12" style="24" customWidth="1"/>
    <col min="17" max="18" width="10.75" style="24" customWidth="1"/>
    <col min="19" max="19" width="7.25" style="24" customWidth="1"/>
    <col min="20" max="20" width="8" style="24" customWidth="1"/>
    <col min="21" max="21" width="9.5" style="24" customWidth="1"/>
    <col min="22" max="22" width="10.75" style="24" customWidth="1"/>
    <col min="23" max="23" width="6.25" style="24" customWidth="1"/>
    <col min="24" max="24" width="8" style="24" customWidth="1"/>
    <col min="25" max="25" width="9" style="24" bestFit="1" customWidth="1"/>
    <col min="26" max="26" width="10.875" style="24" customWidth="1"/>
    <col min="27" max="27" width="6.25" style="24" customWidth="1"/>
    <col min="28" max="28" width="8" style="24" customWidth="1"/>
    <col min="29" max="29" width="9" style="24" bestFit="1" customWidth="1"/>
    <col min="30" max="30" width="10.75" style="24" customWidth="1"/>
    <col min="31" max="31" width="6.25" style="24" customWidth="1"/>
    <col min="32" max="32" width="8" style="24" customWidth="1"/>
    <col min="33" max="33" width="9" style="23" bestFit="1" customWidth="1"/>
    <col min="34" max="34" width="10.75" style="23" customWidth="1"/>
    <col min="35" max="36" width="9" style="23"/>
    <col min="37" max="37" width="8.375" style="23" bestFit="1" customWidth="1"/>
    <col min="38" max="38" width="10.75" style="23" customWidth="1"/>
    <col min="39" max="40" width="9" style="23"/>
    <col min="41" max="41" width="8.375" style="23" bestFit="1" customWidth="1"/>
    <col min="42" max="42" width="9.5" style="23" bestFit="1" customWidth="1"/>
    <col min="43" max="44" width="9" style="23"/>
    <col min="45" max="45" width="8.375" style="23" bestFit="1" customWidth="1"/>
    <col min="46" max="46" width="9.5" style="23" bestFit="1" customWidth="1"/>
    <col min="47" max="16384" width="9" style="23"/>
  </cols>
  <sheetData>
    <row r="1" spans="1:48" ht="15">
      <c r="A1" s="84" t="s">
        <v>0</v>
      </c>
      <c r="B1" s="84" t="s">
        <v>1</v>
      </c>
      <c r="C1" s="85" t="s">
        <v>275</v>
      </c>
      <c r="D1" s="85" t="s">
        <v>276</v>
      </c>
      <c r="E1" s="85" t="s">
        <v>277</v>
      </c>
      <c r="F1" s="85" t="s">
        <v>278</v>
      </c>
      <c r="G1" s="85" t="s">
        <v>281</v>
      </c>
      <c r="H1" s="85" t="s">
        <v>279</v>
      </c>
      <c r="I1" s="85" t="s">
        <v>280</v>
      </c>
      <c r="J1" s="85" t="s">
        <v>261</v>
      </c>
      <c r="K1" s="85" t="s">
        <v>264</v>
      </c>
      <c r="L1" s="85" t="s">
        <v>262</v>
      </c>
      <c r="M1" s="85" t="s">
        <v>265</v>
      </c>
      <c r="N1" s="85" t="s">
        <v>268</v>
      </c>
      <c r="O1" s="85" t="s">
        <v>263</v>
      </c>
      <c r="P1" s="85" t="s">
        <v>257</v>
      </c>
      <c r="Q1" s="84" t="s">
        <v>260</v>
      </c>
      <c r="R1" s="84"/>
      <c r="S1" s="84"/>
      <c r="T1" s="84"/>
      <c r="U1" s="84" t="s">
        <v>259</v>
      </c>
      <c r="V1" s="84"/>
      <c r="W1" s="84"/>
      <c r="X1" s="84"/>
      <c r="Y1" s="84" t="s">
        <v>266</v>
      </c>
      <c r="Z1" s="84"/>
      <c r="AA1" s="84"/>
      <c r="AB1" s="84"/>
      <c r="AC1" s="84" t="s">
        <v>267</v>
      </c>
      <c r="AD1" s="84"/>
      <c r="AE1" s="84"/>
      <c r="AF1" s="84"/>
      <c r="AG1" s="84" t="s">
        <v>273</v>
      </c>
      <c r="AH1" s="84"/>
      <c r="AI1" s="84"/>
      <c r="AJ1" s="84"/>
      <c r="AK1" s="84" t="s">
        <v>286</v>
      </c>
      <c r="AL1" s="84"/>
      <c r="AM1" s="84"/>
      <c r="AN1" s="84"/>
      <c r="AO1" s="84" t="s">
        <v>285</v>
      </c>
      <c r="AP1" s="84"/>
      <c r="AQ1" s="84"/>
      <c r="AR1" s="84"/>
      <c r="AS1" s="84" t="s">
        <v>284</v>
      </c>
      <c r="AT1" s="84"/>
      <c r="AU1" s="84"/>
      <c r="AV1" s="84"/>
    </row>
    <row r="2" spans="1:48" s="25" customFormat="1" ht="30">
      <c r="A2" s="84"/>
      <c r="B2" s="84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9" t="s">
        <v>236</v>
      </c>
      <c r="R2" s="9" t="s">
        <v>237</v>
      </c>
      <c r="S2" s="9" t="s">
        <v>256</v>
      </c>
      <c r="T2" s="9" t="s">
        <v>258</v>
      </c>
      <c r="U2" s="9" t="s">
        <v>236</v>
      </c>
      <c r="V2" s="9" t="s">
        <v>237</v>
      </c>
      <c r="W2" s="9" t="s">
        <v>256</v>
      </c>
      <c r="X2" s="9" t="s">
        <v>258</v>
      </c>
      <c r="Y2" s="9" t="s">
        <v>236</v>
      </c>
      <c r="Z2" s="9" t="s">
        <v>237</v>
      </c>
      <c r="AA2" s="9" t="s">
        <v>256</v>
      </c>
      <c r="AB2" s="9" t="s">
        <v>258</v>
      </c>
      <c r="AC2" s="9" t="s">
        <v>236</v>
      </c>
      <c r="AD2" s="9" t="s">
        <v>237</v>
      </c>
      <c r="AE2" s="9" t="s">
        <v>256</v>
      </c>
      <c r="AF2" s="9" t="s">
        <v>258</v>
      </c>
      <c r="AG2" s="9" t="s">
        <v>236</v>
      </c>
      <c r="AH2" s="9" t="s">
        <v>237</v>
      </c>
      <c r="AI2" s="9" t="s">
        <v>256</v>
      </c>
      <c r="AJ2" s="9" t="s">
        <v>258</v>
      </c>
      <c r="AK2" s="27" t="s">
        <v>236</v>
      </c>
      <c r="AL2" s="27" t="s">
        <v>237</v>
      </c>
      <c r="AM2" s="27" t="s">
        <v>256</v>
      </c>
      <c r="AN2" s="27" t="s">
        <v>258</v>
      </c>
      <c r="AO2" s="27" t="s">
        <v>236</v>
      </c>
      <c r="AP2" s="27" t="s">
        <v>237</v>
      </c>
      <c r="AQ2" s="27" t="s">
        <v>256</v>
      </c>
      <c r="AR2" s="27" t="s">
        <v>258</v>
      </c>
      <c r="AS2" s="27" t="s">
        <v>236</v>
      </c>
      <c r="AT2" s="27" t="s">
        <v>237</v>
      </c>
      <c r="AU2" s="27" t="s">
        <v>256</v>
      </c>
      <c r="AV2" s="27" t="s">
        <v>258</v>
      </c>
    </row>
    <row r="3" spans="1:48">
      <c r="A3" s="13" t="s">
        <v>5</v>
      </c>
      <c r="B3" s="14" t="s">
        <v>6</v>
      </c>
      <c r="C3" s="37">
        <f>('ETNIK 2021'!E2+'ETNIK 2021'!M2)/'ETNIK 2021'!D2</f>
        <v>4.0658192582274072E-2</v>
      </c>
      <c r="D3" s="37">
        <f>'ETNIK 2021'!F2/'ETNIK 2021'!D2</f>
        <v>6.9998258749782341E-2</v>
      </c>
      <c r="E3" s="37">
        <f>'ETNIK 2021'!L2/'ETNIK 2021'!D2</f>
        <v>7.9575134946891862E-2</v>
      </c>
      <c r="F3" s="37">
        <f>'ETNIK 2021'!K2/'ETNIK 2021'!D2</f>
        <v>0.69371408671426082</v>
      </c>
      <c r="G3" s="37">
        <f>('ETNIK 2021'!J2+'ETNIK 2021'!N2)/'ETNIK 2021'!D2</f>
        <v>0.10961170120146264</v>
      </c>
      <c r="H3" s="37">
        <f>1-C3-D3-E3-F3-G3</f>
        <v>6.4426258053282143E-3</v>
      </c>
      <c r="I3" s="13" t="str">
        <f>IF(C3&gt;0.5,"MELAYU / MELANAU",IF(D3&gt;0.5,"CINA",IF(E3&gt;0.5,"IBAN",IF(F3&gt;0.5,"BIDAYUH",IF(G3&gt;0.5,"ORANG ULU",IF(H3&gt;0.5,"LAIN-LAIN","MIXED"))))))</f>
        <v>BIDAYUH</v>
      </c>
      <c r="J3" s="15">
        <f>S3-W3</f>
        <v>1689</v>
      </c>
      <c r="K3" s="15">
        <f>'UMUR 2021'!W3</f>
        <v>11436</v>
      </c>
      <c r="L3" s="16">
        <f>M3/K3</f>
        <v>0.6958726827562085</v>
      </c>
      <c r="M3" s="15">
        <f>'UMUR 2021'!Y3</f>
        <v>7958</v>
      </c>
      <c r="N3" s="15">
        <f>'UMUR 2021'!Z3</f>
        <v>23</v>
      </c>
      <c r="O3" s="15">
        <f>'UMUR 2021'!AA3</f>
        <v>112</v>
      </c>
      <c r="P3" s="15">
        <f>'UMUR 2021'!AB3</f>
        <v>7823</v>
      </c>
      <c r="Q3" s="29" t="str">
        <f>'UMUR 2021'!AC3</f>
        <v>SUPP</v>
      </c>
      <c r="R3" s="29" t="str">
        <f>'UMUR 2021'!AD3</f>
        <v>GPS</v>
      </c>
      <c r="S3" s="33">
        <f>'UMUR 2021'!AE3</f>
        <v>3659</v>
      </c>
      <c r="T3" s="34">
        <f>'UMUR 2021'!AF3</f>
        <v>0.46772337977757894</v>
      </c>
      <c r="U3" s="29" t="str">
        <f>'UMUR 2021'!AG3</f>
        <v>PSB</v>
      </c>
      <c r="V3" s="29" t="str">
        <f>'UMUR 2021'!AH3</f>
        <v>PSB</v>
      </c>
      <c r="W3" s="33">
        <f>'UMUR 2021'!AI3</f>
        <v>1970</v>
      </c>
      <c r="X3" s="34">
        <f>'UMUR 2021'!AJ3</f>
        <v>0.25182155183433463</v>
      </c>
      <c r="Y3" s="29" t="str">
        <f>'UMUR 2021'!AK3</f>
        <v>PBK</v>
      </c>
      <c r="Z3" s="29" t="str">
        <f>'UMUR 2021'!AL3</f>
        <v>LAIN-LAIN</v>
      </c>
      <c r="AA3" s="33">
        <f>'UMUR 2021'!AM3</f>
        <v>1487</v>
      </c>
      <c r="AB3" s="34">
        <f>IF(AA3&lt;&gt;"",AA3/P3,"")</f>
        <v>0.19008053176530743</v>
      </c>
      <c r="AC3" s="29" t="str">
        <f>'UMUR 2021'!AO3</f>
        <v>PKR</v>
      </c>
      <c r="AD3" s="29" t="str">
        <f>'UMUR 2021'!AP3</f>
        <v>PH</v>
      </c>
      <c r="AE3" s="33">
        <f>'UMUR 2021'!AQ3</f>
        <v>327</v>
      </c>
      <c r="AF3" s="34">
        <f>'UMUR 2021'!AR3</f>
        <v>4.1799821040521538E-2</v>
      </c>
      <c r="AG3" s="29" t="str">
        <f>'UMUR 2021'!AS3</f>
        <v>PBDSB</v>
      </c>
      <c r="AH3" s="29" t="str">
        <f>'UMUR 2021'!AT3</f>
        <v>LAIN-LAIN</v>
      </c>
      <c r="AI3" s="33">
        <f>'UMUR 2021'!AU3</f>
        <v>220</v>
      </c>
      <c r="AJ3" s="34">
        <f>'UMUR 2021'!AV3</f>
        <v>2.8122203758149049E-2</v>
      </c>
      <c r="AK3" s="29" t="str">
        <f>'UMUR 2021'!AW3</f>
        <v>SEDAR</v>
      </c>
      <c r="AL3" s="29" t="str">
        <f>'UMUR 2021'!AX3</f>
        <v>LAIN-LAIN</v>
      </c>
      <c r="AM3" s="33">
        <f>'UMUR 2021'!AY3</f>
        <v>160</v>
      </c>
      <c r="AN3" s="34">
        <f>'UMUR 2021'!AZ3</f>
        <v>2.0452511824108399E-2</v>
      </c>
      <c r="AO3" s="29">
        <f>'UMUR 2021'!BA3</f>
        <v>0</v>
      </c>
      <c r="AP3" s="29" t="str">
        <f>'UMUR 2021'!BB3</f>
        <v/>
      </c>
      <c r="AQ3" s="33">
        <f>'UMUR 2021'!BC3</f>
        <v>0</v>
      </c>
      <c r="AR3" s="34" t="str">
        <f>'UMUR 2021'!BD3</f>
        <v/>
      </c>
      <c r="AS3" s="29">
        <f>'UMUR 2021'!BE3</f>
        <v>0</v>
      </c>
      <c r="AT3" s="29" t="str">
        <f>'UMUR 2021'!BF3</f>
        <v/>
      </c>
      <c r="AU3" s="33">
        <f>'UMUR 2021'!BG3</f>
        <v>0</v>
      </c>
      <c r="AV3" s="34" t="str">
        <f>'UMUR 2021'!BH3</f>
        <v/>
      </c>
    </row>
    <row r="4" spans="1:48">
      <c r="A4" s="13" t="s">
        <v>8</v>
      </c>
      <c r="B4" s="14" t="s">
        <v>7</v>
      </c>
      <c r="C4" s="37">
        <f>('ETNIK 2021'!E3+'ETNIK 2021'!M3)/'ETNIK 2021'!D3</f>
        <v>6.8320671518886475E-2</v>
      </c>
      <c r="D4" s="37">
        <f>'ETNIK 2021'!F3/'ETNIK 2021'!D3</f>
        <v>0.23752855549062318</v>
      </c>
      <c r="E4" s="37">
        <f>'ETNIK 2021'!L3/'ETNIK 2021'!D3</f>
        <v>2.6403867608776495E-2</v>
      </c>
      <c r="F4" s="37">
        <f>'ETNIK 2021'!K3/'ETNIK 2021'!D3</f>
        <v>0.59347606651437068</v>
      </c>
      <c r="G4" s="37">
        <f>('ETNIK 2021'!J3+'ETNIK 2021'!N3)/'ETNIK 2021'!D3</f>
        <v>6.6780003187589657E-2</v>
      </c>
      <c r="H4" s="37">
        <f t="shared" ref="H4:H67" si="0">1-C4-D4-E4-F4-G4</f>
        <v>7.4908356797535464E-3</v>
      </c>
      <c r="I4" s="13" t="str">
        <f t="shared" ref="I4:I67" si="1">IF(C4&gt;0.5,"MELAYU / MELANAU",IF(D4&gt;0.5,"CINA",IF(E4&gt;0.5,"IBAN",IF(F4&gt;0.5,"BIDAYUH",IF(G4&gt;0.5,"ORANG ULU",IF(H4&gt;0.5,"LAIN-LAIN","MIXED"))))))</f>
        <v>BIDAYUH</v>
      </c>
      <c r="J4" s="15">
        <f t="shared" ref="J4:J67" si="2">S4-W4</f>
        <v>4212</v>
      </c>
      <c r="K4" s="15">
        <f>'UMUR 2021'!W4</f>
        <v>18715</v>
      </c>
      <c r="L4" s="16">
        <f t="shared" ref="L4:L67" si="3">M4/K4</f>
        <v>0.64135720010686614</v>
      </c>
      <c r="M4" s="15">
        <f>'UMUR 2021'!Y4</f>
        <v>12003</v>
      </c>
      <c r="N4" s="15">
        <f>'UMUR 2021'!Z4</f>
        <v>32</v>
      </c>
      <c r="O4" s="15">
        <f>'UMUR 2021'!AA4</f>
        <v>194</v>
      </c>
      <c r="P4" s="33">
        <f t="shared" ref="P4:P67" si="4">M4-N4-O4</f>
        <v>11777</v>
      </c>
      <c r="Q4" s="29" t="str">
        <f>'UMUR 2021'!AC4</f>
        <v>PDP</v>
      </c>
      <c r="R4" s="29" t="str">
        <f>'UMUR 2021'!AD4</f>
        <v>GPS</v>
      </c>
      <c r="S4" s="33">
        <f>'UMUR 2021'!AE4</f>
        <v>6325</v>
      </c>
      <c r="T4" s="34">
        <f>'UMUR 2021'!AF4</f>
        <v>0.5370637683620616</v>
      </c>
      <c r="U4" s="29" t="str">
        <f>'UMUR 2021'!AG4</f>
        <v>PBK</v>
      </c>
      <c r="V4" s="29" t="str">
        <f>'UMUR 2021'!AH4</f>
        <v>LAIN-LAIN</v>
      </c>
      <c r="W4" s="33">
        <f>'UMUR 2021'!AI4</f>
        <v>2113</v>
      </c>
      <c r="X4" s="34">
        <f>'UMUR 2021'!AJ4</f>
        <v>0.17941750870340495</v>
      </c>
      <c r="Y4" s="29" t="str">
        <f>'UMUR 2021'!AK4</f>
        <v>PSB</v>
      </c>
      <c r="Z4" s="29" t="str">
        <f>'UMUR 2021'!AL4</f>
        <v>PSB</v>
      </c>
      <c r="AA4" s="33">
        <f>'UMUR 2021'!AM4</f>
        <v>1980</v>
      </c>
      <c r="AB4" s="34">
        <f t="shared" ref="AB4:AB67" si="5">IF(AA4&lt;&gt;"",AA4/P4,"")</f>
        <v>0.16812431009594972</v>
      </c>
      <c r="AC4" s="29" t="str">
        <f>'UMUR 2021'!AO4</f>
        <v>DAP</v>
      </c>
      <c r="AD4" s="29" t="str">
        <f>'UMUR 2021'!AP4</f>
        <v>PH</v>
      </c>
      <c r="AE4" s="33">
        <f>'UMUR 2021'!AQ4</f>
        <v>1359</v>
      </c>
      <c r="AF4" s="34">
        <f>'UMUR 2021'!AR4</f>
        <v>0.11539441283858368</v>
      </c>
      <c r="AG4" s="29">
        <f>'UMUR 2021'!AS4</f>
        <v>0</v>
      </c>
      <c r="AH4" s="29" t="str">
        <f>'UMUR 2021'!AT4</f>
        <v/>
      </c>
      <c r="AI4" s="33">
        <f>'UMUR 2021'!AU4</f>
        <v>0</v>
      </c>
      <c r="AJ4" s="34" t="str">
        <f>'UMUR 2021'!AV4</f>
        <v/>
      </c>
      <c r="AK4" s="29">
        <f>'UMUR 2021'!AW4</f>
        <v>0</v>
      </c>
      <c r="AL4" s="29" t="str">
        <f>'UMUR 2021'!AX4</f>
        <v/>
      </c>
      <c r="AM4" s="33">
        <f>'UMUR 2021'!AY4</f>
        <v>0</v>
      </c>
      <c r="AN4" s="34" t="str">
        <f>'UMUR 2021'!AZ4</f>
        <v/>
      </c>
      <c r="AO4" s="29">
        <f>'UMUR 2021'!BA4</f>
        <v>0</v>
      </c>
      <c r="AP4" s="29" t="str">
        <f>'UMUR 2021'!BB4</f>
        <v/>
      </c>
      <c r="AQ4" s="33">
        <f>'UMUR 2021'!BC4</f>
        <v>0</v>
      </c>
      <c r="AR4" s="34" t="str">
        <f>'UMUR 2021'!BD4</f>
        <v/>
      </c>
      <c r="AS4" s="29">
        <f>'UMUR 2021'!BE4</f>
        <v>0</v>
      </c>
      <c r="AT4" s="29" t="str">
        <f>'UMUR 2021'!BF4</f>
        <v/>
      </c>
      <c r="AU4" s="33">
        <f>'UMUR 2021'!BG4</f>
        <v>0</v>
      </c>
      <c r="AV4" s="34" t="str">
        <f>'UMUR 2021'!BH4</f>
        <v/>
      </c>
    </row>
    <row r="5" spans="1:48" ht="28.5">
      <c r="A5" s="13" t="s">
        <v>12</v>
      </c>
      <c r="B5" s="14" t="s">
        <v>15</v>
      </c>
      <c r="C5" s="37">
        <f>('ETNIK 2021'!E4+'ETNIK 2021'!M4)/'ETNIK 2021'!D4</f>
        <v>0.53823298086166216</v>
      </c>
      <c r="D5" s="37">
        <f>'ETNIK 2021'!F4/'ETNIK 2021'!D4</f>
        <v>0.17032246788429609</v>
      </c>
      <c r="E5" s="37">
        <f>'ETNIK 2021'!L4/'ETNIK 2021'!D4</f>
        <v>0.15424276850476273</v>
      </c>
      <c r="F5" s="37">
        <f>'ETNIK 2021'!K4/'ETNIK 2021'!D4</f>
        <v>8.6865332517696403E-2</v>
      </c>
      <c r="G5" s="37">
        <f>('ETNIK 2021'!J4+'ETNIK 2021'!N4)/'ETNIK 2021'!D4</f>
        <v>4.6666084068863058E-2</v>
      </c>
      <c r="H5" s="37">
        <f t="shared" si="0"/>
        <v>3.6703661627195891E-3</v>
      </c>
      <c r="I5" s="13" t="str">
        <f t="shared" si="1"/>
        <v>MELAYU / MELANAU</v>
      </c>
      <c r="J5" s="15">
        <f t="shared" si="2"/>
        <v>4502</v>
      </c>
      <c r="K5" s="15">
        <f>'UMUR 2021'!W5</f>
        <v>11384</v>
      </c>
      <c r="L5" s="16">
        <f t="shared" si="3"/>
        <v>0.61287772312016864</v>
      </c>
      <c r="M5" s="15">
        <f>'UMUR 2021'!Y5</f>
        <v>6977</v>
      </c>
      <c r="N5" s="15">
        <f>'UMUR 2021'!Z5</f>
        <v>12</v>
      </c>
      <c r="O5" s="15">
        <f>'UMUR 2021'!AA5</f>
        <v>134</v>
      </c>
      <c r="P5" s="33">
        <f t="shared" si="4"/>
        <v>6831</v>
      </c>
      <c r="Q5" s="29" t="str">
        <f>'UMUR 2021'!AC5</f>
        <v>PBB</v>
      </c>
      <c r="R5" s="29" t="str">
        <f>'UMUR 2021'!AD5</f>
        <v>GPS</v>
      </c>
      <c r="S5" s="33">
        <f>'UMUR 2021'!AE5</f>
        <v>5423</v>
      </c>
      <c r="T5" s="34">
        <f>'UMUR 2021'!AF5</f>
        <v>0.7938808373590982</v>
      </c>
      <c r="U5" s="29" t="str">
        <f>'UMUR 2021'!AG5</f>
        <v>PSB</v>
      </c>
      <c r="V5" s="29" t="str">
        <f>'UMUR 2021'!AH5</f>
        <v>PSB</v>
      </c>
      <c r="W5" s="33">
        <f>'UMUR 2021'!AI5</f>
        <v>921</v>
      </c>
      <c r="X5" s="34">
        <f>'UMUR 2021'!AJ5</f>
        <v>0.13482652613087395</v>
      </c>
      <c r="Y5" s="29" t="str">
        <f>'UMUR 2021'!AK5</f>
        <v>BEBAS</v>
      </c>
      <c r="Z5" s="29" t="str">
        <f>'UMUR 2021'!AL5</f>
        <v>BEBAS</v>
      </c>
      <c r="AA5" s="33">
        <f>'UMUR 2021'!AM5</f>
        <v>261</v>
      </c>
      <c r="AB5" s="34">
        <f t="shared" si="5"/>
        <v>3.8208168642951248E-2</v>
      </c>
      <c r="AC5" s="29" t="str">
        <f>'UMUR 2021'!AO5</f>
        <v>PBK</v>
      </c>
      <c r="AD5" s="29" t="str">
        <f>'UMUR 2021'!AP5</f>
        <v>LAIN-LAIN</v>
      </c>
      <c r="AE5" s="33">
        <f>'UMUR 2021'!AQ5</f>
        <v>226</v>
      </c>
      <c r="AF5" s="34">
        <f>'UMUR 2021'!AR5</f>
        <v>3.3084467867076563E-2</v>
      </c>
      <c r="AG5" s="29">
        <f>'UMUR 2021'!AS5</f>
        <v>0</v>
      </c>
      <c r="AH5" s="29" t="str">
        <f>'UMUR 2021'!AT5</f>
        <v/>
      </c>
      <c r="AI5" s="33">
        <f>'UMUR 2021'!AU5</f>
        <v>0</v>
      </c>
      <c r="AJ5" s="34" t="str">
        <f>'UMUR 2021'!AV5</f>
        <v/>
      </c>
      <c r="AK5" s="29">
        <f>'UMUR 2021'!AW5</f>
        <v>0</v>
      </c>
      <c r="AL5" s="29" t="str">
        <f>'UMUR 2021'!AX5</f>
        <v/>
      </c>
      <c r="AM5" s="33">
        <f>'UMUR 2021'!AY5</f>
        <v>0</v>
      </c>
      <c r="AN5" s="34" t="str">
        <f>'UMUR 2021'!AZ5</f>
        <v/>
      </c>
      <c r="AO5" s="29">
        <f>'UMUR 2021'!BA5</f>
        <v>0</v>
      </c>
      <c r="AP5" s="29" t="str">
        <f>'UMUR 2021'!BB5</f>
        <v/>
      </c>
      <c r="AQ5" s="33">
        <f>'UMUR 2021'!BC5</f>
        <v>0</v>
      </c>
      <c r="AR5" s="34" t="str">
        <f>'UMUR 2021'!BD5</f>
        <v/>
      </c>
      <c r="AS5" s="29">
        <f>'UMUR 2021'!BE5</f>
        <v>0</v>
      </c>
      <c r="AT5" s="29" t="str">
        <f>'UMUR 2021'!BF5</f>
        <v/>
      </c>
      <c r="AU5" s="33">
        <f>'UMUR 2021'!BG5</f>
        <v>0</v>
      </c>
      <c r="AV5" s="34" t="str">
        <f>'UMUR 2021'!BH5</f>
        <v/>
      </c>
    </row>
    <row r="6" spans="1:48" ht="28.5">
      <c r="A6" s="13" t="s">
        <v>13</v>
      </c>
      <c r="B6" s="14" t="s">
        <v>16</v>
      </c>
      <c r="C6" s="37">
        <f>('ETNIK 2021'!E5+'ETNIK 2021'!M5)/'ETNIK 2021'!D5</f>
        <v>0.91059554433820322</v>
      </c>
      <c r="D6" s="37">
        <f>'ETNIK 2021'!F5/'ETNIK 2021'!D5</f>
        <v>2.4705140028151239E-2</v>
      </c>
      <c r="E6" s="37">
        <f>'ETNIK 2021'!L5/'ETNIK 2021'!D5</f>
        <v>2.7131971072173956E-2</v>
      </c>
      <c r="F6" s="37">
        <f>'ETNIK 2021'!K5/'ETNIK 2021'!D5</f>
        <v>1.2037081978352668E-2</v>
      </c>
      <c r="G6" s="37">
        <f>('ETNIK 2021'!J5+'ETNIK 2021'!N5)/'ETNIK 2021'!D5</f>
        <v>2.2763675192933069E-2</v>
      </c>
      <c r="H6" s="37">
        <f t="shared" si="0"/>
        <v>2.7665873901858429E-3</v>
      </c>
      <c r="I6" s="13" t="str">
        <f t="shared" si="1"/>
        <v>MELAYU / MELANAU</v>
      </c>
      <c r="J6" s="15">
        <f t="shared" si="2"/>
        <v>8381</v>
      </c>
      <c r="K6" s="15">
        <f>'UMUR 2021'!W6</f>
        <v>20506</v>
      </c>
      <c r="L6" s="16">
        <f t="shared" si="3"/>
        <v>0.64849312396371794</v>
      </c>
      <c r="M6" s="15">
        <f>'UMUR 2021'!Y6</f>
        <v>13298</v>
      </c>
      <c r="N6" s="15">
        <f>'UMUR 2021'!Z6</f>
        <v>101</v>
      </c>
      <c r="O6" s="15">
        <f>'UMUR 2021'!AA6</f>
        <v>180</v>
      </c>
      <c r="P6" s="33">
        <f t="shared" si="4"/>
        <v>13017</v>
      </c>
      <c r="Q6" s="29" t="str">
        <f>'UMUR 2021'!AC6</f>
        <v>PBB</v>
      </c>
      <c r="R6" s="29" t="str">
        <f>'UMUR 2021'!AD6</f>
        <v>GPS</v>
      </c>
      <c r="S6" s="33">
        <f>'UMUR 2021'!AE6</f>
        <v>10699</v>
      </c>
      <c r="T6" s="34">
        <f>'UMUR 2021'!AF6</f>
        <v>0.82192517477145277</v>
      </c>
      <c r="U6" s="29" t="str">
        <f>'UMUR 2021'!AG6</f>
        <v>PSB</v>
      </c>
      <c r="V6" s="29" t="str">
        <f>'UMUR 2021'!AH6</f>
        <v>PSB</v>
      </c>
      <c r="W6" s="33">
        <f>'UMUR 2021'!AI6</f>
        <v>2318</v>
      </c>
      <c r="X6" s="34">
        <f>'UMUR 2021'!AJ6</f>
        <v>0.17807482522854728</v>
      </c>
      <c r="Y6" s="29">
        <f>'UMUR 2021'!AK6</f>
        <v>0</v>
      </c>
      <c r="Z6" s="29" t="str">
        <f>'UMUR 2021'!AL6</f>
        <v/>
      </c>
      <c r="AA6" s="33">
        <f>'UMUR 2021'!AM6</f>
        <v>0</v>
      </c>
      <c r="AB6" s="34">
        <f t="shared" si="5"/>
        <v>0</v>
      </c>
      <c r="AC6" s="29">
        <f>'UMUR 2021'!AO6</f>
        <v>0</v>
      </c>
      <c r="AD6" s="29" t="str">
        <f>'UMUR 2021'!AP6</f>
        <v/>
      </c>
      <c r="AE6" s="33">
        <f>'UMUR 2021'!AQ6</f>
        <v>0</v>
      </c>
      <c r="AF6" s="34" t="str">
        <f>'UMUR 2021'!AR6</f>
        <v/>
      </c>
      <c r="AG6" s="29">
        <f>'UMUR 2021'!AS6</f>
        <v>0</v>
      </c>
      <c r="AH6" s="29" t="str">
        <f>'UMUR 2021'!AT6</f>
        <v/>
      </c>
      <c r="AI6" s="33">
        <f>'UMUR 2021'!AU6</f>
        <v>0</v>
      </c>
      <c r="AJ6" s="34" t="str">
        <f>'UMUR 2021'!AV6</f>
        <v/>
      </c>
      <c r="AK6" s="29">
        <f>'UMUR 2021'!AW6</f>
        <v>0</v>
      </c>
      <c r="AL6" s="29" t="str">
        <f>'UMUR 2021'!AX6</f>
        <v/>
      </c>
      <c r="AM6" s="33">
        <f>'UMUR 2021'!AY6</f>
        <v>0</v>
      </c>
      <c r="AN6" s="34" t="str">
        <f>'UMUR 2021'!AZ6</f>
        <v/>
      </c>
      <c r="AO6" s="29">
        <f>'UMUR 2021'!BA6</f>
        <v>0</v>
      </c>
      <c r="AP6" s="29" t="str">
        <f>'UMUR 2021'!BB6</f>
        <v/>
      </c>
      <c r="AQ6" s="33">
        <f>'UMUR 2021'!BC6</f>
        <v>0</v>
      </c>
      <c r="AR6" s="34" t="str">
        <f>'UMUR 2021'!BD6</f>
        <v/>
      </c>
      <c r="AS6" s="29">
        <f>'UMUR 2021'!BE6</f>
        <v>0</v>
      </c>
      <c r="AT6" s="29" t="str">
        <f>'UMUR 2021'!BF6</f>
        <v/>
      </c>
      <c r="AU6" s="33">
        <f>'UMUR 2021'!BG6</f>
        <v>0</v>
      </c>
      <c r="AV6" s="34" t="str">
        <f>'UMUR 2021'!BH6</f>
        <v/>
      </c>
    </row>
    <row r="7" spans="1:48" ht="28.5">
      <c r="A7" s="13" t="s">
        <v>14</v>
      </c>
      <c r="B7" s="14" t="s">
        <v>17</v>
      </c>
      <c r="C7" s="37">
        <f>('ETNIK 2021'!E6+'ETNIK 2021'!M6)/'ETNIK 2021'!D6</f>
        <v>0.88576225654801877</v>
      </c>
      <c r="D7" s="37">
        <f>'ETNIK 2021'!F6/'ETNIK 2021'!D6</f>
        <v>6.9509738079247818E-2</v>
      </c>
      <c r="E7" s="37">
        <f>'ETNIK 2021'!L6/'ETNIK 2021'!D6</f>
        <v>1.8871725990597717E-2</v>
      </c>
      <c r="F7" s="37">
        <f>'ETNIK 2021'!K6/'ETNIK 2021'!D6</f>
        <v>1.2021490933512425E-2</v>
      </c>
      <c r="G7" s="37">
        <f>('ETNIK 2021'!J6+'ETNIK 2021'!N6)/'ETNIK 2021'!D6</f>
        <v>1.1484217595701814E-2</v>
      </c>
      <c r="H7" s="37">
        <f t="shared" si="0"/>
        <v>2.3505708529214589E-3</v>
      </c>
      <c r="I7" s="13" t="str">
        <f t="shared" si="1"/>
        <v>MELAYU / MELANAU</v>
      </c>
      <c r="J7" s="15">
        <f t="shared" si="2"/>
        <v>6399</v>
      </c>
      <c r="K7" s="15">
        <f>'UMUR 2021'!W7</f>
        <v>14813</v>
      </c>
      <c r="L7" s="16">
        <f t="shared" si="3"/>
        <v>0.67670289610477286</v>
      </c>
      <c r="M7" s="15">
        <f>'UMUR 2021'!Y7</f>
        <v>10024</v>
      </c>
      <c r="N7" s="15">
        <f>'UMUR 2021'!Z7</f>
        <v>28</v>
      </c>
      <c r="O7" s="15">
        <f>'UMUR 2021'!AA7</f>
        <v>237</v>
      </c>
      <c r="P7" s="33">
        <f t="shared" si="4"/>
        <v>9759</v>
      </c>
      <c r="Q7" s="29" t="str">
        <f>'UMUR 2021'!AC7</f>
        <v>PBB</v>
      </c>
      <c r="R7" s="29" t="str">
        <f>'UMUR 2021'!AD7</f>
        <v>GPS</v>
      </c>
      <c r="S7" s="33">
        <f>'UMUR 2021'!AE7</f>
        <v>7636</v>
      </c>
      <c r="T7" s="34">
        <f>'UMUR 2021'!AF7</f>
        <v>0.78245721897735421</v>
      </c>
      <c r="U7" s="29" t="str">
        <f>'UMUR 2021'!AG7</f>
        <v>PSB</v>
      </c>
      <c r="V7" s="29" t="str">
        <f>'UMUR 2021'!AH7</f>
        <v>PSB</v>
      </c>
      <c r="W7" s="33">
        <f>'UMUR 2021'!AI7</f>
        <v>1237</v>
      </c>
      <c r="X7" s="34">
        <f>'UMUR 2021'!AJ7</f>
        <v>0.12675479044984117</v>
      </c>
      <c r="Y7" s="29" t="str">
        <f>'UMUR 2021'!AK7</f>
        <v>AMANAH</v>
      </c>
      <c r="Z7" s="29" t="str">
        <f>'UMUR 2021'!AL7</f>
        <v>PH</v>
      </c>
      <c r="AA7" s="33">
        <f>'UMUR 2021'!AM7</f>
        <v>212</v>
      </c>
      <c r="AB7" s="34">
        <f t="shared" si="5"/>
        <v>2.1723537247668817E-2</v>
      </c>
      <c r="AC7" s="29" t="str">
        <f>'UMUR 2021'!AO7</f>
        <v>BEBAS</v>
      </c>
      <c r="AD7" s="29" t="str">
        <f>'UMUR 2021'!AP7</f>
        <v>BEBAS</v>
      </c>
      <c r="AE7" s="33">
        <f>'UMUR 2021'!AQ7</f>
        <v>674</v>
      </c>
      <c r="AF7" s="34">
        <f>'UMUR 2021'!AR7</f>
        <v>6.9064453325135777E-2</v>
      </c>
      <c r="AG7" s="29">
        <f>'UMUR 2021'!AS7</f>
        <v>0</v>
      </c>
      <c r="AH7" s="29" t="str">
        <f>'UMUR 2021'!AT7</f>
        <v/>
      </c>
      <c r="AI7" s="33">
        <f>'UMUR 2021'!AU7</f>
        <v>0</v>
      </c>
      <c r="AJ7" s="34" t="str">
        <f>'UMUR 2021'!AV7</f>
        <v/>
      </c>
      <c r="AK7" s="29">
        <f>'UMUR 2021'!AW7</f>
        <v>0</v>
      </c>
      <c r="AL7" s="29" t="str">
        <f>'UMUR 2021'!AX7</f>
        <v/>
      </c>
      <c r="AM7" s="33">
        <f>'UMUR 2021'!AY7</f>
        <v>0</v>
      </c>
      <c r="AN7" s="34" t="str">
        <f>'UMUR 2021'!AZ7</f>
        <v/>
      </c>
      <c r="AO7" s="29">
        <f>'UMUR 2021'!BA7</f>
        <v>0</v>
      </c>
      <c r="AP7" s="29" t="str">
        <f>'UMUR 2021'!BB7</f>
        <v/>
      </c>
      <c r="AQ7" s="33">
        <f>'UMUR 2021'!BC7</f>
        <v>0</v>
      </c>
      <c r="AR7" s="34" t="str">
        <f>'UMUR 2021'!BD7</f>
        <v/>
      </c>
      <c r="AS7" s="29">
        <f>'UMUR 2021'!BE7</f>
        <v>0</v>
      </c>
      <c r="AT7" s="29" t="str">
        <f>'UMUR 2021'!BF7</f>
        <v/>
      </c>
      <c r="AU7" s="33">
        <f>'UMUR 2021'!BG7</f>
        <v>0</v>
      </c>
      <c r="AV7" s="34" t="str">
        <f>'UMUR 2021'!BH7</f>
        <v/>
      </c>
    </row>
    <row r="8" spans="1:48" ht="28.5">
      <c r="A8" s="13" t="s">
        <v>20</v>
      </c>
      <c r="B8" s="14" t="s">
        <v>23</v>
      </c>
      <c r="C8" s="37">
        <f>('ETNIK 2021'!E7+'ETNIK 2021'!M7)/'ETNIK 2021'!D7</f>
        <v>0.67740206027649064</v>
      </c>
      <c r="D8" s="37">
        <f>'ETNIK 2021'!F7/'ETNIK 2021'!D7</f>
        <v>0.17209818864167273</v>
      </c>
      <c r="E8" s="37">
        <f>'ETNIK 2021'!L7/'ETNIK 2021'!D7</f>
        <v>6.2114655535556999E-2</v>
      </c>
      <c r="F8" s="37">
        <f>'ETNIK 2021'!K7/'ETNIK 2021'!D7</f>
        <v>4.8749664917857004E-2</v>
      </c>
      <c r="G8" s="37">
        <f>('ETNIK 2021'!J7+'ETNIK 2021'!N7)/'ETNIK 2021'!D7</f>
        <v>2.6768276337456438E-2</v>
      </c>
      <c r="H8" s="37">
        <f t="shared" si="0"/>
        <v>1.2867154290966187E-2</v>
      </c>
      <c r="I8" s="13" t="str">
        <f t="shared" si="1"/>
        <v>MELAYU / MELANAU</v>
      </c>
      <c r="J8" s="15">
        <f t="shared" si="2"/>
        <v>11209</v>
      </c>
      <c r="K8" s="15">
        <f>'UMUR 2021'!W8</f>
        <v>26004</v>
      </c>
      <c r="L8" s="16">
        <f t="shared" si="3"/>
        <v>0.57571912013536375</v>
      </c>
      <c r="M8" s="15">
        <f>'UMUR 2021'!Y8</f>
        <v>14971</v>
      </c>
      <c r="N8" s="15">
        <f>'UMUR 2021'!Z8</f>
        <v>131</v>
      </c>
      <c r="O8" s="15">
        <f>'UMUR 2021'!AA8</f>
        <v>125</v>
      </c>
      <c r="P8" s="33">
        <f t="shared" si="4"/>
        <v>14715</v>
      </c>
      <c r="Q8" s="29" t="str">
        <f>'UMUR 2021'!AC8</f>
        <v>PBB</v>
      </c>
      <c r="R8" s="29" t="str">
        <f>'UMUR 2021'!AD8</f>
        <v>GPS</v>
      </c>
      <c r="S8" s="33">
        <f>'UMUR 2021'!AE8</f>
        <v>12544</v>
      </c>
      <c r="T8" s="34">
        <f>'UMUR 2021'!AF8</f>
        <v>0.85246347264695888</v>
      </c>
      <c r="U8" s="29" t="str">
        <f>'UMUR 2021'!AG8</f>
        <v>PKR</v>
      </c>
      <c r="V8" s="29" t="str">
        <f>'UMUR 2021'!AH8</f>
        <v>PH</v>
      </c>
      <c r="W8" s="33">
        <f>'UMUR 2021'!AI8</f>
        <v>1335</v>
      </c>
      <c r="X8" s="34">
        <f>'UMUR 2021'!AJ8</f>
        <v>9.0723751274209993E-2</v>
      </c>
      <c r="Y8" s="29" t="str">
        <f>'UMUR 2021'!AK8</f>
        <v>PBK</v>
      </c>
      <c r="Z8" s="29" t="str">
        <f>'UMUR 2021'!AL8</f>
        <v>LAIN-LAIN</v>
      </c>
      <c r="AA8" s="33">
        <f>'UMUR 2021'!AM8</f>
        <v>836</v>
      </c>
      <c r="AB8" s="34">
        <f t="shared" si="5"/>
        <v>5.6812776078831125E-2</v>
      </c>
      <c r="AC8" s="29">
        <f>'UMUR 2021'!AO8</f>
        <v>0</v>
      </c>
      <c r="AD8" s="29" t="str">
        <f>'UMUR 2021'!AP8</f>
        <v/>
      </c>
      <c r="AE8" s="33">
        <f>'UMUR 2021'!AQ8</f>
        <v>0</v>
      </c>
      <c r="AF8" s="34" t="str">
        <f>'UMUR 2021'!AR8</f>
        <v/>
      </c>
      <c r="AG8" s="29">
        <f>'UMUR 2021'!AS8</f>
        <v>0</v>
      </c>
      <c r="AH8" s="29" t="str">
        <f>'UMUR 2021'!AT8</f>
        <v/>
      </c>
      <c r="AI8" s="33">
        <f>'UMUR 2021'!AU8</f>
        <v>0</v>
      </c>
      <c r="AJ8" s="34" t="str">
        <f>'UMUR 2021'!AV8</f>
        <v/>
      </c>
      <c r="AK8" s="29">
        <f>'UMUR 2021'!AW8</f>
        <v>0</v>
      </c>
      <c r="AL8" s="29" t="str">
        <f>'UMUR 2021'!AX8</f>
        <v/>
      </c>
      <c r="AM8" s="33">
        <f>'UMUR 2021'!AY8</f>
        <v>0</v>
      </c>
      <c r="AN8" s="34" t="str">
        <f>'UMUR 2021'!AZ8</f>
        <v/>
      </c>
      <c r="AO8" s="29">
        <f>'UMUR 2021'!BA8</f>
        <v>0</v>
      </c>
      <c r="AP8" s="29" t="str">
        <f>'UMUR 2021'!BB8</f>
        <v/>
      </c>
      <c r="AQ8" s="33">
        <f>'UMUR 2021'!BC8</f>
        <v>0</v>
      </c>
      <c r="AR8" s="34" t="str">
        <f>'UMUR 2021'!BD8</f>
        <v/>
      </c>
      <c r="AS8" s="29">
        <f>'UMUR 2021'!BE8</f>
        <v>0</v>
      </c>
      <c r="AT8" s="29" t="str">
        <f>'UMUR 2021'!BF8</f>
        <v/>
      </c>
      <c r="AU8" s="33">
        <f>'UMUR 2021'!BG8</f>
        <v>0</v>
      </c>
      <c r="AV8" s="34" t="str">
        <f>'UMUR 2021'!BH8</f>
        <v/>
      </c>
    </row>
    <row r="9" spans="1:48" ht="28.5">
      <c r="A9" s="13" t="s">
        <v>21</v>
      </c>
      <c r="B9" s="14" t="s">
        <v>24</v>
      </c>
      <c r="C9" s="37">
        <f>('ETNIK 2021'!E8+'ETNIK 2021'!M8)/'ETNIK 2021'!D8</f>
        <v>0.90218556316696952</v>
      </c>
      <c r="D9" s="37">
        <f>'ETNIK 2021'!F8/'ETNIK 2021'!D8</f>
        <v>1.4352952141292698E-2</v>
      </c>
      <c r="E9" s="37">
        <f>'ETNIK 2021'!L8/'ETNIK 2021'!D8</f>
        <v>4.7812106808332165E-2</v>
      </c>
      <c r="F9" s="37">
        <f>'ETNIK 2021'!K8/'ETNIK 2021'!D8</f>
        <v>1.444615312922317E-2</v>
      </c>
      <c r="G9" s="37">
        <f>('ETNIK 2021'!J8+'ETNIK 2021'!N8)/'ETNIK 2021'!D8</f>
        <v>1.6636376345589263E-2</v>
      </c>
      <c r="H9" s="37">
        <f t="shared" si="0"/>
        <v>4.5668484085931819E-3</v>
      </c>
      <c r="I9" s="13" t="str">
        <f t="shared" si="1"/>
        <v>MELAYU / MELANAU</v>
      </c>
      <c r="J9" s="15">
        <f t="shared" si="2"/>
        <v>10283</v>
      </c>
      <c r="K9" s="15">
        <f>'UMUR 2021'!W9</f>
        <v>21363</v>
      </c>
      <c r="L9" s="16">
        <f t="shared" si="3"/>
        <v>0.61709497729719609</v>
      </c>
      <c r="M9" s="15">
        <f>'UMUR 2021'!Y9</f>
        <v>13183</v>
      </c>
      <c r="N9" s="15">
        <f>'UMUR 2021'!Z9</f>
        <v>102</v>
      </c>
      <c r="O9" s="15">
        <f>'UMUR 2021'!AA9</f>
        <v>121</v>
      </c>
      <c r="P9" s="33">
        <f t="shared" si="4"/>
        <v>12960</v>
      </c>
      <c r="Q9" s="29" t="str">
        <f>'UMUR 2021'!AC9</f>
        <v>PBB</v>
      </c>
      <c r="R9" s="29" t="str">
        <f>'UMUR 2021'!AD9</f>
        <v>GPS</v>
      </c>
      <c r="S9" s="33">
        <f>'UMUR 2021'!AE9</f>
        <v>11354</v>
      </c>
      <c r="T9" s="34">
        <f>'UMUR 2021'!AF9</f>
        <v>0.87608024691358022</v>
      </c>
      <c r="U9" s="29" t="str">
        <f>'UMUR 2021'!AG9</f>
        <v>AMANAH</v>
      </c>
      <c r="V9" s="29" t="str">
        <f>'UMUR 2021'!AH9</f>
        <v>PH</v>
      </c>
      <c r="W9" s="33">
        <f>'UMUR 2021'!AI9</f>
        <v>1071</v>
      </c>
      <c r="X9" s="34">
        <f>'UMUR 2021'!AJ9</f>
        <v>8.2638888888888887E-2</v>
      </c>
      <c r="Y9" s="29" t="str">
        <f>'UMUR 2021'!AK9</f>
        <v>SEDAR</v>
      </c>
      <c r="Z9" s="29" t="str">
        <f>'UMUR 2021'!AL9</f>
        <v>LAIN-LAIN</v>
      </c>
      <c r="AA9" s="33">
        <f>'UMUR 2021'!AM9</f>
        <v>535</v>
      </c>
      <c r="AB9" s="34">
        <f t="shared" si="5"/>
        <v>4.1280864197530867E-2</v>
      </c>
      <c r="AC9" s="29">
        <f>'UMUR 2021'!AO9</f>
        <v>0</v>
      </c>
      <c r="AD9" s="29" t="str">
        <f>'UMUR 2021'!AP9</f>
        <v/>
      </c>
      <c r="AE9" s="33">
        <f>'UMUR 2021'!AQ9</f>
        <v>0</v>
      </c>
      <c r="AF9" s="34" t="str">
        <f>'UMUR 2021'!AR9</f>
        <v/>
      </c>
      <c r="AG9" s="29">
        <f>'UMUR 2021'!AS9</f>
        <v>0</v>
      </c>
      <c r="AH9" s="29" t="str">
        <f>'UMUR 2021'!AT9</f>
        <v/>
      </c>
      <c r="AI9" s="33">
        <f>'UMUR 2021'!AU9</f>
        <v>0</v>
      </c>
      <c r="AJ9" s="34" t="str">
        <f>'UMUR 2021'!AV9</f>
        <v/>
      </c>
      <c r="AK9" s="29">
        <f>'UMUR 2021'!AW9</f>
        <v>0</v>
      </c>
      <c r="AL9" s="29" t="str">
        <f>'UMUR 2021'!AX9</f>
        <v/>
      </c>
      <c r="AM9" s="33">
        <f>'UMUR 2021'!AY9</f>
        <v>0</v>
      </c>
      <c r="AN9" s="34" t="str">
        <f>'UMUR 2021'!AZ9</f>
        <v/>
      </c>
      <c r="AO9" s="29">
        <f>'UMUR 2021'!BA9</f>
        <v>0</v>
      </c>
      <c r="AP9" s="29" t="str">
        <f>'UMUR 2021'!BB9</f>
        <v/>
      </c>
      <c r="AQ9" s="33">
        <f>'UMUR 2021'!BC9</f>
        <v>0</v>
      </c>
      <c r="AR9" s="34" t="str">
        <f>'UMUR 2021'!BD9</f>
        <v/>
      </c>
      <c r="AS9" s="29">
        <f>'UMUR 2021'!BE9</f>
        <v>0</v>
      </c>
      <c r="AT9" s="29" t="str">
        <f>'UMUR 2021'!BF9</f>
        <v/>
      </c>
      <c r="AU9" s="33">
        <f>'UMUR 2021'!BG9</f>
        <v>0</v>
      </c>
      <c r="AV9" s="34" t="str">
        <f>'UMUR 2021'!BH9</f>
        <v/>
      </c>
    </row>
    <row r="10" spans="1:48" ht="28.5">
      <c r="A10" s="13" t="s">
        <v>22</v>
      </c>
      <c r="B10" s="14" t="s">
        <v>25</v>
      </c>
      <c r="C10" s="37">
        <f>('ETNIK 2021'!E9+'ETNIK 2021'!M9)/'ETNIK 2021'!D9</f>
        <v>0.69809616453585321</v>
      </c>
      <c r="D10" s="37">
        <f>'ETNIK 2021'!F9/'ETNIK 2021'!D9</f>
        <v>0.20497498610339077</v>
      </c>
      <c r="E10" s="37">
        <f>'ETNIK 2021'!L9/'ETNIK 2021'!D9</f>
        <v>3.4255141745414122E-2</v>
      </c>
      <c r="F10" s="37">
        <f>'ETNIK 2021'!K9/'ETNIK 2021'!D9</f>
        <v>2.0497498610339077E-2</v>
      </c>
      <c r="G10" s="37">
        <f>('ETNIK 2021'!J9+'ETNIK 2021'!N9)/'ETNIK 2021'!D9</f>
        <v>2.7098387993329628E-2</v>
      </c>
      <c r="H10" s="37">
        <f t="shared" si="0"/>
        <v>1.5077821011673195E-2</v>
      </c>
      <c r="I10" s="13" t="str">
        <f t="shared" si="1"/>
        <v>MELAYU / MELANAU</v>
      </c>
      <c r="J10" s="15">
        <f t="shared" si="2"/>
        <v>6033</v>
      </c>
      <c r="K10" s="15">
        <f>'UMUR 2021'!W10</f>
        <v>14314</v>
      </c>
      <c r="L10" s="16">
        <f t="shared" si="3"/>
        <v>0.59291602626798934</v>
      </c>
      <c r="M10" s="15">
        <f>'UMUR 2021'!Y10</f>
        <v>8487</v>
      </c>
      <c r="N10" s="15">
        <f>'UMUR 2021'!Z10</f>
        <v>52</v>
      </c>
      <c r="O10" s="15">
        <f>'UMUR 2021'!AA10</f>
        <v>71</v>
      </c>
      <c r="P10" s="33">
        <f t="shared" si="4"/>
        <v>8364</v>
      </c>
      <c r="Q10" s="29" t="str">
        <f>'UMUR 2021'!AC10</f>
        <v>PBB</v>
      </c>
      <c r="R10" s="29" t="str">
        <f>'UMUR 2021'!AD10</f>
        <v>GPS</v>
      </c>
      <c r="S10" s="33">
        <f>'UMUR 2021'!AE10</f>
        <v>6991</v>
      </c>
      <c r="T10" s="34">
        <f>'UMUR 2021'!AF10</f>
        <v>0.83584409373505497</v>
      </c>
      <c r="U10" s="29" t="str">
        <f>'UMUR 2021'!AG10</f>
        <v>PKR</v>
      </c>
      <c r="V10" s="29" t="str">
        <f>'UMUR 2021'!AH10</f>
        <v>PH</v>
      </c>
      <c r="W10" s="33">
        <f>'UMUR 2021'!AI10</f>
        <v>958</v>
      </c>
      <c r="X10" s="34">
        <f>'UMUR 2021'!AJ10</f>
        <v>0.11453849832615973</v>
      </c>
      <c r="Y10" s="29" t="str">
        <f>'UMUR 2021'!AK10</f>
        <v>PBK</v>
      </c>
      <c r="Z10" s="29" t="str">
        <f>'UMUR 2021'!AL10</f>
        <v>LAIN-LAIN</v>
      </c>
      <c r="AA10" s="33">
        <f>'UMUR 2021'!AM10</f>
        <v>415</v>
      </c>
      <c r="AB10" s="34">
        <f t="shared" si="5"/>
        <v>4.9617407938785267E-2</v>
      </c>
      <c r="AC10" s="29">
        <f>'UMUR 2021'!AO10</f>
        <v>0</v>
      </c>
      <c r="AD10" s="29" t="str">
        <f>'UMUR 2021'!AP10</f>
        <v/>
      </c>
      <c r="AE10" s="33">
        <f>'UMUR 2021'!AQ10</f>
        <v>0</v>
      </c>
      <c r="AF10" s="34" t="str">
        <f>'UMUR 2021'!AR10</f>
        <v/>
      </c>
      <c r="AG10" s="29">
        <f>'UMUR 2021'!AS10</f>
        <v>0</v>
      </c>
      <c r="AH10" s="29" t="str">
        <f>'UMUR 2021'!AT10</f>
        <v/>
      </c>
      <c r="AI10" s="33">
        <f>'UMUR 2021'!AU10</f>
        <v>0</v>
      </c>
      <c r="AJ10" s="34" t="str">
        <f>'UMUR 2021'!AV10</f>
        <v/>
      </c>
      <c r="AK10" s="29">
        <f>'UMUR 2021'!AW10</f>
        <v>0</v>
      </c>
      <c r="AL10" s="29" t="str">
        <f>'UMUR 2021'!AX10</f>
        <v/>
      </c>
      <c r="AM10" s="33">
        <f>'UMUR 2021'!AY10</f>
        <v>0</v>
      </c>
      <c r="AN10" s="34" t="str">
        <f>'UMUR 2021'!AZ10</f>
        <v/>
      </c>
      <c r="AO10" s="29">
        <f>'UMUR 2021'!BA10</f>
        <v>0</v>
      </c>
      <c r="AP10" s="29" t="str">
        <f>'UMUR 2021'!BB10</f>
        <v/>
      </c>
      <c r="AQ10" s="33">
        <f>'UMUR 2021'!BC10</f>
        <v>0</v>
      </c>
      <c r="AR10" s="34" t="str">
        <f>'UMUR 2021'!BD10</f>
        <v/>
      </c>
      <c r="AS10" s="29">
        <f>'UMUR 2021'!BE10</f>
        <v>0</v>
      </c>
      <c r="AT10" s="29" t="str">
        <f>'UMUR 2021'!BF10</f>
        <v/>
      </c>
      <c r="AU10" s="33">
        <f>'UMUR 2021'!BG10</f>
        <v>0</v>
      </c>
      <c r="AV10" s="34" t="str">
        <f>'UMUR 2021'!BH10</f>
        <v/>
      </c>
    </row>
    <row r="11" spans="1:48">
      <c r="A11" s="13" t="s">
        <v>28</v>
      </c>
      <c r="B11" s="14" t="s">
        <v>31</v>
      </c>
      <c r="C11" s="37">
        <f>('ETNIK 2021'!E10+'ETNIK 2021'!M10)/'ETNIK 2021'!D10</f>
        <v>4.5734597156398105E-2</v>
      </c>
      <c r="D11" s="37">
        <f>'ETNIK 2021'!F10/'ETNIK 2021'!D10</f>
        <v>0.91895734597156398</v>
      </c>
      <c r="E11" s="37">
        <f>'ETNIK 2021'!L10/'ETNIK 2021'!D10</f>
        <v>1.1516587677725119E-2</v>
      </c>
      <c r="F11" s="37">
        <f>'ETNIK 2021'!K10/'ETNIK 2021'!D10</f>
        <v>9.6208530805687205E-3</v>
      </c>
      <c r="G11" s="37">
        <f>('ETNIK 2021'!J10+'ETNIK 2021'!N10)/'ETNIK 2021'!D10</f>
        <v>5.1658767772511851E-3</v>
      </c>
      <c r="H11" s="37">
        <f t="shared" si="0"/>
        <v>9.0047393364929475E-3</v>
      </c>
      <c r="I11" s="13" t="str">
        <f t="shared" si="1"/>
        <v>CINA</v>
      </c>
      <c r="J11" s="15">
        <f t="shared" si="2"/>
        <v>1198</v>
      </c>
      <c r="K11" s="15">
        <f>'UMUR 2021'!W11</f>
        <v>20949</v>
      </c>
      <c r="L11" s="16">
        <f t="shared" si="3"/>
        <v>0.44756312950498828</v>
      </c>
      <c r="M11" s="15">
        <f>'UMUR 2021'!Y11</f>
        <v>9376</v>
      </c>
      <c r="N11" s="15">
        <f>'UMUR 2021'!Z11</f>
        <v>26</v>
      </c>
      <c r="O11" s="15">
        <f>'UMUR 2021'!AA11</f>
        <v>53</v>
      </c>
      <c r="P11" s="33">
        <f t="shared" si="4"/>
        <v>9297</v>
      </c>
      <c r="Q11" s="29" t="str">
        <f>'UMUR 2021'!AC11</f>
        <v>DAP</v>
      </c>
      <c r="R11" s="29" t="str">
        <f>'UMUR 2021'!AD11</f>
        <v>PH</v>
      </c>
      <c r="S11" s="33">
        <f>'UMUR 2021'!AE11</f>
        <v>4686</v>
      </c>
      <c r="T11" s="34">
        <f>'UMUR 2021'!AF11</f>
        <v>0.50403355921264925</v>
      </c>
      <c r="U11" s="29" t="str">
        <f>'UMUR 2021'!AG11</f>
        <v>SUPP</v>
      </c>
      <c r="V11" s="29" t="str">
        <f>'UMUR 2021'!AH11</f>
        <v>GPS</v>
      </c>
      <c r="W11" s="33">
        <f>'UMUR 2021'!AI11</f>
        <v>3488</v>
      </c>
      <c r="X11" s="34">
        <f>'UMUR 2021'!AJ11</f>
        <v>0.37517478756588146</v>
      </c>
      <c r="Y11" s="29" t="str">
        <f>'UMUR 2021'!AK11</f>
        <v>PBK</v>
      </c>
      <c r="Z11" s="29" t="str">
        <f>'UMUR 2021'!AL11</f>
        <v>LAIN-LAIN</v>
      </c>
      <c r="AA11" s="33">
        <f>'UMUR 2021'!AM11</f>
        <v>930</v>
      </c>
      <c r="AB11" s="34">
        <f t="shared" si="5"/>
        <v>0.1000322684737012</v>
      </c>
      <c r="AC11" s="29" t="str">
        <f>'UMUR 2021'!AO11</f>
        <v>ASPIRASI</v>
      </c>
      <c r="AD11" s="29" t="str">
        <f>'UMUR 2021'!AP11</f>
        <v>LAIN-LAIN</v>
      </c>
      <c r="AE11" s="33">
        <f>'UMUR 2021'!AQ11</f>
        <v>193</v>
      </c>
      <c r="AF11" s="34">
        <f>'UMUR 2021'!AR11</f>
        <v>2.0759384747768096E-2</v>
      </c>
      <c r="AG11" s="29">
        <f>'UMUR 2021'!AS11</f>
        <v>0</v>
      </c>
      <c r="AH11" s="29" t="str">
        <f>'UMUR 2021'!AT11</f>
        <v/>
      </c>
      <c r="AI11" s="33">
        <f>'UMUR 2021'!AU11</f>
        <v>0</v>
      </c>
      <c r="AJ11" s="34" t="str">
        <f>'UMUR 2021'!AV11</f>
        <v/>
      </c>
      <c r="AK11" s="29">
        <f>'UMUR 2021'!AW11</f>
        <v>0</v>
      </c>
      <c r="AL11" s="29" t="str">
        <f>'UMUR 2021'!AX11</f>
        <v/>
      </c>
      <c r="AM11" s="33">
        <f>'UMUR 2021'!AY11</f>
        <v>0</v>
      </c>
      <c r="AN11" s="34" t="str">
        <f>'UMUR 2021'!AZ11</f>
        <v/>
      </c>
      <c r="AO11" s="29">
        <f>'UMUR 2021'!BA11</f>
        <v>0</v>
      </c>
      <c r="AP11" s="29" t="str">
        <f>'UMUR 2021'!BB11</f>
        <v/>
      </c>
      <c r="AQ11" s="33">
        <f>'UMUR 2021'!BC11</f>
        <v>0</v>
      </c>
      <c r="AR11" s="34" t="str">
        <f>'UMUR 2021'!BD11</f>
        <v/>
      </c>
      <c r="AS11" s="29">
        <f>'UMUR 2021'!BE11</f>
        <v>0</v>
      </c>
      <c r="AT11" s="29" t="str">
        <f>'UMUR 2021'!BF11</f>
        <v/>
      </c>
      <c r="AU11" s="33">
        <f>'UMUR 2021'!BG11</f>
        <v>0</v>
      </c>
      <c r="AV11" s="34" t="str">
        <f>'UMUR 2021'!BH11</f>
        <v/>
      </c>
    </row>
    <row r="12" spans="1:48">
      <c r="A12" s="13" t="s">
        <v>29</v>
      </c>
      <c r="B12" s="14" t="s">
        <v>32</v>
      </c>
      <c r="C12" s="37">
        <f>('ETNIK 2021'!E11+'ETNIK 2021'!M11)/'ETNIK 2021'!D11</f>
        <v>5.1966714567389632E-2</v>
      </c>
      <c r="D12" s="37">
        <f>'ETNIK 2021'!F11/'ETNIK 2021'!D11</f>
        <v>0.89055241787253947</v>
      </c>
      <c r="E12" s="37">
        <f>'ETNIK 2021'!L11/'ETNIK 2021'!D11</f>
        <v>2.6534772582962936E-2</v>
      </c>
      <c r="F12" s="37">
        <f>'ETNIK 2021'!K11/'ETNIK 2021'!D11</f>
        <v>1.5874076797112589E-2</v>
      </c>
      <c r="G12" s="37">
        <f>('ETNIK 2021'!J11+'ETNIK 2021'!N11)/'ETNIK 2021'!D11</f>
        <v>7.5192995354743846E-3</v>
      </c>
      <c r="H12" s="37">
        <f t="shared" si="0"/>
        <v>7.55271864452096E-3</v>
      </c>
      <c r="I12" s="13" t="str">
        <f t="shared" si="1"/>
        <v>CINA</v>
      </c>
      <c r="J12" s="15">
        <f t="shared" si="2"/>
        <v>540</v>
      </c>
      <c r="K12" s="15">
        <f>'UMUR 2021'!W12</f>
        <v>29747</v>
      </c>
      <c r="L12" s="16">
        <f t="shared" si="3"/>
        <v>0.43762396208020976</v>
      </c>
      <c r="M12" s="15">
        <f>'UMUR 2021'!Y12</f>
        <v>13018</v>
      </c>
      <c r="N12" s="15">
        <f>'UMUR 2021'!Z12</f>
        <v>37</v>
      </c>
      <c r="O12" s="15">
        <f>'UMUR 2021'!AA12</f>
        <v>105</v>
      </c>
      <c r="P12" s="33">
        <f t="shared" si="4"/>
        <v>12876</v>
      </c>
      <c r="Q12" s="29" t="str">
        <f>'UMUR 2021'!AC12</f>
        <v>DAP</v>
      </c>
      <c r="R12" s="29" t="str">
        <f>'UMUR 2021'!AD12</f>
        <v>PH</v>
      </c>
      <c r="S12" s="33">
        <f>'UMUR 2021'!AE12</f>
        <v>5188</v>
      </c>
      <c r="T12" s="34">
        <f>'UMUR 2021'!AF12</f>
        <v>0.4029201615408512</v>
      </c>
      <c r="U12" s="29" t="str">
        <f>'UMUR 2021'!AG12</f>
        <v>SUPP</v>
      </c>
      <c r="V12" s="29" t="str">
        <f>'UMUR 2021'!AH12</f>
        <v>GPS</v>
      </c>
      <c r="W12" s="33">
        <f>'UMUR 2021'!AI12</f>
        <v>4648</v>
      </c>
      <c r="X12" s="34">
        <f>'UMUR 2021'!AJ12</f>
        <v>0.36098167132649889</v>
      </c>
      <c r="Y12" s="29" t="str">
        <f>'UMUR 2021'!AK12</f>
        <v>PSB</v>
      </c>
      <c r="Z12" s="29" t="str">
        <f>'UMUR 2021'!AL12</f>
        <v>PSB</v>
      </c>
      <c r="AA12" s="33">
        <f>'UMUR 2021'!AM12</f>
        <v>1858</v>
      </c>
      <c r="AB12" s="34">
        <f t="shared" si="5"/>
        <v>0.14429947188567879</v>
      </c>
      <c r="AC12" s="29" t="str">
        <f>'UMUR 2021'!AO12</f>
        <v>PBK</v>
      </c>
      <c r="AD12" s="29" t="str">
        <f>'UMUR 2021'!AP12</f>
        <v>LAIN-LAIN</v>
      </c>
      <c r="AE12" s="33">
        <f>'UMUR 2021'!AQ12</f>
        <v>978</v>
      </c>
      <c r="AF12" s="34">
        <f>'UMUR 2021'!AR12</f>
        <v>7.5955265610438027E-2</v>
      </c>
      <c r="AG12" s="29" t="str">
        <f>'UMUR 2021'!AS12</f>
        <v>ASPIRASI</v>
      </c>
      <c r="AH12" s="29" t="str">
        <f>'UMUR 2021'!AT12</f>
        <v>LAIN-LAIN</v>
      </c>
      <c r="AI12" s="33">
        <f>'UMUR 2021'!AU12</f>
        <v>204</v>
      </c>
      <c r="AJ12" s="34">
        <f>'UMUR 2021'!AV12</f>
        <v>1.5843429636533086E-2</v>
      </c>
      <c r="AK12" s="29">
        <f>'UMUR 2021'!AW12</f>
        <v>0</v>
      </c>
      <c r="AL12" s="29" t="str">
        <f>'UMUR 2021'!AX12</f>
        <v/>
      </c>
      <c r="AM12" s="33">
        <f>'UMUR 2021'!AY12</f>
        <v>0</v>
      </c>
      <c r="AN12" s="34" t="str">
        <f>'UMUR 2021'!AZ12</f>
        <v/>
      </c>
      <c r="AO12" s="29">
        <f>'UMUR 2021'!BA12</f>
        <v>0</v>
      </c>
      <c r="AP12" s="29" t="str">
        <f>'UMUR 2021'!BB12</f>
        <v/>
      </c>
      <c r="AQ12" s="33">
        <f>'UMUR 2021'!BC12</f>
        <v>0</v>
      </c>
      <c r="AR12" s="34" t="str">
        <f>'UMUR 2021'!BD12</f>
        <v/>
      </c>
      <c r="AS12" s="29">
        <f>'UMUR 2021'!BE12</f>
        <v>0</v>
      </c>
      <c r="AT12" s="29" t="str">
        <f>'UMUR 2021'!BF12</f>
        <v/>
      </c>
      <c r="AU12" s="33">
        <f>'UMUR 2021'!BG12</f>
        <v>0</v>
      </c>
      <c r="AV12" s="34" t="str">
        <f>'UMUR 2021'!BH12</f>
        <v/>
      </c>
    </row>
    <row r="13" spans="1:48">
      <c r="A13" s="13" t="s">
        <v>30</v>
      </c>
      <c r="B13" s="14" t="s">
        <v>33</v>
      </c>
      <c r="C13" s="37">
        <f>('ETNIK 2021'!E12+'ETNIK 2021'!M12)/'ETNIK 2021'!D12</f>
        <v>3.5292538915727319E-2</v>
      </c>
      <c r="D13" s="37">
        <f>'ETNIK 2021'!F12/'ETNIK 2021'!D12</f>
        <v>0.84859769189479339</v>
      </c>
      <c r="E13" s="37">
        <f>'ETNIK 2021'!L12/'ETNIK 2021'!D12</f>
        <v>5.7232957595276433E-2</v>
      </c>
      <c r="F13" s="37">
        <f>'ETNIK 2021'!K12/'ETNIK 2021'!D12</f>
        <v>2.7140365002683842E-2</v>
      </c>
      <c r="G13" s="37">
        <f>('ETNIK 2021'!J12+'ETNIK 2021'!N12)/'ETNIK 2021'!D12</f>
        <v>1.5499194847020933E-2</v>
      </c>
      <c r="H13" s="37">
        <f t="shared" si="0"/>
        <v>1.6237251744498027E-2</v>
      </c>
      <c r="I13" s="13" t="str">
        <f t="shared" si="1"/>
        <v>CINA</v>
      </c>
      <c r="J13" s="15">
        <f t="shared" si="2"/>
        <v>93</v>
      </c>
      <c r="K13" s="15">
        <f>'UMUR 2021'!W13</f>
        <v>29694</v>
      </c>
      <c r="L13" s="16">
        <f t="shared" si="3"/>
        <v>0.42082575604499223</v>
      </c>
      <c r="M13" s="15">
        <f>'UMUR 2021'!Y13</f>
        <v>12496</v>
      </c>
      <c r="N13" s="15">
        <f>'UMUR 2021'!Z13</f>
        <v>75</v>
      </c>
      <c r="O13" s="15">
        <f>'UMUR 2021'!AA13</f>
        <v>94</v>
      </c>
      <c r="P13" s="33">
        <f t="shared" si="4"/>
        <v>12327</v>
      </c>
      <c r="Q13" s="29" t="str">
        <f>'UMUR 2021'!AC13</f>
        <v>PSB</v>
      </c>
      <c r="R13" s="29" t="str">
        <f>'UMUR 2021'!AD13</f>
        <v>PSB</v>
      </c>
      <c r="S13" s="33">
        <f>'UMUR 2021'!AE13</f>
        <v>4420</v>
      </c>
      <c r="T13" s="34">
        <f>'UMUR 2021'!AF13</f>
        <v>0.35856250507017118</v>
      </c>
      <c r="U13" s="29" t="str">
        <f>'UMUR 2021'!AG13</f>
        <v>SUPP</v>
      </c>
      <c r="V13" s="29" t="str">
        <f>'UMUR 2021'!AH13</f>
        <v>GPS</v>
      </c>
      <c r="W13" s="33">
        <f>'UMUR 2021'!AI13</f>
        <v>4327</v>
      </c>
      <c r="X13" s="34">
        <f>'UMUR 2021'!AJ13</f>
        <v>0.3510180903707309</v>
      </c>
      <c r="Y13" s="29" t="str">
        <f>'UMUR 2021'!AK13</f>
        <v>PKR</v>
      </c>
      <c r="Z13" s="29" t="str">
        <f>'UMUR 2021'!AL13</f>
        <v>PH</v>
      </c>
      <c r="AA13" s="33">
        <f>'UMUR 2021'!AM13</f>
        <v>1823</v>
      </c>
      <c r="AB13" s="34">
        <f t="shared" si="5"/>
        <v>0.1478867526567697</v>
      </c>
      <c r="AC13" s="29" t="str">
        <f>'UMUR 2021'!AO13</f>
        <v>PBK</v>
      </c>
      <c r="AD13" s="29" t="str">
        <f>'UMUR 2021'!AP13</f>
        <v>LAIN-LAIN</v>
      </c>
      <c r="AE13" s="33">
        <f>'UMUR 2021'!AQ13</f>
        <v>1570</v>
      </c>
      <c r="AF13" s="34">
        <f>'UMUR 2021'!AR13</f>
        <v>0.12736269976474407</v>
      </c>
      <c r="AG13" s="29" t="str">
        <f>'UMUR 2021'!AS13</f>
        <v>ASPIRASI</v>
      </c>
      <c r="AH13" s="29" t="str">
        <f>'UMUR 2021'!AT13</f>
        <v>LAIN-LAIN</v>
      </c>
      <c r="AI13" s="33">
        <f>'UMUR 2021'!AU13</f>
        <v>187</v>
      </c>
      <c r="AJ13" s="34">
        <f>'UMUR 2021'!AV13</f>
        <v>1.5169952137584165E-2</v>
      </c>
      <c r="AK13" s="29">
        <f>'UMUR 2021'!AW13</f>
        <v>0</v>
      </c>
      <c r="AL13" s="29" t="str">
        <f>'UMUR 2021'!AX13</f>
        <v/>
      </c>
      <c r="AM13" s="33">
        <f>'UMUR 2021'!AY13</f>
        <v>0</v>
      </c>
      <c r="AN13" s="34" t="str">
        <f>'UMUR 2021'!AZ13</f>
        <v/>
      </c>
      <c r="AO13" s="29">
        <f>'UMUR 2021'!BA13</f>
        <v>0</v>
      </c>
      <c r="AP13" s="29" t="str">
        <f>'UMUR 2021'!BB13</f>
        <v/>
      </c>
      <c r="AQ13" s="33">
        <f>'UMUR 2021'!BC13</f>
        <v>0</v>
      </c>
      <c r="AR13" s="34" t="str">
        <f>'UMUR 2021'!BD13</f>
        <v/>
      </c>
      <c r="AS13" s="29">
        <f>'UMUR 2021'!BE13</f>
        <v>0</v>
      </c>
      <c r="AT13" s="29" t="str">
        <f>'UMUR 2021'!BF13</f>
        <v/>
      </c>
      <c r="AU13" s="33">
        <f>'UMUR 2021'!BG13</f>
        <v>0</v>
      </c>
      <c r="AV13" s="34" t="str">
        <f>'UMUR 2021'!BH13</f>
        <v/>
      </c>
    </row>
    <row r="14" spans="1:48">
      <c r="A14" s="13" t="s">
        <v>36</v>
      </c>
      <c r="B14" s="14" t="s">
        <v>39</v>
      </c>
      <c r="C14" s="37">
        <f>('ETNIK 2021'!E13+'ETNIK 2021'!M13)/'ETNIK 2021'!D13</f>
        <v>0.11744483810993792</v>
      </c>
      <c r="D14" s="37">
        <f>'ETNIK 2021'!F13/'ETNIK 2021'!D13</f>
        <v>0.72950503385133481</v>
      </c>
      <c r="E14" s="37">
        <f>'ETNIK 2021'!L13/'ETNIK 2021'!D13</f>
        <v>8.2295576525064015E-2</v>
      </c>
      <c r="F14" s="37">
        <f>'ETNIK 2021'!K13/'ETNIK 2021'!D13</f>
        <v>3.9218437576735536E-2</v>
      </c>
      <c r="G14" s="37">
        <f>('ETNIK 2021'!J13+'ETNIK 2021'!N13)/'ETNIK 2021'!D13</f>
        <v>2.111762023362683E-2</v>
      </c>
      <c r="H14" s="37">
        <f t="shared" si="0"/>
        <v>1.0418493703300925E-2</v>
      </c>
      <c r="I14" s="13" t="str">
        <f t="shared" si="1"/>
        <v>CINA</v>
      </c>
      <c r="J14" s="15">
        <f t="shared" si="2"/>
        <v>1683</v>
      </c>
      <c r="K14" s="15">
        <f>'UMUR 2021'!W14</f>
        <v>28392</v>
      </c>
      <c r="L14" s="16">
        <f t="shared" si="3"/>
        <v>0.48245984784446322</v>
      </c>
      <c r="M14" s="15">
        <f>'UMUR 2021'!Y14</f>
        <v>13698</v>
      </c>
      <c r="N14" s="15">
        <f>'UMUR 2021'!Z14</f>
        <v>72</v>
      </c>
      <c r="O14" s="15">
        <f>'UMUR 2021'!AA14</f>
        <v>139</v>
      </c>
      <c r="P14" s="33">
        <f t="shared" si="4"/>
        <v>13487</v>
      </c>
      <c r="Q14" s="29" t="str">
        <f>'UMUR 2021'!AC14</f>
        <v>SUPP</v>
      </c>
      <c r="R14" s="29" t="str">
        <f>'UMUR 2021'!AD14</f>
        <v>GPS</v>
      </c>
      <c r="S14" s="33">
        <f>'UMUR 2021'!AE14</f>
        <v>5806</v>
      </c>
      <c r="T14" s="34">
        <f>'UMUR 2021'!AF14</f>
        <v>0.43048861866983018</v>
      </c>
      <c r="U14" s="29" t="str">
        <f>'UMUR 2021'!AG14</f>
        <v>DAP</v>
      </c>
      <c r="V14" s="29" t="str">
        <f>'UMUR 2021'!AH14</f>
        <v>PH</v>
      </c>
      <c r="W14" s="33">
        <f>'UMUR 2021'!AI14</f>
        <v>4123</v>
      </c>
      <c r="X14" s="34">
        <f>'UMUR 2021'!AJ14</f>
        <v>0.30570178690590938</v>
      </c>
      <c r="Y14" s="29" t="str">
        <f>'UMUR 2021'!AK14</f>
        <v>PSB</v>
      </c>
      <c r="Z14" s="29" t="str">
        <f>'UMUR 2021'!AL14</f>
        <v>PSB</v>
      </c>
      <c r="AA14" s="33">
        <f>'UMUR 2021'!AM14</f>
        <v>2328</v>
      </c>
      <c r="AB14" s="34">
        <f t="shared" si="5"/>
        <v>0.17261066211907763</v>
      </c>
      <c r="AC14" s="29" t="str">
        <f>'UMUR 2021'!AO14</f>
        <v>PBK</v>
      </c>
      <c r="AD14" s="29" t="str">
        <f>'UMUR 2021'!AP14</f>
        <v>LAIN-LAIN</v>
      </c>
      <c r="AE14" s="33">
        <f>'UMUR 2021'!AQ14</f>
        <v>1015</v>
      </c>
      <c r="AF14" s="34">
        <f>'UMUR 2021'!AR14</f>
        <v>7.5257655520130501E-2</v>
      </c>
      <c r="AG14" s="29" t="str">
        <f>'UMUR 2021'!AS14</f>
        <v>ASPIRASI</v>
      </c>
      <c r="AH14" s="29" t="str">
        <f>'UMUR 2021'!AT14</f>
        <v>LAIN-LAIN</v>
      </c>
      <c r="AI14" s="33">
        <f>'UMUR 2021'!AU14</f>
        <v>215</v>
      </c>
      <c r="AJ14" s="34">
        <f>'UMUR 2021'!AV14</f>
        <v>1.5941276785052274E-2</v>
      </c>
      <c r="AK14" s="29">
        <f>'UMUR 2021'!AW14</f>
        <v>0</v>
      </c>
      <c r="AL14" s="29" t="str">
        <f>'UMUR 2021'!AX14</f>
        <v/>
      </c>
      <c r="AM14" s="33">
        <f>'UMUR 2021'!AY14</f>
        <v>0</v>
      </c>
      <c r="AN14" s="34" t="str">
        <f>'UMUR 2021'!AZ14</f>
        <v/>
      </c>
      <c r="AO14" s="29">
        <f>'UMUR 2021'!BA14</f>
        <v>0</v>
      </c>
      <c r="AP14" s="29" t="str">
        <f>'UMUR 2021'!BB14</f>
        <v/>
      </c>
      <c r="AQ14" s="33">
        <f>'UMUR 2021'!BC14</f>
        <v>0</v>
      </c>
      <c r="AR14" s="34" t="str">
        <f>'UMUR 2021'!BD14</f>
        <v/>
      </c>
      <c r="AS14" s="29">
        <f>'UMUR 2021'!BE14</f>
        <v>0</v>
      </c>
      <c r="AT14" s="29" t="str">
        <f>'UMUR 2021'!BF14</f>
        <v/>
      </c>
      <c r="AU14" s="33">
        <f>'UMUR 2021'!BG14</f>
        <v>0</v>
      </c>
      <c r="AV14" s="34" t="str">
        <f>'UMUR 2021'!BH14</f>
        <v/>
      </c>
    </row>
    <row r="15" spans="1:48">
      <c r="A15" s="13" t="s">
        <v>37</v>
      </c>
      <c r="B15" s="14" t="s">
        <v>40</v>
      </c>
      <c r="C15" s="37">
        <f>('ETNIK 2021'!E14+'ETNIK 2021'!M14)/'ETNIK 2021'!D14</f>
        <v>0.22265811884030237</v>
      </c>
      <c r="D15" s="37">
        <f>'ETNIK 2021'!F14/'ETNIK 2021'!D14</f>
        <v>0.55320065065543966</v>
      </c>
      <c r="E15" s="37">
        <f>'ETNIK 2021'!L14/'ETNIK 2021'!D14</f>
        <v>4.8655631040091858E-2</v>
      </c>
      <c r="F15" s="37">
        <f>'ETNIK 2021'!K14/'ETNIK 2021'!D14</f>
        <v>0.1403693426466367</v>
      </c>
      <c r="G15" s="37">
        <f>('ETNIK 2021'!J14+'ETNIK 2021'!N14)/'ETNIK 2021'!D14</f>
        <v>2.7078748445124867E-2</v>
      </c>
      <c r="H15" s="37">
        <f t="shared" si="0"/>
        <v>8.0375083724045226E-3</v>
      </c>
      <c r="I15" s="13" t="str">
        <f t="shared" si="1"/>
        <v>CINA</v>
      </c>
      <c r="J15" s="15">
        <f t="shared" si="2"/>
        <v>4163</v>
      </c>
      <c r="K15" s="15">
        <f>'UMUR 2021'!W15</f>
        <v>20820</v>
      </c>
      <c r="L15" s="16">
        <f t="shared" si="3"/>
        <v>0.53294908741594615</v>
      </c>
      <c r="M15" s="15">
        <f>'UMUR 2021'!Y15</f>
        <v>11096</v>
      </c>
      <c r="N15" s="15">
        <f>'UMUR 2021'!Z15</f>
        <v>51</v>
      </c>
      <c r="O15" s="15">
        <f>'UMUR 2021'!AA15</f>
        <v>107</v>
      </c>
      <c r="P15" s="33">
        <f t="shared" si="4"/>
        <v>10938</v>
      </c>
      <c r="Q15" s="29" t="str">
        <f>'UMUR 2021'!AC15</f>
        <v>SUPP</v>
      </c>
      <c r="R15" s="29" t="str">
        <f>'UMUR 2021'!AD15</f>
        <v>GPS</v>
      </c>
      <c r="S15" s="33">
        <f>'UMUR 2021'!AE15</f>
        <v>6307</v>
      </c>
      <c r="T15" s="34">
        <f>'UMUR 2021'!AF15</f>
        <v>0.57661364051929054</v>
      </c>
      <c r="U15" s="29" t="str">
        <f>'UMUR 2021'!AG15</f>
        <v>DAP</v>
      </c>
      <c r="V15" s="29" t="str">
        <f>'UMUR 2021'!AH15</f>
        <v>PH</v>
      </c>
      <c r="W15" s="33">
        <f>'UMUR 2021'!AI15</f>
        <v>2144</v>
      </c>
      <c r="X15" s="34">
        <f>'UMUR 2021'!AJ15</f>
        <v>0.19601389650758821</v>
      </c>
      <c r="Y15" s="29" t="str">
        <f>'UMUR 2021'!AK15</f>
        <v>PSB</v>
      </c>
      <c r="Z15" s="29" t="str">
        <f>'UMUR 2021'!AL15</f>
        <v>PSB</v>
      </c>
      <c r="AA15" s="33">
        <f>'UMUR 2021'!AM15</f>
        <v>1812</v>
      </c>
      <c r="AB15" s="34">
        <f t="shared" si="5"/>
        <v>0.16566099835436093</v>
      </c>
      <c r="AC15" s="29" t="str">
        <f>'UMUR 2021'!AO15</f>
        <v>PBK</v>
      </c>
      <c r="AD15" s="29" t="str">
        <f>'UMUR 2021'!AP15</f>
        <v>LAIN-LAIN</v>
      </c>
      <c r="AE15" s="33">
        <f>'UMUR 2021'!AQ15</f>
        <v>675</v>
      </c>
      <c r="AF15" s="34">
        <f>'UMUR 2021'!AR15</f>
        <v>6.1711464618760287E-2</v>
      </c>
      <c r="AG15" s="29">
        <f>'UMUR 2021'!AS15</f>
        <v>0</v>
      </c>
      <c r="AH15" s="29" t="str">
        <f>'UMUR 2021'!AT15</f>
        <v/>
      </c>
      <c r="AI15" s="33">
        <f>'UMUR 2021'!AU15</f>
        <v>0</v>
      </c>
      <c r="AJ15" s="34" t="str">
        <f>'UMUR 2021'!AV15</f>
        <v/>
      </c>
      <c r="AK15" s="29">
        <f>'UMUR 2021'!AW15</f>
        <v>0</v>
      </c>
      <c r="AL15" s="29" t="str">
        <f>'UMUR 2021'!AX15</f>
        <v/>
      </c>
      <c r="AM15" s="33">
        <f>'UMUR 2021'!AY15</f>
        <v>0</v>
      </c>
      <c r="AN15" s="34" t="str">
        <f>'UMUR 2021'!AZ15</f>
        <v/>
      </c>
      <c r="AO15" s="29">
        <f>'UMUR 2021'!BA15</f>
        <v>0</v>
      </c>
      <c r="AP15" s="29" t="str">
        <f>'UMUR 2021'!BB15</f>
        <v/>
      </c>
      <c r="AQ15" s="33">
        <f>'UMUR 2021'!BC15</f>
        <v>0</v>
      </c>
      <c r="AR15" s="34" t="str">
        <f>'UMUR 2021'!BD15</f>
        <v/>
      </c>
      <c r="AS15" s="29">
        <f>'UMUR 2021'!BE15</f>
        <v>0</v>
      </c>
      <c r="AT15" s="29" t="str">
        <f>'UMUR 2021'!BF15</f>
        <v/>
      </c>
      <c r="AU15" s="33">
        <f>'UMUR 2021'!BG15</f>
        <v>0</v>
      </c>
      <c r="AV15" s="34" t="str">
        <f>'UMUR 2021'!BH15</f>
        <v/>
      </c>
    </row>
    <row r="16" spans="1:48">
      <c r="A16" s="13" t="s">
        <v>38</v>
      </c>
      <c r="B16" s="14" t="s">
        <v>41</v>
      </c>
      <c r="C16" s="37">
        <f>('ETNIK 2021'!E15+'ETNIK 2021'!M15)/'ETNIK 2021'!D15</f>
        <v>0.17929207801589211</v>
      </c>
      <c r="D16" s="37">
        <f>'ETNIK 2021'!F15/'ETNIK 2021'!D15</f>
        <v>0.57534312545148081</v>
      </c>
      <c r="E16" s="37">
        <f>'ETNIK 2021'!L15/'ETNIK 2021'!D15</f>
        <v>0.11919094630387672</v>
      </c>
      <c r="F16" s="37">
        <f>'ETNIK 2021'!K15/'ETNIK 2021'!D15</f>
        <v>7.6860101131712016E-2</v>
      </c>
      <c r="G16" s="37">
        <f>('ETNIK 2021'!J15+'ETNIK 2021'!N15)/'ETNIK 2021'!D15</f>
        <v>3.1013725018059234E-2</v>
      </c>
      <c r="H16" s="37">
        <f t="shared" si="0"/>
        <v>1.8300024078979134E-2</v>
      </c>
      <c r="I16" s="13" t="str">
        <f t="shared" si="1"/>
        <v>CINA</v>
      </c>
      <c r="J16" s="15">
        <f t="shared" si="2"/>
        <v>5393</v>
      </c>
      <c r="K16" s="15">
        <f>'UMUR 2021'!W16</f>
        <v>20681</v>
      </c>
      <c r="L16" s="16">
        <f t="shared" si="3"/>
        <v>0.54625018132585468</v>
      </c>
      <c r="M16" s="15">
        <f>'UMUR 2021'!Y16</f>
        <v>11297</v>
      </c>
      <c r="N16" s="15">
        <f>'UMUR 2021'!Z16</f>
        <v>45</v>
      </c>
      <c r="O16" s="15">
        <f>'UMUR 2021'!AA16</f>
        <v>102</v>
      </c>
      <c r="P16" s="33">
        <f t="shared" si="4"/>
        <v>11150</v>
      </c>
      <c r="Q16" s="29" t="str">
        <f>'UMUR 2021'!AC16</f>
        <v>SUPP</v>
      </c>
      <c r="R16" s="29" t="str">
        <f>'UMUR 2021'!AD16</f>
        <v>GPS</v>
      </c>
      <c r="S16" s="33">
        <f>'UMUR 2021'!AE16</f>
        <v>7827</v>
      </c>
      <c r="T16" s="34">
        <f>'UMUR 2021'!AF16</f>
        <v>0.70197309417040354</v>
      </c>
      <c r="U16" s="29" t="str">
        <f>'UMUR 2021'!AG16</f>
        <v>DAP</v>
      </c>
      <c r="V16" s="29" t="str">
        <f>'UMUR 2021'!AH16</f>
        <v>PH</v>
      </c>
      <c r="W16" s="33">
        <f>'UMUR 2021'!AI16</f>
        <v>2434</v>
      </c>
      <c r="X16" s="34">
        <f>'UMUR 2021'!AJ16</f>
        <v>0.21829596412556054</v>
      </c>
      <c r="Y16" s="29" t="str">
        <f>'UMUR 2021'!AK16</f>
        <v>PBK</v>
      </c>
      <c r="Z16" s="29" t="str">
        <f>'UMUR 2021'!AL16</f>
        <v>LAIN-LAIN</v>
      </c>
      <c r="AA16" s="33">
        <f>'UMUR 2021'!AM16</f>
        <v>756</v>
      </c>
      <c r="AB16" s="34">
        <f t="shared" si="5"/>
        <v>6.7802690582959638E-2</v>
      </c>
      <c r="AC16" s="29" t="str">
        <f>'UMUR 2021'!AO16</f>
        <v>ASPIRASI</v>
      </c>
      <c r="AD16" s="29" t="str">
        <f>'UMUR 2021'!AP16</f>
        <v>LAIN-LAIN</v>
      </c>
      <c r="AE16" s="33">
        <f>'UMUR 2021'!AQ16</f>
        <v>133</v>
      </c>
      <c r="AF16" s="34">
        <f>'UMUR 2021'!AR16</f>
        <v>1.1928251121076233E-2</v>
      </c>
      <c r="AG16" s="29">
        <f>'UMUR 2021'!AS16</f>
        <v>0</v>
      </c>
      <c r="AH16" s="29" t="str">
        <f>'UMUR 2021'!AT16</f>
        <v/>
      </c>
      <c r="AI16" s="33">
        <f>'UMUR 2021'!AU16</f>
        <v>0</v>
      </c>
      <c r="AJ16" s="34" t="str">
        <f>'UMUR 2021'!AV16</f>
        <v/>
      </c>
      <c r="AK16" s="29">
        <f>'UMUR 2021'!AW16</f>
        <v>0</v>
      </c>
      <c r="AL16" s="29" t="str">
        <f>'UMUR 2021'!AX16</f>
        <v/>
      </c>
      <c r="AM16" s="33">
        <f>'UMUR 2021'!AY16</f>
        <v>0</v>
      </c>
      <c r="AN16" s="34" t="str">
        <f>'UMUR 2021'!AZ16</f>
        <v/>
      </c>
      <c r="AO16" s="29">
        <f>'UMUR 2021'!BA16</f>
        <v>0</v>
      </c>
      <c r="AP16" s="29" t="str">
        <f>'UMUR 2021'!BB16</f>
        <v/>
      </c>
      <c r="AQ16" s="33">
        <f>'UMUR 2021'!BC16</f>
        <v>0</v>
      </c>
      <c r="AR16" s="34" t="str">
        <f>'UMUR 2021'!BD16</f>
        <v/>
      </c>
      <c r="AS16" s="29">
        <f>'UMUR 2021'!BE16</f>
        <v>0</v>
      </c>
      <c r="AT16" s="29" t="str">
        <f>'UMUR 2021'!BF16</f>
        <v/>
      </c>
      <c r="AU16" s="33">
        <f>'UMUR 2021'!BG16</f>
        <v>0</v>
      </c>
      <c r="AV16" s="34" t="str">
        <f>'UMUR 2021'!BH16</f>
        <v/>
      </c>
    </row>
    <row r="17" spans="1:48" ht="28.5">
      <c r="A17" s="13" t="s">
        <v>44</v>
      </c>
      <c r="B17" s="14" t="s">
        <v>47</v>
      </c>
      <c r="C17" s="37">
        <f>('ETNIK 2021'!E16+'ETNIK 2021'!M16)/'ETNIK 2021'!D16</f>
        <v>0.80626459457283195</v>
      </c>
      <c r="D17" s="37">
        <f>'ETNIK 2021'!F16/'ETNIK 2021'!D16</f>
        <v>9.5096223528464446E-2</v>
      </c>
      <c r="E17" s="37">
        <f>'ETNIK 2021'!L16/'ETNIK 2021'!D16</f>
        <v>7.4080038650454955E-2</v>
      </c>
      <c r="F17" s="37">
        <f>'ETNIK 2021'!K16/'ETNIK 2021'!D16</f>
        <v>4.5897415250825352E-3</v>
      </c>
      <c r="G17" s="37">
        <f>('ETNIK 2021'!J16+'ETNIK 2021'!N16)/'ETNIK 2021'!D16</f>
        <v>1.7875835413479348E-2</v>
      </c>
      <c r="H17" s="37">
        <f t="shared" si="0"/>
        <v>2.0935663096867674E-3</v>
      </c>
      <c r="I17" s="13" t="str">
        <f t="shared" si="1"/>
        <v>MELAYU / MELANAU</v>
      </c>
      <c r="J17" s="15">
        <f t="shared" si="2"/>
        <v>4531</v>
      </c>
      <c r="K17" s="15">
        <f>'UMUR 2021'!W17</f>
        <v>12349</v>
      </c>
      <c r="L17" s="16">
        <f t="shared" si="3"/>
        <v>0.75277350392744347</v>
      </c>
      <c r="M17" s="15">
        <f>'UMUR 2021'!Y17</f>
        <v>9296</v>
      </c>
      <c r="N17" s="15">
        <f>'UMUR 2021'!Z17</f>
        <v>16</v>
      </c>
      <c r="O17" s="15">
        <f>'UMUR 2021'!AA17</f>
        <v>171</v>
      </c>
      <c r="P17" s="33">
        <f t="shared" si="4"/>
        <v>9109</v>
      </c>
      <c r="Q17" s="29" t="str">
        <f>'UMUR 2021'!AC17</f>
        <v>PBB</v>
      </c>
      <c r="R17" s="29" t="str">
        <f>'UMUR 2021'!AD17</f>
        <v>GPS</v>
      </c>
      <c r="S17" s="33">
        <f>'UMUR 2021'!AE17</f>
        <v>6380</v>
      </c>
      <c r="T17" s="34">
        <f>'UMUR 2021'!AF17</f>
        <v>0.70040619167855966</v>
      </c>
      <c r="U17" s="29" t="str">
        <f>'UMUR 2021'!AG17</f>
        <v>PSB</v>
      </c>
      <c r="V17" s="29" t="str">
        <f>'UMUR 2021'!AH17</f>
        <v>PSB</v>
      </c>
      <c r="W17" s="33">
        <f>'UMUR 2021'!AI17</f>
        <v>1849</v>
      </c>
      <c r="X17" s="34">
        <f>'UMUR 2021'!AJ17</f>
        <v>0.20298605774508727</v>
      </c>
      <c r="Y17" s="29" t="str">
        <f>'UMUR 2021'!AK17</f>
        <v>PKR</v>
      </c>
      <c r="Z17" s="29" t="str">
        <f>'UMUR 2021'!AL17</f>
        <v>PH</v>
      </c>
      <c r="AA17" s="33">
        <f>'UMUR 2021'!AM17</f>
        <v>721</v>
      </c>
      <c r="AB17" s="34">
        <f t="shared" si="5"/>
        <v>7.9152486551761991E-2</v>
      </c>
      <c r="AC17" s="29" t="str">
        <f>'UMUR 2021'!AO17</f>
        <v>PBK</v>
      </c>
      <c r="AD17" s="29" t="str">
        <f>'UMUR 2021'!AP17</f>
        <v>LAIN-LAIN</v>
      </c>
      <c r="AE17" s="33">
        <f>'UMUR 2021'!AQ17</f>
        <v>159</v>
      </c>
      <c r="AF17" s="34">
        <f>'UMUR 2021'!AR17</f>
        <v>1.7455264024591063E-2</v>
      </c>
      <c r="AG17" s="29">
        <f>'UMUR 2021'!AS17</f>
        <v>0</v>
      </c>
      <c r="AH17" s="29" t="str">
        <f>'UMUR 2021'!AT17</f>
        <v/>
      </c>
      <c r="AI17" s="33">
        <f>'UMUR 2021'!AU17</f>
        <v>0</v>
      </c>
      <c r="AJ17" s="34" t="str">
        <f>'UMUR 2021'!AV17</f>
        <v/>
      </c>
      <c r="AK17" s="29">
        <f>'UMUR 2021'!AW17</f>
        <v>0</v>
      </c>
      <c r="AL17" s="29" t="str">
        <f>'UMUR 2021'!AX17</f>
        <v/>
      </c>
      <c r="AM17" s="33">
        <f>'UMUR 2021'!AY17</f>
        <v>0</v>
      </c>
      <c r="AN17" s="34" t="str">
        <f>'UMUR 2021'!AZ17</f>
        <v/>
      </c>
      <c r="AO17" s="29">
        <f>'UMUR 2021'!BA17</f>
        <v>0</v>
      </c>
      <c r="AP17" s="29" t="str">
        <f>'UMUR 2021'!BB17</f>
        <v/>
      </c>
      <c r="AQ17" s="33">
        <f>'UMUR 2021'!BC17</f>
        <v>0</v>
      </c>
      <c r="AR17" s="34" t="str">
        <f>'UMUR 2021'!BD17</f>
        <v/>
      </c>
      <c r="AS17" s="29">
        <f>'UMUR 2021'!BE17</f>
        <v>0</v>
      </c>
      <c r="AT17" s="29" t="str">
        <f>'UMUR 2021'!BF17</f>
        <v/>
      </c>
      <c r="AU17" s="33">
        <f>'UMUR 2021'!BG17</f>
        <v>0</v>
      </c>
      <c r="AV17" s="34" t="str">
        <f>'UMUR 2021'!BH17</f>
        <v/>
      </c>
    </row>
    <row r="18" spans="1:48" ht="28.5">
      <c r="A18" s="13" t="s">
        <v>45</v>
      </c>
      <c r="B18" s="14" t="s">
        <v>48</v>
      </c>
      <c r="C18" s="37">
        <f>('ETNIK 2021'!E17+'ETNIK 2021'!M17)/'ETNIK 2021'!D17</f>
        <v>0.71103945954245351</v>
      </c>
      <c r="D18" s="37">
        <f>'ETNIK 2021'!F17/'ETNIK 2021'!D17</f>
        <v>5.5785864169097699E-2</v>
      </c>
      <c r="E18" s="37">
        <f>'ETNIK 2021'!L17/'ETNIK 2021'!D17</f>
        <v>0.15016121602947952</v>
      </c>
      <c r="F18" s="37">
        <f>'ETNIK 2021'!K17/'ETNIK 2021'!D17</f>
        <v>5.051435590357746E-2</v>
      </c>
      <c r="G18" s="37">
        <f>('ETNIK 2021'!J17+'ETNIK 2021'!N17)/'ETNIK 2021'!D17</f>
        <v>2.7534674241261069E-2</v>
      </c>
      <c r="H18" s="37">
        <f t="shared" si="0"/>
        <v>4.9644301141307454E-3</v>
      </c>
      <c r="I18" s="13" t="str">
        <f t="shared" si="1"/>
        <v>MELAYU / MELANAU</v>
      </c>
      <c r="J18" s="15">
        <f t="shared" si="2"/>
        <v>6237</v>
      </c>
      <c r="K18" s="15">
        <f>'UMUR 2021'!W18</f>
        <v>18644</v>
      </c>
      <c r="L18" s="16">
        <f t="shared" si="3"/>
        <v>0.7294035614674963</v>
      </c>
      <c r="M18" s="15">
        <f>'UMUR 2021'!Y18</f>
        <v>13599</v>
      </c>
      <c r="N18" s="15">
        <f>'UMUR 2021'!Z18</f>
        <v>83</v>
      </c>
      <c r="O18" s="15">
        <f>'UMUR 2021'!AA18</f>
        <v>259</v>
      </c>
      <c r="P18" s="33">
        <f t="shared" si="4"/>
        <v>13257</v>
      </c>
      <c r="Q18" s="29" t="str">
        <f>'UMUR 2021'!AC18</f>
        <v>PBB</v>
      </c>
      <c r="R18" s="29" t="str">
        <f>'UMUR 2021'!AD18</f>
        <v>GPS</v>
      </c>
      <c r="S18" s="33">
        <f>'UMUR 2021'!AE18</f>
        <v>8435</v>
      </c>
      <c r="T18" s="34">
        <f>'UMUR 2021'!AF18</f>
        <v>0.63626763219431248</v>
      </c>
      <c r="U18" s="29" t="str">
        <f>'UMUR 2021'!AG18</f>
        <v>BEBAS</v>
      </c>
      <c r="V18" s="29" t="str">
        <f>'UMUR 2021'!AH18</f>
        <v>BEBAS</v>
      </c>
      <c r="W18" s="33">
        <f>'UMUR 2021'!AI18</f>
        <v>2198</v>
      </c>
      <c r="X18" s="34">
        <f>'UMUR 2021'!AJ18</f>
        <v>0.16579920042241836</v>
      </c>
      <c r="Y18" s="29" t="str">
        <f>'UMUR 2021'!AK18</f>
        <v>PSB</v>
      </c>
      <c r="Z18" s="29" t="str">
        <f>'UMUR 2021'!AL18</f>
        <v>PSB</v>
      </c>
      <c r="AA18" s="33">
        <f>'UMUR 2021'!AM18</f>
        <v>1838</v>
      </c>
      <c r="AB18" s="34">
        <f t="shared" si="5"/>
        <v>0.13864373538507957</v>
      </c>
      <c r="AC18" s="29" t="str">
        <f>'UMUR 2021'!AO18</f>
        <v>SEDAR</v>
      </c>
      <c r="AD18" s="29" t="str">
        <f>'UMUR 2021'!AP18</f>
        <v>LAIN-LAIN</v>
      </c>
      <c r="AE18" s="33">
        <f>'UMUR 2021'!AQ18</f>
        <v>357</v>
      </c>
      <c r="AF18" s="34">
        <f>'UMUR 2021'!AR18</f>
        <v>2.6929169495360943E-2</v>
      </c>
      <c r="AG18" s="29" t="str">
        <f>'UMUR 2021'!AS18</f>
        <v>AMANAH</v>
      </c>
      <c r="AH18" s="29" t="str">
        <f>'UMUR 2021'!AT18</f>
        <v>PH</v>
      </c>
      <c r="AI18" s="33">
        <f>'UMUR 2021'!AU18</f>
        <v>239</v>
      </c>
      <c r="AJ18" s="34">
        <f>'UMUR 2021'!AV18</f>
        <v>1.8028211510899901E-2</v>
      </c>
      <c r="AK18" s="29" t="str">
        <f>'UMUR 2021'!AW18</f>
        <v>PBK</v>
      </c>
      <c r="AL18" s="29" t="str">
        <f>'UMUR 2021'!AX18</f>
        <v>LAIN-LAIN</v>
      </c>
      <c r="AM18" s="33">
        <f>'UMUR 2021'!AY18</f>
        <v>190</v>
      </c>
      <c r="AN18" s="34">
        <f>'UMUR 2021'!AZ18</f>
        <v>1.4332050991928792E-2</v>
      </c>
      <c r="AO18" s="29">
        <f>'UMUR 2021'!BA18</f>
        <v>0</v>
      </c>
      <c r="AP18" s="29" t="str">
        <f>'UMUR 2021'!BB18</f>
        <v/>
      </c>
      <c r="AQ18" s="33">
        <f>'UMUR 2021'!BC18</f>
        <v>0</v>
      </c>
      <c r="AR18" s="34" t="str">
        <f>'UMUR 2021'!BD18</f>
        <v/>
      </c>
      <c r="AS18" s="29">
        <f>'UMUR 2021'!BE18</f>
        <v>0</v>
      </c>
      <c r="AT18" s="29" t="str">
        <f>'UMUR 2021'!BF18</f>
        <v/>
      </c>
      <c r="AU18" s="33">
        <f>'UMUR 2021'!BG18</f>
        <v>0</v>
      </c>
      <c r="AV18" s="34" t="str">
        <f>'UMUR 2021'!BH18</f>
        <v/>
      </c>
    </row>
    <row r="19" spans="1:48">
      <c r="A19" s="13" t="s">
        <v>46</v>
      </c>
      <c r="B19" s="14" t="s">
        <v>49</v>
      </c>
      <c r="C19" s="37">
        <f>('ETNIK 2021'!E18+'ETNIK 2021'!M18)/'ETNIK 2021'!D18</f>
        <v>0.3916818208482431</v>
      </c>
      <c r="D19" s="37">
        <f>'ETNIK 2021'!F18/'ETNIK 2021'!D18</f>
        <v>0.1869537161963982</v>
      </c>
      <c r="E19" s="37">
        <f>'ETNIK 2021'!L18/'ETNIK 2021'!D18</f>
        <v>0.18630844136798264</v>
      </c>
      <c r="F19" s="37">
        <f>'ETNIK 2021'!K18/'ETNIK 2021'!D18</f>
        <v>0.15023171232474922</v>
      </c>
      <c r="G19" s="37">
        <f>('ETNIK 2021'!J18+'ETNIK 2021'!N18)/'ETNIK 2021'!D18</f>
        <v>5.6784184900569017E-2</v>
      </c>
      <c r="H19" s="37">
        <f t="shared" si="0"/>
        <v>2.8040124362057807E-2</v>
      </c>
      <c r="I19" s="13" t="str">
        <f t="shared" si="1"/>
        <v>MIXED</v>
      </c>
      <c r="J19" s="15">
        <f t="shared" si="2"/>
        <v>5807</v>
      </c>
      <c r="K19" s="15">
        <f>'UMUR 2021'!W19</f>
        <v>16992</v>
      </c>
      <c r="L19" s="16">
        <f t="shared" si="3"/>
        <v>0.65148305084745761</v>
      </c>
      <c r="M19" s="15">
        <f>'UMUR 2021'!Y19</f>
        <v>11070</v>
      </c>
      <c r="N19" s="15">
        <f>'UMUR 2021'!Z19</f>
        <v>48</v>
      </c>
      <c r="O19" s="15">
        <f>'UMUR 2021'!AA19</f>
        <v>182</v>
      </c>
      <c r="P19" s="33">
        <f t="shared" si="4"/>
        <v>10840</v>
      </c>
      <c r="Q19" s="29" t="str">
        <f>'UMUR 2021'!AC19</f>
        <v>PBB</v>
      </c>
      <c r="R19" s="29" t="str">
        <f>'UMUR 2021'!AD19</f>
        <v>GPS</v>
      </c>
      <c r="S19" s="33">
        <f>'UMUR 2021'!AE19</f>
        <v>7854</v>
      </c>
      <c r="T19" s="34">
        <f>'UMUR 2021'!AF19</f>
        <v>0.72453874538745389</v>
      </c>
      <c r="U19" s="29" t="str">
        <f>'UMUR 2021'!AG19</f>
        <v>PSB</v>
      </c>
      <c r="V19" s="29" t="str">
        <f>'UMUR 2021'!AH19</f>
        <v>PSB</v>
      </c>
      <c r="W19" s="33">
        <f>'UMUR 2021'!AI19</f>
        <v>2047</v>
      </c>
      <c r="X19" s="34">
        <f>'UMUR 2021'!AJ19</f>
        <v>0.18883763837638376</v>
      </c>
      <c r="Y19" s="29" t="str">
        <f>'UMUR 2021'!AK19</f>
        <v>DAP</v>
      </c>
      <c r="Z19" s="29" t="str">
        <f>'UMUR 2021'!AL19</f>
        <v>PH</v>
      </c>
      <c r="AA19" s="33">
        <f>'UMUR 2021'!AM19</f>
        <v>524</v>
      </c>
      <c r="AB19" s="34">
        <f t="shared" si="5"/>
        <v>4.8339483394833946E-2</v>
      </c>
      <c r="AC19" s="29" t="str">
        <f>'UMUR 2021'!AO19</f>
        <v>PBK</v>
      </c>
      <c r="AD19" s="29" t="str">
        <f>'UMUR 2021'!AP19</f>
        <v>LAIN-LAIN</v>
      </c>
      <c r="AE19" s="33">
        <f>'UMUR 2021'!AQ19</f>
        <v>415</v>
      </c>
      <c r="AF19" s="34">
        <f>'UMUR 2021'!AR19</f>
        <v>3.8284132841328415E-2</v>
      </c>
      <c r="AG19" s="29">
        <f>'UMUR 2021'!AS19</f>
        <v>0</v>
      </c>
      <c r="AH19" s="29" t="str">
        <f>'UMUR 2021'!AT19</f>
        <v/>
      </c>
      <c r="AI19" s="33">
        <f>'UMUR 2021'!AU19</f>
        <v>0</v>
      </c>
      <c r="AJ19" s="34" t="str">
        <f>'UMUR 2021'!AV19</f>
        <v/>
      </c>
      <c r="AK19" s="29">
        <f>'UMUR 2021'!AW19</f>
        <v>0</v>
      </c>
      <c r="AL19" s="29" t="str">
        <f>'UMUR 2021'!AX19</f>
        <v/>
      </c>
      <c r="AM19" s="33">
        <f>'UMUR 2021'!AY19</f>
        <v>0</v>
      </c>
      <c r="AN19" s="34" t="str">
        <f>'UMUR 2021'!AZ19</f>
        <v/>
      </c>
      <c r="AO19" s="29">
        <f>'UMUR 2021'!BA19</f>
        <v>0</v>
      </c>
      <c r="AP19" s="29" t="str">
        <f>'UMUR 2021'!BB19</f>
        <v/>
      </c>
      <c r="AQ19" s="33">
        <f>'UMUR 2021'!BC19</f>
        <v>0</v>
      </c>
      <c r="AR19" s="34" t="str">
        <f>'UMUR 2021'!BD19</f>
        <v/>
      </c>
      <c r="AS19" s="29">
        <f>'UMUR 2021'!BE19</f>
        <v>0</v>
      </c>
      <c r="AT19" s="29" t="str">
        <f>'UMUR 2021'!BF19</f>
        <v/>
      </c>
      <c r="AU19" s="33">
        <f>'UMUR 2021'!BG19</f>
        <v>0</v>
      </c>
      <c r="AV19" s="34" t="str">
        <f>'UMUR 2021'!BH19</f>
        <v/>
      </c>
    </row>
    <row r="20" spans="1:48">
      <c r="A20" s="13" t="s">
        <v>52</v>
      </c>
      <c r="B20" s="14" t="s">
        <v>55</v>
      </c>
      <c r="C20" s="37">
        <f>('ETNIK 2021'!E19+'ETNIK 2021'!M19)/'ETNIK 2021'!D19</f>
        <v>5.0758341759352885E-2</v>
      </c>
      <c r="D20" s="37">
        <f>'ETNIK 2021'!F19/'ETNIK 2021'!D19</f>
        <v>0.20525783619817997</v>
      </c>
      <c r="E20" s="37">
        <f>'ETNIK 2021'!L19/'ETNIK 2021'!D19</f>
        <v>2.0930232558139535E-2</v>
      </c>
      <c r="F20" s="37">
        <f>'ETNIK 2021'!K19/'ETNIK 2021'!D19</f>
        <v>0.6503538928210314</v>
      </c>
      <c r="G20" s="37">
        <f>('ETNIK 2021'!J19+'ETNIK 2021'!N19)/'ETNIK 2021'!D19</f>
        <v>6.6936299292214355E-2</v>
      </c>
      <c r="H20" s="37">
        <f t="shared" si="0"/>
        <v>5.763397371081877E-3</v>
      </c>
      <c r="I20" s="13" t="str">
        <f t="shared" si="1"/>
        <v>BIDAYUH</v>
      </c>
      <c r="J20" s="15">
        <f t="shared" si="2"/>
        <v>1650</v>
      </c>
      <c r="K20" s="15">
        <f>'UMUR 2021'!W20</f>
        <v>9834</v>
      </c>
      <c r="L20" s="16">
        <f t="shared" si="3"/>
        <v>0.72757779133618061</v>
      </c>
      <c r="M20" s="15">
        <f>'UMUR 2021'!Y20</f>
        <v>7155</v>
      </c>
      <c r="N20" s="15">
        <f>'UMUR 2021'!Z20</f>
        <v>8</v>
      </c>
      <c r="O20" s="15">
        <f>'UMUR 2021'!AA20</f>
        <v>95</v>
      </c>
      <c r="P20" s="33">
        <f t="shared" si="4"/>
        <v>7052</v>
      </c>
      <c r="Q20" s="29" t="str">
        <f>'UMUR 2021'!AC20</f>
        <v>PBB</v>
      </c>
      <c r="R20" s="29" t="str">
        <f>'UMUR 2021'!AD20</f>
        <v>GPS</v>
      </c>
      <c r="S20" s="33">
        <f>'UMUR 2021'!AE20</f>
        <v>4068</v>
      </c>
      <c r="T20" s="34">
        <f>'UMUR 2021'!AF20</f>
        <v>0.57685762904140669</v>
      </c>
      <c r="U20" s="29" t="str">
        <f>'UMUR 2021'!AG20</f>
        <v>PSB</v>
      </c>
      <c r="V20" s="29" t="str">
        <f>'UMUR 2021'!AH20</f>
        <v>PSB</v>
      </c>
      <c r="W20" s="33">
        <f>'UMUR 2021'!AI20</f>
        <v>2418</v>
      </c>
      <c r="X20" s="34">
        <f>'UMUR 2021'!AJ20</f>
        <v>0.34288145207033466</v>
      </c>
      <c r="Y20" s="29" t="str">
        <f>'UMUR 2021'!AK20</f>
        <v>PBK</v>
      </c>
      <c r="Z20" s="29" t="str">
        <f>'UMUR 2021'!AL20</f>
        <v>LAIN-LAIN</v>
      </c>
      <c r="AA20" s="33">
        <f>'UMUR 2021'!AM20</f>
        <v>257</v>
      </c>
      <c r="AB20" s="34">
        <f t="shared" si="5"/>
        <v>3.6443562110039705E-2</v>
      </c>
      <c r="AC20" s="29" t="str">
        <f>'UMUR 2021'!AO20</f>
        <v>PKR</v>
      </c>
      <c r="AD20" s="29" t="str">
        <f>'UMUR 2021'!AP20</f>
        <v>PH</v>
      </c>
      <c r="AE20" s="33">
        <f>'UMUR 2021'!AQ20</f>
        <v>217</v>
      </c>
      <c r="AF20" s="34">
        <f>'UMUR 2021'!AR20</f>
        <v>3.0771412365286445E-2</v>
      </c>
      <c r="AG20" s="29" t="str">
        <f>'UMUR 2021'!AS20</f>
        <v>ASPIRASI</v>
      </c>
      <c r="AH20" s="29" t="str">
        <f>'UMUR 2021'!AT20</f>
        <v>LAIN-LAIN</v>
      </c>
      <c r="AI20" s="33">
        <f>'UMUR 2021'!AU20</f>
        <v>92</v>
      </c>
      <c r="AJ20" s="34">
        <f>'UMUR 2021'!AV20</f>
        <v>1.3045944412932501E-2</v>
      </c>
      <c r="AK20" s="29">
        <f>'UMUR 2021'!AW20</f>
        <v>0</v>
      </c>
      <c r="AL20" s="29" t="str">
        <f>'UMUR 2021'!AX20</f>
        <v/>
      </c>
      <c r="AM20" s="33">
        <f>'UMUR 2021'!AY20</f>
        <v>0</v>
      </c>
      <c r="AN20" s="34" t="str">
        <f>'UMUR 2021'!AZ20</f>
        <v/>
      </c>
      <c r="AO20" s="29">
        <f>'UMUR 2021'!BA20</f>
        <v>0</v>
      </c>
      <c r="AP20" s="29" t="str">
        <f>'UMUR 2021'!BB20</f>
        <v/>
      </c>
      <c r="AQ20" s="33">
        <f>'UMUR 2021'!BC20</f>
        <v>0</v>
      </c>
      <c r="AR20" s="34" t="str">
        <f>'UMUR 2021'!BD20</f>
        <v/>
      </c>
      <c r="AS20" s="29">
        <f>'UMUR 2021'!BE20</f>
        <v>0</v>
      </c>
      <c r="AT20" s="29" t="str">
        <f>'UMUR 2021'!BF20</f>
        <v/>
      </c>
      <c r="AU20" s="33">
        <f>'UMUR 2021'!BG20</f>
        <v>0</v>
      </c>
      <c r="AV20" s="34" t="str">
        <f>'UMUR 2021'!BH20</f>
        <v/>
      </c>
    </row>
    <row r="21" spans="1:48">
      <c r="A21" s="13" t="s">
        <v>53</v>
      </c>
      <c r="B21" s="14" t="s">
        <v>56</v>
      </c>
      <c r="C21" s="37">
        <f>('ETNIK 2021'!E20+'ETNIK 2021'!M20)/'ETNIK 2021'!D20</f>
        <v>4.6611042439225384E-2</v>
      </c>
      <c r="D21" s="37">
        <f>'ETNIK 2021'!F20/'ETNIK 2021'!D20</f>
        <v>0.24613720642768849</v>
      </c>
      <c r="E21" s="37">
        <f>'ETNIK 2021'!L20/'ETNIK 2021'!D20</f>
        <v>5.2791512154923774E-2</v>
      </c>
      <c r="F21" s="37">
        <f>'ETNIK 2021'!K20/'ETNIK 2021'!D20</f>
        <v>0.58127317676143386</v>
      </c>
      <c r="G21" s="37">
        <f>('ETNIK 2021'!J20+'ETNIK 2021'!N20)/'ETNIK 2021'!D20</f>
        <v>6.2371240214256281E-2</v>
      </c>
      <c r="H21" s="37">
        <f t="shared" si="0"/>
        <v>1.0815822002472157E-2</v>
      </c>
      <c r="I21" s="13" t="str">
        <f t="shared" si="1"/>
        <v>BIDAYUH</v>
      </c>
      <c r="J21" s="15">
        <f t="shared" si="2"/>
        <v>3071</v>
      </c>
      <c r="K21" s="15">
        <f>'UMUR 2021'!W21</f>
        <v>19315</v>
      </c>
      <c r="L21" s="16">
        <f t="shared" si="3"/>
        <v>0.59446026404348951</v>
      </c>
      <c r="M21" s="15">
        <f>'UMUR 2021'!Y21</f>
        <v>11482</v>
      </c>
      <c r="N21" s="15">
        <f>'UMUR 2021'!Z21</f>
        <v>58</v>
      </c>
      <c r="O21" s="15">
        <f>'UMUR 2021'!AA21</f>
        <v>146</v>
      </c>
      <c r="P21" s="33">
        <f t="shared" si="4"/>
        <v>11278</v>
      </c>
      <c r="Q21" s="29" t="str">
        <f>'UMUR 2021'!AC21</f>
        <v>PBB</v>
      </c>
      <c r="R21" s="29" t="str">
        <f>'UMUR 2021'!AD21</f>
        <v>GPS</v>
      </c>
      <c r="S21" s="33">
        <f>'UMUR 2021'!AE21</f>
        <v>5865</v>
      </c>
      <c r="T21" s="34">
        <f>'UMUR 2021'!AF21</f>
        <v>0.52003901400957619</v>
      </c>
      <c r="U21" s="29" t="str">
        <f>'UMUR 2021'!AG21</f>
        <v>PSB</v>
      </c>
      <c r="V21" s="29" t="str">
        <f>'UMUR 2021'!AH21</f>
        <v>PSB</v>
      </c>
      <c r="W21" s="33">
        <f>'UMUR 2021'!AI21</f>
        <v>2794</v>
      </c>
      <c r="X21" s="34">
        <f>'UMUR 2021'!AJ21</f>
        <v>0.24773896080865401</v>
      </c>
      <c r="Y21" s="29" t="str">
        <f>'UMUR 2021'!AK21</f>
        <v>ASPIRASI</v>
      </c>
      <c r="Z21" s="29" t="str">
        <f>'UMUR 2021'!AL21</f>
        <v>LAIN-LAIN</v>
      </c>
      <c r="AA21" s="33">
        <f>'UMUR 2021'!AM21</f>
        <v>1517</v>
      </c>
      <c r="AB21" s="34">
        <f t="shared" si="5"/>
        <v>0.13450966483419047</v>
      </c>
      <c r="AC21" s="29" t="str">
        <f>'UMUR 2021'!AO21</f>
        <v>PBK</v>
      </c>
      <c r="AD21" s="29" t="str">
        <f>'UMUR 2021'!AP21</f>
        <v>LAIN-LAIN</v>
      </c>
      <c r="AE21" s="33">
        <f>'UMUR 2021'!AQ21</f>
        <v>958</v>
      </c>
      <c r="AF21" s="34">
        <f>'UMUR 2021'!AR21</f>
        <v>8.4944139031743221E-2</v>
      </c>
      <c r="AG21" s="29" t="str">
        <f>'UMUR 2021'!AS21</f>
        <v>DAP</v>
      </c>
      <c r="AH21" s="29" t="str">
        <f>'UMUR 2021'!AT21</f>
        <v>PH</v>
      </c>
      <c r="AI21" s="33">
        <f>'UMUR 2021'!AU21</f>
        <v>144</v>
      </c>
      <c r="AJ21" s="34">
        <f>'UMUR 2021'!AV21</f>
        <v>1.2768221315836142E-2</v>
      </c>
      <c r="AK21" s="29">
        <f>'UMUR 2021'!AW21</f>
        <v>0</v>
      </c>
      <c r="AL21" s="29" t="str">
        <f>'UMUR 2021'!AX21</f>
        <v/>
      </c>
      <c r="AM21" s="33">
        <f>'UMUR 2021'!AY21</f>
        <v>0</v>
      </c>
      <c r="AN21" s="34" t="str">
        <f>'UMUR 2021'!AZ21</f>
        <v/>
      </c>
      <c r="AO21" s="29">
        <f>'UMUR 2021'!BA21</f>
        <v>0</v>
      </c>
      <c r="AP21" s="29" t="str">
        <f>'UMUR 2021'!BB21</f>
        <v/>
      </c>
      <c r="AQ21" s="33">
        <f>'UMUR 2021'!BC21</f>
        <v>0</v>
      </c>
      <c r="AR21" s="34" t="str">
        <f>'UMUR 2021'!BD21</f>
        <v/>
      </c>
      <c r="AS21" s="29">
        <f>'UMUR 2021'!BE21</f>
        <v>0</v>
      </c>
      <c r="AT21" s="29" t="str">
        <f>'UMUR 2021'!BF21</f>
        <v/>
      </c>
      <c r="AU21" s="33">
        <f>'UMUR 2021'!BG21</f>
        <v>0</v>
      </c>
      <c r="AV21" s="34" t="str">
        <f>'UMUR 2021'!BH21</f>
        <v/>
      </c>
    </row>
    <row r="22" spans="1:48">
      <c r="A22" s="13" t="s">
        <v>54</v>
      </c>
      <c r="B22" s="14" t="s">
        <v>57</v>
      </c>
      <c r="C22" s="37">
        <f>('ETNIK 2021'!E21+'ETNIK 2021'!M21)/'ETNIK 2021'!D21</f>
        <v>5.8292190305206465E-2</v>
      </c>
      <c r="D22" s="37">
        <f>'ETNIK 2021'!F21/'ETNIK 2021'!D21</f>
        <v>0.28719703770197486</v>
      </c>
      <c r="E22" s="37">
        <f>'ETNIK 2021'!L21/'ETNIK 2021'!D21</f>
        <v>3.141831238779174E-2</v>
      </c>
      <c r="F22" s="37">
        <f>'ETNIK 2021'!K21/'ETNIK 2021'!D21</f>
        <v>0.55329892280071813</v>
      </c>
      <c r="G22" s="37">
        <f>('ETNIK 2021'!J21+'ETNIK 2021'!N21)/'ETNIK 2021'!D21</f>
        <v>6.1995062836624773E-2</v>
      </c>
      <c r="H22" s="37">
        <f t="shared" si="0"/>
        <v>7.7984739676841136E-3</v>
      </c>
      <c r="I22" s="13" t="str">
        <f t="shared" si="1"/>
        <v>BIDAYUH</v>
      </c>
      <c r="J22" s="15">
        <f t="shared" si="2"/>
        <v>5008</v>
      </c>
      <c r="K22" s="15">
        <f>'UMUR 2021'!W22</f>
        <v>17717</v>
      </c>
      <c r="L22" s="16">
        <f t="shared" si="3"/>
        <v>0.62674267652537108</v>
      </c>
      <c r="M22" s="15">
        <f>'UMUR 2021'!Y22</f>
        <v>11104</v>
      </c>
      <c r="N22" s="15">
        <f>'UMUR 2021'!Z22</f>
        <v>54</v>
      </c>
      <c r="O22" s="15">
        <f>'UMUR 2021'!AA22</f>
        <v>262</v>
      </c>
      <c r="P22" s="33">
        <f t="shared" si="4"/>
        <v>10788</v>
      </c>
      <c r="Q22" s="29" t="str">
        <f>'UMUR 2021'!AC22</f>
        <v>PBB</v>
      </c>
      <c r="R22" s="29" t="str">
        <f>'UMUR 2021'!AD22</f>
        <v>GPS</v>
      </c>
      <c r="S22" s="33">
        <f>'UMUR 2021'!AE22</f>
        <v>6500</v>
      </c>
      <c r="T22" s="34">
        <f>'UMUR 2021'!AF22</f>
        <v>0.60252131998516867</v>
      </c>
      <c r="U22" s="29" t="str">
        <f>'UMUR 2021'!AG22</f>
        <v>PSB</v>
      </c>
      <c r="V22" s="29" t="str">
        <f>'UMUR 2021'!AH22</f>
        <v>PSB</v>
      </c>
      <c r="W22" s="33">
        <f>'UMUR 2021'!AI22</f>
        <v>1492</v>
      </c>
      <c r="X22" s="34">
        <f>'UMUR 2021'!AJ22</f>
        <v>0.13830181683351872</v>
      </c>
      <c r="Y22" s="29" t="str">
        <f>'UMUR 2021'!AK22</f>
        <v>PKR</v>
      </c>
      <c r="Z22" s="29" t="str">
        <f>'UMUR 2021'!AL22</f>
        <v>PH</v>
      </c>
      <c r="AA22" s="33">
        <f>'UMUR 2021'!AM22</f>
        <v>1445</v>
      </c>
      <c r="AB22" s="34">
        <f t="shared" si="5"/>
        <v>0.13394512421208751</v>
      </c>
      <c r="AC22" s="29" t="str">
        <f>'UMUR 2021'!AO22</f>
        <v>PBK</v>
      </c>
      <c r="AD22" s="29" t="str">
        <f>'UMUR 2021'!AP22</f>
        <v>LAIN-LAIN</v>
      </c>
      <c r="AE22" s="33">
        <f>'UMUR 2021'!AQ22</f>
        <v>1182</v>
      </c>
      <c r="AF22" s="34">
        <f>'UMUR 2021'!AR22</f>
        <v>0.10956618464961068</v>
      </c>
      <c r="AG22" s="29" t="str">
        <f>'UMUR 2021'!AS22</f>
        <v>BEBAS</v>
      </c>
      <c r="AH22" s="29" t="str">
        <f>'UMUR 2021'!AT22</f>
        <v>BEBAS</v>
      </c>
      <c r="AI22" s="33">
        <f>'UMUR 2021'!AU22</f>
        <v>169</v>
      </c>
      <c r="AJ22" s="34">
        <f>'UMUR 2021'!AV22</f>
        <v>1.5665554319614385E-2</v>
      </c>
      <c r="AK22" s="29">
        <f>'UMUR 2021'!AW22</f>
        <v>0</v>
      </c>
      <c r="AL22" s="29" t="str">
        <f>'UMUR 2021'!AX22</f>
        <v/>
      </c>
      <c r="AM22" s="33">
        <f>'UMUR 2021'!AY22</f>
        <v>0</v>
      </c>
      <c r="AN22" s="34" t="str">
        <f>'UMUR 2021'!AZ22</f>
        <v/>
      </c>
      <c r="AO22" s="29">
        <f>'UMUR 2021'!BA22</f>
        <v>0</v>
      </c>
      <c r="AP22" s="29" t="str">
        <f>'UMUR 2021'!BB22</f>
        <v/>
      </c>
      <c r="AQ22" s="33">
        <f>'UMUR 2021'!BC22</f>
        <v>0</v>
      </c>
      <c r="AR22" s="34" t="str">
        <f>'UMUR 2021'!BD22</f>
        <v/>
      </c>
      <c r="AS22" s="29">
        <f>'UMUR 2021'!BE22</f>
        <v>0</v>
      </c>
      <c r="AT22" s="29" t="str">
        <f>'UMUR 2021'!BF22</f>
        <v/>
      </c>
      <c r="AU22" s="33">
        <f>'UMUR 2021'!BG22</f>
        <v>0</v>
      </c>
      <c r="AV22" s="34" t="str">
        <f>'UMUR 2021'!BH22</f>
        <v/>
      </c>
    </row>
    <row r="23" spans="1:48">
      <c r="A23" s="13" t="s">
        <v>60</v>
      </c>
      <c r="B23" s="14" t="s">
        <v>63</v>
      </c>
      <c r="C23" s="37">
        <f>('ETNIK 2021'!E22+'ETNIK 2021'!M22)/'ETNIK 2021'!D22</f>
        <v>1.5349067502888265E-2</v>
      </c>
      <c r="D23" s="37">
        <f>'ETNIK 2021'!F22/'ETNIK 2021'!D22</f>
        <v>1.4441326951642184E-2</v>
      </c>
      <c r="E23" s="37">
        <f>'ETNIK 2021'!L22/'ETNIK 2021'!D22</f>
        <v>2.1208120151840239E-2</v>
      </c>
      <c r="F23" s="37">
        <f>'ETNIK 2021'!K22/'ETNIK 2021'!D22</f>
        <v>0.82810694834131049</v>
      </c>
      <c r="G23" s="37">
        <f>('ETNIK 2021'!J22+'ETNIK 2021'!N22)/'ETNIK 2021'!D22</f>
        <v>0.11173460967156297</v>
      </c>
      <c r="H23" s="37">
        <f t="shared" si="0"/>
        <v>9.1599273807559251E-3</v>
      </c>
      <c r="I23" s="13" t="str">
        <f t="shared" si="1"/>
        <v>BIDAYUH</v>
      </c>
      <c r="J23" s="15">
        <f t="shared" si="2"/>
        <v>3273</v>
      </c>
      <c r="K23" s="15">
        <f>'UMUR 2021'!W23</f>
        <v>12040</v>
      </c>
      <c r="L23" s="16">
        <f t="shared" si="3"/>
        <v>0.69460132890365445</v>
      </c>
      <c r="M23" s="15">
        <f>'UMUR 2021'!Y23</f>
        <v>8363</v>
      </c>
      <c r="N23" s="15">
        <f>'UMUR 2021'!Z23</f>
        <v>23</v>
      </c>
      <c r="O23" s="15">
        <f>'UMUR 2021'!AA23</f>
        <v>119</v>
      </c>
      <c r="P23" s="33">
        <f t="shared" si="4"/>
        <v>8221</v>
      </c>
      <c r="Q23" s="29" t="str">
        <f>'UMUR 2021'!AC23</f>
        <v>PBB</v>
      </c>
      <c r="R23" s="29" t="str">
        <f>'UMUR 2021'!AD23</f>
        <v>GPS</v>
      </c>
      <c r="S23" s="33">
        <f>'UMUR 2021'!AE23</f>
        <v>5082</v>
      </c>
      <c r="T23" s="34">
        <f>'UMUR 2021'!AF23</f>
        <v>0.61817297165794916</v>
      </c>
      <c r="U23" s="29" t="str">
        <f>'UMUR 2021'!AG23</f>
        <v>PSB</v>
      </c>
      <c r="V23" s="29" t="str">
        <f>'UMUR 2021'!AH23</f>
        <v>PSB</v>
      </c>
      <c r="W23" s="33">
        <f>'UMUR 2021'!AI23</f>
        <v>1809</v>
      </c>
      <c r="X23" s="34">
        <f>'UMUR 2021'!AJ23</f>
        <v>0.22004622308721566</v>
      </c>
      <c r="Y23" s="29" t="str">
        <f>'UMUR 2021'!AK23</f>
        <v>PBK</v>
      </c>
      <c r="Z23" s="29" t="str">
        <f>'UMUR 2021'!AL23</f>
        <v>LAIN-LAIN</v>
      </c>
      <c r="AA23" s="33">
        <f>'UMUR 2021'!AM23</f>
        <v>614</v>
      </c>
      <c r="AB23" s="34">
        <f t="shared" si="5"/>
        <v>7.468677776426226E-2</v>
      </c>
      <c r="AC23" s="29" t="str">
        <f>'UMUR 2021'!AO23</f>
        <v>PKR</v>
      </c>
      <c r="AD23" s="29" t="str">
        <f>'UMUR 2021'!AP23</f>
        <v>PH</v>
      </c>
      <c r="AE23" s="33">
        <f>'UMUR 2021'!AQ23</f>
        <v>610</v>
      </c>
      <c r="AF23" s="34">
        <f>'UMUR 2021'!AR23</f>
        <v>7.4200218951465752E-2</v>
      </c>
      <c r="AG23" s="29" t="str">
        <f>'UMUR 2021'!AS23</f>
        <v>BEBAS</v>
      </c>
      <c r="AH23" s="29" t="str">
        <f>'UMUR 2021'!AT23</f>
        <v>BEBAS</v>
      </c>
      <c r="AI23" s="33">
        <f>'UMUR 2021'!AU23</f>
        <v>106</v>
      </c>
      <c r="AJ23" s="34">
        <f>'UMUR 2021'!AV23</f>
        <v>1.2893808539107165E-2</v>
      </c>
      <c r="AK23" s="29">
        <f>'UMUR 2021'!AW23</f>
        <v>0</v>
      </c>
      <c r="AL23" s="29" t="str">
        <f>'UMUR 2021'!AX23</f>
        <v/>
      </c>
      <c r="AM23" s="33">
        <f>'UMUR 2021'!AY23</f>
        <v>0</v>
      </c>
      <c r="AN23" s="34" t="str">
        <f>'UMUR 2021'!AZ23</f>
        <v/>
      </c>
      <c r="AO23" s="29">
        <f>'UMUR 2021'!BA23</f>
        <v>0</v>
      </c>
      <c r="AP23" s="29" t="str">
        <f>'UMUR 2021'!BB23</f>
        <v/>
      </c>
      <c r="AQ23" s="33">
        <f>'UMUR 2021'!BC23</f>
        <v>0</v>
      </c>
      <c r="AR23" s="34" t="str">
        <f>'UMUR 2021'!BD23</f>
        <v/>
      </c>
      <c r="AS23" s="29">
        <f>'UMUR 2021'!BE23</f>
        <v>0</v>
      </c>
      <c r="AT23" s="29" t="str">
        <f>'UMUR 2021'!BF23</f>
        <v/>
      </c>
      <c r="AU23" s="33">
        <f>'UMUR 2021'!BG23</f>
        <v>0</v>
      </c>
      <c r="AV23" s="34" t="str">
        <f>'UMUR 2021'!BH23</f>
        <v/>
      </c>
    </row>
    <row r="24" spans="1:48">
      <c r="A24" s="13" t="s">
        <v>61</v>
      </c>
      <c r="B24" s="14" t="s">
        <v>64</v>
      </c>
      <c r="C24" s="37">
        <f>('ETNIK 2021'!E23+'ETNIK 2021'!M23)/'ETNIK 2021'!D23</f>
        <v>9.6562721474131828E-3</v>
      </c>
      <c r="D24" s="37">
        <f>'ETNIK 2021'!F23/'ETNIK 2021'!D23</f>
        <v>6.4847625797306879E-2</v>
      </c>
      <c r="E24" s="37">
        <f>'ETNIK 2021'!L23/'ETNIK 2021'!D23</f>
        <v>0.14989369241672573</v>
      </c>
      <c r="F24" s="37">
        <f>'ETNIK 2021'!K23/'ETNIK 2021'!D23</f>
        <v>0.70083274273564844</v>
      </c>
      <c r="G24" s="37">
        <f>('ETNIK 2021'!J23+'ETNIK 2021'!N23)/'ETNIK 2021'!D23</f>
        <v>6.4670446491849748E-2</v>
      </c>
      <c r="H24" s="37">
        <f t="shared" si="0"/>
        <v>1.0099220411056126E-2</v>
      </c>
      <c r="I24" s="13" t="str">
        <f t="shared" si="1"/>
        <v>BIDAYUH</v>
      </c>
      <c r="J24" s="15">
        <f t="shared" si="2"/>
        <v>3566</v>
      </c>
      <c r="K24" s="15">
        <f>'UMUR 2021'!W24</f>
        <v>11202</v>
      </c>
      <c r="L24" s="16">
        <f t="shared" si="3"/>
        <v>0.74299232279950012</v>
      </c>
      <c r="M24" s="15">
        <f>'UMUR 2021'!Y24</f>
        <v>8323</v>
      </c>
      <c r="N24" s="15">
        <f>'UMUR 2021'!Z24</f>
        <v>19</v>
      </c>
      <c r="O24" s="15">
        <f>'UMUR 2021'!AA24</f>
        <v>129</v>
      </c>
      <c r="P24" s="33">
        <f t="shared" si="4"/>
        <v>8175</v>
      </c>
      <c r="Q24" s="29" t="str">
        <f>'UMUR 2021'!AC24</f>
        <v>PBB</v>
      </c>
      <c r="R24" s="29" t="str">
        <f>'UMUR 2021'!AD24</f>
        <v>GPS</v>
      </c>
      <c r="S24" s="33">
        <f>'UMUR 2021'!AE24</f>
        <v>5178</v>
      </c>
      <c r="T24" s="34">
        <f>'UMUR 2021'!AF24</f>
        <v>0.63339449541284398</v>
      </c>
      <c r="U24" s="29" t="str">
        <f>'UMUR 2021'!AG24</f>
        <v>PSB</v>
      </c>
      <c r="V24" s="29" t="str">
        <f>'UMUR 2021'!AH24</f>
        <v>PSB</v>
      </c>
      <c r="W24" s="33">
        <f>'UMUR 2021'!AI24</f>
        <v>1612</v>
      </c>
      <c r="X24" s="34">
        <f>'UMUR 2021'!AJ24</f>
        <v>0.19718654434250765</v>
      </c>
      <c r="Y24" s="29" t="str">
        <f>'UMUR 2021'!AK24</f>
        <v>PBK</v>
      </c>
      <c r="Z24" s="29" t="str">
        <f>'UMUR 2021'!AL24</f>
        <v>LAIN-LAIN</v>
      </c>
      <c r="AA24" s="33">
        <f>'UMUR 2021'!AM24</f>
        <v>745</v>
      </c>
      <c r="AB24" s="34">
        <f t="shared" si="5"/>
        <v>9.1131498470948008E-2</v>
      </c>
      <c r="AC24" s="29" t="str">
        <f>'UMUR 2021'!AO24</f>
        <v>DAP</v>
      </c>
      <c r="AD24" s="29" t="str">
        <f>'UMUR 2021'!AP24</f>
        <v>PH</v>
      </c>
      <c r="AE24" s="33">
        <f>'UMUR 2021'!AQ24</f>
        <v>640</v>
      </c>
      <c r="AF24" s="34">
        <f>'UMUR 2021'!AR24</f>
        <v>7.8287461773700301E-2</v>
      </c>
      <c r="AG24" s="29">
        <f>'UMUR 2021'!AS24</f>
        <v>0</v>
      </c>
      <c r="AH24" s="29" t="str">
        <f>'UMUR 2021'!AT24</f>
        <v/>
      </c>
      <c r="AI24" s="33">
        <f>'UMUR 2021'!AU24</f>
        <v>0</v>
      </c>
      <c r="AJ24" s="34" t="str">
        <f>'UMUR 2021'!AV24</f>
        <v/>
      </c>
      <c r="AK24" s="29">
        <f>'UMUR 2021'!AW24</f>
        <v>0</v>
      </c>
      <c r="AL24" s="29" t="str">
        <f>'UMUR 2021'!AX24</f>
        <v/>
      </c>
      <c r="AM24" s="33">
        <f>'UMUR 2021'!AY24</f>
        <v>0</v>
      </c>
      <c r="AN24" s="34" t="str">
        <f>'UMUR 2021'!AZ24</f>
        <v/>
      </c>
      <c r="AO24" s="29">
        <f>'UMUR 2021'!BA24</f>
        <v>0</v>
      </c>
      <c r="AP24" s="29" t="str">
        <f>'UMUR 2021'!BB24</f>
        <v/>
      </c>
      <c r="AQ24" s="33">
        <f>'UMUR 2021'!BC24</f>
        <v>0</v>
      </c>
      <c r="AR24" s="34" t="str">
        <f>'UMUR 2021'!BD24</f>
        <v/>
      </c>
      <c r="AS24" s="29">
        <f>'UMUR 2021'!BE24</f>
        <v>0</v>
      </c>
      <c r="AT24" s="29" t="str">
        <f>'UMUR 2021'!BF24</f>
        <v/>
      </c>
      <c r="AU24" s="33">
        <f>'UMUR 2021'!BG24</f>
        <v>0</v>
      </c>
      <c r="AV24" s="34" t="str">
        <f>'UMUR 2021'!BH24</f>
        <v/>
      </c>
    </row>
    <row r="25" spans="1:48">
      <c r="A25" s="13" t="s">
        <v>62</v>
      </c>
      <c r="B25" s="14" t="s">
        <v>65</v>
      </c>
      <c r="C25" s="37">
        <f>('ETNIK 2021'!E24+'ETNIK 2021'!M24)/'ETNIK 2021'!D24</f>
        <v>0.18499232258495227</v>
      </c>
      <c r="D25" s="37">
        <f>'ETNIK 2021'!F24/'ETNIK 2021'!D24</f>
        <v>0.19100073436143936</v>
      </c>
      <c r="E25" s="37">
        <f>'ETNIK 2021'!L24/'ETNIK 2021'!D24</f>
        <v>0.12837973162427399</v>
      </c>
      <c r="F25" s="37">
        <f>'ETNIK 2021'!K24/'ETNIK 2021'!D24</f>
        <v>0.41110888577341609</v>
      </c>
      <c r="G25" s="37">
        <f>('ETNIK 2021'!J24+'ETNIK 2021'!N24)/'ETNIK 2021'!D24</f>
        <v>7.1299819747646709E-2</v>
      </c>
      <c r="H25" s="37">
        <f t="shared" si="0"/>
        <v>1.3218505908271616E-2</v>
      </c>
      <c r="I25" s="13" t="str">
        <f t="shared" si="1"/>
        <v>MIXED</v>
      </c>
      <c r="J25" s="15">
        <f t="shared" si="2"/>
        <v>4705</v>
      </c>
      <c r="K25" s="15">
        <f>'UMUR 2021'!W25</f>
        <v>14893</v>
      </c>
      <c r="L25" s="16">
        <f t="shared" si="3"/>
        <v>0.59914053582219839</v>
      </c>
      <c r="M25" s="15">
        <f>'UMUR 2021'!Y25</f>
        <v>8923</v>
      </c>
      <c r="N25" s="15">
        <f>'UMUR 2021'!Z25</f>
        <v>45</v>
      </c>
      <c r="O25" s="15">
        <f>'UMUR 2021'!AA25</f>
        <v>153</v>
      </c>
      <c r="P25" s="33">
        <f t="shared" si="4"/>
        <v>8725</v>
      </c>
      <c r="Q25" s="29" t="str">
        <f>'UMUR 2021'!AC25</f>
        <v>PBB</v>
      </c>
      <c r="R25" s="29" t="str">
        <f>'UMUR 2021'!AD25</f>
        <v>GPS</v>
      </c>
      <c r="S25" s="33">
        <f>'UMUR 2021'!AE25</f>
        <v>6113</v>
      </c>
      <c r="T25" s="34">
        <f>'UMUR 2021'!AF25</f>
        <v>0.70063037249283666</v>
      </c>
      <c r="U25" s="29" t="str">
        <f>'UMUR 2021'!AG25</f>
        <v>PSB</v>
      </c>
      <c r="V25" s="29" t="str">
        <f>'UMUR 2021'!AH25</f>
        <v>PSB</v>
      </c>
      <c r="W25" s="33">
        <f>'UMUR 2021'!AI25</f>
        <v>1408</v>
      </c>
      <c r="X25" s="34">
        <f>'UMUR 2021'!AJ25</f>
        <v>0.16137535816618911</v>
      </c>
      <c r="Y25" s="29" t="str">
        <f>'UMUR 2021'!AK25</f>
        <v>DAP</v>
      </c>
      <c r="Z25" s="29" t="str">
        <f>'UMUR 2021'!AL25</f>
        <v>PH</v>
      </c>
      <c r="AA25" s="33">
        <f>'UMUR 2021'!AM25</f>
        <v>777</v>
      </c>
      <c r="AB25" s="34">
        <f t="shared" si="5"/>
        <v>8.9054441260744979E-2</v>
      </c>
      <c r="AC25" s="29" t="str">
        <f>'UMUR 2021'!AO25</f>
        <v>PBK</v>
      </c>
      <c r="AD25" s="29" t="str">
        <f>'UMUR 2021'!AP25</f>
        <v>LAIN-LAIN</v>
      </c>
      <c r="AE25" s="33">
        <f>'UMUR 2021'!AQ25</f>
        <v>427</v>
      </c>
      <c r="AF25" s="34">
        <f>'UMUR 2021'!AR25</f>
        <v>4.8939828080229224E-2</v>
      </c>
      <c r="AG25" s="29">
        <f>'UMUR 2021'!AS25</f>
        <v>0</v>
      </c>
      <c r="AH25" s="29" t="str">
        <f>'UMUR 2021'!AT25</f>
        <v/>
      </c>
      <c r="AI25" s="33">
        <f>'UMUR 2021'!AU25</f>
        <v>0</v>
      </c>
      <c r="AJ25" s="34" t="str">
        <f>'UMUR 2021'!AV25</f>
        <v/>
      </c>
      <c r="AK25" s="29">
        <f>'UMUR 2021'!AW25</f>
        <v>0</v>
      </c>
      <c r="AL25" s="29" t="str">
        <f>'UMUR 2021'!AX25</f>
        <v/>
      </c>
      <c r="AM25" s="33">
        <f>'UMUR 2021'!AY25</f>
        <v>0</v>
      </c>
      <c r="AN25" s="34" t="str">
        <f>'UMUR 2021'!AZ25</f>
        <v/>
      </c>
      <c r="AO25" s="29">
        <f>'UMUR 2021'!BA25</f>
        <v>0</v>
      </c>
      <c r="AP25" s="29" t="str">
        <f>'UMUR 2021'!BB25</f>
        <v/>
      </c>
      <c r="AQ25" s="33">
        <f>'UMUR 2021'!BC25</f>
        <v>0</v>
      </c>
      <c r="AR25" s="34" t="str">
        <f>'UMUR 2021'!BD25</f>
        <v/>
      </c>
      <c r="AS25" s="29">
        <f>'UMUR 2021'!BE25</f>
        <v>0</v>
      </c>
      <c r="AT25" s="29" t="str">
        <f>'UMUR 2021'!BF25</f>
        <v/>
      </c>
      <c r="AU25" s="33">
        <f>'UMUR 2021'!BG25</f>
        <v>0</v>
      </c>
      <c r="AV25" s="34" t="str">
        <f>'UMUR 2021'!BH25</f>
        <v/>
      </c>
    </row>
    <row r="26" spans="1:48" ht="28.5">
      <c r="A26" s="13" t="s">
        <v>68</v>
      </c>
      <c r="B26" s="14" t="s">
        <v>71</v>
      </c>
      <c r="C26" s="37">
        <f>('ETNIK 2021'!E25+'ETNIK 2021'!M25)/'ETNIK 2021'!D25</f>
        <v>0.90113031051058856</v>
      </c>
      <c r="D26" s="37">
        <f>'ETNIK 2021'!F25/'ETNIK 2021'!D25</f>
        <v>7.6133558529297124E-2</v>
      </c>
      <c r="E26" s="37">
        <f>'ETNIK 2021'!L25/'ETNIK 2021'!D25</f>
        <v>6.6259581655190337E-3</v>
      </c>
      <c r="F26" s="37">
        <f>'ETNIK 2021'!K25/'ETNIK 2021'!D25</f>
        <v>4.8070676887098868E-3</v>
      </c>
      <c r="G26" s="37">
        <f>('ETNIK 2021'!J25+'ETNIK 2021'!N25)/'ETNIK 2021'!D25</f>
        <v>9.4842146290762628E-3</v>
      </c>
      <c r="H26" s="37">
        <f t="shared" si="0"/>
        <v>1.8188904768091322E-3</v>
      </c>
      <c r="I26" s="13" t="str">
        <f t="shared" si="1"/>
        <v>MELAYU / MELANAU</v>
      </c>
      <c r="J26" s="15">
        <f t="shared" si="2"/>
        <v>3877</v>
      </c>
      <c r="K26" s="15">
        <f>'UMUR 2021'!W26</f>
        <v>7653</v>
      </c>
      <c r="L26" s="16">
        <f t="shared" si="3"/>
        <v>0.69266954135633085</v>
      </c>
      <c r="M26" s="15">
        <f>'UMUR 2021'!Y26</f>
        <v>5301</v>
      </c>
      <c r="N26" s="15">
        <f>'UMUR 2021'!Z26</f>
        <v>14</v>
      </c>
      <c r="O26" s="15">
        <f>'UMUR 2021'!AA26</f>
        <v>64</v>
      </c>
      <c r="P26" s="33">
        <f t="shared" si="4"/>
        <v>5223</v>
      </c>
      <c r="Q26" s="29" t="str">
        <f>'UMUR 2021'!AC26</f>
        <v>PBB</v>
      </c>
      <c r="R26" s="29" t="str">
        <f>'UMUR 2021'!AD26</f>
        <v>GPS</v>
      </c>
      <c r="S26" s="33">
        <f>'UMUR 2021'!AE26</f>
        <v>4333</v>
      </c>
      <c r="T26" s="34">
        <f>'UMUR 2021'!AF26</f>
        <v>0.82959984683132304</v>
      </c>
      <c r="U26" s="29" t="str">
        <f>'UMUR 2021'!AG26</f>
        <v>PSB</v>
      </c>
      <c r="V26" s="29" t="str">
        <f>'UMUR 2021'!AH26</f>
        <v>PSB</v>
      </c>
      <c r="W26" s="33">
        <f>'UMUR 2021'!AI26</f>
        <v>456</v>
      </c>
      <c r="X26" s="34">
        <f>'UMUR 2021'!AJ26</f>
        <v>8.7306145893164849E-2</v>
      </c>
      <c r="Y26" s="29" t="str">
        <f>'UMUR 2021'!AK26</f>
        <v>PKR</v>
      </c>
      <c r="Z26" s="29" t="str">
        <f>'UMUR 2021'!AL26</f>
        <v>PH</v>
      </c>
      <c r="AA26" s="33">
        <f>'UMUR 2021'!AM26</f>
        <v>319</v>
      </c>
      <c r="AB26" s="34">
        <f t="shared" si="5"/>
        <v>6.1076009955964003E-2</v>
      </c>
      <c r="AC26" s="29" t="str">
        <f>'UMUR 2021'!AO26</f>
        <v>PBK</v>
      </c>
      <c r="AD26" s="29" t="str">
        <f>'UMUR 2021'!AP26</f>
        <v>LAIN-LAIN</v>
      </c>
      <c r="AE26" s="33">
        <f>'UMUR 2021'!AQ26</f>
        <v>115</v>
      </c>
      <c r="AF26" s="34">
        <f>'UMUR 2021'!AR26</f>
        <v>2.2017997319548153E-2</v>
      </c>
      <c r="AG26" s="29">
        <f>'UMUR 2021'!AS26</f>
        <v>0</v>
      </c>
      <c r="AH26" s="29" t="str">
        <f>'UMUR 2021'!AT26</f>
        <v/>
      </c>
      <c r="AI26" s="33">
        <f>'UMUR 2021'!AU26</f>
        <v>0</v>
      </c>
      <c r="AJ26" s="34" t="str">
        <f>'UMUR 2021'!AV26</f>
        <v/>
      </c>
      <c r="AK26" s="29">
        <f>'UMUR 2021'!AW26</f>
        <v>0</v>
      </c>
      <c r="AL26" s="29" t="str">
        <f>'UMUR 2021'!AX26</f>
        <v/>
      </c>
      <c r="AM26" s="33">
        <f>'UMUR 2021'!AY26</f>
        <v>0</v>
      </c>
      <c r="AN26" s="34" t="str">
        <f>'UMUR 2021'!AZ26</f>
        <v/>
      </c>
      <c r="AO26" s="29">
        <f>'UMUR 2021'!BA26</f>
        <v>0</v>
      </c>
      <c r="AP26" s="29" t="str">
        <f>'UMUR 2021'!BB26</f>
        <v/>
      </c>
      <c r="AQ26" s="33">
        <f>'UMUR 2021'!BC26</f>
        <v>0</v>
      </c>
      <c r="AR26" s="34" t="str">
        <f>'UMUR 2021'!BD26</f>
        <v/>
      </c>
      <c r="AS26" s="29">
        <f>'UMUR 2021'!BE26</f>
        <v>0</v>
      </c>
      <c r="AT26" s="29" t="str">
        <f>'UMUR 2021'!BF26</f>
        <v/>
      </c>
      <c r="AU26" s="33">
        <f>'UMUR 2021'!BG26</f>
        <v>0</v>
      </c>
      <c r="AV26" s="34" t="str">
        <f>'UMUR 2021'!BH26</f>
        <v/>
      </c>
    </row>
    <row r="27" spans="1:48" ht="28.5">
      <c r="A27" s="13" t="s">
        <v>69</v>
      </c>
      <c r="B27" s="14" t="s">
        <v>72</v>
      </c>
      <c r="C27" s="37">
        <f>('ETNIK 2021'!E26+'ETNIK 2021'!M26)/'ETNIK 2021'!D26</f>
        <v>0.63988522238163559</v>
      </c>
      <c r="D27" s="37">
        <f>'ETNIK 2021'!F26/'ETNIK 2021'!D26</f>
        <v>5.7747489239598278E-2</v>
      </c>
      <c r="E27" s="37">
        <f>'ETNIK 2021'!L26/'ETNIK 2021'!D26</f>
        <v>0.24796747967479674</v>
      </c>
      <c r="F27" s="37">
        <f>'ETNIK 2021'!K26/'ETNIK 2021'!D26</f>
        <v>6.6953610712577718E-3</v>
      </c>
      <c r="G27" s="37">
        <f>('ETNIK 2021'!J26+'ETNIK 2021'!N26)/'ETNIK 2021'!D26</f>
        <v>4.1487326637972263E-2</v>
      </c>
      <c r="H27" s="37">
        <f t="shared" si="0"/>
        <v>6.2171209947393669E-3</v>
      </c>
      <c r="I27" s="13" t="str">
        <f t="shared" si="1"/>
        <v>MELAYU / MELANAU</v>
      </c>
      <c r="J27" s="15">
        <f t="shared" si="2"/>
        <v>3351</v>
      </c>
      <c r="K27" s="15">
        <f>'UMUR 2021'!W27</f>
        <v>8299</v>
      </c>
      <c r="L27" s="16">
        <f t="shared" si="3"/>
        <v>0.72093023255813948</v>
      </c>
      <c r="M27" s="15">
        <f>'UMUR 2021'!Y27</f>
        <v>5983</v>
      </c>
      <c r="N27" s="15">
        <f>'UMUR 2021'!Z27</f>
        <v>23</v>
      </c>
      <c r="O27" s="15">
        <f>'UMUR 2021'!AA27</f>
        <v>104</v>
      </c>
      <c r="P27" s="33">
        <f t="shared" si="4"/>
        <v>5856</v>
      </c>
      <c r="Q27" s="29" t="str">
        <f>'UMUR 2021'!AC27</f>
        <v>PBB</v>
      </c>
      <c r="R27" s="29" t="str">
        <f>'UMUR 2021'!AD27</f>
        <v>GPS</v>
      </c>
      <c r="S27" s="33">
        <f>'UMUR 2021'!AE27</f>
        <v>4276</v>
      </c>
      <c r="T27" s="34">
        <f>'UMUR 2021'!AF27</f>
        <v>0.73019125683060104</v>
      </c>
      <c r="U27" s="29" t="str">
        <f>'UMUR 2021'!AG27</f>
        <v>PSB</v>
      </c>
      <c r="V27" s="29" t="str">
        <f>'UMUR 2021'!AH27</f>
        <v>PSB</v>
      </c>
      <c r="W27" s="33">
        <f>'UMUR 2021'!AI27</f>
        <v>925</v>
      </c>
      <c r="X27" s="34">
        <f>'UMUR 2021'!AJ27</f>
        <v>0.15795765027322403</v>
      </c>
      <c r="Y27" s="29" t="str">
        <f>'UMUR 2021'!AK27</f>
        <v>PKR</v>
      </c>
      <c r="Z27" s="29" t="str">
        <f>'UMUR 2021'!AL27</f>
        <v>PH</v>
      </c>
      <c r="AA27" s="33">
        <f>'UMUR 2021'!AM27</f>
        <v>518</v>
      </c>
      <c r="AB27" s="34">
        <f t="shared" si="5"/>
        <v>8.8456284153005466E-2</v>
      </c>
      <c r="AC27" s="29" t="str">
        <f>'UMUR 2021'!AO27</f>
        <v>PBK</v>
      </c>
      <c r="AD27" s="29" t="str">
        <f>'UMUR 2021'!AP27</f>
        <v>LAIN-LAIN</v>
      </c>
      <c r="AE27" s="33">
        <f>'UMUR 2021'!AQ27</f>
        <v>137</v>
      </c>
      <c r="AF27" s="34">
        <f>'UMUR 2021'!AR27</f>
        <v>2.3394808743169401E-2</v>
      </c>
      <c r="AG27" s="29">
        <f>'UMUR 2021'!AS27</f>
        <v>0</v>
      </c>
      <c r="AH27" s="29" t="str">
        <f>'UMUR 2021'!AT27</f>
        <v/>
      </c>
      <c r="AI27" s="33">
        <f>'UMUR 2021'!AU27</f>
        <v>0</v>
      </c>
      <c r="AJ27" s="34" t="str">
        <f>'UMUR 2021'!AV27</f>
        <v/>
      </c>
      <c r="AK27" s="29">
        <f>'UMUR 2021'!AW27</f>
        <v>0</v>
      </c>
      <c r="AL27" s="29" t="str">
        <f>'UMUR 2021'!AX27</f>
        <v/>
      </c>
      <c r="AM27" s="33">
        <f>'UMUR 2021'!AY27</f>
        <v>0</v>
      </c>
      <c r="AN27" s="34" t="str">
        <f>'UMUR 2021'!AZ27</f>
        <v/>
      </c>
      <c r="AO27" s="29">
        <f>'UMUR 2021'!BA27</f>
        <v>0</v>
      </c>
      <c r="AP27" s="29" t="str">
        <f>'UMUR 2021'!BB27</f>
        <v/>
      </c>
      <c r="AQ27" s="33">
        <f>'UMUR 2021'!BC27</f>
        <v>0</v>
      </c>
      <c r="AR27" s="34" t="str">
        <f>'UMUR 2021'!BD27</f>
        <v/>
      </c>
      <c r="AS27" s="29">
        <f>'UMUR 2021'!BE27</f>
        <v>0</v>
      </c>
      <c r="AT27" s="29" t="str">
        <f>'UMUR 2021'!BF27</f>
        <v/>
      </c>
      <c r="AU27" s="33">
        <f>'UMUR 2021'!BG27</f>
        <v>0</v>
      </c>
      <c r="AV27" s="34" t="str">
        <f>'UMUR 2021'!BH27</f>
        <v/>
      </c>
    </row>
    <row r="28" spans="1:48" ht="28.5">
      <c r="A28" s="13" t="s">
        <v>70</v>
      </c>
      <c r="B28" s="14" t="s">
        <v>73</v>
      </c>
      <c r="C28" s="37">
        <f>('ETNIK 2021'!E27+'ETNIK 2021'!M27)/'ETNIK 2021'!D27</f>
        <v>0.61680695460190427</v>
      </c>
      <c r="D28" s="37">
        <f>'ETNIK 2021'!F27/'ETNIK 2021'!D27</f>
        <v>1.0763074375603698E-2</v>
      </c>
      <c r="E28" s="37">
        <f>'ETNIK 2021'!L27/'ETNIK 2021'!D27</f>
        <v>0.30274596384710917</v>
      </c>
      <c r="F28" s="37">
        <f>'ETNIK 2021'!K27/'ETNIK 2021'!D27</f>
        <v>8.5552642472747336E-3</v>
      </c>
      <c r="G28" s="37">
        <f>('ETNIK 2021'!J27+'ETNIK 2021'!N27)/'ETNIK 2021'!D27</f>
        <v>5.464330067614185E-2</v>
      </c>
      <c r="H28" s="37">
        <f t="shared" si="0"/>
        <v>6.4854422519662822E-3</v>
      </c>
      <c r="I28" s="13" t="str">
        <f t="shared" si="1"/>
        <v>MELAYU / MELANAU</v>
      </c>
      <c r="J28" s="15">
        <f t="shared" si="2"/>
        <v>3607</v>
      </c>
      <c r="K28" s="15">
        <f>'UMUR 2021'!W28</f>
        <v>7208</v>
      </c>
      <c r="L28" s="16">
        <f t="shared" si="3"/>
        <v>0.7415371809100999</v>
      </c>
      <c r="M28" s="15">
        <f>'UMUR 2021'!Y28</f>
        <v>5345</v>
      </c>
      <c r="N28" s="15">
        <f>'UMUR 2021'!Z28</f>
        <v>27</v>
      </c>
      <c r="O28" s="15">
        <f>'UMUR 2021'!AA28</f>
        <v>54</v>
      </c>
      <c r="P28" s="33">
        <f t="shared" si="4"/>
        <v>5264</v>
      </c>
      <c r="Q28" s="29" t="str">
        <f>'UMUR 2021'!AC28</f>
        <v>PBB</v>
      </c>
      <c r="R28" s="29" t="str">
        <f>'UMUR 2021'!AD28</f>
        <v>GPS</v>
      </c>
      <c r="S28" s="33">
        <f>'UMUR 2021'!AE28</f>
        <v>4310</v>
      </c>
      <c r="T28" s="34">
        <f>'UMUR 2021'!AF28</f>
        <v>0.81876899696048633</v>
      </c>
      <c r="U28" s="29" t="str">
        <f>'UMUR 2021'!AG28</f>
        <v>PSB</v>
      </c>
      <c r="V28" s="29" t="str">
        <f>'UMUR 2021'!AH28</f>
        <v>PSB</v>
      </c>
      <c r="W28" s="33">
        <f>'UMUR 2021'!AI28</f>
        <v>703</v>
      </c>
      <c r="X28" s="34">
        <f>'UMUR 2021'!AJ28</f>
        <v>0.133548632218845</v>
      </c>
      <c r="Y28" s="29" t="str">
        <f>'UMUR 2021'!AK28</f>
        <v>PBK</v>
      </c>
      <c r="Z28" s="29" t="str">
        <f>'UMUR 2021'!AL28</f>
        <v>LAIN-LAIN</v>
      </c>
      <c r="AA28" s="33">
        <f>'UMUR 2021'!AM28</f>
        <v>157</v>
      </c>
      <c r="AB28" s="34">
        <f t="shared" si="5"/>
        <v>2.9825227963525835E-2</v>
      </c>
      <c r="AC28" s="29" t="str">
        <f>'UMUR 2021'!AO28</f>
        <v>AMANAH</v>
      </c>
      <c r="AD28" s="29" t="str">
        <f>'UMUR 2021'!AP28</f>
        <v>PH</v>
      </c>
      <c r="AE28" s="33">
        <f>'UMUR 2021'!AQ28</f>
        <v>94</v>
      </c>
      <c r="AF28" s="34">
        <f>'UMUR 2021'!AR28</f>
        <v>1.7857142857142856E-2</v>
      </c>
      <c r="AG28" s="29">
        <f>'UMUR 2021'!AS28</f>
        <v>0</v>
      </c>
      <c r="AH28" s="29" t="str">
        <f>'UMUR 2021'!AT28</f>
        <v/>
      </c>
      <c r="AI28" s="33">
        <f>'UMUR 2021'!AU28</f>
        <v>0</v>
      </c>
      <c r="AJ28" s="34" t="str">
        <f>'UMUR 2021'!AV28</f>
        <v/>
      </c>
      <c r="AK28" s="29">
        <f>'UMUR 2021'!AW28</f>
        <v>0</v>
      </c>
      <c r="AL28" s="29" t="str">
        <f>'UMUR 2021'!AX28</f>
        <v/>
      </c>
      <c r="AM28" s="33">
        <f>'UMUR 2021'!AY28</f>
        <v>0</v>
      </c>
      <c r="AN28" s="34" t="str">
        <f>'UMUR 2021'!AZ28</f>
        <v/>
      </c>
      <c r="AO28" s="29">
        <f>'UMUR 2021'!BA28</f>
        <v>0</v>
      </c>
      <c r="AP28" s="29" t="str">
        <f>'UMUR 2021'!BB28</f>
        <v/>
      </c>
      <c r="AQ28" s="33">
        <f>'UMUR 2021'!BC28</f>
        <v>0</v>
      </c>
      <c r="AR28" s="34" t="str">
        <f>'UMUR 2021'!BD28</f>
        <v/>
      </c>
      <c r="AS28" s="29">
        <f>'UMUR 2021'!BE28</f>
        <v>0</v>
      </c>
      <c r="AT28" s="29" t="str">
        <f>'UMUR 2021'!BF28</f>
        <v/>
      </c>
      <c r="AU28" s="33">
        <f>'UMUR 2021'!BG28</f>
        <v>0</v>
      </c>
      <c r="AV28" s="34" t="str">
        <f>'UMUR 2021'!BH28</f>
        <v/>
      </c>
    </row>
    <row r="29" spans="1:48" ht="28.5">
      <c r="A29" s="13" t="s">
        <v>76</v>
      </c>
      <c r="B29" s="14" t="s">
        <v>79</v>
      </c>
      <c r="C29" s="37">
        <f>('ETNIK 2021'!E28+'ETNIK 2021'!M28)/'ETNIK 2021'!D28</f>
        <v>0.64928305894848648</v>
      </c>
      <c r="D29" s="37">
        <f>'ETNIK 2021'!F28/'ETNIK 2021'!D28</f>
        <v>2.8359001593202336E-2</v>
      </c>
      <c r="E29" s="37">
        <f>'ETNIK 2021'!L28/'ETNIK 2021'!D28</f>
        <v>0.27923526287838557</v>
      </c>
      <c r="F29" s="37">
        <f>'ETNIK 2021'!K28/'ETNIK 2021'!D28</f>
        <v>4.4609665427509295E-3</v>
      </c>
      <c r="G29" s="37">
        <f>('ETNIK 2021'!J28+'ETNIK 2021'!N28)/'ETNIK 2021'!D28</f>
        <v>3.5475305363781198E-2</v>
      </c>
      <c r="H29" s="37">
        <f t="shared" si="0"/>
        <v>3.1864046733935045E-3</v>
      </c>
      <c r="I29" s="13" t="str">
        <f t="shared" si="1"/>
        <v>MELAYU / MELANAU</v>
      </c>
      <c r="J29" s="15">
        <f t="shared" si="2"/>
        <v>4134</v>
      </c>
      <c r="K29" s="15">
        <f>'UMUR 2021'!W29</f>
        <v>9367</v>
      </c>
      <c r="L29" s="16">
        <f t="shared" si="3"/>
        <v>0.68196861321661151</v>
      </c>
      <c r="M29" s="15">
        <f>'UMUR 2021'!Y29</f>
        <v>6388</v>
      </c>
      <c r="N29" s="15">
        <f>'UMUR 2021'!Z29</f>
        <v>17</v>
      </c>
      <c r="O29" s="15">
        <f>'UMUR 2021'!AA29</f>
        <v>145</v>
      </c>
      <c r="P29" s="33">
        <f t="shared" si="4"/>
        <v>6226</v>
      </c>
      <c r="Q29" s="29" t="str">
        <f>'UMUR 2021'!AC29</f>
        <v>PBB</v>
      </c>
      <c r="R29" s="29" t="str">
        <f>'UMUR 2021'!AD29</f>
        <v>GPS</v>
      </c>
      <c r="S29" s="33">
        <f>'UMUR 2021'!AE29</f>
        <v>4937</v>
      </c>
      <c r="T29" s="34">
        <f>'UMUR 2021'!AF29</f>
        <v>0.7929649855444908</v>
      </c>
      <c r="U29" s="29" t="str">
        <f>'UMUR 2021'!AG29</f>
        <v>AMANAH</v>
      </c>
      <c r="V29" s="29" t="str">
        <f>'UMUR 2021'!AH29</f>
        <v>PH</v>
      </c>
      <c r="W29" s="33">
        <f>'UMUR 2021'!AI29</f>
        <v>803</v>
      </c>
      <c r="X29" s="34">
        <f>'UMUR 2021'!AJ29</f>
        <v>0.12897526501766785</v>
      </c>
      <c r="Y29" s="29" t="str">
        <f>'UMUR 2021'!AK29</f>
        <v>PBK</v>
      </c>
      <c r="Z29" s="29" t="str">
        <f>'UMUR 2021'!AL29</f>
        <v>LAIN-LAIN</v>
      </c>
      <c r="AA29" s="33">
        <f>'UMUR 2021'!AM29</f>
        <v>486</v>
      </c>
      <c r="AB29" s="34">
        <f t="shared" si="5"/>
        <v>7.8059749437841316E-2</v>
      </c>
      <c r="AC29" s="29">
        <f>'UMUR 2021'!AO29</f>
        <v>0</v>
      </c>
      <c r="AD29" s="29" t="str">
        <f>'UMUR 2021'!AP29</f>
        <v/>
      </c>
      <c r="AE29" s="33">
        <f>'UMUR 2021'!AQ29</f>
        <v>0</v>
      </c>
      <c r="AF29" s="34" t="str">
        <f>'UMUR 2021'!AR29</f>
        <v/>
      </c>
      <c r="AG29" s="29">
        <f>'UMUR 2021'!AS29</f>
        <v>0</v>
      </c>
      <c r="AH29" s="29" t="str">
        <f>'UMUR 2021'!AT29</f>
        <v/>
      </c>
      <c r="AI29" s="33">
        <f>'UMUR 2021'!AU29</f>
        <v>0</v>
      </c>
      <c r="AJ29" s="34" t="str">
        <f>'UMUR 2021'!AV29</f>
        <v/>
      </c>
      <c r="AK29" s="29">
        <f>'UMUR 2021'!AW29</f>
        <v>0</v>
      </c>
      <c r="AL29" s="29" t="str">
        <f>'UMUR 2021'!AX29</f>
        <v/>
      </c>
      <c r="AM29" s="33">
        <f>'UMUR 2021'!AY29</f>
        <v>0</v>
      </c>
      <c r="AN29" s="34" t="str">
        <f>'UMUR 2021'!AZ29</f>
        <v/>
      </c>
      <c r="AO29" s="29">
        <f>'UMUR 2021'!BA29</f>
        <v>0</v>
      </c>
      <c r="AP29" s="29" t="str">
        <f>'UMUR 2021'!BB29</f>
        <v/>
      </c>
      <c r="AQ29" s="33">
        <f>'UMUR 2021'!BC29</f>
        <v>0</v>
      </c>
      <c r="AR29" s="34" t="str">
        <f>'UMUR 2021'!BD29</f>
        <v/>
      </c>
      <c r="AS29" s="29">
        <f>'UMUR 2021'!BE29</f>
        <v>0</v>
      </c>
      <c r="AT29" s="29" t="str">
        <f>'UMUR 2021'!BF29</f>
        <v/>
      </c>
      <c r="AU29" s="33">
        <f>'UMUR 2021'!BG29</f>
        <v>0</v>
      </c>
      <c r="AV29" s="34" t="str">
        <f>'UMUR 2021'!BH29</f>
        <v/>
      </c>
    </row>
    <row r="30" spans="1:48" ht="28.5">
      <c r="A30" s="13" t="s">
        <v>77</v>
      </c>
      <c r="B30" s="14" t="s">
        <v>80</v>
      </c>
      <c r="C30" s="37">
        <f>('ETNIK 2021'!E29+'ETNIK 2021'!M29)/'ETNIK 2021'!D29</f>
        <v>0.64187441812351298</v>
      </c>
      <c r="D30" s="37">
        <f>'ETNIK 2021'!F29/'ETNIK 2021'!D29</f>
        <v>4.0136547015620153E-2</v>
      </c>
      <c r="E30" s="37">
        <f>'ETNIK 2021'!L29/'ETNIK 2021'!D29</f>
        <v>0.25571532016137377</v>
      </c>
      <c r="F30" s="37">
        <f>'ETNIK 2021'!K29/'ETNIK 2021'!D29</f>
        <v>3.6205648081100651E-3</v>
      </c>
      <c r="G30" s="37">
        <f>('ETNIK 2021'!J29+'ETNIK 2021'!N29)/'ETNIK 2021'!D29</f>
        <v>5.6480811006517015E-2</v>
      </c>
      <c r="H30" s="37">
        <f t="shared" si="0"/>
        <v>2.1723388848660305E-3</v>
      </c>
      <c r="I30" s="13" t="str">
        <f t="shared" si="1"/>
        <v>MELAYU / MELANAU</v>
      </c>
      <c r="J30" s="15">
        <f t="shared" si="2"/>
        <v>2273</v>
      </c>
      <c r="K30" s="15">
        <f>'UMUR 2021'!W30</f>
        <v>9578</v>
      </c>
      <c r="L30" s="16">
        <f t="shared" si="3"/>
        <v>0.68072666527458758</v>
      </c>
      <c r="M30" s="15">
        <f>'UMUR 2021'!Y30</f>
        <v>6520</v>
      </c>
      <c r="N30" s="15">
        <f>'UMUR 2021'!Z30</f>
        <v>23</v>
      </c>
      <c r="O30" s="15">
        <f>'UMUR 2021'!AA30</f>
        <v>129</v>
      </c>
      <c r="P30" s="33">
        <f t="shared" si="4"/>
        <v>6368</v>
      </c>
      <c r="Q30" s="29" t="str">
        <f>'UMUR 2021'!AC30</f>
        <v>PBB</v>
      </c>
      <c r="R30" s="29" t="str">
        <f>'UMUR 2021'!AD30</f>
        <v>GPS</v>
      </c>
      <c r="S30" s="33">
        <f>'UMUR 2021'!AE30</f>
        <v>3700</v>
      </c>
      <c r="T30" s="34">
        <f>'UMUR 2021'!AF30</f>
        <v>0.58103015075376885</v>
      </c>
      <c r="U30" s="29" t="str">
        <f>'UMUR 2021'!AG30</f>
        <v>PSB</v>
      </c>
      <c r="V30" s="29" t="str">
        <f>'UMUR 2021'!AH30</f>
        <v>PSB</v>
      </c>
      <c r="W30" s="33">
        <f>'UMUR 2021'!AI30</f>
        <v>1427</v>
      </c>
      <c r="X30" s="34">
        <f>'UMUR 2021'!AJ30</f>
        <v>0.22408919597989949</v>
      </c>
      <c r="Y30" s="29" t="str">
        <f>'UMUR 2021'!AK30</f>
        <v>BEBAS</v>
      </c>
      <c r="Z30" s="29" t="str">
        <f>'UMUR 2021'!AL30</f>
        <v>BEBAS</v>
      </c>
      <c r="AA30" s="33">
        <f>'UMUR 2021'!AM30</f>
        <v>880</v>
      </c>
      <c r="AB30" s="34">
        <f t="shared" si="5"/>
        <v>0.13819095477386933</v>
      </c>
      <c r="AC30" s="29" t="str">
        <f>'UMUR 2021'!AO30</f>
        <v>PBK</v>
      </c>
      <c r="AD30" s="29" t="str">
        <f>'UMUR 2021'!AP30</f>
        <v>LAIN-LAIN</v>
      </c>
      <c r="AE30" s="33">
        <f>'UMUR 2021'!AQ30</f>
        <v>139</v>
      </c>
      <c r="AF30" s="34">
        <f>'UMUR 2021'!AR30</f>
        <v>2.1827889447236182E-2</v>
      </c>
      <c r="AG30" s="29" t="str">
        <f>'UMUR 2021'!AS30</f>
        <v>PKR</v>
      </c>
      <c r="AH30" s="29" t="str">
        <f>'UMUR 2021'!AT30</f>
        <v>PH</v>
      </c>
      <c r="AI30" s="33">
        <f>'UMUR 2021'!AU30</f>
        <v>130</v>
      </c>
      <c r="AJ30" s="34">
        <f>'UMUR 2021'!AV30</f>
        <v>2.041457286432161E-2</v>
      </c>
      <c r="AK30" s="29" t="str">
        <f>'UMUR 2021'!AW30</f>
        <v>SEDAR</v>
      </c>
      <c r="AL30" s="29" t="str">
        <f>'UMUR 2021'!AX30</f>
        <v>LAIN-LAIN</v>
      </c>
      <c r="AM30" s="33">
        <f>'UMUR 2021'!AY30</f>
        <v>92</v>
      </c>
      <c r="AN30" s="34">
        <f>'UMUR 2021'!AZ30</f>
        <v>1.4447236180904523E-2</v>
      </c>
      <c r="AO30" s="29">
        <f>'UMUR 2021'!BA30</f>
        <v>0</v>
      </c>
      <c r="AP30" s="29" t="str">
        <f>'UMUR 2021'!BB30</f>
        <v/>
      </c>
      <c r="AQ30" s="33">
        <f>'UMUR 2021'!BC30</f>
        <v>0</v>
      </c>
      <c r="AR30" s="34" t="str">
        <f>'UMUR 2021'!BD30</f>
        <v/>
      </c>
      <c r="AS30" s="29">
        <f>'UMUR 2021'!BE30</f>
        <v>0</v>
      </c>
      <c r="AT30" s="29" t="str">
        <f>'UMUR 2021'!BF30</f>
        <v/>
      </c>
      <c r="AU30" s="33">
        <f>'UMUR 2021'!BG30</f>
        <v>0</v>
      </c>
      <c r="AV30" s="34" t="str">
        <f>'UMUR 2021'!BH30</f>
        <v/>
      </c>
    </row>
    <row r="31" spans="1:48" ht="28.5">
      <c r="A31" s="13" t="s">
        <v>78</v>
      </c>
      <c r="B31" s="14" t="s">
        <v>81</v>
      </c>
      <c r="C31" s="37">
        <f>('ETNIK 2021'!E30+'ETNIK 2021'!M30)/'ETNIK 2021'!D30</f>
        <v>0.9025654777867167</v>
      </c>
      <c r="D31" s="37">
        <f>'ETNIK 2021'!F30/'ETNIK 2021'!D30</f>
        <v>1.4749262536873156E-2</v>
      </c>
      <c r="E31" s="37">
        <f>'ETNIK 2021'!L30/'ETNIK 2021'!D30</f>
        <v>6.2393850004469474E-2</v>
      </c>
      <c r="F31" s="37">
        <f>'ETNIK 2021'!K30/'ETNIK 2021'!D30</f>
        <v>7.1511575936354698E-4</v>
      </c>
      <c r="G31" s="37">
        <f>('ETNIK 2021'!J30+'ETNIK 2021'!N30)/'ETNIK 2021'!D30</f>
        <v>1.8146062393850006E-2</v>
      </c>
      <c r="H31" s="37">
        <f t="shared" si="0"/>
        <v>1.4302315187271208E-3</v>
      </c>
      <c r="I31" s="13" t="str">
        <f t="shared" si="1"/>
        <v>MELAYU / MELANAU</v>
      </c>
      <c r="J31" s="15">
        <f t="shared" si="2"/>
        <v>1711</v>
      </c>
      <c r="K31" s="15">
        <f>'UMUR 2021'!W31</f>
        <v>11094</v>
      </c>
      <c r="L31" s="16">
        <f t="shared" si="3"/>
        <v>0.67748332431945191</v>
      </c>
      <c r="M31" s="15">
        <f>'UMUR 2021'!Y31</f>
        <v>7516</v>
      </c>
      <c r="N31" s="15">
        <f>'UMUR 2021'!Z31</f>
        <v>13</v>
      </c>
      <c r="O31" s="15">
        <f>'UMUR 2021'!AA31</f>
        <v>201</v>
      </c>
      <c r="P31" s="33">
        <f t="shared" si="4"/>
        <v>7302</v>
      </c>
      <c r="Q31" s="29" t="str">
        <f>'UMUR 2021'!AC31</f>
        <v>PBB</v>
      </c>
      <c r="R31" s="29" t="str">
        <f>'UMUR 2021'!AD31</f>
        <v>GPS</v>
      </c>
      <c r="S31" s="33">
        <f>'UMUR 2021'!AE31</f>
        <v>3769</v>
      </c>
      <c r="T31" s="34">
        <f>'UMUR 2021'!AF31</f>
        <v>0.51615995617638999</v>
      </c>
      <c r="U31" s="29" t="str">
        <f>'UMUR 2021'!AG31</f>
        <v>PAS</v>
      </c>
      <c r="V31" s="29" t="str">
        <f>'UMUR 2021'!AH31</f>
        <v>PN</v>
      </c>
      <c r="W31" s="33">
        <f>'UMUR 2021'!AI31</f>
        <v>2058</v>
      </c>
      <c r="X31" s="34">
        <f>'UMUR 2021'!AJ31</f>
        <v>0.28184059161873459</v>
      </c>
      <c r="Y31" s="29" t="str">
        <f>'UMUR 2021'!AK31</f>
        <v>PKR</v>
      </c>
      <c r="Z31" s="29" t="str">
        <f>'UMUR 2021'!AL31</f>
        <v>PH</v>
      </c>
      <c r="AA31" s="33">
        <f>'UMUR 2021'!AM31</f>
        <v>765</v>
      </c>
      <c r="AB31" s="34">
        <f t="shared" si="5"/>
        <v>0.1047658175842235</v>
      </c>
      <c r="AC31" s="29" t="str">
        <f>'UMUR 2021'!AO31</f>
        <v>BEBAS</v>
      </c>
      <c r="AD31" s="29" t="str">
        <f>'UMUR 2021'!AP31</f>
        <v>BEBAS</v>
      </c>
      <c r="AE31" s="33">
        <f>'UMUR 2021'!AQ31</f>
        <v>636</v>
      </c>
      <c r="AF31" s="34">
        <f>'UMUR 2021'!AR31</f>
        <v>8.7099424815119147E-2</v>
      </c>
      <c r="AG31" s="29" t="str">
        <f>'UMUR 2021'!AS31</f>
        <v>PBK</v>
      </c>
      <c r="AH31" s="29" t="str">
        <f>'UMUR 2021'!AT31</f>
        <v>LAIN-LAIN</v>
      </c>
      <c r="AI31" s="33">
        <f>'UMUR 2021'!AU31</f>
        <v>74</v>
      </c>
      <c r="AJ31" s="34">
        <f>'UMUR 2021'!AV31</f>
        <v>1.0134209805532731E-2</v>
      </c>
      <c r="AK31" s="29">
        <f>'UMUR 2021'!AW31</f>
        <v>0</v>
      </c>
      <c r="AL31" s="29" t="str">
        <f>'UMUR 2021'!AX31</f>
        <v/>
      </c>
      <c r="AM31" s="33">
        <f>'UMUR 2021'!AY31</f>
        <v>0</v>
      </c>
      <c r="AN31" s="34" t="str">
        <f>'UMUR 2021'!AZ31</f>
        <v/>
      </c>
      <c r="AO31" s="29">
        <f>'UMUR 2021'!BA31</f>
        <v>0</v>
      </c>
      <c r="AP31" s="29" t="str">
        <f>'UMUR 2021'!BB31</f>
        <v/>
      </c>
      <c r="AQ31" s="33">
        <f>'UMUR 2021'!BC31</f>
        <v>0</v>
      </c>
      <c r="AR31" s="34" t="str">
        <f>'UMUR 2021'!BD31</f>
        <v/>
      </c>
      <c r="AS31" s="29">
        <f>'UMUR 2021'!BE31</f>
        <v>0</v>
      </c>
      <c r="AT31" s="29" t="str">
        <f>'UMUR 2021'!BF31</f>
        <v/>
      </c>
      <c r="AU31" s="33">
        <f>'UMUR 2021'!BG31</f>
        <v>0</v>
      </c>
      <c r="AV31" s="34" t="str">
        <f>'UMUR 2021'!BH31</f>
        <v/>
      </c>
    </row>
    <row r="32" spans="1:48">
      <c r="A32" s="13" t="s">
        <v>84</v>
      </c>
      <c r="B32" s="14" t="s">
        <v>87</v>
      </c>
      <c r="C32" s="37">
        <f>('ETNIK 2021'!E31+'ETNIK 2021'!M31)/'ETNIK 2021'!D31</f>
        <v>4.8578526083356333E-2</v>
      </c>
      <c r="D32" s="37">
        <f>'ETNIK 2021'!F31/'ETNIK 2021'!D31</f>
        <v>6.5231392032385691E-2</v>
      </c>
      <c r="E32" s="37">
        <f>'ETNIK 2021'!L31/'ETNIK 2021'!D31</f>
        <v>0.73180605391480358</v>
      </c>
      <c r="F32" s="37">
        <f>'ETNIK 2021'!K31/'ETNIK 2021'!D31</f>
        <v>1.775692336001472E-2</v>
      </c>
      <c r="G32" s="37">
        <f>('ETNIK 2021'!J31+'ETNIK 2021'!N31)/'ETNIK 2021'!D31</f>
        <v>0.12908271230103965</v>
      </c>
      <c r="H32" s="37">
        <f t="shared" si="0"/>
        <v>7.5443923084000108E-3</v>
      </c>
      <c r="I32" s="13" t="str">
        <f t="shared" si="1"/>
        <v>IBAN</v>
      </c>
      <c r="J32" s="15">
        <f t="shared" si="2"/>
        <v>1285</v>
      </c>
      <c r="K32" s="15">
        <f>'UMUR 2021'!W32</f>
        <v>10791</v>
      </c>
      <c r="L32" s="16">
        <f t="shared" si="3"/>
        <v>0.80316930775646367</v>
      </c>
      <c r="M32" s="15">
        <f>'UMUR 2021'!Y32</f>
        <v>8667</v>
      </c>
      <c r="N32" s="15">
        <f>'UMUR 2021'!Z32</f>
        <v>24</v>
      </c>
      <c r="O32" s="15">
        <f>'UMUR 2021'!AA32</f>
        <v>101</v>
      </c>
      <c r="P32" s="33">
        <f t="shared" si="4"/>
        <v>8542</v>
      </c>
      <c r="Q32" s="29" t="str">
        <f>'UMUR 2021'!AC32</f>
        <v>PRS</v>
      </c>
      <c r="R32" s="29" t="str">
        <f>'UMUR 2021'!AD32</f>
        <v>GPS</v>
      </c>
      <c r="S32" s="33">
        <f>'UMUR 2021'!AE32</f>
        <v>4816</v>
      </c>
      <c r="T32" s="34">
        <f>'UMUR 2021'!AF32</f>
        <v>0.56380238819948492</v>
      </c>
      <c r="U32" s="29" t="str">
        <f>'UMUR 2021'!AG32</f>
        <v>PSB</v>
      </c>
      <c r="V32" s="29" t="str">
        <f>'UMUR 2021'!AH32</f>
        <v>PSB</v>
      </c>
      <c r="W32" s="33">
        <f>'UMUR 2021'!AI32</f>
        <v>3531</v>
      </c>
      <c r="X32" s="34">
        <f>'UMUR 2021'!AJ32</f>
        <v>0.4133692343713416</v>
      </c>
      <c r="Y32" s="29" t="str">
        <f>'UMUR 2021'!AK32</f>
        <v>PBK</v>
      </c>
      <c r="Z32" s="29" t="str">
        <f>'UMUR 2021'!AL32</f>
        <v>LAIN-LAIN</v>
      </c>
      <c r="AA32" s="33">
        <f>'UMUR 2021'!AM32</f>
        <v>195</v>
      </c>
      <c r="AB32" s="34">
        <f t="shared" si="5"/>
        <v>2.2828377429173496E-2</v>
      </c>
      <c r="AC32" s="29">
        <f>'UMUR 2021'!AO32</f>
        <v>0</v>
      </c>
      <c r="AD32" s="29" t="str">
        <f>'UMUR 2021'!AP32</f>
        <v/>
      </c>
      <c r="AE32" s="33">
        <f>'UMUR 2021'!AQ32</f>
        <v>0</v>
      </c>
      <c r="AF32" s="34" t="str">
        <f>'UMUR 2021'!AR32</f>
        <v/>
      </c>
      <c r="AG32" s="29">
        <f>'UMUR 2021'!AS32</f>
        <v>0</v>
      </c>
      <c r="AH32" s="29" t="str">
        <f>'UMUR 2021'!AT32</f>
        <v/>
      </c>
      <c r="AI32" s="33">
        <f>'UMUR 2021'!AU32</f>
        <v>0</v>
      </c>
      <c r="AJ32" s="34" t="str">
        <f>'UMUR 2021'!AV32</f>
        <v/>
      </c>
      <c r="AK32" s="29">
        <f>'UMUR 2021'!AW32</f>
        <v>0</v>
      </c>
      <c r="AL32" s="29" t="str">
        <f>'UMUR 2021'!AX32</f>
        <v/>
      </c>
      <c r="AM32" s="33">
        <f>'UMUR 2021'!AY32</f>
        <v>0</v>
      </c>
      <c r="AN32" s="34" t="str">
        <f>'UMUR 2021'!AZ32</f>
        <v/>
      </c>
      <c r="AO32" s="29">
        <f>'UMUR 2021'!BA32</f>
        <v>0</v>
      </c>
      <c r="AP32" s="29" t="str">
        <f>'UMUR 2021'!BB32</f>
        <v/>
      </c>
      <c r="AQ32" s="33">
        <f>'UMUR 2021'!BC32</f>
        <v>0</v>
      </c>
      <c r="AR32" s="34" t="str">
        <f>'UMUR 2021'!BD32</f>
        <v/>
      </c>
      <c r="AS32" s="29">
        <f>'UMUR 2021'!BE32</f>
        <v>0</v>
      </c>
      <c r="AT32" s="29" t="str">
        <f>'UMUR 2021'!BF32</f>
        <v/>
      </c>
      <c r="AU32" s="33">
        <f>'UMUR 2021'!BG32</f>
        <v>0</v>
      </c>
      <c r="AV32" s="34" t="str">
        <f>'UMUR 2021'!BH32</f>
        <v/>
      </c>
    </row>
    <row r="33" spans="1:48">
      <c r="A33" s="13" t="s">
        <v>85</v>
      </c>
      <c r="B33" s="14" t="s">
        <v>88</v>
      </c>
      <c r="C33" s="37">
        <f>('ETNIK 2021'!E32+'ETNIK 2021'!M32)/'ETNIK 2021'!D32</f>
        <v>0.15852278572163359</v>
      </c>
      <c r="D33" s="37">
        <f>'ETNIK 2021'!F32/'ETNIK 2021'!D32</f>
        <v>5.4521139800432057E-2</v>
      </c>
      <c r="E33" s="37">
        <f>'ETNIK 2021'!L32/'ETNIK 2021'!D32</f>
        <v>0.64643555189795288</v>
      </c>
      <c r="F33" s="37">
        <f>'ETNIK 2021'!K32/'ETNIK 2021'!D32</f>
        <v>8.2296060076123851E-3</v>
      </c>
      <c r="G33" s="37">
        <f>('ETNIK 2021'!J32+'ETNIK 2021'!N32)/'ETNIK 2021'!D32</f>
        <v>0.12725028289270651</v>
      </c>
      <c r="H33" s="37">
        <f t="shared" si="0"/>
        <v>5.0406336796625928E-3</v>
      </c>
      <c r="I33" s="13" t="str">
        <f t="shared" si="1"/>
        <v>IBAN</v>
      </c>
      <c r="J33" s="15">
        <f t="shared" si="2"/>
        <v>1402</v>
      </c>
      <c r="K33" s="15">
        <f>'UMUR 2021'!W33</f>
        <v>9632</v>
      </c>
      <c r="L33" s="16">
        <f t="shared" si="3"/>
        <v>0.72892441860465118</v>
      </c>
      <c r="M33" s="15">
        <f>'UMUR 2021'!Y33</f>
        <v>7021</v>
      </c>
      <c r="N33" s="15">
        <f>'UMUR 2021'!Z33</f>
        <v>26</v>
      </c>
      <c r="O33" s="15">
        <f>'UMUR 2021'!AA33</f>
        <v>88</v>
      </c>
      <c r="P33" s="33">
        <f t="shared" si="4"/>
        <v>6907</v>
      </c>
      <c r="Q33" s="29" t="str">
        <f>'UMUR 2021'!AC33</f>
        <v>PRS</v>
      </c>
      <c r="R33" s="29" t="str">
        <f>'UMUR 2021'!AD33</f>
        <v>GPS</v>
      </c>
      <c r="S33" s="33">
        <f>'UMUR 2021'!AE33</f>
        <v>4054</v>
      </c>
      <c r="T33" s="34">
        <f>'UMUR 2021'!AF33</f>
        <v>0.58694078471116262</v>
      </c>
      <c r="U33" s="29" t="str">
        <f>'UMUR 2021'!AG33</f>
        <v>PSB</v>
      </c>
      <c r="V33" s="29" t="str">
        <f>'UMUR 2021'!AH33</f>
        <v>PSB</v>
      </c>
      <c r="W33" s="33">
        <f>'UMUR 2021'!AI33</f>
        <v>2652</v>
      </c>
      <c r="X33" s="34">
        <f>'UMUR 2021'!AJ33</f>
        <v>0.3839583031706964</v>
      </c>
      <c r="Y33" s="29" t="str">
        <f>'UMUR 2021'!AK33</f>
        <v>PBDSB</v>
      </c>
      <c r="Z33" s="29" t="str">
        <f>'UMUR 2021'!AL33</f>
        <v>LAIN-LAIN</v>
      </c>
      <c r="AA33" s="33">
        <f>'UMUR 2021'!AM33</f>
        <v>115</v>
      </c>
      <c r="AB33" s="34">
        <f t="shared" si="5"/>
        <v>1.6649775589981177E-2</v>
      </c>
      <c r="AC33" s="29" t="str">
        <f>'UMUR 2021'!AO33</f>
        <v>PBK</v>
      </c>
      <c r="AD33" s="29" t="str">
        <f>'UMUR 2021'!AP33</f>
        <v>LAIN-LAIN</v>
      </c>
      <c r="AE33" s="33">
        <f>'UMUR 2021'!AQ33</f>
        <v>86</v>
      </c>
      <c r="AF33" s="34">
        <f>'UMUR 2021'!AR33</f>
        <v>1.2451136528159839E-2</v>
      </c>
      <c r="AG33" s="29">
        <f>'UMUR 2021'!AS33</f>
        <v>0</v>
      </c>
      <c r="AH33" s="29" t="str">
        <f>'UMUR 2021'!AT33</f>
        <v/>
      </c>
      <c r="AI33" s="33">
        <f>'UMUR 2021'!AU33</f>
        <v>0</v>
      </c>
      <c r="AJ33" s="34" t="str">
        <f>'UMUR 2021'!AV33</f>
        <v/>
      </c>
      <c r="AK33" s="29">
        <f>'UMUR 2021'!AW33</f>
        <v>0</v>
      </c>
      <c r="AL33" s="29" t="str">
        <f>'UMUR 2021'!AX33</f>
        <v/>
      </c>
      <c r="AM33" s="33">
        <f>'UMUR 2021'!AY33</f>
        <v>0</v>
      </c>
      <c r="AN33" s="34" t="str">
        <f>'UMUR 2021'!AZ33</f>
        <v/>
      </c>
      <c r="AO33" s="29">
        <f>'UMUR 2021'!BA33</f>
        <v>0</v>
      </c>
      <c r="AP33" s="29" t="str">
        <f>'UMUR 2021'!BB33</f>
        <v/>
      </c>
      <c r="AQ33" s="33">
        <f>'UMUR 2021'!BC33</f>
        <v>0</v>
      </c>
      <c r="AR33" s="34" t="str">
        <f>'UMUR 2021'!BD33</f>
        <v/>
      </c>
      <c r="AS33" s="29">
        <f>'UMUR 2021'!BE33</f>
        <v>0</v>
      </c>
      <c r="AT33" s="29" t="str">
        <f>'UMUR 2021'!BF33</f>
        <v/>
      </c>
      <c r="AU33" s="33">
        <f>'UMUR 2021'!BG33</f>
        <v>0</v>
      </c>
      <c r="AV33" s="34" t="str">
        <f>'UMUR 2021'!BH33</f>
        <v/>
      </c>
    </row>
    <row r="34" spans="1:48">
      <c r="A34" s="13" t="s">
        <v>86</v>
      </c>
      <c r="B34" s="14" t="s">
        <v>89</v>
      </c>
      <c r="C34" s="37">
        <f>('ETNIK 2021'!E33+'ETNIK 2021'!M33)/'ETNIK 2021'!D33</f>
        <v>0.11675927316413875</v>
      </c>
      <c r="D34" s="37">
        <f>'ETNIK 2021'!F33/'ETNIK 2021'!D33</f>
        <v>0.31791560294338489</v>
      </c>
      <c r="E34" s="37">
        <f>'ETNIK 2021'!L33/'ETNIK 2021'!D33</f>
        <v>0.46703709265655502</v>
      </c>
      <c r="F34" s="37">
        <f>'ETNIK 2021'!K33/'ETNIK 2021'!D33</f>
        <v>9.5359663613155121E-3</v>
      </c>
      <c r="G34" s="37">
        <f>('ETNIK 2021'!J33+'ETNIK 2021'!N33)/'ETNIK 2021'!D33</f>
        <v>8.3796365820693802E-2</v>
      </c>
      <c r="H34" s="37">
        <f t="shared" si="0"/>
        <v>4.9556990539120216E-3</v>
      </c>
      <c r="I34" s="13" t="str">
        <f t="shared" si="1"/>
        <v>MIXED</v>
      </c>
      <c r="J34" s="15">
        <f t="shared" si="2"/>
        <v>175</v>
      </c>
      <c r="K34" s="15">
        <f>'UMUR 2021'!W34</f>
        <v>13224</v>
      </c>
      <c r="L34" s="16">
        <f t="shared" si="3"/>
        <v>0.62265577737447064</v>
      </c>
      <c r="M34" s="15">
        <f>'UMUR 2021'!Y34</f>
        <v>8234</v>
      </c>
      <c r="N34" s="15">
        <f>'UMUR 2021'!Z34</f>
        <v>39</v>
      </c>
      <c r="O34" s="15">
        <f>'UMUR 2021'!AA34</f>
        <v>115</v>
      </c>
      <c r="P34" s="33">
        <f t="shared" si="4"/>
        <v>8080</v>
      </c>
      <c r="Q34" s="29" t="str">
        <f>'UMUR 2021'!AC34</f>
        <v>SUPP</v>
      </c>
      <c r="R34" s="29" t="str">
        <f>'UMUR 2021'!AD34</f>
        <v>GPS</v>
      </c>
      <c r="S34" s="33">
        <f>'UMUR 2021'!AE34</f>
        <v>3954</v>
      </c>
      <c r="T34" s="34">
        <f>'UMUR 2021'!AF34</f>
        <v>0.48935643564356435</v>
      </c>
      <c r="U34" s="29" t="str">
        <f>'UMUR 2021'!AG34</f>
        <v>PSB</v>
      </c>
      <c r="V34" s="29" t="str">
        <f>'UMUR 2021'!AH34</f>
        <v>PSB</v>
      </c>
      <c r="W34" s="33">
        <f>'UMUR 2021'!AI34</f>
        <v>3779</v>
      </c>
      <c r="X34" s="34">
        <f>'UMUR 2021'!AJ34</f>
        <v>0.46769801980198022</v>
      </c>
      <c r="Y34" s="29" t="str">
        <f>'UMUR 2021'!AK34</f>
        <v>DAP</v>
      </c>
      <c r="Z34" s="29" t="str">
        <f>'UMUR 2021'!AL34</f>
        <v>PH</v>
      </c>
      <c r="AA34" s="33">
        <f>'UMUR 2021'!AM34</f>
        <v>212</v>
      </c>
      <c r="AB34" s="34">
        <f t="shared" si="5"/>
        <v>2.6237623762376237E-2</v>
      </c>
      <c r="AC34" s="29" t="str">
        <f>'UMUR 2021'!AO34</f>
        <v>PBK</v>
      </c>
      <c r="AD34" s="29" t="str">
        <f>'UMUR 2021'!AP34</f>
        <v>LAIN-LAIN</v>
      </c>
      <c r="AE34" s="33">
        <f>'UMUR 2021'!AQ34</f>
        <v>135</v>
      </c>
      <c r="AF34" s="34">
        <f>'UMUR 2021'!AR34</f>
        <v>1.6707920792079209E-2</v>
      </c>
      <c r="AG34" s="29">
        <f>'UMUR 2021'!AS34</f>
        <v>0</v>
      </c>
      <c r="AH34" s="29" t="str">
        <f>'UMUR 2021'!AT34</f>
        <v/>
      </c>
      <c r="AI34" s="33">
        <f>'UMUR 2021'!AU34</f>
        <v>0</v>
      </c>
      <c r="AJ34" s="34" t="str">
        <f>'UMUR 2021'!AV34</f>
        <v/>
      </c>
      <c r="AK34" s="29">
        <f>'UMUR 2021'!AW34</f>
        <v>0</v>
      </c>
      <c r="AL34" s="29" t="str">
        <f>'UMUR 2021'!AX34</f>
        <v/>
      </c>
      <c r="AM34" s="33">
        <f>'UMUR 2021'!AY34</f>
        <v>0</v>
      </c>
      <c r="AN34" s="34" t="str">
        <f>'UMUR 2021'!AZ34</f>
        <v/>
      </c>
      <c r="AO34" s="29">
        <f>'UMUR 2021'!BA34</f>
        <v>0</v>
      </c>
      <c r="AP34" s="29" t="str">
        <f>'UMUR 2021'!BB34</f>
        <v/>
      </c>
      <c r="AQ34" s="33">
        <f>'UMUR 2021'!BC34</f>
        <v>0</v>
      </c>
      <c r="AR34" s="34" t="str">
        <f>'UMUR 2021'!BD34</f>
        <v/>
      </c>
      <c r="AS34" s="29">
        <f>'UMUR 2021'!BE34</f>
        <v>0</v>
      </c>
      <c r="AT34" s="29" t="str">
        <f>'UMUR 2021'!BF34</f>
        <v/>
      </c>
      <c r="AU34" s="33">
        <f>'UMUR 2021'!BG34</f>
        <v>0</v>
      </c>
      <c r="AV34" s="34" t="str">
        <f>'UMUR 2021'!BH34</f>
        <v/>
      </c>
    </row>
    <row r="35" spans="1:48">
      <c r="A35" s="13" t="s">
        <v>92</v>
      </c>
      <c r="B35" s="14" t="s">
        <v>94</v>
      </c>
      <c r="C35" s="37">
        <f>('ETNIK 2021'!E34+'ETNIK 2021'!M34)/'ETNIK 2021'!D34</f>
        <v>1.9658886894075404E-2</v>
      </c>
      <c r="D35" s="37">
        <f>'ETNIK 2021'!F34/'ETNIK 2021'!D34</f>
        <v>0.11364452423698385</v>
      </c>
      <c r="E35" s="37">
        <f>'ETNIK 2021'!L34/'ETNIK 2021'!D34</f>
        <v>0.68563734290843803</v>
      </c>
      <c r="F35" s="37">
        <f>'ETNIK 2021'!K34/'ETNIK 2021'!D34</f>
        <v>4.1292639138240574E-3</v>
      </c>
      <c r="G35" s="37">
        <f>('ETNIK 2021'!J34+'ETNIK 2021'!N34)/'ETNIK 2021'!D34</f>
        <v>0.1725314183123878</v>
      </c>
      <c r="H35" s="37">
        <f t="shared" si="0"/>
        <v>4.3985637342909556E-3</v>
      </c>
      <c r="I35" s="13" t="str">
        <f t="shared" si="1"/>
        <v>IBAN</v>
      </c>
      <c r="J35" s="15">
        <f t="shared" si="2"/>
        <v>1191</v>
      </c>
      <c r="K35" s="15">
        <f>'UMUR 2021'!W35</f>
        <v>11039</v>
      </c>
      <c r="L35" s="16">
        <f t="shared" si="3"/>
        <v>0.68511640547151009</v>
      </c>
      <c r="M35" s="15">
        <f>'UMUR 2021'!Y35</f>
        <v>7563</v>
      </c>
      <c r="N35" s="15">
        <f>'UMUR 2021'!Z35</f>
        <v>17</v>
      </c>
      <c r="O35" s="15">
        <f>'UMUR 2021'!AA35</f>
        <v>81</v>
      </c>
      <c r="P35" s="33">
        <f t="shared" si="4"/>
        <v>7465</v>
      </c>
      <c r="Q35" s="29" t="str">
        <f>'UMUR 2021'!AC35</f>
        <v>PSB</v>
      </c>
      <c r="R35" s="29" t="str">
        <f>'UMUR 2021'!AD35</f>
        <v>PSB</v>
      </c>
      <c r="S35" s="33">
        <f>'UMUR 2021'!AE35</f>
        <v>3246</v>
      </c>
      <c r="T35" s="34">
        <f>'UMUR 2021'!AF35</f>
        <v>0.43482920294708638</v>
      </c>
      <c r="U35" s="29" t="str">
        <f>'UMUR 2021'!AG35</f>
        <v>SUPP</v>
      </c>
      <c r="V35" s="29" t="str">
        <f>'UMUR 2021'!AH35</f>
        <v>GPS</v>
      </c>
      <c r="W35" s="33">
        <f>'UMUR 2021'!AI35</f>
        <v>2055</v>
      </c>
      <c r="X35" s="34">
        <f>'UMUR 2021'!AJ35</f>
        <v>0.275284661754856</v>
      </c>
      <c r="Y35" s="29" t="str">
        <f>'UMUR 2021'!AK35</f>
        <v>BEBAS</v>
      </c>
      <c r="Z35" s="29" t="str">
        <f>'UMUR 2021'!AL35</f>
        <v>BEBAS</v>
      </c>
      <c r="AA35" s="33">
        <f>'UMUR 2021'!AM35</f>
        <v>2013</v>
      </c>
      <c r="AB35" s="34">
        <f t="shared" si="5"/>
        <v>0.26965840589417278</v>
      </c>
      <c r="AC35" s="29" t="str">
        <f>'UMUR 2021'!AO35</f>
        <v>PBK</v>
      </c>
      <c r="AD35" s="29" t="str">
        <f>'UMUR 2021'!AP35</f>
        <v>LAIN-LAIN</v>
      </c>
      <c r="AE35" s="33">
        <f>'UMUR 2021'!AQ35</f>
        <v>151</v>
      </c>
      <c r="AF35" s="34">
        <f>'UMUR 2021'!AR35</f>
        <v>2.0227729403884797E-2</v>
      </c>
      <c r="AG35" s="29">
        <f>'UMUR 2021'!AS35</f>
        <v>0</v>
      </c>
      <c r="AH35" s="29" t="str">
        <f>'UMUR 2021'!AT35</f>
        <v/>
      </c>
      <c r="AI35" s="33">
        <f>'UMUR 2021'!AU35</f>
        <v>0</v>
      </c>
      <c r="AJ35" s="34" t="str">
        <f>'UMUR 2021'!AV35</f>
        <v/>
      </c>
      <c r="AK35" s="29">
        <f>'UMUR 2021'!AW35</f>
        <v>0</v>
      </c>
      <c r="AL35" s="29" t="str">
        <f>'UMUR 2021'!AX35</f>
        <v/>
      </c>
      <c r="AM35" s="33">
        <f>'UMUR 2021'!AY35</f>
        <v>0</v>
      </c>
      <c r="AN35" s="34" t="str">
        <f>'UMUR 2021'!AZ35</f>
        <v/>
      </c>
      <c r="AO35" s="29">
        <f>'UMUR 2021'!BA35</f>
        <v>0</v>
      </c>
      <c r="AP35" s="29" t="str">
        <f>'UMUR 2021'!BB35</f>
        <v/>
      </c>
      <c r="AQ35" s="33">
        <f>'UMUR 2021'!BC35</f>
        <v>0</v>
      </c>
      <c r="AR35" s="34" t="str">
        <f>'UMUR 2021'!BD35</f>
        <v/>
      </c>
      <c r="AS35" s="29">
        <f>'UMUR 2021'!BE35</f>
        <v>0</v>
      </c>
      <c r="AT35" s="29" t="str">
        <f>'UMUR 2021'!BF35</f>
        <v/>
      </c>
      <c r="AU35" s="33">
        <f>'UMUR 2021'!BG35</f>
        <v>0</v>
      </c>
      <c r="AV35" s="34" t="str">
        <f>'UMUR 2021'!BH35</f>
        <v/>
      </c>
    </row>
    <row r="36" spans="1:48">
      <c r="A36" s="13" t="s">
        <v>93</v>
      </c>
      <c r="B36" s="14" t="s">
        <v>95</v>
      </c>
      <c r="C36" s="37">
        <f>('ETNIK 2021'!E35+'ETNIK 2021'!M35)/'ETNIK 2021'!D35</f>
        <v>1.5985612948346488E-2</v>
      </c>
      <c r="D36" s="37">
        <f>'ETNIK 2021'!F35/'ETNIK 2021'!D35</f>
        <v>3.3969427515236288E-2</v>
      </c>
      <c r="E36" s="37">
        <f>'ETNIK 2021'!L35/'ETNIK 2021'!D35</f>
        <v>0.73074233190128879</v>
      </c>
      <c r="F36" s="37">
        <f>'ETNIK 2021'!K35/'ETNIK 2021'!D35</f>
        <v>3.796583075232291E-3</v>
      </c>
      <c r="G36" s="37">
        <f>('ETNIK 2021'!J35+'ETNIK 2021'!N35)/'ETNIK 2021'!D35</f>
        <v>0.21130982116095515</v>
      </c>
      <c r="H36" s="37">
        <f t="shared" si="0"/>
        <v>4.1962233989411013E-3</v>
      </c>
      <c r="I36" s="13" t="str">
        <f t="shared" si="1"/>
        <v>IBAN</v>
      </c>
      <c r="J36" s="15">
        <f t="shared" si="2"/>
        <v>738</v>
      </c>
      <c r="K36" s="15">
        <f>'UMUR 2021'!W36</f>
        <v>9929</v>
      </c>
      <c r="L36" s="16">
        <f t="shared" si="3"/>
        <v>0.73290361567126594</v>
      </c>
      <c r="M36" s="15">
        <f>'UMUR 2021'!Y36</f>
        <v>7277</v>
      </c>
      <c r="N36" s="15">
        <f>'UMUR 2021'!Z36</f>
        <v>14</v>
      </c>
      <c r="O36" s="15">
        <f>'UMUR 2021'!AA36</f>
        <v>68</v>
      </c>
      <c r="P36" s="33">
        <f t="shared" si="4"/>
        <v>7195</v>
      </c>
      <c r="Q36" s="29" t="str">
        <f>'UMUR 2021'!AC36</f>
        <v>PRS</v>
      </c>
      <c r="R36" s="29" t="str">
        <f>'UMUR 2021'!AD36</f>
        <v>GPS</v>
      </c>
      <c r="S36" s="33">
        <f>'UMUR 2021'!AE36</f>
        <v>3208</v>
      </c>
      <c r="T36" s="34">
        <f>'UMUR 2021'!AF36</f>
        <v>0.44586518415566367</v>
      </c>
      <c r="U36" s="29" t="str">
        <f>'UMUR 2021'!AG36</f>
        <v>BEBAS</v>
      </c>
      <c r="V36" s="29" t="str">
        <f>'UMUR 2021'!AH36</f>
        <v>BEBAS</v>
      </c>
      <c r="W36" s="33">
        <f>'UMUR 2021'!AI36</f>
        <v>2470</v>
      </c>
      <c r="X36" s="34">
        <f>'UMUR 2021'!AJ36</f>
        <v>0.34329395413481584</v>
      </c>
      <c r="Y36" s="29" t="str">
        <f>'UMUR 2021'!AK36</f>
        <v>PSB</v>
      </c>
      <c r="Z36" s="29" t="str">
        <f>'UMUR 2021'!AL36</f>
        <v>PSB</v>
      </c>
      <c r="AA36" s="33">
        <f>'UMUR 2021'!AM36</f>
        <v>1366</v>
      </c>
      <c r="AB36" s="34">
        <f t="shared" si="5"/>
        <v>0.18985406532314106</v>
      </c>
      <c r="AC36" s="29" t="str">
        <f>'UMUR 2021'!AO36</f>
        <v>PBK</v>
      </c>
      <c r="AD36" s="29" t="str">
        <f>'UMUR 2021'!AP36</f>
        <v>LAIN-LAIN</v>
      </c>
      <c r="AE36" s="33">
        <f>'UMUR 2021'!AQ36</f>
        <v>151</v>
      </c>
      <c r="AF36" s="34">
        <f>'UMUR 2021'!AR36</f>
        <v>2.098679638637943E-2</v>
      </c>
      <c r="AG36" s="29">
        <f>'UMUR 2021'!AS36</f>
        <v>0</v>
      </c>
      <c r="AH36" s="29" t="str">
        <f>'UMUR 2021'!AT36</f>
        <v/>
      </c>
      <c r="AI36" s="33">
        <f>'UMUR 2021'!AU36</f>
        <v>0</v>
      </c>
      <c r="AJ36" s="34" t="str">
        <f>'UMUR 2021'!AV36</f>
        <v/>
      </c>
      <c r="AK36" s="29">
        <f>'UMUR 2021'!AW36</f>
        <v>0</v>
      </c>
      <c r="AL36" s="29" t="str">
        <f>'UMUR 2021'!AX36</f>
        <v/>
      </c>
      <c r="AM36" s="33">
        <f>'UMUR 2021'!AY36</f>
        <v>0</v>
      </c>
      <c r="AN36" s="34" t="str">
        <f>'UMUR 2021'!AZ36</f>
        <v/>
      </c>
      <c r="AO36" s="29">
        <f>'UMUR 2021'!BA36</f>
        <v>0</v>
      </c>
      <c r="AP36" s="29" t="str">
        <f>'UMUR 2021'!BB36</f>
        <v/>
      </c>
      <c r="AQ36" s="33">
        <f>'UMUR 2021'!BC36</f>
        <v>0</v>
      </c>
      <c r="AR36" s="34" t="str">
        <f>'UMUR 2021'!BD36</f>
        <v/>
      </c>
      <c r="AS36" s="29">
        <f>'UMUR 2021'!BE36</f>
        <v>0</v>
      </c>
      <c r="AT36" s="29" t="str">
        <f>'UMUR 2021'!BF36</f>
        <v/>
      </c>
      <c r="AU36" s="33">
        <f>'UMUR 2021'!BG36</f>
        <v>0</v>
      </c>
      <c r="AV36" s="34" t="str">
        <f>'UMUR 2021'!BH36</f>
        <v/>
      </c>
    </row>
    <row r="37" spans="1:48" ht="28.5">
      <c r="A37" s="13" t="s">
        <v>98</v>
      </c>
      <c r="B37" s="14" t="s">
        <v>101</v>
      </c>
      <c r="C37" s="37">
        <f>('ETNIK 2021'!E36+'ETNIK 2021'!M36)/'ETNIK 2021'!D36</f>
        <v>0.81297434044091077</v>
      </c>
      <c r="D37" s="37">
        <f>'ETNIK 2021'!F36/'ETNIK 2021'!D36</f>
        <v>3.0086736537766536E-2</v>
      </c>
      <c r="E37" s="37">
        <f>'ETNIK 2021'!L36/'ETNIK 2021'!D36</f>
        <v>0.13227322009396458</v>
      </c>
      <c r="F37" s="37">
        <f>'ETNIK 2021'!K36/'ETNIK 2021'!D36</f>
        <v>1.8070112034694614E-3</v>
      </c>
      <c r="G37" s="37">
        <f>('ETNIK 2021'!J36+'ETNIK 2021'!N36)/'ETNIK 2021'!D36</f>
        <v>1.9786772677990602E-2</v>
      </c>
      <c r="H37" s="37">
        <f t="shared" si="0"/>
        <v>3.0719190458980555E-3</v>
      </c>
      <c r="I37" s="13" t="str">
        <f t="shared" si="1"/>
        <v>MELAYU / MELANAU</v>
      </c>
      <c r="J37" s="15">
        <f t="shared" si="2"/>
        <v>3236</v>
      </c>
      <c r="K37" s="15">
        <f>'UMUR 2021'!W37</f>
        <v>10984</v>
      </c>
      <c r="L37" s="16">
        <f t="shared" si="3"/>
        <v>0.73088128186453027</v>
      </c>
      <c r="M37" s="15">
        <f>'UMUR 2021'!Y37</f>
        <v>8028</v>
      </c>
      <c r="N37" s="15">
        <f>'UMUR 2021'!Z37</f>
        <v>45</v>
      </c>
      <c r="O37" s="15">
        <f>'UMUR 2021'!AA37</f>
        <v>141</v>
      </c>
      <c r="P37" s="33">
        <f t="shared" si="4"/>
        <v>7842</v>
      </c>
      <c r="Q37" s="29" t="str">
        <f>'UMUR 2021'!AC37</f>
        <v>PBB</v>
      </c>
      <c r="R37" s="29" t="str">
        <f>'UMUR 2021'!AD37</f>
        <v>GPS</v>
      </c>
      <c r="S37" s="33">
        <f>'UMUR 2021'!AE37</f>
        <v>5138</v>
      </c>
      <c r="T37" s="34">
        <f>'UMUR 2021'!AF37</f>
        <v>0.65519000255036985</v>
      </c>
      <c r="U37" s="29" t="str">
        <f>'UMUR 2021'!AG37</f>
        <v>PKR</v>
      </c>
      <c r="V37" s="29" t="str">
        <f>'UMUR 2021'!AH37</f>
        <v>PH</v>
      </c>
      <c r="W37" s="33">
        <f>'UMUR 2021'!AI37</f>
        <v>1902</v>
      </c>
      <c r="X37" s="34">
        <f>'UMUR 2021'!AJ37</f>
        <v>0.24254016832440703</v>
      </c>
      <c r="Y37" s="29" t="str">
        <f>'UMUR 2021'!AK37</f>
        <v>PSB</v>
      </c>
      <c r="Z37" s="29" t="str">
        <f>'UMUR 2021'!AL37</f>
        <v>PSB</v>
      </c>
      <c r="AA37" s="33">
        <f>'UMUR 2021'!AM37</f>
        <v>668</v>
      </c>
      <c r="AB37" s="34">
        <f t="shared" si="5"/>
        <v>8.5182351440958939E-2</v>
      </c>
      <c r="AC37" s="29" t="str">
        <f>'UMUR 2021'!AO37</f>
        <v>PBK</v>
      </c>
      <c r="AD37" s="29" t="str">
        <f>'UMUR 2021'!AP37</f>
        <v>LAIN-LAIN</v>
      </c>
      <c r="AE37" s="33">
        <f>'UMUR 2021'!AQ37</f>
        <v>74</v>
      </c>
      <c r="AF37" s="34">
        <f>'UMUR 2021'!AR37</f>
        <v>9.4363682733996437E-3</v>
      </c>
      <c r="AG37" s="29" t="str">
        <f>'UMUR 2021'!AS37</f>
        <v>SEDAR</v>
      </c>
      <c r="AH37" s="29" t="str">
        <f>'UMUR 2021'!AT37</f>
        <v>LAIN-LAIN</v>
      </c>
      <c r="AI37" s="33">
        <f>'UMUR 2021'!AU37</f>
        <v>60</v>
      </c>
      <c r="AJ37" s="34">
        <f>'UMUR 2021'!AV37</f>
        <v>7.6511094108645756E-3</v>
      </c>
      <c r="AK37" s="29">
        <f>'UMUR 2021'!AW37</f>
        <v>0</v>
      </c>
      <c r="AL37" s="29" t="str">
        <f>'UMUR 2021'!AX37</f>
        <v/>
      </c>
      <c r="AM37" s="33">
        <f>'UMUR 2021'!AY37</f>
        <v>0</v>
      </c>
      <c r="AN37" s="34" t="str">
        <f>'UMUR 2021'!AZ37</f>
        <v/>
      </c>
      <c r="AO37" s="29">
        <f>'UMUR 2021'!BA37</f>
        <v>0</v>
      </c>
      <c r="AP37" s="29" t="str">
        <f>'UMUR 2021'!BB37</f>
        <v/>
      </c>
      <c r="AQ37" s="33">
        <f>'UMUR 2021'!BC37</f>
        <v>0</v>
      </c>
      <c r="AR37" s="34" t="str">
        <f>'UMUR 2021'!BD37</f>
        <v/>
      </c>
      <c r="AS37" s="29">
        <f>'UMUR 2021'!BE37</f>
        <v>0</v>
      </c>
      <c r="AT37" s="29" t="str">
        <f>'UMUR 2021'!BF37</f>
        <v/>
      </c>
      <c r="AU37" s="33">
        <f>'UMUR 2021'!BG37</f>
        <v>0</v>
      </c>
      <c r="AV37" s="34" t="str">
        <f>'UMUR 2021'!BH37</f>
        <v/>
      </c>
    </row>
    <row r="38" spans="1:48">
      <c r="A38" s="13" t="s">
        <v>99</v>
      </c>
      <c r="B38" s="14" t="s">
        <v>102</v>
      </c>
      <c r="C38" s="37">
        <f>('ETNIK 2021'!E37+'ETNIK 2021'!M37)/'ETNIK 2021'!D37</f>
        <v>0.15037834381327933</v>
      </c>
      <c r="D38" s="37">
        <f>'ETNIK 2021'!F37/'ETNIK 2021'!D37</f>
        <v>0.12277523180219546</v>
      </c>
      <c r="E38" s="37">
        <f>'ETNIK 2021'!L37/'ETNIK 2021'!D37</f>
        <v>0.56058829798571885</v>
      </c>
      <c r="F38" s="37">
        <f>'ETNIK 2021'!K37/'ETNIK 2021'!D37</f>
        <v>7.6734519876372163E-3</v>
      </c>
      <c r="G38" s="37">
        <f>('ETNIK 2021'!J37+'ETNIK 2021'!N37)/'ETNIK 2021'!D37</f>
        <v>0.15314931258659278</v>
      </c>
      <c r="H38" s="37">
        <f t="shared" si="0"/>
        <v>5.4353618245763236E-3</v>
      </c>
      <c r="I38" s="13" t="str">
        <f t="shared" si="1"/>
        <v>IBAN</v>
      </c>
      <c r="J38" s="15">
        <f t="shared" si="2"/>
        <v>2039</v>
      </c>
      <c r="K38" s="15">
        <f>'UMUR 2021'!W38</f>
        <v>9334</v>
      </c>
      <c r="L38" s="16">
        <f t="shared" si="3"/>
        <v>0.631669166488108</v>
      </c>
      <c r="M38" s="15">
        <f>'UMUR 2021'!Y38</f>
        <v>5896</v>
      </c>
      <c r="N38" s="15">
        <f>'UMUR 2021'!Z38</f>
        <v>43</v>
      </c>
      <c r="O38" s="15">
        <f>'UMUR 2021'!AA38</f>
        <v>110</v>
      </c>
      <c r="P38" s="33">
        <f t="shared" si="4"/>
        <v>5743</v>
      </c>
      <c r="Q38" s="29" t="str">
        <f>'UMUR 2021'!AC38</f>
        <v>PBB</v>
      </c>
      <c r="R38" s="29" t="str">
        <f>'UMUR 2021'!AD38</f>
        <v>GPS</v>
      </c>
      <c r="S38" s="33">
        <f>'UMUR 2021'!AE38</f>
        <v>3891</v>
      </c>
      <c r="T38" s="34">
        <f>'UMUR 2021'!AF38</f>
        <v>0.67752045969005747</v>
      </c>
      <c r="U38" s="29" t="str">
        <f>'UMUR 2021'!AG38</f>
        <v>PSB</v>
      </c>
      <c r="V38" s="29" t="str">
        <f>'UMUR 2021'!AH38</f>
        <v>PSB</v>
      </c>
      <c r="W38" s="33">
        <f>'UMUR 2021'!AI38</f>
        <v>1852</v>
      </c>
      <c r="X38" s="34">
        <f>'UMUR 2021'!AJ38</f>
        <v>0.32247954030994253</v>
      </c>
      <c r="Y38" s="29">
        <f>'UMUR 2021'!AK38</f>
        <v>0</v>
      </c>
      <c r="Z38" s="29" t="str">
        <f>'UMUR 2021'!AL38</f>
        <v/>
      </c>
      <c r="AA38" s="33">
        <f>'UMUR 2021'!AM38</f>
        <v>0</v>
      </c>
      <c r="AB38" s="34">
        <f t="shared" si="5"/>
        <v>0</v>
      </c>
      <c r="AC38" s="29">
        <f>'UMUR 2021'!AO38</f>
        <v>0</v>
      </c>
      <c r="AD38" s="29" t="str">
        <f>'UMUR 2021'!AP38</f>
        <v/>
      </c>
      <c r="AE38" s="33">
        <f>'UMUR 2021'!AQ38</f>
        <v>0</v>
      </c>
      <c r="AF38" s="34" t="str">
        <f>'UMUR 2021'!AR38</f>
        <v/>
      </c>
      <c r="AG38" s="29">
        <f>'UMUR 2021'!AS38</f>
        <v>0</v>
      </c>
      <c r="AH38" s="29" t="str">
        <f>'UMUR 2021'!AT38</f>
        <v/>
      </c>
      <c r="AI38" s="33">
        <f>'UMUR 2021'!AU38</f>
        <v>0</v>
      </c>
      <c r="AJ38" s="34" t="str">
        <f>'UMUR 2021'!AV38</f>
        <v/>
      </c>
      <c r="AK38" s="29">
        <f>'UMUR 2021'!AW38</f>
        <v>0</v>
      </c>
      <c r="AL38" s="29" t="str">
        <f>'UMUR 2021'!AX38</f>
        <v/>
      </c>
      <c r="AM38" s="33">
        <f>'UMUR 2021'!AY38</f>
        <v>0</v>
      </c>
      <c r="AN38" s="34" t="str">
        <f>'UMUR 2021'!AZ38</f>
        <v/>
      </c>
      <c r="AO38" s="29">
        <f>'UMUR 2021'!BA38</f>
        <v>0</v>
      </c>
      <c r="AP38" s="29" t="str">
        <f>'UMUR 2021'!BB38</f>
        <v/>
      </c>
      <c r="AQ38" s="33">
        <f>'UMUR 2021'!BC38</f>
        <v>0</v>
      </c>
      <c r="AR38" s="34" t="str">
        <f>'UMUR 2021'!BD38</f>
        <v/>
      </c>
      <c r="AS38" s="29">
        <f>'UMUR 2021'!BE38</f>
        <v>0</v>
      </c>
      <c r="AT38" s="29" t="str">
        <f>'UMUR 2021'!BF38</f>
        <v/>
      </c>
      <c r="AU38" s="33">
        <f>'UMUR 2021'!BG38</f>
        <v>0</v>
      </c>
      <c r="AV38" s="34" t="str">
        <f>'UMUR 2021'!BH38</f>
        <v/>
      </c>
    </row>
    <row r="39" spans="1:48">
      <c r="A39" s="13" t="s">
        <v>100</v>
      </c>
      <c r="B39" s="14" t="s">
        <v>103</v>
      </c>
      <c r="C39" s="37">
        <f>('ETNIK 2021'!E38+'ETNIK 2021'!M38)/'ETNIK 2021'!D38</f>
        <v>0.28221434528773981</v>
      </c>
      <c r="D39" s="37">
        <f>'ETNIK 2021'!F38/'ETNIK 2021'!D38</f>
        <v>4.3682235195996663E-2</v>
      </c>
      <c r="E39" s="37">
        <f>'ETNIK 2021'!L38/'ETNIK 2021'!D38</f>
        <v>0.54357798165137616</v>
      </c>
      <c r="F39" s="37">
        <f>'ETNIK 2021'!K38/'ETNIK 2021'!D38</f>
        <v>5.2126772310258545E-3</v>
      </c>
      <c r="G39" s="37">
        <f>('ETNIK 2021'!J38+'ETNIK 2021'!N38)/'ETNIK 2021'!D38</f>
        <v>0.12281067556296914</v>
      </c>
      <c r="H39" s="37">
        <f t="shared" si="0"/>
        <v>2.5020850708923487E-3</v>
      </c>
      <c r="I39" s="13" t="str">
        <f t="shared" si="1"/>
        <v>IBAN</v>
      </c>
      <c r="J39" s="15">
        <f t="shared" si="2"/>
        <v>3988</v>
      </c>
      <c r="K39" s="15">
        <f>'UMUR 2021'!W39</f>
        <v>9523</v>
      </c>
      <c r="L39" s="16">
        <f t="shared" si="3"/>
        <v>0.73527249816234375</v>
      </c>
      <c r="M39" s="15">
        <f>'UMUR 2021'!Y39</f>
        <v>7002</v>
      </c>
      <c r="N39" s="15">
        <f>'UMUR 2021'!Z39</f>
        <v>29</v>
      </c>
      <c r="O39" s="15">
        <f>'UMUR 2021'!AA39</f>
        <v>79</v>
      </c>
      <c r="P39" s="33">
        <f t="shared" si="4"/>
        <v>6894</v>
      </c>
      <c r="Q39" s="29" t="str">
        <f>'UMUR 2021'!AC39</f>
        <v>PBB</v>
      </c>
      <c r="R39" s="29" t="str">
        <f>'UMUR 2021'!AD39</f>
        <v>GPS</v>
      </c>
      <c r="S39" s="33">
        <f>'UMUR 2021'!AE39</f>
        <v>5373</v>
      </c>
      <c r="T39" s="34">
        <f>'UMUR 2021'!AF39</f>
        <v>0.77937336814621405</v>
      </c>
      <c r="U39" s="29" t="str">
        <f>'UMUR 2021'!AG39</f>
        <v>PSB</v>
      </c>
      <c r="V39" s="29" t="str">
        <f>'UMUR 2021'!AH39</f>
        <v>PSB</v>
      </c>
      <c r="W39" s="33">
        <f>'UMUR 2021'!AI39</f>
        <v>1385</v>
      </c>
      <c r="X39" s="34">
        <f>'UMUR 2021'!AJ39</f>
        <v>0.20089933275311866</v>
      </c>
      <c r="Y39" s="29" t="str">
        <f>'UMUR 2021'!AK39</f>
        <v>PKR</v>
      </c>
      <c r="Z39" s="29" t="str">
        <f>'UMUR 2021'!AL39</f>
        <v>PH</v>
      </c>
      <c r="AA39" s="33">
        <f>'UMUR 2021'!AM39</f>
        <v>136</v>
      </c>
      <c r="AB39" s="34">
        <f t="shared" si="5"/>
        <v>1.9727299100667246E-2</v>
      </c>
      <c r="AC39" s="29">
        <f>'UMUR 2021'!AO39</f>
        <v>0</v>
      </c>
      <c r="AD39" s="29" t="str">
        <f>'UMUR 2021'!AP39</f>
        <v/>
      </c>
      <c r="AE39" s="33">
        <f>'UMUR 2021'!AQ39</f>
        <v>0</v>
      </c>
      <c r="AF39" s="34" t="str">
        <f>'UMUR 2021'!AR39</f>
        <v/>
      </c>
      <c r="AG39" s="29">
        <f>'UMUR 2021'!AS39</f>
        <v>0</v>
      </c>
      <c r="AH39" s="29" t="str">
        <f>'UMUR 2021'!AT39</f>
        <v/>
      </c>
      <c r="AI39" s="33">
        <f>'UMUR 2021'!AU39</f>
        <v>0</v>
      </c>
      <c r="AJ39" s="34" t="str">
        <f>'UMUR 2021'!AV39</f>
        <v/>
      </c>
      <c r="AK39" s="29">
        <f>'UMUR 2021'!AW39</f>
        <v>0</v>
      </c>
      <c r="AL39" s="29" t="str">
        <f>'UMUR 2021'!AX39</f>
        <v/>
      </c>
      <c r="AM39" s="33">
        <f>'UMUR 2021'!AY39</f>
        <v>0</v>
      </c>
      <c r="AN39" s="34" t="str">
        <f>'UMUR 2021'!AZ39</f>
        <v/>
      </c>
      <c r="AO39" s="29">
        <f>'UMUR 2021'!BA39</f>
        <v>0</v>
      </c>
      <c r="AP39" s="29" t="str">
        <f>'UMUR 2021'!BB39</f>
        <v/>
      </c>
      <c r="AQ39" s="33">
        <f>'UMUR 2021'!BC39</f>
        <v>0</v>
      </c>
      <c r="AR39" s="34" t="str">
        <f>'UMUR 2021'!BD39</f>
        <v/>
      </c>
      <c r="AS39" s="29">
        <f>'UMUR 2021'!BE39</f>
        <v>0</v>
      </c>
      <c r="AT39" s="29" t="str">
        <f>'UMUR 2021'!BF39</f>
        <v/>
      </c>
      <c r="AU39" s="33">
        <f>'UMUR 2021'!BG39</f>
        <v>0</v>
      </c>
      <c r="AV39" s="34" t="str">
        <f>'UMUR 2021'!BH39</f>
        <v/>
      </c>
    </row>
    <row r="40" spans="1:48" ht="28.5">
      <c r="A40" s="13" t="s">
        <v>106</v>
      </c>
      <c r="B40" s="14" t="s">
        <v>109</v>
      </c>
      <c r="C40" s="37">
        <f>('ETNIK 2021'!E39+'ETNIK 2021'!M39)/'ETNIK 2021'!D39</f>
        <v>0.59943216886804096</v>
      </c>
      <c r="D40" s="37">
        <f>'ETNIK 2021'!F39/'ETNIK 2021'!D39</f>
        <v>0.1102333045303049</v>
      </c>
      <c r="E40" s="37">
        <f>'ETNIK 2021'!L39/'ETNIK 2021'!D39</f>
        <v>0.23379829650660414</v>
      </c>
      <c r="F40" s="37">
        <f>'ETNIK 2021'!K39/'ETNIK 2021'!D39</f>
        <v>2.3453894580915935E-3</v>
      </c>
      <c r="G40" s="37">
        <f>('ETNIK 2021'!J39+'ETNIK 2021'!N39)/'ETNIK 2021'!D39</f>
        <v>5.098136032588569E-2</v>
      </c>
      <c r="H40" s="37">
        <f t="shared" si="0"/>
        <v>3.2094803110727307E-3</v>
      </c>
      <c r="I40" s="13" t="str">
        <f t="shared" si="1"/>
        <v>MELAYU / MELANAU</v>
      </c>
      <c r="J40" s="15">
        <f t="shared" si="2"/>
        <v>2868</v>
      </c>
      <c r="K40" s="15">
        <f>'UMUR 2021'!W40</f>
        <v>8052</v>
      </c>
      <c r="L40" s="16">
        <f t="shared" si="3"/>
        <v>0.68777943368107297</v>
      </c>
      <c r="M40" s="15">
        <f>'UMUR 2021'!Y40</f>
        <v>5538</v>
      </c>
      <c r="N40" s="15">
        <f>'UMUR 2021'!Z40</f>
        <v>26</v>
      </c>
      <c r="O40" s="15">
        <f>'UMUR 2021'!AA40</f>
        <v>137</v>
      </c>
      <c r="P40" s="33">
        <f t="shared" si="4"/>
        <v>5375</v>
      </c>
      <c r="Q40" s="29" t="str">
        <f>'UMUR 2021'!AC40</f>
        <v>PBB</v>
      </c>
      <c r="R40" s="29" t="str">
        <f>'UMUR 2021'!AD40</f>
        <v>GPS</v>
      </c>
      <c r="S40" s="33">
        <f>'UMUR 2021'!AE40</f>
        <v>3893</v>
      </c>
      <c r="T40" s="34">
        <f>'UMUR 2021'!AF40</f>
        <v>0.72427906976744183</v>
      </c>
      <c r="U40" s="29" t="str">
        <f>'UMUR 2021'!AG40</f>
        <v>PSB</v>
      </c>
      <c r="V40" s="29" t="str">
        <f>'UMUR 2021'!AH40</f>
        <v>PSB</v>
      </c>
      <c r="W40" s="33">
        <f>'UMUR 2021'!AI40</f>
        <v>1025</v>
      </c>
      <c r="X40" s="34">
        <f>'UMUR 2021'!AJ40</f>
        <v>0.19069767441860466</v>
      </c>
      <c r="Y40" s="29" t="str">
        <f>'UMUR 2021'!AK40</f>
        <v>PBK</v>
      </c>
      <c r="Z40" s="29" t="str">
        <f>'UMUR 2021'!AL40</f>
        <v>LAIN-LAIN</v>
      </c>
      <c r="AA40" s="33">
        <f>'UMUR 2021'!AM40</f>
        <v>457</v>
      </c>
      <c r="AB40" s="34">
        <f t="shared" si="5"/>
        <v>8.5023255813953494E-2</v>
      </c>
      <c r="AC40" s="29">
        <f>'UMUR 2021'!AO40</f>
        <v>0</v>
      </c>
      <c r="AD40" s="29" t="str">
        <f>'UMUR 2021'!AP40</f>
        <v/>
      </c>
      <c r="AE40" s="33">
        <f>'UMUR 2021'!AQ40</f>
        <v>0</v>
      </c>
      <c r="AF40" s="34" t="str">
        <f>'UMUR 2021'!AR40</f>
        <v/>
      </c>
      <c r="AG40" s="29">
        <f>'UMUR 2021'!AS40</f>
        <v>0</v>
      </c>
      <c r="AH40" s="29" t="str">
        <f>'UMUR 2021'!AT40</f>
        <v/>
      </c>
      <c r="AI40" s="33">
        <f>'UMUR 2021'!AU40</f>
        <v>0</v>
      </c>
      <c r="AJ40" s="34" t="str">
        <f>'UMUR 2021'!AV40</f>
        <v/>
      </c>
      <c r="AK40" s="29">
        <f>'UMUR 2021'!AW40</f>
        <v>0</v>
      </c>
      <c r="AL40" s="29" t="str">
        <f>'UMUR 2021'!AX40</f>
        <v/>
      </c>
      <c r="AM40" s="33">
        <f>'UMUR 2021'!AY40</f>
        <v>0</v>
      </c>
      <c r="AN40" s="34" t="str">
        <f>'UMUR 2021'!AZ40</f>
        <v/>
      </c>
      <c r="AO40" s="29">
        <f>'UMUR 2021'!BA40</f>
        <v>0</v>
      </c>
      <c r="AP40" s="29" t="str">
        <f>'UMUR 2021'!BB40</f>
        <v/>
      </c>
      <c r="AQ40" s="33">
        <f>'UMUR 2021'!BC40</f>
        <v>0</v>
      </c>
      <c r="AR40" s="34" t="str">
        <f>'UMUR 2021'!BD40</f>
        <v/>
      </c>
      <c r="AS40" s="29">
        <f>'UMUR 2021'!BE40</f>
        <v>0</v>
      </c>
      <c r="AT40" s="29" t="str">
        <f>'UMUR 2021'!BF40</f>
        <v/>
      </c>
      <c r="AU40" s="33">
        <f>'UMUR 2021'!BG40</f>
        <v>0</v>
      </c>
      <c r="AV40" s="34" t="str">
        <f>'UMUR 2021'!BH40</f>
        <v/>
      </c>
    </row>
    <row r="41" spans="1:48">
      <c r="A41" s="13" t="s">
        <v>107</v>
      </c>
      <c r="B41" s="14" t="s">
        <v>110</v>
      </c>
      <c r="C41" s="37">
        <f>('ETNIK 2021'!E40+'ETNIK 2021'!M40)/'ETNIK 2021'!D40</f>
        <v>1.3190811917216284E-2</v>
      </c>
      <c r="D41" s="37">
        <f>'ETNIK 2021'!F40/'ETNIK 2021'!D40</f>
        <v>3.6464255932074897E-2</v>
      </c>
      <c r="E41" s="37">
        <f>'ETNIK 2021'!L40/'ETNIK 2021'!D40</f>
        <v>0.80858160867257978</v>
      </c>
      <c r="F41" s="37">
        <f>'ETNIK 2021'!K40/'ETNIK 2021'!D40</f>
        <v>5.8373133196876655E-3</v>
      </c>
      <c r="G41" s="37">
        <f>('ETNIK 2021'!J40+'ETNIK 2021'!N40)/'ETNIK 2021'!D40</f>
        <v>0.13259040254719126</v>
      </c>
      <c r="H41" s="37">
        <f t="shared" si="0"/>
        <v>3.3356076112500965E-3</v>
      </c>
      <c r="I41" s="13" t="str">
        <f t="shared" si="1"/>
        <v>IBAN</v>
      </c>
      <c r="J41" s="15">
        <f t="shared" si="2"/>
        <v>932</v>
      </c>
      <c r="K41" s="15">
        <f>'UMUR 2021'!W41</f>
        <v>13074</v>
      </c>
      <c r="L41" s="16">
        <f t="shared" si="3"/>
        <v>0.69083677527918008</v>
      </c>
      <c r="M41" s="15">
        <f>'UMUR 2021'!Y41</f>
        <v>9032</v>
      </c>
      <c r="N41" s="15">
        <f>'UMUR 2021'!Z41</f>
        <v>29</v>
      </c>
      <c r="O41" s="15">
        <f>'UMUR 2021'!AA41</f>
        <v>106</v>
      </c>
      <c r="P41" s="33">
        <f t="shared" si="4"/>
        <v>8897</v>
      </c>
      <c r="Q41" s="29" t="str">
        <f>'UMUR 2021'!AC41</f>
        <v>PDP</v>
      </c>
      <c r="R41" s="29" t="str">
        <f>'UMUR 2021'!AD41</f>
        <v>GPS</v>
      </c>
      <c r="S41" s="33">
        <f>'UMUR 2021'!AE41</f>
        <v>3885</v>
      </c>
      <c r="T41" s="34">
        <f>'UMUR 2021'!AF41</f>
        <v>0.43666404405979542</v>
      </c>
      <c r="U41" s="29" t="str">
        <f>'UMUR 2021'!AG41</f>
        <v>PSB</v>
      </c>
      <c r="V41" s="29" t="str">
        <f>'UMUR 2021'!AH41</f>
        <v>PSB</v>
      </c>
      <c r="W41" s="33">
        <f>'UMUR 2021'!AI41</f>
        <v>2953</v>
      </c>
      <c r="X41" s="34">
        <f>'UMUR 2021'!AJ41</f>
        <v>0.33190963246037991</v>
      </c>
      <c r="Y41" s="29" t="str">
        <f>'UMUR 2021'!AK41</f>
        <v>BEBAS</v>
      </c>
      <c r="Z41" s="29" t="str">
        <f>'UMUR 2021'!AL41</f>
        <v>BEBAS</v>
      </c>
      <c r="AA41" s="33">
        <f>'UMUR 2021'!AM41</f>
        <v>1777</v>
      </c>
      <c r="AB41" s="34">
        <f t="shared" si="5"/>
        <v>0.19973024615038776</v>
      </c>
      <c r="AC41" s="29" t="str">
        <f>'UMUR 2021'!AO41</f>
        <v>PBK</v>
      </c>
      <c r="AD41" s="29" t="str">
        <f>'UMUR 2021'!AP41</f>
        <v>LAIN-LAIN</v>
      </c>
      <c r="AE41" s="33">
        <f>'UMUR 2021'!AQ41</f>
        <v>282</v>
      </c>
      <c r="AF41" s="34">
        <f>'UMUR 2021'!AR41</f>
        <v>3.1696077329436891E-2</v>
      </c>
      <c r="AG41" s="29">
        <f>'UMUR 2021'!AS41</f>
        <v>0</v>
      </c>
      <c r="AH41" s="29" t="str">
        <f>'UMUR 2021'!AT41</f>
        <v/>
      </c>
      <c r="AI41" s="33">
        <f>'UMUR 2021'!AU41</f>
        <v>0</v>
      </c>
      <c r="AJ41" s="34" t="str">
        <f>'UMUR 2021'!AV41</f>
        <v/>
      </c>
      <c r="AK41" s="29">
        <f>'UMUR 2021'!AW41</f>
        <v>0</v>
      </c>
      <c r="AL41" s="29" t="str">
        <f>'UMUR 2021'!AX41</f>
        <v/>
      </c>
      <c r="AM41" s="33">
        <f>'UMUR 2021'!AY41</f>
        <v>0</v>
      </c>
      <c r="AN41" s="34" t="str">
        <f>'UMUR 2021'!AZ41</f>
        <v/>
      </c>
      <c r="AO41" s="29">
        <f>'UMUR 2021'!BA41</f>
        <v>0</v>
      </c>
      <c r="AP41" s="29" t="str">
        <f>'UMUR 2021'!BB41</f>
        <v/>
      </c>
      <c r="AQ41" s="33">
        <f>'UMUR 2021'!BC41</f>
        <v>0</v>
      </c>
      <c r="AR41" s="34" t="str">
        <f>'UMUR 2021'!BD41</f>
        <v/>
      </c>
      <c r="AS41" s="29">
        <f>'UMUR 2021'!BE41</f>
        <v>0</v>
      </c>
      <c r="AT41" s="29" t="str">
        <f>'UMUR 2021'!BF41</f>
        <v/>
      </c>
      <c r="AU41" s="33">
        <f>'UMUR 2021'!BG41</f>
        <v>0</v>
      </c>
      <c r="AV41" s="34" t="str">
        <f>'UMUR 2021'!BH41</f>
        <v/>
      </c>
    </row>
    <row r="42" spans="1:48" ht="28.5">
      <c r="A42" s="13" t="s">
        <v>108</v>
      </c>
      <c r="B42" s="14" t="s">
        <v>111</v>
      </c>
      <c r="C42" s="37">
        <f>('ETNIK 2021'!E41+'ETNIK 2021'!M41)/'ETNIK 2021'!D41</f>
        <v>0.66122368679913435</v>
      </c>
      <c r="D42" s="37">
        <f>'ETNIK 2021'!F41/'ETNIK 2021'!D41</f>
        <v>5.803659256344678E-2</v>
      </c>
      <c r="E42" s="37">
        <f>'ETNIK 2021'!L41/'ETNIK 2021'!D41</f>
        <v>0.22142435569545543</v>
      </c>
      <c r="F42" s="37">
        <f>'ETNIK 2021'!K41/'ETNIK 2021'!D41</f>
        <v>2.5575447570332483E-3</v>
      </c>
      <c r="G42" s="37">
        <f>('ETNIK 2021'!J41+'ETNIK 2021'!N41)/'ETNIK 2021'!D41</f>
        <v>5.5085579382254571E-2</v>
      </c>
      <c r="H42" s="37">
        <f t="shared" si="0"/>
        <v>1.6722408026756119E-3</v>
      </c>
      <c r="I42" s="13" t="str">
        <f t="shared" si="1"/>
        <v>MELAYU / MELANAU</v>
      </c>
      <c r="J42" s="15">
        <f t="shared" si="2"/>
        <v>2763</v>
      </c>
      <c r="K42" s="15">
        <f>'UMUR 2021'!W42</f>
        <v>10111</v>
      </c>
      <c r="L42" s="16">
        <f t="shared" si="3"/>
        <v>0.71545841163089707</v>
      </c>
      <c r="M42" s="15">
        <f>'UMUR 2021'!Y42</f>
        <v>7234</v>
      </c>
      <c r="N42" s="15">
        <f>'UMUR 2021'!Z42</f>
        <v>38</v>
      </c>
      <c r="O42" s="15">
        <f>'UMUR 2021'!AA42</f>
        <v>82</v>
      </c>
      <c r="P42" s="33">
        <f t="shared" si="4"/>
        <v>7114</v>
      </c>
      <c r="Q42" s="29" t="str">
        <f>'UMUR 2021'!AC42</f>
        <v>PBB</v>
      </c>
      <c r="R42" s="29" t="str">
        <f>'UMUR 2021'!AD42</f>
        <v>GPS</v>
      </c>
      <c r="S42" s="33">
        <f>'UMUR 2021'!AE42</f>
        <v>4789</v>
      </c>
      <c r="T42" s="34">
        <f>'UMUR 2021'!AF42</f>
        <v>0.67317964576890643</v>
      </c>
      <c r="U42" s="29" t="str">
        <f>'UMUR 2021'!AG42</f>
        <v>PSB</v>
      </c>
      <c r="V42" s="29" t="str">
        <f>'UMUR 2021'!AH42</f>
        <v>PSB</v>
      </c>
      <c r="W42" s="33">
        <f>'UMUR 2021'!AI42</f>
        <v>2026</v>
      </c>
      <c r="X42" s="34">
        <f>'UMUR 2021'!AJ42</f>
        <v>0.28479055383750351</v>
      </c>
      <c r="Y42" s="29" t="str">
        <f>'UMUR 2021'!AK42</f>
        <v>PBK</v>
      </c>
      <c r="Z42" s="29" t="str">
        <f>'UMUR 2021'!AL42</f>
        <v>LAIN-LAIN</v>
      </c>
      <c r="AA42" s="33">
        <f>'UMUR 2021'!AM42</f>
        <v>208</v>
      </c>
      <c r="AB42" s="34">
        <f t="shared" si="5"/>
        <v>2.9238122012932247E-2</v>
      </c>
      <c r="AC42" s="29" t="str">
        <f>'UMUR 2021'!AO42</f>
        <v>AMANAH</v>
      </c>
      <c r="AD42" s="29" t="str">
        <f>'UMUR 2021'!AP42</f>
        <v>PH</v>
      </c>
      <c r="AE42" s="33">
        <f>'UMUR 2021'!AQ42</f>
        <v>91</v>
      </c>
      <c r="AF42" s="34">
        <f>'UMUR 2021'!AR42</f>
        <v>1.2791678380657858E-2</v>
      </c>
      <c r="AG42" s="29">
        <f>'UMUR 2021'!AS42</f>
        <v>0</v>
      </c>
      <c r="AH42" s="29" t="str">
        <f>'UMUR 2021'!AT42</f>
        <v/>
      </c>
      <c r="AI42" s="33">
        <f>'UMUR 2021'!AU42</f>
        <v>0</v>
      </c>
      <c r="AJ42" s="34" t="str">
        <f>'UMUR 2021'!AV42</f>
        <v/>
      </c>
      <c r="AK42" s="29">
        <f>'UMUR 2021'!AW42</f>
        <v>0</v>
      </c>
      <c r="AL42" s="29" t="str">
        <f>'UMUR 2021'!AX42</f>
        <v/>
      </c>
      <c r="AM42" s="33">
        <f>'UMUR 2021'!AY42</f>
        <v>0</v>
      </c>
      <c r="AN42" s="34" t="str">
        <f>'UMUR 2021'!AZ42</f>
        <v/>
      </c>
      <c r="AO42" s="29">
        <f>'UMUR 2021'!BA42</f>
        <v>0</v>
      </c>
      <c r="AP42" s="29" t="str">
        <f>'UMUR 2021'!BB42</f>
        <v/>
      </c>
      <c r="AQ42" s="33">
        <f>'UMUR 2021'!BC42</f>
        <v>0</v>
      </c>
      <c r="AR42" s="34" t="str">
        <f>'UMUR 2021'!BD42</f>
        <v/>
      </c>
      <c r="AS42" s="29">
        <f>'UMUR 2021'!BE42</f>
        <v>0</v>
      </c>
      <c r="AT42" s="29" t="str">
        <f>'UMUR 2021'!BF42</f>
        <v/>
      </c>
      <c r="AU42" s="33">
        <f>'UMUR 2021'!BG42</f>
        <v>0</v>
      </c>
      <c r="AV42" s="34" t="str">
        <f>'UMUR 2021'!BH42</f>
        <v/>
      </c>
    </row>
    <row r="43" spans="1:48" ht="28.5">
      <c r="A43" s="13" t="s">
        <v>114</v>
      </c>
      <c r="B43" s="14" t="s">
        <v>116</v>
      </c>
      <c r="C43" s="37">
        <f>('ETNIK 2021'!E42+'ETNIK 2021'!M42)/'ETNIK 2021'!D42</f>
        <v>0.59680222453945087</v>
      </c>
      <c r="D43" s="37">
        <f>'ETNIK 2021'!F42/'ETNIK 2021'!D42</f>
        <v>5.4570733402850194E-2</v>
      </c>
      <c r="E43" s="37">
        <f>'ETNIK 2021'!L42/'ETNIK 2021'!D42</f>
        <v>0.21558915537017725</v>
      </c>
      <c r="F43" s="37">
        <f>'ETNIK 2021'!K42/'ETNIK 2021'!D42</f>
        <v>1.9117135905457074E-3</v>
      </c>
      <c r="G43" s="37">
        <f>('ETNIK 2021'!J42+'ETNIK 2021'!N42)/'ETNIK 2021'!D42</f>
        <v>0.12278415015641293</v>
      </c>
      <c r="H43" s="37">
        <f t="shared" si="0"/>
        <v>8.3420229405630625E-3</v>
      </c>
      <c r="I43" s="13" t="str">
        <f t="shared" si="1"/>
        <v>MELAYU / MELANAU</v>
      </c>
      <c r="J43" s="15">
        <f t="shared" si="2"/>
        <v>3325</v>
      </c>
      <c r="K43" s="15">
        <f>'UMUR 2021'!W43</f>
        <v>11428</v>
      </c>
      <c r="L43" s="16">
        <f t="shared" si="3"/>
        <v>0.67045852292614627</v>
      </c>
      <c r="M43" s="15">
        <f>'UMUR 2021'!Y43</f>
        <v>7662</v>
      </c>
      <c r="N43" s="15">
        <f>'UMUR 2021'!Z43</f>
        <v>52</v>
      </c>
      <c r="O43" s="15">
        <f>'UMUR 2021'!AA43</f>
        <v>122</v>
      </c>
      <c r="P43" s="33">
        <f t="shared" si="4"/>
        <v>7488</v>
      </c>
      <c r="Q43" s="29" t="str">
        <f>'UMUR 2021'!AC43</f>
        <v>PBB</v>
      </c>
      <c r="R43" s="29" t="str">
        <f>'UMUR 2021'!AD43</f>
        <v>GPS</v>
      </c>
      <c r="S43" s="33">
        <f>'UMUR 2021'!AE43</f>
        <v>5268</v>
      </c>
      <c r="T43" s="34">
        <f>'UMUR 2021'!AF43</f>
        <v>0.70352564102564108</v>
      </c>
      <c r="U43" s="29" t="str">
        <f>'UMUR 2021'!AG43</f>
        <v>BEBAS</v>
      </c>
      <c r="V43" s="29" t="str">
        <f>'UMUR 2021'!AH43</f>
        <v>BEBAS</v>
      </c>
      <c r="W43" s="33">
        <f>'UMUR 2021'!AI43</f>
        <v>1943</v>
      </c>
      <c r="X43" s="34">
        <f>'UMUR 2021'!AJ43</f>
        <v>0.25948183760683763</v>
      </c>
      <c r="Y43" s="29" t="str">
        <f>'UMUR 2021'!AK43</f>
        <v>BEBAS</v>
      </c>
      <c r="Z43" s="29" t="str">
        <f>'UMUR 2021'!AL43</f>
        <v>BEBAS</v>
      </c>
      <c r="AA43" s="33">
        <f>'UMUR 2021'!AM43</f>
        <v>168</v>
      </c>
      <c r="AB43" s="34">
        <f t="shared" si="5"/>
        <v>2.2435897435897436E-2</v>
      </c>
      <c r="AC43" s="29" t="str">
        <f>'UMUR 2021'!AO43</f>
        <v>PBK</v>
      </c>
      <c r="AD43" s="29" t="str">
        <f>'UMUR 2021'!AP43</f>
        <v>LAIN-LAIN</v>
      </c>
      <c r="AE43" s="33">
        <f>'UMUR 2021'!AQ43</f>
        <v>109</v>
      </c>
      <c r="AF43" s="34">
        <f>'UMUR 2021'!AR43</f>
        <v>1.4556623931623932E-2</v>
      </c>
      <c r="AG43" s="29">
        <f>'UMUR 2021'!AS43</f>
        <v>0</v>
      </c>
      <c r="AH43" s="29" t="str">
        <f>'UMUR 2021'!AT43</f>
        <v/>
      </c>
      <c r="AI43" s="33">
        <f>'UMUR 2021'!AU43</f>
        <v>0</v>
      </c>
      <c r="AJ43" s="34" t="str">
        <f>'UMUR 2021'!AV43</f>
        <v/>
      </c>
      <c r="AK43" s="29">
        <f>'UMUR 2021'!AW43</f>
        <v>0</v>
      </c>
      <c r="AL43" s="29" t="str">
        <f>'UMUR 2021'!AX43</f>
        <v/>
      </c>
      <c r="AM43" s="33">
        <f>'UMUR 2021'!AY43</f>
        <v>0</v>
      </c>
      <c r="AN43" s="34" t="str">
        <f>'UMUR 2021'!AZ43</f>
        <v/>
      </c>
      <c r="AO43" s="29">
        <f>'UMUR 2021'!BA43</f>
        <v>0</v>
      </c>
      <c r="AP43" s="29" t="str">
        <f>'UMUR 2021'!BB43</f>
        <v/>
      </c>
      <c r="AQ43" s="33">
        <f>'UMUR 2021'!BC43</f>
        <v>0</v>
      </c>
      <c r="AR43" s="34" t="str">
        <f>'UMUR 2021'!BD43</f>
        <v/>
      </c>
      <c r="AS43" s="29">
        <f>'UMUR 2021'!BE43</f>
        <v>0</v>
      </c>
      <c r="AT43" s="29" t="str">
        <f>'UMUR 2021'!BF43</f>
        <v/>
      </c>
      <c r="AU43" s="33">
        <f>'UMUR 2021'!BG43</f>
        <v>0</v>
      </c>
      <c r="AV43" s="34" t="str">
        <f>'UMUR 2021'!BH43</f>
        <v/>
      </c>
    </row>
    <row r="44" spans="1:48" ht="28.5">
      <c r="A44" s="13" t="s">
        <v>115</v>
      </c>
      <c r="B44" s="14" t="s">
        <v>117</v>
      </c>
      <c r="C44" s="37">
        <f>('ETNIK 2021'!E43+'ETNIK 2021'!M43)/'ETNIK 2021'!D43</f>
        <v>0.70675532427483856</v>
      </c>
      <c r="D44" s="37">
        <f>'ETNIK 2021'!F43/'ETNIK 2021'!D43</f>
        <v>4.0570492435193214E-2</v>
      </c>
      <c r="E44" s="37">
        <f>'ETNIK 2021'!L43/'ETNIK 2021'!D43</f>
        <v>0.16074009829430472</v>
      </c>
      <c r="F44" s="37">
        <f>'ETNIK 2021'!K43/'ETNIK 2021'!D43</f>
        <v>1.3491375156596318E-3</v>
      </c>
      <c r="G44" s="37">
        <f>('ETNIK 2021'!J43+'ETNIK 2021'!N43)/'ETNIK 2021'!D43</f>
        <v>8.3646525970897181E-2</v>
      </c>
      <c r="H44" s="37">
        <f t="shared" si="0"/>
        <v>6.9384215091066875E-3</v>
      </c>
      <c r="I44" s="13" t="str">
        <f t="shared" si="1"/>
        <v>MELAYU / MELANAU</v>
      </c>
      <c r="J44" s="15">
        <f t="shared" si="2"/>
        <v>3158</v>
      </c>
      <c r="K44" s="15">
        <f>'UMUR 2021'!W44</f>
        <v>10297</v>
      </c>
      <c r="L44" s="16">
        <f t="shared" si="3"/>
        <v>0.66640769156064872</v>
      </c>
      <c r="M44" s="15">
        <f>'UMUR 2021'!Y44</f>
        <v>6862</v>
      </c>
      <c r="N44" s="15">
        <f>'UMUR 2021'!Z44</f>
        <v>36</v>
      </c>
      <c r="O44" s="15">
        <f>'UMUR 2021'!AA44</f>
        <v>109</v>
      </c>
      <c r="P44" s="33">
        <f t="shared" si="4"/>
        <v>6717</v>
      </c>
      <c r="Q44" s="29" t="str">
        <f>'UMUR 2021'!AC44</f>
        <v>PBB</v>
      </c>
      <c r="R44" s="29" t="str">
        <f>'UMUR 2021'!AD44</f>
        <v>GPS</v>
      </c>
      <c r="S44" s="33">
        <f>'UMUR 2021'!AE44</f>
        <v>4338</v>
      </c>
      <c r="T44" s="34">
        <f>'UMUR 2021'!AF44</f>
        <v>0.64582402858418941</v>
      </c>
      <c r="U44" s="29" t="str">
        <f>'UMUR 2021'!AG44</f>
        <v>PSB</v>
      </c>
      <c r="V44" s="29" t="str">
        <f>'UMUR 2021'!AH44</f>
        <v>PSB</v>
      </c>
      <c r="W44" s="33">
        <f>'UMUR 2021'!AI44</f>
        <v>1180</v>
      </c>
      <c r="X44" s="34">
        <f>'UMUR 2021'!AJ44</f>
        <v>0.17567366383802294</v>
      </c>
      <c r="Y44" s="29" t="str">
        <f>'UMUR 2021'!AK44</f>
        <v>BEBAS</v>
      </c>
      <c r="Z44" s="29" t="str">
        <f>'UMUR 2021'!AL44</f>
        <v>BEBAS</v>
      </c>
      <c r="AA44" s="33">
        <f>'UMUR 2021'!AM44</f>
        <v>811</v>
      </c>
      <c r="AB44" s="34">
        <f t="shared" si="5"/>
        <v>0.12073842489206491</v>
      </c>
      <c r="AC44" s="29" t="str">
        <f>'UMUR 2021'!AO44</f>
        <v>AMANAH</v>
      </c>
      <c r="AD44" s="29" t="str">
        <f>'UMUR 2021'!AP44</f>
        <v>PH</v>
      </c>
      <c r="AE44" s="33">
        <f>'UMUR 2021'!AQ44</f>
        <v>270</v>
      </c>
      <c r="AF44" s="34">
        <f>'UMUR 2021'!AR44</f>
        <v>4.0196516301920497E-2</v>
      </c>
      <c r="AG44" s="29" t="str">
        <f>'UMUR 2021'!AS44</f>
        <v>PBK</v>
      </c>
      <c r="AH44" s="29" t="str">
        <f>'UMUR 2021'!AT44</f>
        <v>LAIN-LAIN</v>
      </c>
      <c r="AI44" s="33">
        <f>'UMUR 2021'!AU44</f>
        <v>118</v>
      </c>
      <c r="AJ44" s="34">
        <f>'UMUR 2021'!AV44</f>
        <v>1.7567366383802293E-2</v>
      </c>
      <c r="AK44" s="29">
        <f>'UMUR 2021'!AW44</f>
        <v>0</v>
      </c>
      <c r="AL44" s="29" t="str">
        <f>'UMUR 2021'!AX44</f>
        <v/>
      </c>
      <c r="AM44" s="33">
        <f>'UMUR 2021'!AY44</f>
        <v>0</v>
      </c>
      <c r="AN44" s="34" t="str">
        <f>'UMUR 2021'!AZ44</f>
        <v/>
      </c>
      <c r="AO44" s="29">
        <f>'UMUR 2021'!BA44</f>
        <v>0</v>
      </c>
      <c r="AP44" s="29" t="str">
        <f>'UMUR 2021'!BB44</f>
        <v/>
      </c>
      <c r="AQ44" s="33">
        <f>'UMUR 2021'!BC44</f>
        <v>0</v>
      </c>
      <c r="AR44" s="34" t="str">
        <f>'UMUR 2021'!BD44</f>
        <v/>
      </c>
      <c r="AS44" s="29">
        <f>'UMUR 2021'!BE44</f>
        <v>0</v>
      </c>
      <c r="AT44" s="29" t="str">
        <f>'UMUR 2021'!BF44</f>
        <v/>
      </c>
      <c r="AU44" s="33">
        <f>'UMUR 2021'!BG44</f>
        <v>0</v>
      </c>
      <c r="AV44" s="34" t="str">
        <f>'UMUR 2021'!BH44</f>
        <v/>
      </c>
    </row>
    <row r="45" spans="1:48" ht="28.5">
      <c r="A45" s="13" t="s">
        <v>120</v>
      </c>
      <c r="B45" s="14" t="s">
        <v>122</v>
      </c>
      <c r="C45" s="37">
        <f>('ETNIK 2021'!E44+'ETNIK 2021'!M44)/'ETNIK 2021'!D44</f>
        <v>0.58552915766738656</v>
      </c>
      <c r="D45" s="37">
        <f>'ETNIK 2021'!F44/'ETNIK 2021'!D44</f>
        <v>3.3153347732181426E-2</v>
      </c>
      <c r="E45" s="37">
        <f>'ETNIK 2021'!L44/'ETNIK 2021'!D44</f>
        <v>0.23218142548596113</v>
      </c>
      <c r="F45" s="37">
        <f>'ETNIK 2021'!K44/'ETNIK 2021'!D44</f>
        <v>3.1317494600431968E-3</v>
      </c>
      <c r="G45" s="37">
        <f>('ETNIK 2021'!J44+'ETNIK 2021'!N44)/'ETNIK 2021'!D44</f>
        <v>0.13930885529157666</v>
      </c>
      <c r="H45" s="37">
        <f t="shared" si="0"/>
        <v>6.6954643628510391E-3</v>
      </c>
      <c r="I45" s="13" t="str">
        <f t="shared" si="1"/>
        <v>MELAYU / MELANAU</v>
      </c>
      <c r="J45" s="15">
        <f t="shared" si="2"/>
        <v>5112</v>
      </c>
      <c r="K45" s="15">
        <f>'UMUR 2021'!W45</f>
        <v>9195</v>
      </c>
      <c r="L45" s="16">
        <f t="shared" si="3"/>
        <v>0.6340402392604676</v>
      </c>
      <c r="M45" s="15">
        <f>'UMUR 2021'!Y45</f>
        <v>5830</v>
      </c>
      <c r="N45" s="15">
        <f>'UMUR 2021'!Z45</f>
        <v>23</v>
      </c>
      <c r="O45" s="15">
        <f>'UMUR 2021'!AA45</f>
        <v>101</v>
      </c>
      <c r="P45" s="33">
        <f t="shared" si="4"/>
        <v>5706</v>
      </c>
      <c r="Q45" s="29" t="str">
        <f>'UMUR 2021'!AC45</f>
        <v>PBB</v>
      </c>
      <c r="R45" s="29" t="str">
        <f>'UMUR 2021'!AD45</f>
        <v>GPS</v>
      </c>
      <c r="S45" s="33">
        <f>'UMUR 2021'!AE45</f>
        <v>5317</v>
      </c>
      <c r="T45" s="34">
        <f>'UMUR 2021'!AF45</f>
        <v>0.93182614791447604</v>
      </c>
      <c r="U45" s="29" t="str">
        <f>'UMUR 2021'!AG45</f>
        <v>BEBAS</v>
      </c>
      <c r="V45" s="29" t="str">
        <f>'UMUR 2021'!AH45</f>
        <v>BEBAS</v>
      </c>
      <c r="W45" s="33">
        <f>'UMUR 2021'!AI45</f>
        <v>205</v>
      </c>
      <c r="X45" s="34">
        <f>'UMUR 2021'!AJ45</f>
        <v>3.5927094286715741E-2</v>
      </c>
      <c r="Y45" s="29" t="str">
        <f>'UMUR 2021'!AK45</f>
        <v>PBK</v>
      </c>
      <c r="Z45" s="29" t="str">
        <f>'UMUR 2021'!AL45</f>
        <v>LAIN-LAIN</v>
      </c>
      <c r="AA45" s="33">
        <f>'UMUR 2021'!AM45</f>
        <v>184</v>
      </c>
      <c r="AB45" s="34">
        <f t="shared" si="5"/>
        <v>3.224675779880827E-2</v>
      </c>
      <c r="AC45" s="29">
        <f>'UMUR 2021'!AO45</f>
        <v>0</v>
      </c>
      <c r="AD45" s="29" t="str">
        <f>'UMUR 2021'!AP45</f>
        <v/>
      </c>
      <c r="AE45" s="33">
        <f>'UMUR 2021'!AQ45</f>
        <v>0</v>
      </c>
      <c r="AF45" s="34" t="str">
        <f>'UMUR 2021'!AR45</f>
        <v/>
      </c>
      <c r="AG45" s="29">
        <f>'UMUR 2021'!AS45</f>
        <v>0</v>
      </c>
      <c r="AH45" s="29" t="str">
        <f>'UMUR 2021'!AT45</f>
        <v/>
      </c>
      <c r="AI45" s="33">
        <f>'UMUR 2021'!AU45</f>
        <v>0</v>
      </c>
      <c r="AJ45" s="34" t="str">
        <f>'UMUR 2021'!AV45</f>
        <v/>
      </c>
      <c r="AK45" s="29">
        <f>'UMUR 2021'!AW45</f>
        <v>0</v>
      </c>
      <c r="AL45" s="29" t="str">
        <f>'UMUR 2021'!AX45</f>
        <v/>
      </c>
      <c r="AM45" s="33">
        <f>'UMUR 2021'!AY45</f>
        <v>0</v>
      </c>
      <c r="AN45" s="34" t="str">
        <f>'UMUR 2021'!AZ45</f>
        <v/>
      </c>
      <c r="AO45" s="29">
        <f>'UMUR 2021'!BA45</f>
        <v>0</v>
      </c>
      <c r="AP45" s="29" t="str">
        <f>'UMUR 2021'!BB45</f>
        <v/>
      </c>
      <c r="AQ45" s="33">
        <f>'UMUR 2021'!BC45</f>
        <v>0</v>
      </c>
      <c r="AR45" s="34" t="str">
        <f>'UMUR 2021'!BD45</f>
        <v/>
      </c>
      <c r="AS45" s="29">
        <f>'UMUR 2021'!BE45</f>
        <v>0</v>
      </c>
      <c r="AT45" s="29" t="str">
        <f>'UMUR 2021'!BF45</f>
        <v/>
      </c>
      <c r="AU45" s="33">
        <f>'UMUR 2021'!BG45</f>
        <v>0</v>
      </c>
      <c r="AV45" s="34" t="str">
        <f>'UMUR 2021'!BH45</f>
        <v/>
      </c>
    </row>
    <row r="46" spans="1:48" ht="28.5">
      <c r="A46" s="13" t="s">
        <v>121</v>
      </c>
      <c r="B46" s="14" t="s">
        <v>123</v>
      </c>
      <c r="C46" s="37">
        <f>('ETNIK 2021'!E45+'ETNIK 2021'!M45)/'ETNIK 2021'!D45</f>
        <v>0.78006975585450922</v>
      </c>
      <c r="D46" s="37">
        <f>'ETNIK 2021'!F45/'ETNIK 2021'!D45</f>
        <v>3.8863976083707022E-2</v>
      </c>
      <c r="E46" s="37">
        <f>'ETNIK 2021'!L45/'ETNIK 2021'!D45</f>
        <v>4.4643746885899352E-2</v>
      </c>
      <c r="F46" s="37">
        <f>'ETNIK 2021'!K45/'ETNIK 2021'!D45</f>
        <v>1.096163428001993E-3</v>
      </c>
      <c r="G46" s="37">
        <f>('ETNIK 2021'!J45+'ETNIK 2021'!N45)/'ETNIK 2021'!D45</f>
        <v>0.12944693572496263</v>
      </c>
      <c r="H46" s="37">
        <f t="shared" si="0"/>
        <v>5.8794220229198002E-3</v>
      </c>
      <c r="I46" s="13" t="str">
        <f t="shared" si="1"/>
        <v>MELAYU / MELANAU</v>
      </c>
      <c r="J46" s="15">
        <f t="shared" si="2"/>
        <v>5012</v>
      </c>
      <c r="K46" s="15">
        <f>'UMUR 2021'!W46</f>
        <v>9963</v>
      </c>
      <c r="L46" s="16">
        <f t="shared" si="3"/>
        <v>0.66536183880357325</v>
      </c>
      <c r="M46" s="15">
        <f>'UMUR 2021'!Y46</f>
        <v>6629</v>
      </c>
      <c r="N46" s="15">
        <f>'UMUR 2021'!Z46</f>
        <v>36</v>
      </c>
      <c r="O46" s="15">
        <f>'UMUR 2021'!AA46</f>
        <v>115</v>
      </c>
      <c r="P46" s="33">
        <f t="shared" si="4"/>
        <v>6478</v>
      </c>
      <c r="Q46" s="29" t="str">
        <f>'UMUR 2021'!AC46</f>
        <v>PBB</v>
      </c>
      <c r="R46" s="29" t="str">
        <f>'UMUR 2021'!AD46</f>
        <v>GPS</v>
      </c>
      <c r="S46" s="33">
        <f>'UMUR 2021'!AE46</f>
        <v>5623</v>
      </c>
      <c r="T46" s="34">
        <f>'UMUR 2021'!AF46</f>
        <v>0.86801481938870018</v>
      </c>
      <c r="U46" s="29" t="str">
        <f>'UMUR 2021'!AG46</f>
        <v>BEBAS</v>
      </c>
      <c r="V46" s="29" t="str">
        <f>'UMUR 2021'!AH46</f>
        <v>BEBAS</v>
      </c>
      <c r="W46" s="33">
        <f>'UMUR 2021'!AI46</f>
        <v>611</v>
      </c>
      <c r="X46" s="34">
        <f>'UMUR 2021'!AJ46</f>
        <v>9.4319234331583818E-2</v>
      </c>
      <c r="Y46" s="29" t="str">
        <f>'UMUR 2021'!AK46</f>
        <v>AMANAH</v>
      </c>
      <c r="Z46" s="29" t="str">
        <f>'UMUR 2021'!AL46</f>
        <v>PH</v>
      </c>
      <c r="AA46" s="33">
        <f>'UMUR 2021'!AM46</f>
        <v>244</v>
      </c>
      <c r="AB46" s="34">
        <f t="shared" si="5"/>
        <v>3.7665946279715964E-2</v>
      </c>
      <c r="AC46" s="29">
        <f>'UMUR 2021'!AO46</f>
        <v>0</v>
      </c>
      <c r="AD46" s="29" t="str">
        <f>'UMUR 2021'!AP46</f>
        <v/>
      </c>
      <c r="AE46" s="33">
        <f>'UMUR 2021'!AQ46</f>
        <v>0</v>
      </c>
      <c r="AF46" s="34" t="str">
        <f>'UMUR 2021'!AR46</f>
        <v/>
      </c>
      <c r="AG46" s="29">
        <f>'UMUR 2021'!AS46</f>
        <v>0</v>
      </c>
      <c r="AH46" s="29" t="str">
        <f>'UMUR 2021'!AT46</f>
        <v/>
      </c>
      <c r="AI46" s="33">
        <f>'UMUR 2021'!AU46</f>
        <v>0</v>
      </c>
      <c r="AJ46" s="34" t="str">
        <f>'UMUR 2021'!AV46</f>
        <v/>
      </c>
      <c r="AK46" s="29">
        <f>'UMUR 2021'!AW46</f>
        <v>0</v>
      </c>
      <c r="AL46" s="29" t="str">
        <f>'UMUR 2021'!AX46</f>
        <v/>
      </c>
      <c r="AM46" s="33">
        <f>'UMUR 2021'!AY46</f>
        <v>0</v>
      </c>
      <c r="AN46" s="34" t="str">
        <f>'UMUR 2021'!AZ46</f>
        <v/>
      </c>
      <c r="AO46" s="29">
        <f>'UMUR 2021'!BA46</f>
        <v>0</v>
      </c>
      <c r="AP46" s="29" t="str">
        <f>'UMUR 2021'!BB46</f>
        <v/>
      </c>
      <c r="AQ46" s="33">
        <f>'UMUR 2021'!BC46</f>
        <v>0</v>
      </c>
      <c r="AR46" s="34" t="str">
        <f>'UMUR 2021'!BD46</f>
        <v/>
      </c>
      <c r="AS46" s="29">
        <f>'UMUR 2021'!BE46</f>
        <v>0</v>
      </c>
      <c r="AT46" s="29" t="str">
        <f>'UMUR 2021'!BF46</f>
        <v/>
      </c>
      <c r="AU46" s="33">
        <f>'UMUR 2021'!BG46</f>
        <v>0</v>
      </c>
      <c r="AV46" s="34" t="str">
        <f>'UMUR 2021'!BH46</f>
        <v/>
      </c>
    </row>
    <row r="47" spans="1:48">
      <c r="A47" s="13" t="s">
        <v>126</v>
      </c>
      <c r="B47" s="14" t="s">
        <v>128</v>
      </c>
      <c r="C47" s="37">
        <f>('ETNIK 2021'!E46+'ETNIK 2021'!M46)/'ETNIK 2021'!D46</f>
        <v>7.3909736308316432E-2</v>
      </c>
      <c r="D47" s="37">
        <f>'ETNIK 2021'!F46/'ETNIK 2021'!D46</f>
        <v>0.6766396213657877</v>
      </c>
      <c r="E47" s="37">
        <f>'ETNIK 2021'!L46/'ETNIK 2021'!D46</f>
        <v>0.19024678837052061</v>
      </c>
      <c r="F47" s="37">
        <f>'ETNIK 2021'!K46/'ETNIK 2021'!D46</f>
        <v>3.887762001352265E-3</v>
      </c>
      <c r="G47" s="37">
        <f>('ETNIK 2021'!J46+'ETNIK 2021'!N46)/'ETNIK 2021'!D46</f>
        <v>5.1428329952670722E-2</v>
      </c>
      <c r="H47" s="37">
        <f t="shared" si="0"/>
        <v>3.8877620013522615E-3</v>
      </c>
      <c r="I47" s="13" t="str">
        <f t="shared" si="1"/>
        <v>CINA</v>
      </c>
      <c r="J47" s="15">
        <f t="shared" si="2"/>
        <v>7308</v>
      </c>
      <c r="K47" s="15">
        <f>'UMUR 2021'!W47</f>
        <v>23541</v>
      </c>
      <c r="L47" s="16">
        <f t="shared" si="3"/>
        <v>0.58977953357971202</v>
      </c>
      <c r="M47" s="15">
        <f>'UMUR 2021'!Y47</f>
        <v>13884</v>
      </c>
      <c r="N47" s="15">
        <f>'UMUR 2021'!Z47</f>
        <v>46</v>
      </c>
      <c r="O47" s="15">
        <f>'UMUR 2021'!AA47</f>
        <v>116</v>
      </c>
      <c r="P47" s="33">
        <f t="shared" si="4"/>
        <v>13722</v>
      </c>
      <c r="Q47" s="29" t="str">
        <f>'UMUR 2021'!AC47</f>
        <v>SUPP</v>
      </c>
      <c r="R47" s="29" t="str">
        <f>'UMUR 2021'!AD47</f>
        <v>GPS</v>
      </c>
      <c r="S47" s="33">
        <f>'UMUR 2021'!AE47</f>
        <v>10038</v>
      </c>
      <c r="T47" s="34">
        <f>'UMUR 2021'!AF47</f>
        <v>0.73152601661565364</v>
      </c>
      <c r="U47" s="29" t="str">
        <f>'UMUR 2021'!AG47</f>
        <v>DAP</v>
      </c>
      <c r="V47" s="29" t="str">
        <f>'UMUR 2021'!AH47</f>
        <v>PH</v>
      </c>
      <c r="W47" s="33">
        <f>'UMUR 2021'!AI47</f>
        <v>2730</v>
      </c>
      <c r="X47" s="34">
        <f>'UMUR 2021'!AJ47</f>
        <v>0.19895059029296022</v>
      </c>
      <c r="Y47" s="29" t="str">
        <f>'UMUR 2021'!AK47</f>
        <v>PBK</v>
      </c>
      <c r="Z47" s="29" t="str">
        <f>'UMUR 2021'!AL47</f>
        <v>LAIN-LAIN</v>
      </c>
      <c r="AA47" s="33">
        <f>'UMUR 2021'!AM47</f>
        <v>738</v>
      </c>
      <c r="AB47" s="34">
        <f t="shared" si="5"/>
        <v>5.378224748578924E-2</v>
      </c>
      <c r="AC47" s="29" t="str">
        <f>'UMUR 2021'!AO47</f>
        <v>ASPIRASI</v>
      </c>
      <c r="AD47" s="29" t="str">
        <f>'UMUR 2021'!AP47</f>
        <v>LAIN-LAIN</v>
      </c>
      <c r="AE47" s="33">
        <f>'UMUR 2021'!AQ47</f>
        <v>216</v>
      </c>
      <c r="AF47" s="34">
        <f>'UMUR 2021'!AR47</f>
        <v>1.5741145605596852E-2</v>
      </c>
      <c r="AG47" s="29">
        <f>'UMUR 2021'!AS47</f>
        <v>0</v>
      </c>
      <c r="AH47" s="29" t="str">
        <f>'UMUR 2021'!AT47</f>
        <v/>
      </c>
      <c r="AI47" s="33">
        <f>'UMUR 2021'!AU47</f>
        <v>0</v>
      </c>
      <c r="AJ47" s="34" t="str">
        <f>'UMUR 2021'!AV47</f>
        <v/>
      </c>
      <c r="AK47" s="29">
        <f>'UMUR 2021'!AW47</f>
        <v>0</v>
      </c>
      <c r="AL47" s="29" t="str">
        <f>'UMUR 2021'!AX47</f>
        <v/>
      </c>
      <c r="AM47" s="33">
        <f>'UMUR 2021'!AY47</f>
        <v>0</v>
      </c>
      <c r="AN47" s="34" t="str">
        <f>'UMUR 2021'!AZ47</f>
        <v/>
      </c>
      <c r="AO47" s="29">
        <f>'UMUR 2021'!BA47</f>
        <v>0</v>
      </c>
      <c r="AP47" s="29" t="str">
        <f>'UMUR 2021'!BB47</f>
        <v/>
      </c>
      <c r="AQ47" s="33">
        <f>'UMUR 2021'!BC47</f>
        <v>0</v>
      </c>
      <c r="AR47" s="34" t="str">
        <f>'UMUR 2021'!BD47</f>
        <v/>
      </c>
      <c r="AS47" s="29">
        <f>'UMUR 2021'!BE47</f>
        <v>0</v>
      </c>
      <c r="AT47" s="29" t="str">
        <f>'UMUR 2021'!BF47</f>
        <v/>
      </c>
      <c r="AU47" s="33">
        <f>'UMUR 2021'!BG47</f>
        <v>0</v>
      </c>
      <c r="AV47" s="34" t="str">
        <f>'UMUR 2021'!BH47</f>
        <v/>
      </c>
    </row>
    <row r="48" spans="1:48">
      <c r="A48" s="13" t="s">
        <v>127</v>
      </c>
      <c r="B48" s="14" t="s">
        <v>129</v>
      </c>
      <c r="C48" s="37">
        <f>('ETNIK 2021'!E47+'ETNIK 2021'!M47)/'ETNIK 2021'!D47</f>
        <v>4.2513559414890705E-2</v>
      </c>
      <c r="D48" s="37">
        <f>'ETNIK 2021'!F47/'ETNIK 2021'!D47</f>
        <v>0.5014518161398126</v>
      </c>
      <c r="E48" s="37">
        <f>'ETNIK 2021'!L47/'ETNIK 2021'!D47</f>
        <v>0.34772366186380321</v>
      </c>
      <c r="F48" s="37">
        <f>'ETNIK 2021'!K47/'ETNIK 2021'!D47</f>
        <v>3.5610584561441955E-3</v>
      </c>
      <c r="G48" s="37">
        <f>('ETNIK 2021'!J47+'ETNIK 2021'!N47)/'ETNIK 2021'!D47</f>
        <v>0.10184627184572399</v>
      </c>
      <c r="H48" s="37">
        <f t="shared" si="0"/>
        <v>2.90363227962534E-3</v>
      </c>
      <c r="I48" s="13" t="str">
        <f t="shared" si="1"/>
        <v>CINA</v>
      </c>
      <c r="J48" s="15">
        <f t="shared" si="2"/>
        <v>3362</v>
      </c>
      <c r="K48" s="15">
        <f>'UMUR 2021'!W48</f>
        <v>18156</v>
      </c>
      <c r="L48" s="16">
        <f t="shared" si="3"/>
        <v>0.65757876184181541</v>
      </c>
      <c r="M48" s="15">
        <f>'UMUR 2021'!Y48</f>
        <v>11939</v>
      </c>
      <c r="N48" s="15">
        <f>'UMUR 2021'!Z48</f>
        <v>34</v>
      </c>
      <c r="O48" s="15">
        <f>'UMUR 2021'!AA48</f>
        <v>182</v>
      </c>
      <c r="P48" s="33">
        <f t="shared" si="4"/>
        <v>11723</v>
      </c>
      <c r="Q48" s="29" t="str">
        <f>'UMUR 2021'!AC48</f>
        <v>SUPP</v>
      </c>
      <c r="R48" s="29" t="str">
        <f>'UMUR 2021'!AD48</f>
        <v>GPS</v>
      </c>
      <c r="S48" s="33">
        <f>'UMUR 2021'!AE48</f>
        <v>6827</v>
      </c>
      <c r="T48" s="34">
        <f>'UMUR 2021'!AF48</f>
        <v>0.58235946430094687</v>
      </c>
      <c r="U48" s="29" t="str">
        <f>'UMUR 2021'!AG48</f>
        <v>PSB</v>
      </c>
      <c r="V48" s="29" t="str">
        <f>'UMUR 2021'!AH48</f>
        <v>PSB</v>
      </c>
      <c r="W48" s="33">
        <f>'UMUR 2021'!AI48</f>
        <v>3465</v>
      </c>
      <c r="X48" s="34">
        <f>'UMUR 2021'!AJ48</f>
        <v>0.29557280559583726</v>
      </c>
      <c r="Y48" s="29" t="str">
        <f>'UMUR 2021'!AK48</f>
        <v>DAP</v>
      </c>
      <c r="Z48" s="29" t="str">
        <f>'UMUR 2021'!AL48</f>
        <v>PH</v>
      </c>
      <c r="AA48" s="33">
        <f>'UMUR 2021'!AM48</f>
        <v>809</v>
      </c>
      <c r="AB48" s="34">
        <f t="shared" si="5"/>
        <v>6.9009639170860698E-2</v>
      </c>
      <c r="AC48" s="29" t="str">
        <f>'UMUR 2021'!AO48</f>
        <v>PBK</v>
      </c>
      <c r="AD48" s="29" t="str">
        <f>'UMUR 2021'!AP48</f>
        <v>LAIN-LAIN</v>
      </c>
      <c r="AE48" s="33">
        <f>'UMUR 2021'!AQ48</f>
        <v>622</v>
      </c>
      <c r="AF48" s="34">
        <f>'UMUR 2021'!AR48</f>
        <v>5.3058090932355202E-2</v>
      </c>
      <c r="AG48" s="29">
        <f>'UMUR 2021'!AS48</f>
        <v>0</v>
      </c>
      <c r="AH48" s="29" t="str">
        <f>'UMUR 2021'!AT48</f>
        <v/>
      </c>
      <c r="AI48" s="33">
        <f>'UMUR 2021'!AU48</f>
        <v>0</v>
      </c>
      <c r="AJ48" s="34" t="str">
        <f>'UMUR 2021'!AV48</f>
        <v/>
      </c>
      <c r="AK48" s="29">
        <f>'UMUR 2021'!AW48</f>
        <v>0</v>
      </c>
      <c r="AL48" s="29" t="str">
        <f>'UMUR 2021'!AX48</f>
        <v/>
      </c>
      <c r="AM48" s="33">
        <f>'UMUR 2021'!AY48</f>
        <v>0</v>
      </c>
      <c r="AN48" s="34" t="str">
        <f>'UMUR 2021'!AZ48</f>
        <v/>
      </c>
      <c r="AO48" s="29">
        <f>'UMUR 2021'!BA48</f>
        <v>0</v>
      </c>
      <c r="AP48" s="29" t="str">
        <f>'UMUR 2021'!BB48</f>
        <v/>
      </c>
      <c r="AQ48" s="33">
        <f>'UMUR 2021'!BC48</f>
        <v>0</v>
      </c>
      <c r="AR48" s="34" t="str">
        <f>'UMUR 2021'!BD48</f>
        <v/>
      </c>
      <c r="AS48" s="29">
        <f>'UMUR 2021'!BE48</f>
        <v>0</v>
      </c>
      <c r="AT48" s="29" t="str">
        <f>'UMUR 2021'!BF48</f>
        <v/>
      </c>
      <c r="AU48" s="33">
        <f>'UMUR 2021'!BG48</f>
        <v>0</v>
      </c>
      <c r="AV48" s="34" t="str">
        <f>'UMUR 2021'!BH48</f>
        <v/>
      </c>
    </row>
    <row r="49" spans="1:48">
      <c r="A49" s="13" t="s">
        <v>132</v>
      </c>
      <c r="B49" s="14" t="s">
        <v>134</v>
      </c>
      <c r="C49" s="37">
        <f>('ETNIK 2021'!E48+'ETNIK 2021'!M48)/'ETNIK 2021'!D48</f>
        <v>8.6437355195152377E-3</v>
      </c>
      <c r="D49" s="37">
        <f>'ETNIK 2021'!F48/'ETNIK 2021'!D48</f>
        <v>5.9258599180181788E-2</v>
      </c>
      <c r="E49" s="37">
        <f>'ETNIK 2021'!L48/'ETNIK 2021'!D48</f>
        <v>0.81438246301906969</v>
      </c>
      <c r="F49" s="37">
        <f>'ETNIK 2021'!K48/'ETNIK 2021'!D48</f>
        <v>4.9010871502405988E-3</v>
      </c>
      <c r="G49" s="37">
        <f>('ETNIK 2021'!J48+'ETNIK 2021'!N48)/'ETNIK 2021'!D48</f>
        <v>0.10978435216538941</v>
      </c>
      <c r="H49" s="37">
        <f t="shared" si="0"/>
        <v>3.0297629656032138E-3</v>
      </c>
      <c r="I49" s="13" t="str">
        <f t="shared" si="1"/>
        <v>IBAN</v>
      </c>
      <c r="J49" s="15">
        <f t="shared" si="2"/>
        <v>714</v>
      </c>
      <c r="K49" s="15">
        <f>'UMUR 2021'!W49</f>
        <v>11154</v>
      </c>
      <c r="L49" s="16">
        <f t="shared" si="3"/>
        <v>0.72252106867491483</v>
      </c>
      <c r="M49" s="15">
        <f>'UMUR 2021'!Y49</f>
        <v>8059</v>
      </c>
      <c r="N49" s="15">
        <f>'UMUR 2021'!Z49</f>
        <v>16</v>
      </c>
      <c r="O49" s="15">
        <f>'UMUR 2021'!AA49</f>
        <v>98</v>
      </c>
      <c r="P49" s="33">
        <f t="shared" si="4"/>
        <v>7945</v>
      </c>
      <c r="Q49" s="29" t="str">
        <f>'UMUR 2021'!AC49</f>
        <v>PBB</v>
      </c>
      <c r="R49" s="29" t="str">
        <f>'UMUR 2021'!AD49</f>
        <v>GPS</v>
      </c>
      <c r="S49" s="33">
        <f>'UMUR 2021'!AE49</f>
        <v>3268</v>
      </c>
      <c r="T49" s="34">
        <f>'UMUR 2021'!AF49</f>
        <v>0.41132787916928887</v>
      </c>
      <c r="U49" s="29" t="str">
        <f>'UMUR 2021'!AG49</f>
        <v>BEBAS</v>
      </c>
      <c r="V49" s="29" t="str">
        <f>'UMUR 2021'!AH49</f>
        <v>BEBAS</v>
      </c>
      <c r="W49" s="33">
        <f>'UMUR 2021'!AI49</f>
        <v>2554</v>
      </c>
      <c r="X49" s="34">
        <f>'UMUR 2021'!AJ49</f>
        <v>0.32146003775959725</v>
      </c>
      <c r="Y49" s="29" t="str">
        <f>'UMUR 2021'!AK49</f>
        <v>PSB</v>
      </c>
      <c r="Z49" s="29" t="str">
        <f>'UMUR 2021'!AL49</f>
        <v>PSB</v>
      </c>
      <c r="AA49" s="33">
        <f>'UMUR 2021'!AM49</f>
        <v>1484</v>
      </c>
      <c r="AB49" s="34">
        <f t="shared" si="5"/>
        <v>0.18678414096916299</v>
      </c>
      <c r="AC49" s="29" t="str">
        <f>'UMUR 2021'!AO49</f>
        <v>BEBAS</v>
      </c>
      <c r="AD49" s="29" t="str">
        <f>'UMUR 2021'!AP49</f>
        <v>BEBAS</v>
      </c>
      <c r="AE49" s="33">
        <f>'UMUR 2021'!AQ49</f>
        <v>506</v>
      </c>
      <c r="AF49" s="34">
        <f>'UMUR 2021'!AR49</f>
        <v>6.3687853996224036E-2</v>
      </c>
      <c r="AG49" s="29" t="str">
        <f>'UMUR 2021'!AS49</f>
        <v>PBK</v>
      </c>
      <c r="AH49" s="29" t="str">
        <f>'UMUR 2021'!AT49</f>
        <v>LAIN-LAIN</v>
      </c>
      <c r="AI49" s="33">
        <f>'UMUR 2021'!AU49</f>
        <v>133</v>
      </c>
      <c r="AJ49" s="34">
        <f>'UMUR 2021'!AV49</f>
        <v>1.6740088105726872E-2</v>
      </c>
      <c r="AK49" s="29">
        <f>'UMUR 2021'!AW49</f>
        <v>0</v>
      </c>
      <c r="AL49" s="29" t="str">
        <f>'UMUR 2021'!AX49</f>
        <v/>
      </c>
      <c r="AM49" s="33">
        <f>'UMUR 2021'!AY49</f>
        <v>0</v>
      </c>
      <c r="AN49" s="34" t="str">
        <f>'UMUR 2021'!AZ49</f>
        <v/>
      </c>
      <c r="AO49" s="29">
        <f>'UMUR 2021'!BA49</f>
        <v>0</v>
      </c>
      <c r="AP49" s="29" t="str">
        <f>'UMUR 2021'!BB49</f>
        <v/>
      </c>
      <c r="AQ49" s="33">
        <f>'UMUR 2021'!BC49</f>
        <v>0</v>
      </c>
      <c r="AR49" s="34" t="str">
        <f>'UMUR 2021'!BD49</f>
        <v/>
      </c>
      <c r="AS49" s="29">
        <f>'UMUR 2021'!BE49</f>
        <v>0</v>
      </c>
      <c r="AT49" s="29" t="str">
        <f>'UMUR 2021'!BF49</f>
        <v/>
      </c>
      <c r="AU49" s="33">
        <f>'UMUR 2021'!BG49</f>
        <v>0</v>
      </c>
      <c r="AV49" s="34" t="str">
        <f>'UMUR 2021'!BH49</f>
        <v/>
      </c>
    </row>
    <row r="50" spans="1:48">
      <c r="A50" s="13" t="s">
        <v>133</v>
      </c>
      <c r="B50" s="14" t="s">
        <v>135</v>
      </c>
      <c r="C50" s="37">
        <f>('ETNIK 2021'!E49+'ETNIK 2021'!M49)/'ETNIK 2021'!D49</f>
        <v>7.7214846924952589E-3</v>
      </c>
      <c r="D50" s="37">
        <f>'ETNIK 2021'!F49/'ETNIK 2021'!D49</f>
        <v>3.4204822541316716E-2</v>
      </c>
      <c r="E50" s="37">
        <f>'ETNIK 2021'!L49/'ETNIK 2021'!D49</f>
        <v>0.81177187753996205</v>
      </c>
      <c r="F50" s="37">
        <f>'ETNIK 2021'!K49/'ETNIK 2021'!D49</f>
        <v>4.944459496071525E-3</v>
      </c>
      <c r="G50" s="37">
        <f>('ETNIK 2021'!J49+'ETNIK 2021'!N49)/'ETNIK 2021'!D49</f>
        <v>0.13844486589000271</v>
      </c>
      <c r="H50" s="37">
        <f t="shared" si="0"/>
        <v>2.9124898401517441E-3</v>
      </c>
      <c r="I50" s="13" t="str">
        <f t="shared" si="1"/>
        <v>IBAN</v>
      </c>
      <c r="J50" s="15">
        <f t="shared" si="2"/>
        <v>822</v>
      </c>
      <c r="K50" s="15">
        <f>'UMUR 2021'!W50</f>
        <v>14671</v>
      </c>
      <c r="L50" s="16">
        <f t="shared" si="3"/>
        <v>0.68393429214095836</v>
      </c>
      <c r="M50" s="15">
        <f>'UMUR 2021'!Y50</f>
        <v>10034</v>
      </c>
      <c r="N50" s="15">
        <f>'UMUR 2021'!Z50</f>
        <v>30</v>
      </c>
      <c r="O50" s="15">
        <f>'UMUR 2021'!AA50</f>
        <v>102</v>
      </c>
      <c r="P50" s="33">
        <f t="shared" si="4"/>
        <v>9902</v>
      </c>
      <c r="Q50" s="29" t="str">
        <f>'UMUR 2021'!AC50</f>
        <v>PDP</v>
      </c>
      <c r="R50" s="29" t="str">
        <f>'UMUR 2021'!AD50</f>
        <v>GPS</v>
      </c>
      <c r="S50" s="33">
        <f>'UMUR 2021'!AE50</f>
        <v>5269</v>
      </c>
      <c r="T50" s="34">
        <f>'UMUR 2021'!AF50</f>
        <v>0.53211472429812157</v>
      </c>
      <c r="U50" s="29" t="str">
        <f>'UMUR 2021'!AG50</f>
        <v>PSB</v>
      </c>
      <c r="V50" s="29" t="str">
        <f>'UMUR 2021'!AH50</f>
        <v>PSB</v>
      </c>
      <c r="W50" s="33">
        <f>'UMUR 2021'!AI50</f>
        <v>4447</v>
      </c>
      <c r="X50" s="34">
        <f>'UMUR 2021'!AJ50</f>
        <v>0.44910119167844881</v>
      </c>
      <c r="Y50" s="29" t="str">
        <f>'UMUR 2021'!AK50</f>
        <v>PBK</v>
      </c>
      <c r="Z50" s="29" t="str">
        <f>'UMUR 2021'!AL50</f>
        <v>LAIN-LAIN</v>
      </c>
      <c r="AA50" s="33">
        <f>'UMUR 2021'!AM50</f>
        <v>186</v>
      </c>
      <c r="AB50" s="34">
        <f t="shared" si="5"/>
        <v>1.8784084023429608E-2</v>
      </c>
      <c r="AC50" s="29">
        <f>'UMUR 2021'!AO50</f>
        <v>0</v>
      </c>
      <c r="AD50" s="29" t="str">
        <f>'UMUR 2021'!AP50</f>
        <v/>
      </c>
      <c r="AE50" s="33">
        <f>'UMUR 2021'!AQ50</f>
        <v>0</v>
      </c>
      <c r="AF50" s="34" t="str">
        <f>'UMUR 2021'!AR50</f>
        <v/>
      </c>
      <c r="AG50" s="29">
        <f>'UMUR 2021'!AS50</f>
        <v>0</v>
      </c>
      <c r="AH50" s="29" t="str">
        <f>'UMUR 2021'!AT50</f>
        <v/>
      </c>
      <c r="AI50" s="33">
        <f>'UMUR 2021'!AU50</f>
        <v>0</v>
      </c>
      <c r="AJ50" s="34" t="str">
        <f>'UMUR 2021'!AV50</f>
        <v/>
      </c>
      <c r="AK50" s="29">
        <f>'UMUR 2021'!AW50</f>
        <v>0</v>
      </c>
      <c r="AL50" s="29" t="str">
        <f>'UMUR 2021'!AX50</f>
        <v/>
      </c>
      <c r="AM50" s="33">
        <f>'UMUR 2021'!AY50</f>
        <v>0</v>
      </c>
      <c r="AN50" s="34" t="str">
        <f>'UMUR 2021'!AZ50</f>
        <v/>
      </c>
      <c r="AO50" s="29">
        <f>'UMUR 2021'!BA50</f>
        <v>0</v>
      </c>
      <c r="AP50" s="29" t="str">
        <f>'UMUR 2021'!BB50</f>
        <v/>
      </c>
      <c r="AQ50" s="33">
        <f>'UMUR 2021'!BC50</f>
        <v>0</v>
      </c>
      <c r="AR50" s="34" t="str">
        <f>'UMUR 2021'!BD50</f>
        <v/>
      </c>
      <c r="AS50" s="29">
        <f>'UMUR 2021'!BE50</f>
        <v>0</v>
      </c>
      <c r="AT50" s="29" t="str">
        <f>'UMUR 2021'!BF50</f>
        <v/>
      </c>
      <c r="AU50" s="33">
        <f>'UMUR 2021'!BG50</f>
        <v>0</v>
      </c>
      <c r="AV50" s="34" t="str">
        <f>'UMUR 2021'!BH50</f>
        <v/>
      </c>
    </row>
    <row r="51" spans="1:48">
      <c r="A51" s="13" t="s">
        <v>138</v>
      </c>
      <c r="B51" s="14" t="s">
        <v>140</v>
      </c>
      <c r="C51" s="37">
        <f>('ETNIK 2021'!E50+'ETNIK 2021'!M50)/'ETNIK 2021'!D50</f>
        <v>6.6265060240963854E-3</v>
      </c>
      <c r="D51" s="37">
        <f>'ETNIK 2021'!F50/'ETNIK 2021'!D50</f>
        <v>6.3855421686746988E-2</v>
      </c>
      <c r="E51" s="37">
        <f>'ETNIK 2021'!L50/'ETNIK 2021'!D50</f>
        <v>0.76767068273092365</v>
      </c>
      <c r="F51" s="37">
        <f>'ETNIK 2021'!K50/'ETNIK 2021'!D50</f>
        <v>2.3092369477911647E-3</v>
      </c>
      <c r="G51" s="37">
        <f>('ETNIK 2021'!J50+'ETNIK 2021'!N50)/'ETNIK 2021'!D50</f>
        <v>0.15732931726907631</v>
      </c>
      <c r="H51" s="37">
        <f t="shared" si="0"/>
        <v>2.2088353413654838E-3</v>
      </c>
      <c r="I51" s="13" t="str">
        <f t="shared" si="1"/>
        <v>IBAN</v>
      </c>
      <c r="J51" s="15">
        <f t="shared" si="2"/>
        <v>261</v>
      </c>
      <c r="K51" s="15">
        <f>'UMUR 2021'!W51</f>
        <v>9853</v>
      </c>
      <c r="L51" s="16">
        <f t="shared" si="3"/>
        <v>0.71501065665279606</v>
      </c>
      <c r="M51" s="15">
        <f>'UMUR 2021'!Y51</f>
        <v>7045</v>
      </c>
      <c r="N51" s="15">
        <f>'UMUR 2021'!Z51</f>
        <v>41</v>
      </c>
      <c r="O51" s="15">
        <f>'UMUR 2021'!AA51</f>
        <v>97</v>
      </c>
      <c r="P51" s="33">
        <f t="shared" si="4"/>
        <v>6907</v>
      </c>
      <c r="Q51" s="29" t="str">
        <f>'UMUR 2021'!AC51</f>
        <v>PRS</v>
      </c>
      <c r="R51" s="29" t="str">
        <f>'UMUR 2021'!AD51</f>
        <v>GPS</v>
      </c>
      <c r="S51" s="33">
        <f>'UMUR 2021'!AE51</f>
        <v>3193</v>
      </c>
      <c r="T51" s="34">
        <f>'UMUR 2021'!AF51</f>
        <v>0.46228463877226</v>
      </c>
      <c r="U51" s="29" t="str">
        <f>'UMUR 2021'!AG51</f>
        <v>PSB</v>
      </c>
      <c r="V51" s="29" t="str">
        <f>'UMUR 2021'!AH51</f>
        <v>PSB</v>
      </c>
      <c r="W51" s="33">
        <f>'UMUR 2021'!AI51</f>
        <v>2932</v>
      </c>
      <c r="X51" s="34">
        <f>'UMUR 2021'!AJ51</f>
        <v>0.42449688721586798</v>
      </c>
      <c r="Y51" s="29" t="str">
        <f>'UMUR 2021'!AK51</f>
        <v>PBDSB</v>
      </c>
      <c r="Z51" s="29" t="str">
        <f>'UMUR 2021'!AL51</f>
        <v>LAIN-LAIN</v>
      </c>
      <c r="AA51" s="33">
        <f>'UMUR 2021'!AM51</f>
        <v>354</v>
      </c>
      <c r="AB51" s="34">
        <f t="shared" si="5"/>
        <v>5.1252352685681193E-2</v>
      </c>
      <c r="AC51" s="29" t="str">
        <f>'UMUR 2021'!AO51</f>
        <v>PKR</v>
      </c>
      <c r="AD51" s="29" t="str">
        <f>'UMUR 2021'!AP51</f>
        <v>PH</v>
      </c>
      <c r="AE51" s="33">
        <f>'UMUR 2021'!AQ51</f>
        <v>259</v>
      </c>
      <c r="AF51" s="34">
        <f>'UMUR 2021'!AR51</f>
        <v>3.7498190241783698E-2</v>
      </c>
      <c r="AG51" s="29" t="str">
        <f>'UMUR 2021'!AS51</f>
        <v>PBK</v>
      </c>
      <c r="AH51" s="29" t="str">
        <f>'UMUR 2021'!AT51</f>
        <v>LAIN-LAIN</v>
      </c>
      <c r="AI51" s="33">
        <f>'UMUR 2021'!AU51</f>
        <v>169</v>
      </c>
      <c r="AJ51" s="34">
        <f>'UMUR 2021'!AV51</f>
        <v>2.4467931084407122E-2</v>
      </c>
      <c r="AK51" s="29">
        <f>'UMUR 2021'!AW51</f>
        <v>0</v>
      </c>
      <c r="AL51" s="29" t="str">
        <f>'UMUR 2021'!AX51</f>
        <v/>
      </c>
      <c r="AM51" s="33">
        <f>'UMUR 2021'!AY51</f>
        <v>0</v>
      </c>
      <c r="AN51" s="34" t="str">
        <f>'UMUR 2021'!AZ51</f>
        <v/>
      </c>
      <c r="AO51" s="29">
        <f>'UMUR 2021'!BA51</f>
        <v>0</v>
      </c>
      <c r="AP51" s="29" t="str">
        <f>'UMUR 2021'!BB51</f>
        <v/>
      </c>
      <c r="AQ51" s="33">
        <f>'UMUR 2021'!BC51</f>
        <v>0</v>
      </c>
      <c r="AR51" s="34" t="str">
        <f>'UMUR 2021'!BD51</f>
        <v/>
      </c>
      <c r="AS51" s="29">
        <f>'UMUR 2021'!BE51</f>
        <v>0</v>
      </c>
      <c r="AT51" s="29" t="str">
        <f>'UMUR 2021'!BF51</f>
        <v/>
      </c>
      <c r="AU51" s="33">
        <f>'UMUR 2021'!BG51</f>
        <v>0</v>
      </c>
      <c r="AV51" s="34" t="str">
        <f>'UMUR 2021'!BH51</f>
        <v/>
      </c>
    </row>
    <row r="52" spans="1:48">
      <c r="A52" s="13" t="s">
        <v>139</v>
      </c>
      <c r="B52" s="14" t="s">
        <v>141</v>
      </c>
      <c r="C52" s="37">
        <f>('ETNIK 2021'!E51+'ETNIK 2021'!M51)/'ETNIK 2021'!D51</f>
        <v>4.4738394135984495E-2</v>
      </c>
      <c r="D52" s="37">
        <f>'ETNIK 2021'!F51/'ETNIK 2021'!D51</f>
        <v>0.15620524054258994</v>
      </c>
      <c r="E52" s="37">
        <f>'ETNIK 2021'!L51/'ETNIK 2021'!D51</f>
        <v>0.6457999831493807</v>
      </c>
      <c r="F52" s="37">
        <f>'ETNIK 2021'!K51/'ETNIK 2021'!D51</f>
        <v>5.0551857780773441E-3</v>
      </c>
      <c r="G52" s="37">
        <f>('ETNIK 2021'!J51+'ETNIK 2021'!N51)/'ETNIK 2021'!D51</f>
        <v>0.14474681944561463</v>
      </c>
      <c r="H52" s="37">
        <f t="shared" si="0"/>
        <v>3.4543769483528775E-3</v>
      </c>
      <c r="I52" s="13" t="str">
        <f t="shared" si="1"/>
        <v>IBAN</v>
      </c>
      <c r="J52" s="15">
        <f t="shared" si="2"/>
        <v>2089</v>
      </c>
      <c r="K52" s="15">
        <f>'UMUR 2021'!W52</f>
        <v>11763</v>
      </c>
      <c r="L52" s="16">
        <f t="shared" si="3"/>
        <v>0.6710022953328233</v>
      </c>
      <c r="M52" s="15">
        <f>'UMUR 2021'!Y52</f>
        <v>7893</v>
      </c>
      <c r="N52" s="15">
        <f>'UMUR 2021'!Z52</f>
        <v>26</v>
      </c>
      <c r="O52" s="15">
        <f>'UMUR 2021'!AA52</f>
        <v>124</v>
      </c>
      <c r="P52" s="33">
        <f t="shared" si="4"/>
        <v>7743</v>
      </c>
      <c r="Q52" s="29" t="str">
        <f>'UMUR 2021'!AC52</f>
        <v>PBB</v>
      </c>
      <c r="R52" s="29" t="str">
        <f>'UMUR 2021'!AD52</f>
        <v>GPS</v>
      </c>
      <c r="S52" s="33">
        <f>'UMUR 2021'!AE52</f>
        <v>4155</v>
      </c>
      <c r="T52" s="34">
        <f>'UMUR 2021'!AF52</f>
        <v>0.53661371561410309</v>
      </c>
      <c r="U52" s="29" t="str">
        <f>'UMUR 2021'!AG52</f>
        <v>PSB</v>
      </c>
      <c r="V52" s="29" t="str">
        <f>'UMUR 2021'!AH52</f>
        <v>PSB</v>
      </c>
      <c r="W52" s="33">
        <f>'UMUR 2021'!AI52</f>
        <v>2066</v>
      </c>
      <c r="X52" s="34">
        <f>'UMUR 2021'!AJ52</f>
        <v>0.26682164535709674</v>
      </c>
      <c r="Y52" s="29" t="str">
        <f>'UMUR 2021'!AK52</f>
        <v>PKR</v>
      </c>
      <c r="Z52" s="29" t="str">
        <f>'UMUR 2021'!AL52</f>
        <v>PH</v>
      </c>
      <c r="AA52" s="33">
        <f>'UMUR 2021'!AM52</f>
        <v>1267</v>
      </c>
      <c r="AB52" s="34">
        <f t="shared" si="5"/>
        <v>0.16363166731241122</v>
      </c>
      <c r="AC52" s="29" t="str">
        <f>'UMUR 2021'!AO52</f>
        <v>PBK</v>
      </c>
      <c r="AD52" s="29" t="str">
        <f>'UMUR 2021'!AP52</f>
        <v>LAIN-LAIN</v>
      </c>
      <c r="AE52" s="33">
        <f>'UMUR 2021'!AQ52</f>
        <v>203</v>
      </c>
      <c r="AF52" s="34">
        <f>'UMUR 2021'!AR52</f>
        <v>2.6217228464419477E-2</v>
      </c>
      <c r="AG52" s="29" t="str">
        <f>'UMUR 2021'!AS52</f>
        <v>ASPIRASI</v>
      </c>
      <c r="AH52" s="29" t="str">
        <f>'UMUR 2021'!AT52</f>
        <v>LAIN-LAIN</v>
      </c>
      <c r="AI52" s="33">
        <f>'UMUR 2021'!AU52</f>
        <v>52</v>
      </c>
      <c r="AJ52" s="34">
        <f>'UMUR 2021'!AV52</f>
        <v>6.7157432519695205E-3</v>
      </c>
      <c r="AK52" s="29">
        <f>'UMUR 2021'!AW52</f>
        <v>0</v>
      </c>
      <c r="AL52" s="29" t="str">
        <f>'UMUR 2021'!AX52</f>
        <v/>
      </c>
      <c r="AM52" s="33">
        <f>'UMUR 2021'!AY52</f>
        <v>0</v>
      </c>
      <c r="AN52" s="34" t="str">
        <f>'UMUR 2021'!AZ52</f>
        <v/>
      </c>
      <c r="AO52" s="29">
        <f>'UMUR 2021'!BA52</f>
        <v>0</v>
      </c>
      <c r="AP52" s="29" t="str">
        <f>'UMUR 2021'!BB52</f>
        <v/>
      </c>
      <c r="AQ52" s="33">
        <f>'UMUR 2021'!BC52</f>
        <v>0</v>
      </c>
      <c r="AR52" s="34" t="str">
        <f>'UMUR 2021'!BD52</f>
        <v/>
      </c>
      <c r="AS52" s="29">
        <f>'UMUR 2021'!BE52</f>
        <v>0</v>
      </c>
      <c r="AT52" s="29" t="str">
        <f>'UMUR 2021'!BF52</f>
        <v/>
      </c>
      <c r="AU52" s="33">
        <f>'UMUR 2021'!BG52</f>
        <v>0</v>
      </c>
      <c r="AV52" s="34" t="str">
        <f>'UMUR 2021'!BH52</f>
        <v/>
      </c>
    </row>
    <row r="53" spans="1:48">
      <c r="A53" s="13" t="s">
        <v>144</v>
      </c>
      <c r="B53" s="14" t="s">
        <v>146</v>
      </c>
      <c r="C53" s="37">
        <f>('ETNIK 2021'!E52+'ETNIK 2021'!M52)/'ETNIK 2021'!D52</f>
        <v>4.9200359389038634E-2</v>
      </c>
      <c r="D53" s="37">
        <f>'ETNIK 2021'!F52/'ETNIK 2021'!D52</f>
        <v>0.87956873315363882</v>
      </c>
      <c r="E53" s="37">
        <f>'ETNIK 2021'!L52/'ETNIK 2021'!D52</f>
        <v>4.9164420485175199E-2</v>
      </c>
      <c r="F53" s="37">
        <f>'ETNIK 2021'!K52/'ETNIK 2021'!D52</f>
        <v>1.0781671159029651E-3</v>
      </c>
      <c r="G53" s="37">
        <f>('ETNIK 2021'!J52+'ETNIK 2021'!N52)/'ETNIK 2021'!D52</f>
        <v>1.9371069182389938E-2</v>
      </c>
      <c r="H53" s="37">
        <f t="shared" si="0"/>
        <v>1.6172506738544208E-3</v>
      </c>
      <c r="I53" s="13" t="str">
        <f t="shared" si="1"/>
        <v>CINA</v>
      </c>
      <c r="J53" s="15">
        <f t="shared" si="2"/>
        <v>874</v>
      </c>
      <c r="K53" s="15">
        <f>'UMUR 2021'!W53</f>
        <v>27636</v>
      </c>
      <c r="L53" s="16">
        <f t="shared" si="3"/>
        <v>0.49287161673179908</v>
      </c>
      <c r="M53" s="15">
        <f>'UMUR 2021'!Y53</f>
        <v>13621</v>
      </c>
      <c r="N53" s="15">
        <f>'UMUR 2021'!Z53</f>
        <v>73</v>
      </c>
      <c r="O53" s="15">
        <f>'UMUR 2021'!AA53</f>
        <v>144</v>
      </c>
      <c r="P53" s="33">
        <f t="shared" si="4"/>
        <v>13404</v>
      </c>
      <c r="Q53" s="29" t="str">
        <f>'UMUR 2021'!AC53</f>
        <v>SUPP</v>
      </c>
      <c r="R53" s="29" t="str">
        <f>'UMUR 2021'!AD53</f>
        <v>GPS</v>
      </c>
      <c r="S53" s="33">
        <f>'UMUR 2021'!AE53</f>
        <v>4684</v>
      </c>
      <c r="T53" s="34">
        <f>'UMUR 2021'!AF53</f>
        <v>0.34944792599224112</v>
      </c>
      <c r="U53" s="29" t="str">
        <f>'UMUR 2021'!AG53</f>
        <v>DAP</v>
      </c>
      <c r="V53" s="29" t="str">
        <f>'UMUR 2021'!AH53</f>
        <v>PH</v>
      </c>
      <c r="W53" s="33">
        <f>'UMUR 2021'!AI53</f>
        <v>3810</v>
      </c>
      <c r="X53" s="34">
        <f>'UMUR 2021'!AJ53</f>
        <v>0.28424350940017906</v>
      </c>
      <c r="Y53" s="29" t="str">
        <f>'UMUR 2021'!AK53</f>
        <v>PBK</v>
      </c>
      <c r="Z53" s="29" t="str">
        <f>'UMUR 2021'!AL53</f>
        <v>LAIN-LAIN</v>
      </c>
      <c r="AA53" s="33">
        <f>'UMUR 2021'!AM53</f>
        <v>2598</v>
      </c>
      <c r="AB53" s="34">
        <f t="shared" si="5"/>
        <v>0.19382273948075202</v>
      </c>
      <c r="AC53" s="29" t="str">
        <f>'UMUR 2021'!AO53</f>
        <v>PSB</v>
      </c>
      <c r="AD53" s="29" t="str">
        <f>'UMUR 2021'!AP53</f>
        <v>PSB</v>
      </c>
      <c r="AE53" s="33">
        <f>'UMUR 2021'!AQ53</f>
        <v>1790</v>
      </c>
      <c r="AF53" s="34">
        <f>'UMUR 2021'!AR53</f>
        <v>0.13354222620113398</v>
      </c>
      <c r="AG53" s="29" t="str">
        <f>'UMUR 2021'!AS53</f>
        <v>BEBAS</v>
      </c>
      <c r="AH53" s="29" t="str">
        <f>'UMUR 2021'!AT53</f>
        <v>BEBAS</v>
      </c>
      <c r="AI53" s="33">
        <f>'UMUR 2021'!AU53</f>
        <v>313</v>
      </c>
      <c r="AJ53" s="34">
        <f>'UMUR 2021'!AV53</f>
        <v>2.3351238436287676E-2</v>
      </c>
      <c r="AK53" s="29" t="str">
        <f>'UMUR 2021'!AW53</f>
        <v>ASPIRASI</v>
      </c>
      <c r="AL53" s="29" t="str">
        <f>'UMUR 2021'!AX53</f>
        <v>LAIN-LAIN</v>
      </c>
      <c r="AM53" s="33">
        <f>'UMUR 2021'!AY53</f>
        <v>209</v>
      </c>
      <c r="AN53" s="34">
        <f>'UMUR 2021'!AZ53</f>
        <v>1.5592360489406147E-2</v>
      </c>
      <c r="AO53" s="29">
        <f>'UMUR 2021'!BA53</f>
        <v>0</v>
      </c>
      <c r="AP53" s="29" t="str">
        <f>'UMUR 2021'!BB53</f>
        <v/>
      </c>
      <c r="AQ53" s="33">
        <f>'UMUR 2021'!BC53</f>
        <v>0</v>
      </c>
      <c r="AR53" s="34" t="str">
        <f>'UMUR 2021'!BD53</f>
        <v/>
      </c>
      <c r="AS53" s="29">
        <f>'UMUR 2021'!BE53</f>
        <v>0</v>
      </c>
      <c r="AT53" s="29" t="str">
        <f>'UMUR 2021'!BF53</f>
        <v/>
      </c>
      <c r="AU53" s="33">
        <f>'UMUR 2021'!BG53</f>
        <v>0</v>
      </c>
      <c r="AV53" s="34" t="str">
        <f>'UMUR 2021'!BH53</f>
        <v/>
      </c>
    </row>
    <row r="54" spans="1:48">
      <c r="A54" s="13" t="s">
        <v>145</v>
      </c>
      <c r="B54" s="14" t="s">
        <v>147</v>
      </c>
      <c r="C54" s="37">
        <f>('ETNIK 2021'!E53+'ETNIK 2021'!M53)/'ETNIK 2021'!D53</f>
        <v>9.2765909026256643E-2</v>
      </c>
      <c r="D54" s="37">
        <f>'ETNIK 2021'!F53/'ETNIK 2021'!D53</f>
        <v>0.50667083890421871</v>
      </c>
      <c r="E54" s="37">
        <f>'ETNIK 2021'!L53/'ETNIK 2021'!D53</f>
        <v>0.29858049099650102</v>
      </c>
      <c r="F54" s="37">
        <f>'ETNIK 2021'!K53/'ETNIK 2021'!D53</f>
        <v>6.5143799960174099E-3</v>
      </c>
      <c r="G54" s="37">
        <f>('ETNIK 2021'!J53+'ETNIK 2021'!N53)/'ETNIK 2021'!D53</f>
        <v>8.6564446846641829E-2</v>
      </c>
      <c r="H54" s="37">
        <f t="shared" si="0"/>
        <v>8.9039342303643271E-3</v>
      </c>
      <c r="I54" s="13" t="str">
        <f t="shared" si="1"/>
        <v>CINA</v>
      </c>
      <c r="J54" s="15">
        <f t="shared" si="2"/>
        <v>5806</v>
      </c>
      <c r="K54" s="15">
        <f>'UMUR 2021'!W54</f>
        <v>34955</v>
      </c>
      <c r="L54" s="16">
        <f t="shared" si="3"/>
        <v>0.58232012587612647</v>
      </c>
      <c r="M54" s="15">
        <f>'UMUR 2021'!Y54</f>
        <v>20355</v>
      </c>
      <c r="N54" s="15">
        <f>'UMUR 2021'!Z54</f>
        <v>72</v>
      </c>
      <c r="O54" s="15">
        <f>'UMUR 2021'!AA54</f>
        <v>298</v>
      </c>
      <c r="P54" s="33">
        <f t="shared" si="4"/>
        <v>19985</v>
      </c>
      <c r="Q54" s="29" t="str">
        <f>'UMUR 2021'!AC54</f>
        <v>PDP</v>
      </c>
      <c r="R54" s="29" t="str">
        <f>'UMUR 2021'!AD54</f>
        <v>GPS</v>
      </c>
      <c r="S54" s="33">
        <f>'UMUR 2021'!AE54</f>
        <v>9390</v>
      </c>
      <c r="T54" s="34">
        <f>'UMUR 2021'!AF54</f>
        <v>0.46985238929196899</v>
      </c>
      <c r="U54" s="29" t="str">
        <f>'UMUR 2021'!AG54</f>
        <v>PSB</v>
      </c>
      <c r="V54" s="29" t="str">
        <f>'UMUR 2021'!AH54</f>
        <v>PSB</v>
      </c>
      <c r="W54" s="33">
        <f>'UMUR 2021'!AI54</f>
        <v>3584</v>
      </c>
      <c r="X54" s="34">
        <f>'UMUR 2021'!AJ54</f>
        <v>0.17933450087565675</v>
      </c>
      <c r="Y54" s="29" t="str">
        <f>'UMUR 2021'!AK54</f>
        <v>DAP</v>
      </c>
      <c r="Z54" s="29" t="str">
        <f>'UMUR 2021'!AL54</f>
        <v>PH</v>
      </c>
      <c r="AA54" s="33">
        <f>'UMUR 2021'!AM54</f>
        <v>2724</v>
      </c>
      <c r="AB54" s="34">
        <f t="shared" si="5"/>
        <v>0.1363022266700025</v>
      </c>
      <c r="AC54" s="29" t="str">
        <f>'UMUR 2021'!AO54</f>
        <v>PBK</v>
      </c>
      <c r="AD54" s="29" t="str">
        <f>'UMUR 2021'!AP54</f>
        <v>LAIN-LAIN</v>
      </c>
      <c r="AE54" s="33">
        <f>'UMUR 2021'!AQ54</f>
        <v>1779</v>
      </c>
      <c r="AF54" s="34">
        <f>'UMUR 2021'!AR54</f>
        <v>8.9016762571928948E-2</v>
      </c>
      <c r="AG54" s="29" t="str">
        <f>'UMUR 2021'!AS54</f>
        <v>BEBAS</v>
      </c>
      <c r="AH54" s="29" t="str">
        <f>'UMUR 2021'!AT54</f>
        <v>BEBAS</v>
      </c>
      <c r="AI54" s="33">
        <f>'UMUR 2021'!AU54</f>
        <v>1178</v>
      </c>
      <c r="AJ54" s="34">
        <f>'UMUR 2021'!AV54</f>
        <v>5.8944208156117089E-2</v>
      </c>
      <c r="AK54" s="29" t="str">
        <f>'UMUR 2021'!AW54</f>
        <v>PBDSB</v>
      </c>
      <c r="AL54" s="29" t="str">
        <f>'UMUR 2021'!AX54</f>
        <v>LAIN-LAIN</v>
      </c>
      <c r="AM54" s="33">
        <f>'UMUR 2021'!AY54</f>
        <v>893</v>
      </c>
      <c r="AN54" s="34">
        <f>'UMUR 2021'!AZ54</f>
        <v>4.4683512634475855E-2</v>
      </c>
      <c r="AO54" s="29" t="str">
        <f>'UMUR 2021'!BA54</f>
        <v>BEBAS</v>
      </c>
      <c r="AP54" s="29" t="str">
        <f>'UMUR 2021'!BB54</f>
        <v>BEBAS</v>
      </c>
      <c r="AQ54" s="33">
        <f>'UMUR 2021'!BC54</f>
        <v>225</v>
      </c>
      <c r="AR54" s="34">
        <f>'UMUR 2021'!BD54</f>
        <v>1.1258443832874656E-2</v>
      </c>
      <c r="AS54" s="29" t="str">
        <f>'UMUR 2021'!BE54</f>
        <v>BEBAS</v>
      </c>
      <c r="AT54" s="29" t="str">
        <f>'UMUR 2021'!BF54</f>
        <v>BEBAS</v>
      </c>
      <c r="AU54" s="33">
        <f>'UMUR 2021'!BG54</f>
        <v>212</v>
      </c>
      <c r="AV54" s="34">
        <f>'UMUR 2021'!BH54</f>
        <v>1.0607955966975231E-2</v>
      </c>
    </row>
    <row r="55" spans="1:48">
      <c r="A55" s="13" t="s">
        <v>150</v>
      </c>
      <c r="B55" s="14" t="s">
        <v>153</v>
      </c>
      <c r="C55" s="37">
        <f>('ETNIK 2021'!E54+'ETNIK 2021'!M54)/'ETNIK 2021'!D54</f>
        <v>5.9589940410059591E-2</v>
      </c>
      <c r="D55" s="37">
        <f>'ETNIK 2021'!F54/'ETNIK 2021'!D54</f>
        <v>0.48141601858398142</v>
      </c>
      <c r="E55" s="37">
        <f>'ETNIK 2021'!L54/'ETNIK 2021'!D54</f>
        <v>0.39526310473689524</v>
      </c>
      <c r="F55" s="37">
        <f>'ETNIK 2021'!K54/'ETNIK 2021'!D54</f>
        <v>3.4844965155034846E-3</v>
      </c>
      <c r="G55" s="37">
        <f>('ETNIK 2021'!J54+'ETNIK 2021'!N54)/'ETNIK 2021'!D54</f>
        <v>5.741844258155742E-2</v>
      </c>
      <c r="H55" s="37">
        <f t="shared" si="0"/>
        <v>2.8279971720028274E-3</v>
      </c>
      <c r="I55" s="13" t="str">
        <f t="shared" si="1"/>
        <v>MIXED</v>
      </c>
      <c r="J55" s="15">
        <f t="shared" si="2"/>
        <v>913</v>
      </c>
      <c r="K55" s="15">
        <f>'UMUR 2021'!W55</f>
        <v>19650</v>
      </c>
      <c r="L55" s="16">
        <f t="shared" si="3"/>
        <v>0.7100254452926209</v>
      </c>
      <c r="M55" s="15">
        <f>'UMUR 2021'!Y55</f>
        <v>13952</v>
      </c>
      <c r="N55" s="15">
        <f>'UMUR 2021'!Z55</f>
        <v>23</v>
      </c>
      <c r="O55" s="15">
        <f>'UMUR 2021'!AA55</f>
        <v>166</v>
      </c>
      <c r="P55" s="33">
        <f t="shared" si="4"/>
        <v>13763</v>
      </c>
      <c r="Q55" s="29" t="str">
        <f>'UMUR 2021'!AC55</f>
        <v>PSB</v>
      </c>
      <c r="R55" s="29" t="str">
        <f>'UMUR 2021'!AD55</f>
        <v>PSB</v>
      </c>
      <c r="S55" s="33">
        <f>'UMUR 2021'!AE55</f>
        <v>5952</v>
      </c>
      <c r="T55" s="34">
        <f>'UMUR 2021'!AF55</f>
        <v>0.43246385235777085</v>
      </c>
      <c r="U55" s="29" t="str">
        <f>'UMUR 2021'!AG55</f>
        <v>SUPP</v>
      </c>
      <c r="V55" s="29" t="str">
        <f>'UMUR 2021'!AH55</f>
        <v>GPS</v>
      </c>
      <c r="W55" s="33">
        <f>'UMUR 2021'!AI55</f>
        <v>5039</v>
      </c>
      <c r="X55" s="34">
        <f>'UMUR 2021'!AJ55</f>
        <v>0.36612657124173509</v>
      </c>
      <c r="Y55" s="29" t="str">
        <f>'UMUR 2021'!AK55</f>
        <v>DAP</v>
      </c>
      <c r="Z55" s="29" t="str">
        <f>'UMUR 2021'!AL55</f>
        <v>PH</v>
      </c>
      <c r="AA55" s="33">
        <f>'UMUR 2021'!AM55</f>
        <v>1173</v>
      </c>
      <c r="AB55" s="34">
        <f t="shared" si="5"/>
        <v>8.5228511225750203E-2</v>
      </c>
      <c r="AC55" s="29" t="str">
        <f>'UMUR 2021'!AO55</f>
        <v>PBK</v>
      </c>
      <c r="AD55" s="29" t="str">
        <f>'UMUR 2021'!AP55</f>
        <v>LAIN-LAIN</v>
      </c>
      <c r="AE55" s="33">
        <f>'UMUR 2021'!AQ55</f>
        <v>954</v>
      </c>
      <c r="AF55" s="34">
        <f>'UMUR 2021'!AR55</f>
        <v>6.931628278718302E-2</v>
      </c>
      <c r="AG55" s="29" t="str">
        <f>'UMUR 2021'!AS55</f>
        <v>BEBAS</v>
      </c>
      <c r="AH55" s="29" t="str">
        <f>'UMUR 2021'!AT55</f>
        <v>BEBAS</v>
      </c>
      <c r="AI55" s="33">
        <f>'UMUR 2021'!AU55</f>
        <v>645</v>
      </c>
      <c r="AJ55" s="34">
        <f>'UMUR 2021'!AV55</f>
        <v>4.6864782387560852E-2</v>
      </c>
      <c r="AK55" s="29">
        <f>'UMUR 2021'!AW55</f>
        <v>0</v>
      </c>
      <c r="AL55" s="29" t="str">
        <f>'UMUR 2021'!AX55</f>
        <v/>
      </c>
      <c r="AM55" s="33">
        <f>'UMUR 2021'!AY55</f>
        <v>0</v>
      </c>
      <c r="AN55" s="34" t="str">
        <f>'UMUR 2021'!AZ55</f>
        <v/>
      </c>
      <c r="AO55" s="29">
        <f>'UMUR 2021'!BA55</f>
        <v>0</v>
      </c>
      <c r="AP55" s="29" t="str">
        <f>'UMUR 2021'!BB55</f>
        <v/>
      </c>
      <c r="AQ55" s="33">
        <f>'UMUR 2021'!BC55</f>
        <v>0</v>
      </c>
      <c r="AR55" s="34" t="str">
        <f>'UMUR 2021'!BD55</f>
        <v/>
      </c>
      <c r="AS55" s="29">
        <f>'UMUR 2021'!BE55</f>
        <v>0</v>
      </c>
      <c r="AT55" s="29" t="str">
        <f>'UMUR 2021'!BF55</f>
        <v/>
      </c>
      <c r="AU55" s="33">
        <f>'UMUR 2021'!BG55</f>
        <v>0</v>
      </c>
      <c r="AV55" s="34" t="str">
        <f>'UMUR 2021'!BH55</f>
        <v/>
      </c>
    </row>
    <row r="56" spans="1:48">
      <c r="A56" s="13" t="s">
        <v>151</v>
      </c>
      <c r="B56" s="14" t="s">
        <v>154</v>
      </c>
      <c r="C56" s="37">
        <f>('ETNIK 2021'!E55+'ETNIK 2021'!M55)/'ETNIK 2021'!D55</f>
        <v>4.2256777848430543E-2</v>
      </c>
      <c r="D56" s="37">
        <f>'ETNIK 2021'!F55/'ETNIK 2021'!D55</f>
        <v>0.91386785363315803</v>
      </c>
      <c r="E56" s="37">
        <f>'ETNIK 2021'!L55/'ETNIK 2021'!D55</f>
        <v>2.7487137984854616E-2</v>
      </c>
      <c r="F56" s="37">
        <f>'ETNIK 2021'!K55/'ETNIK 2021'!D55</f>
        <v>2.2544655760448583E-3</v>
      </c>
      <c r="G56" s="37">
        <f>('ETNIK 2021'!J55+'ETNIK 2021'!N55)/'ETNIK 2021'!D55</f>
        <v>1.0029481472917511E-2</v>
      </c>
      <c r="H56" s="37">
        <f t="shared" si="0"/>
        <v>4.1042834845944655E-3</v>
      </c>
      <c r="I56" s="13" t="str">
        <f t="shared" si="1"/>
        <v>CINA</v>
      </c>
      <c r="J56" s="15">
        <f t="shared" si="2"/>
        <v>100</v>
      </c>
      <c r="K56" s="15">
        <f>'UMUR 2021'!W56</f>
        <v>34466</v>
      </c>
      <c r="L56" s="16">
        <f t="shared" si="3"/>
        <v>0.47298787210584342</v>
      </c>
      <c r="M56" s="15">
        <f>'UMUR 2021'!Y56</f>
        <v>16302</v>
      </c>
      <c r="N56" s="15">
        <f>'UMUR 2021'!Z56</f>
        <v>263</v>
      </c>
      <c r="O56" s="15">
        <f>'UMUR 2021'!AA56</f>
        <v>108</v>
      </c>
      <c r="P56" s="33">
        <f t="shared" si="4"/>
        <v>15931</v>
      </c>
      <c r="Q56" s="29" t="str">
        <f>'UMUR 2021'!AC56</f>
        <v>SUPP</v>
      </c>
      <c r="R56" s="29" t="str">
        <f>'UMUR 2021'!AD56</f>
        <v>GPS</v>
      </c>
      <c r="S56" s="33">
        <f>'UMUR 2021'!AE56</f>
        <v>4413</v>
      </c>
      <c r="T56" s="34">
        <f>'UMUR 2021'!AF56</f>
        <v>0.27700709308894605</v>
      </c>
      <c r="U56" s="29" t="str">
        <f>'UMUR 2021'!AG56</f>
        <v>DAP</v>
      </c>
      <c r="V56" s="29" t="str">
        <f>'UMUR 2021'!AH56</f>
        <v>PH</v>
      </c>
      <c r="W56" s="33">
        <f>'UMUR 2021'!AI56</f>
        <v>4313</v>
      </c>
      <c r="X56" s="34">
        <f>'UMUR 2021'!AJ56</f>
        <v>0.27073002322515849</v>
      </c>
      <c r="Y56" s="29" t="str">
        <f>'UMUR 2021'!AK56</f>
        <v>PSB</v>
      </c>
      <c r="Z56" s="29" t="str">
        <f>'UMUR 2021'!AL56</f>
        <v>PSB</v>
      </c>
      <c r="AA56" s="33">
        <f>'UMUR 2021'!AM56</f>
        <v>3757</v>
      </c>
      <c r="AB56" s="34">
        <f t="shared" si="5"/>
        <v>0.23582951478249953</v>
      </c>
      <c r="AC56" s="29" t="str">
        <f>'UMUR 2021'!AO56</f>
        <v>PBK</v>
      </c>
      <c r="AD56" s="29" t="str">
        <f>'UMUR 2021'!AP56</f>
        <v>LAIN-LAIN</v>
      </c>
      <c r="AE56" s="33">
        <f>'UMUR 2021'!AQ56</f>
        <v>3146</v>
      </c>
      <c r="AF56" s="34">
        <f>'UMUR 2021'!AR56</f>
        <v>0.1974766179147574</v>
      </c>
      <c r="AG56" s="29" t="str">
        <f>'UMUR 2021'!AS56</f>
        <v>ASPIRASI</v>
      </c>
      <c r="AH56" s="29" t="str">
        <f>'UMUR 2021'!AT56</f>
        <v>LAIN-LAIN</v>
      </c>
      <c r="AI56" s="33">
        <f>'UMUR 2021'!AU56</f>
        <v>302</v>
      </c>
      <c r="AJ56" s="34">
        <f>'UMUR 2021'!AV56</f>
        <v>1.8956750988638502E-2</v>
      </c>
      <c r="AK56" s="29">
        <f>'UMUR 2021'!AW56</f>
        <v>0</v>
      </c>
      <c r="AL56" s="29" t="str">
        <f>'UMUR 2021'!AX56</f>
        <v/>
      </c>
      <c r="AM56" s="33">
        <f>'UMUR 2021'!AY56</f>
        <v>0</v>
      </c>
      <c r="AN56" s="34" t="str">
        <f>'UMUR 2021'!AZ56</f>
        <v/>
      </c>
      <c r="AO56" s="29">
        <f>'UMUR 2021'!BA56</f>
        <v>0</v>
      </c>
      <c r="AP56" s="29" t="str">
        <f>'UMUR 2021'!BB56</f>
        <v/>
      </c>
      <c r="AQ56" s="33">
        <f>'UMUR 2021'!BC56</f>
        <v>0</v>
      </c>
      <c r="AR56" s="34" t="str">
        <f>'UMUR 2021'!BD56</f>
        <v/>
      </c>
      <c r="AS56" s="29">
        <f>'UMUR 2021'!BE56</f>
        <v>0</v>
      </c>
      <c r="AT56" s="29" t="str">
        <f>'UMUR 2021'!BF56</f>
        <v/>
      </c>
      <c r="AU56" s="33">
        <f>'UMUR 2021'!BG56</f>
        <v>0</v>
      </c>
      <c r="AV56" s="34" t="str">
        <f>'UMUR 2021'!BH56</f>
        <v/>
      </c>
    </row>
    <row r="57" spans="1:48">
      <c r="A57" s="13" t="s">
        <v>152</v>
      </c>
      <c r="B57" s="14" t="s">
        <v>155</v>
      </c>
      <c r="C57" s="37">
        <f>('ETNIK 2021'!E56+'ETNIK 2021'!M56)/'ETNIK 2021'!D56</f>
        <v>0.48985295382234068</v>
      </c>
      <c r="D57" s="37">
        <f>'ETNIK 2021'!F56/'ETNIK 2021'!D56</f>
        <v>0.23531688021325994</v>
      </c>
      <c r="E57" s="37">
        <f>'ETNIK 2021'!L56/'ETNIK 2021'!D56</f>
        <v>0.19477169146100268</v>
      </c>
      <c r="F57" s="37">
        <f>'ETNIK 2021'!K56/'ETNIK 2021'!D56</f>
        <v>8.2122280505632465E-3</v>
      </c>
      <c r="G57" s="37">
        <f>('ETNIK 2021'!J56+'ETNIK 2021'!N56)/'ETNIK 2021'!D56</f>
        <v>5.6109725685785539E-2</v>
      </c>
      <c r="H57" s="37">
        <f t="shared" si="0"/>
        <v>1.5736520767047998E-2</v>
      </c>
      <c r="I57" s="13" t="str">
        <f t="shared" si="1"/>
        <v>MIXED</v>
      </c>
      <c r="J57" s="15">
        <f t="shared" si="2"/>
        <v>10804</v>
      </c>
      <c r="K57" s="15">
        <f>'UMUR 2021'!W57</f>
        <v>23092</v>
      </c>
      <c r="L57" s="16">
        <f t="shared" si="3"/>
        <v>0.63030486748657544</v>
      </c>
      <c r="M57" s="15">
        <f>'UMUR 2021'!Y57</f>
        <v>14555</v>
      </c>
      <c r="N57" s="15">
        <f>'UMUR 2021'!Z57</f>
        <v>56</v>
      </c>
      <c r="O57" s="15">
        <f>'UMUR 2021'!AA57</f>
        <v>158</v>
      </c>
      <c r="P57" s="33">
        <f t="shared" si="4"/>
        <v>14341</v>
      </c>
      <c r="Q57" s="29" t="str">
        <f>'UMUR 2021'!AC57</f>
        <v>PBB</v>
      </c>
      <c r="R57" s="29" t="str">
        <f>'UMUR 2021'!AD57</f>
        <v>GPS</v>
      </c>
      <c r="S57" s="33">
        <f>'UMUR 2021'!AE57</f>
        <v>12059</v>
      </c>
      <c r="T57" s="34">
        <f>'UMUR 2021'!AF57</f>
        <v>0.84087581061292793</v>
      </c>
      <c r="U57" s="29" t="str">
        <f>'UMUR 2021'!AG57</f>
        <v>PSB</v>
      </c>
      <c r="V57" s="29" t="str">
        <f>'UMUR 2021'!AH57</f>
        <v>PSB</v>
      </c>
      <c r="W57" s="33">
        <f>'UMUR 2021'!AI57</f>
        <v>1255</v>
      </c>
      <c r="X57" s="34">
        <f>'UMUR 2021'!AJ57</f>
        <v>8.7511331148455482E-2</v>
      </c>
      <c r="Y57" s="29" t="str">
        <f>'UMUR 2021'!AK57</f>
        <v>PBK</v>
      </c>
      <c r="Z57" s="29" t="str">
        <f>'UMUR 2021'!AL57</f>
        <v>LAIN-LAIN</v>
      </c>
      <c r="AA57" s="33">
        <f>'UMUR 2021'!AM57</f>
        <v>1027</v>
      </c>
      <c r="AB57" s="34">
        <f t="shared" si="5"/>
        <v>7.1612858238616559E-2</v>
      </c>
      <c r="AC57" s="29">
        <f>'UMUR 2021'!AO57</f>
        <v>0</v>
      </c>
      <c r="AD57" s="29" t="str">
        <f>'UMUR 2021'!AP57</f>
        <v/>
      </c>
      <c r="AE57" s="33">
        <f>'UMUR 2021'!AQ57</f>
        <v>0</v>
      </c>
      <c r="AF57" s="34" t="str">
        <f>'UMUR 2021'!AR57</f>
        <v/>
      </c>
      <c r="AG57" s="29">
        <f>'UMUR 2021'!AS57</f>
        <v>0</v>
      </c>
      <c r="AH57" s="29" t="str">
        <f>'UMUR 2021'!AT57</f>
        <v/>
      </c>
      <c r="AI57" s="33">
        <f>'UMUR 2021'!AU57</f>
        <v>0</v>
      </c>
      <c r="AJ57" s="34" t="str">
        <f>'UMUR 2021'!AV57</f>
        <v/>
      </c>
      <c r="AK57" s="29">
        <f>'UMUR 2021'!AW57</f>
        <v>0</v>
      </c>
      <c r="AL57" s="29" t="str">
        <f>'UMUR 2021'!AX57</f>
        <v/>
      </c>
      <c r="AM57" s="33">
        <f>'UMUR 2021'!AY57</f>
        <v>0</v>
      </c>
      <c r="AN57" s="34" t="str">
        <f>'UMUR 2021'!AZ57</f>
        <v/>
      </c>
      <c r="AO57" s="29">
        <f>'UMUR 2021'!BA57</f>
        <v>0</v>
      </c>
      <c r="AP57" s="29" t="str">
        <f>'UMUR 2021'!BB57</f>
        <v/>
      </c>
      <c r="AQ57" s="33">
        <f>'UMUR 2021'!BC57</f>
        <v>0</v>
      </c>
      <c r="AR57" s="34" t="str">
        <f>'UMUR 2021'!BD57</f>
        <v/>
      </c>
      <c r="AS57" s="29">
        <f>'UMUR 2021'!BE57</f>
        <v>0</v>
      </c>
      <c r="AT57" s="29" t="str">
        <f>'UMUR 2021'!BF57</f>
        <v/>
      </c>
      <c r="AU57" s="33">
        <f>'UMUR 2021'!BG57</f>
        <v>0</v>
      </c>
      <c r="AV57" s="34" t="str">
        <f>'UMUR 2021'!BH57</f>
        <v/>
      </c>
    </row>
    <row r="58" spans="1:48" ht="28.5">
      <c r="A58" s="13" t="s">
        <v>158</v>
      </c>
      <c r="B58" s="14" t="s">
        <v>161</v>
      </c>
      <c r="C58" s="37">
        <f>('ETNIK 2021'!E57+'ETNIK 2021'!M57)/'ETNIK 2021'!D57</f>
        <v>0.76136635082411019</v>
      </c>
      <c r="D58" s="37">
        <f>'ETNIK 2021'!F57/'ETNIK 2021'!D57</f>
        <v>7.707620033442153E-2</v>
      </c>
      <c r="E58" s="37">
        <f>'ETNIK 2021'!L57/'ETNIK 2021'!D57</f>
        <v>1.4332351301855244E-2</v>
      </c>
      <c r="F58" s="37">
        <f>'ETNIK 2021'!K57/'ETNIK 2021'!D57</f>
        <v>9.5549008679034957E-4</v>
      </c>
      <c r="G58" s="37">
        <f>('ETNIK 2021'!J57+'ETNIK 2021'!N57)/'ETNIK 2021'!D57</f>
        <v>0.14109403614937496</v>
      </c>
      <c r="H58" s="37">
        <f t="shared" si="0"/>
        <v>5.1755713034477013E-3</v>
      </c>
      <c r="I58" s="13" t="str">
        <f t="shared" si="1"/>
        <v>MELAYU / MELANAU</v>
      </c>
      <c r="J58" s="15">
        <f t="shared" si="2"/>
        <v>6625</v>
      </c>
      <c r="K58" s="15">
        <f>'UMUR 2021'!W58</f>
        <v>12503</v>
      </c>
      <c r="L58" s="16">
        <f t="shared" si="3"/>
        <v>0.61241302087499006</v>
      </c>
      <c r="M58" s="15">
        <f>'UMUR 2021'!Y58</f>
        <v>7657</v>
      </c>
      <c r="N58" s="15">
        <f>'UMUR 2021'!Z58</f>
        <v>27</v>
      </c>
      <c r="O58" s="15">
        <f>'UMUR 2021'!AA58</f>
        <v>85</v>
      </c>
      <c r="P58" s="33">
        <f t="shared" si="4"/>
        <v>7545</v>
      </c>
      <c r="Q58" s="29" t="str">
        <f>'UMUR 2021'!AC58</f>
        <v>PBB</v>
      </c>
      <c r="R58" s="29" t="str">
        <f>'UMUR 2021'!AD58</f>
        <v>GPS</v>
      </c>
      <c r="S58" s="33">
        <f>'UMUR 2021'!AE58</f>
        <v>7085</v>
      </c>
      <c r="T58" s="34">
        <f>'UMUR 2021'!AF58</f>
        <v>0.93903247183565275</v>
      </c>
      <c r="U58" s="29" t="str">
        <f>'UMUR 2021'!AG58</f>
        <v>PBK</v>
      </c>
      <c r="V58" s="29" t="str">
        <f>'UMUR 2021'!AH58</f>
        <v>LAIN-LAIN</v>
      </c>
      <c r="W58" s="33">
        <f>'UMUR 2021'!AI58</f>
        <v>460</v>
      </c>
      <c r="X58" s="34">
        <f>'UMUR 2021'!AJ58</f>
        <v>6.0967528164347251E-2</v>
      </c>
      <c r="Y58" s="29">
        <f>'UMUR 2021'!AK58</f>
        <v>0</v>
      </c>
      <c r="Z58" s="29" t="str">
        <f>'UMUR 2021'!AL58</f>
        <v/>
      </c>
      <c r="AA58" s="33">
        <f>'UMUR 2021'!AM58</f>
        <v>0</v>
      </c>
      <c r="AB58" s="34">
        <f t="shared" si="5"/>
        <v>0</v>
      </c>
      <c r="AC58" s="29">
        <f>'UMUR 2021'!AO58</f>
        <v>0</v>
      </c>
      <c r="AD58" s="29" t="str">
        <f>'UMUR 2021'!AP58</f>
        <v/>
      </c>
      <c r="AE58" s="33">
        <f>'UMUR 2021'!AQ58</f>
        <v>0</v>
      </c>
      <c r="AF58" s="34" t="str">
        <f>'UMUR 2021'!AR58</f>
        <v/>
      </c>
      <c r="AG58" s="29">
        <f>'UMUR 2021'!AS58</f>
        <v>0</v>
      </c>
      <c r="AH58" s="29" t="str">
        <f>'UMUR 2021'!AT58</f>
        <v/>
      </c>
      <c r="AI58" s="33">
        <f>'UMUR 2021'!AU58</f>
        <v>0</v>
      </c>
      <c r="AJ58" s="34" t="str">
        <f>'UMUR 2021'!AV58</f>
        <v/>
      </c>
      <c r="AK58" s="29">
        <f>'UMUR 2021'!AW58</f>
        <v>0</v>
      </c>
      <c r="AL58" s="29" t="str">
        <f>'UMUR 2021'!AX58</f>
        <v/>
      </c>
      <c r="AM58" s="33">
        <f>'UMUR 2021'!AY58</f>
        <v>0</v>
      </c>
      <c r="AN58" s="34" t="str">
        <f>'UMUR 2021'!AZ58</f>
        <v/>
      </c>
      <c r="AO58" s="29">
        <f>'UMUR 2021'!BA58</f>
        <v>0</v>
      </c>
      <c r="AP58" s="29" t="str">
        <f>'UMUR 2021'!BB58</f>
        <v/>
      </c>
      <c r="AQ58" s="33">
        <f>'UMUR 2021'!BC58</f>
        <v>0</v>
      </c>
      <c r="AR58" s="34" t="str">
        <f>'UMUR 2021'!BD58</f>
        <v/>
      </c>
      <c r="AS58" s="29">
        <f>'UMUR 2021'!BE58</f>
        <v>0</v>
      </c>
      <c r="AT58" s="29" t="str">
        <f>'UMUR 2021'!BF58</f>
        <v/>
      </c>
      <c r="AU58" s="33">
        <f>'UMUR 2021'!BG58</f>
        <v>0</v>
      </c>
      <c r="AV58" s="34" t="str">
        <f>'UMUR 2021'!BH58</f>
        <v/>
      </c>
    </row>
    <row r="59" spans="1:48">
      <c r="A59" s="13" t="s">
        <v>159</v>
      </c>
      <c r="B59" s="14" t="s">
        <v>162</v>
      </c>
      <c r="C59" s="37">
        <f>('ETNIK 2021'!E58+'ETNIK 2021'!M58)/'ETNIK 2021'!D58</f>
        <v>0.48598499802605605</v>
      </c>
      <c r="D59" s="37">
        <f>'ETNIK 2021'!F58/'ETNIK 2021'!D58</f>
        <v>0.12909593367548361</v>
      </c>
      <c r="E59" s="37">
        <f>'ETNIK 2021'!L58/'ETNIK 2021'!D58</f>
        <v>0.24476904855902093</v>
      </c>
      <c r="F59" s="37">
        <f>'ETNIK 2021'!K58/'ETNIK 2021'!D58</f>
        <v>2.2700355309909197E-3</v>
      </c>
      <c r="G59" s="37">
        <f>('ETNIK 2021'!J58+'ETNIK 2021'!N58)/'ETNIK 2021'!D58</f>
        <v>0.13018160284247926</v>
      </c>
      <c r="H59" s="37">
        <f t="shared" si="0"/>
        <v>7.6983813659692868E-3</v>
      </c>
      <c r="I59" s="13" t="str">
        <f t="shared" si="1"/>
        <v>MIXED</v>
      </c>
      <c r="J59" s="15">
        <f t="shared" si="2"/>
        <v>2917</v>
      </c>
      <c r="K59" s="15">
        <f>'UMUR 2021'!W59</f>
        <v>10059</v>
      </c>
      <c r="L59" s="16">
        <f t="shared" si="3"/>
        <v>0.61686052291480264</v>
      </c>
      <c r="M59" s="15">
        <f>'UMUR 2021'!Y59</f>
        <v>6205</v>
      </c>
      <c r="N59" s="15">
        <f>'UMUR 2021'!Z59</f>
        <v>18</v>
      </c>
      <c r="O59" s="15">
        <f>'UMUR 2021'!AA59</f>
        <v>79</v>
      </c>
      <c r="P59" s="33">
        <f t="shared" si="4"/>
        <v>6108</v>
      </c>
      <c r="Q59" s="29" t="str">
        <f>'UMUR 2021'!AC59</f>
        <v>PBB</v>
      </c>
      <c r="R59" s="29" t="str">
        <f>'UMUR 2021'!AD59</f>
        <v>GPS</v>
      </c>
      <c r="S59" s="33">
        <f>'UMUR 2021'!AE59</f>
        <v>4282</v>
      </c>
      <c r="T59" s="34">
        <f>'UMUR 2021'!AF59</f>
        <v>0.70104780615586115</v>
      </c>
      <c r="U59" s="29" t="str">
        <f>'UMUR 2021'!AG59</f>
        <v>PSB</v>
      </c>
      <c r="V59" s="29" t="str">
        <f>'UMUR 2021'!AH59</f>
        <v>PSB</v>
      </c>
      <c r="W59" s="33">
        <f>'UMUR 2021'!AI59</f>
        <v>1365</v>
      </c>
      <c r="X59" s="34">
        <f>'UMUR 2021'!AJ59</f>
        <v>0.22347740667976423</v>
      </c>
      <c r="Y59" s="29" t="str">
        <f>'UMUR 2021'!AK59</f>
        <v>PKR</v>
      </c>
      <c r="Z59" s="29" t="str">
        <f>'UMUR 2021'!AL59</f>
        <v>PH</v>
      </c>
      <c r="AA59" s="33">
        <f>'UMUR 2021'!AM59</f>
        <v>287</v>
      </c>
      <c r="AB59" s="34">
        <f t="shared" si="5"/>
        <v>4.6987557301899151E-2</v>
      </c>
      <c r="AC59" s="29" t="str">
        <f>'UMUR 2021'!AO59</f>
        <v>PBK</v>
      </c>
      <c r="AD59" s="29" t="str">
        <f>'UMUR 2021'!AP59</f>
        <v>LAIN-LAIN</v>
      </c>
      <c r="AE59" s="33">
        <f>'UMUR 2021'!AQ59</f>
        <v>174</v>
      </c>
      <c r="AF59" s="34">
        <f>'UMUR 2021'!AR59</f>
        <v>2.8487229862475441E-2</v>
      </c>
      <c r="AG59" s="29">
        <f>'UMUR 2021'!AS59</f>
        <v>0</v>
      </c>
      <c r="AH59" s="29" t="str">
        <f>'UMUR 2021'!AT59</f>
        <v/>
      </c>
      <c r="AI59" s="33">
        <f>'UMUR 2021'!AU59</f>
        <v>0</v>
      </c>
      <c r="AJ59" s="34" t="str">
        <f>'UMUR 2021'!AV59</f>
        <v/>
      </c>
      <c r="AK59" s="29">
        <f>'UMUR 2021'!AW59</f>
        <v>0</v>
      </c>
      <c r="AL59" s="29" t="str">
        <f>'UMUR 2021'!AX59</f>
        <v/>
      </c>
      <c r="AM59" s="33">
        <f>'UMUR 2021'!AY59</f>
        <v>0</v>
      </c>
      <c r="AN59" s="34" t="str">
        <f>'UMUR 2021'!AZ59</f>
        <v/>
      </c>
      <c r="AO59" s="29">
        <f>'UMUR 2021'!BA59</f>
        <v>0</v>
      </c>
      <c r="AP59" s="29" t="str">
        <f>'UMUR 2021'!BB59</f>
        <v/>
      </c>
      <c r="AQ59" s="33">
        <f>'UMUR 2021'!BC59</f>
        <v>0</v>
      </c>
      <c r="AR59" s="34" t="str">
        <f>'UMUR 2021'!BD59</f>
        <v/>
      </c>
      <c r="AS59" s="29">
        <f>'UMUR 2021'!BE59</f>
        <v>0</v>
      </c>
      <c r="AT59" s="29" t="str">
        <f>'UMUR 2021'!BF59</f>
        <v/>
      </c>
      <c r="AU59" s="33">
        <f>'UMUR 2021'!BG59</f>
        <v>0</v>
      </c>
      <c r="AV59" s="34" t="str">
        <f>'UMUR 2021'!BH59</f>
        <v/>
      </c>
    </row>
    <row r="60" spans="1:48" ht="28.5">
      <c r="A60" s="13" t="s">
        <v>160</v>
      </c>
      <c r="B60" s="14" t="s">
        <v>163</v>
      </c>
      <c r="C60" s="37">
        <f>('ETNIK 2021'!E59+'ETNIK 2021'!M59)/'ETNIK 2021'!D59</f>
        <v>0.52177391701908793</v>
      </c>
      <c r="D60" s="37">
        <f>'ETNIK 2021'!F59/'ETNIK 2021'!D59</f>
        <v>6.4235912675734363E-2</v>
      </c>
      <c r="E60" s="37">
        <f>'ETNIK 2021'!L59/'ETNIK 2021'!D59</f>
        <v>0.24722825465767517</v>
      </c>
      <c r="F60" s="37">
        <f>'ETNIK 2021'!K59/'ETNIK 2021'!D59</f>
        <v>1.2572865470339468E-3</v>
      </c>
      <c r="G60" s="37">
        <f>('ETNIK 2021'!J59+'ETNIK 2021'!N59)/'ETNIK 2021'!D59</f>
        <v>0.15818950737227111</v>
      </c>
      <c r="H60" s="37">
        <f t="shared" si="0"/>
        <v>7.3151217281974823E-3</v>
      </c>
      <c r="I60" s="13" t="str">
        <f t="shared" si="1"/>
        <v>MELAYU / MELANAU</v>
      </c>
      <c r="J60" s="15">
        <f t="shared" si="2"/>
        <v>2904</v>
      </c>
      <c r="K60" s="15">
        <f>'UMUR 2021'!W60</f>
        <v>8704</v>
      </c>
      <c r="L60" s="16">
        <f t="shared" si="3"/>
        <v>0.66452205882352944</v>
      </c>
      <c r="M60" s="15">
        <f>'UMUR 2021'!Y60</f>
        <v>5784</v>
      </c>
      <c r="N60" s="15">
        <f>'UMUR 2021'!Z60</f>
        <v>6</v>
      </c>
      <c r="O60" s="15">
        <f>'UMUR 2021'!AA60</f>
        <v>84</v>
      </c>
      <c r="P60" s="33">
        <f t="shared" si="4"/>
        <v>5694</v>
      </c>
      <c r="Q60" s="29" t="str">
        <f>'UMUR 2021'!AC60</f>
        <v>PBB</v>
      </c>
      <c r="R60" s="29" t="str">
        <f>'UMUR 2021'!AD60</f>
        <v>GPS</v>
      </c>
      <c r="S60" s="33">
        <f>'UMUR 2021'!AE60</f>
        <v>4050</v>
      </c>
      <c r="T60" s="34">
        <f>'UMUR 2021'!AF60</f>
        <v>0.71127502634351947</v>
      </c>
      <c r="U60" s="29" t="str">
        <f>'UMUR 2021'!AG60</f>
        <v>PSB</v>
      </c>
      <c r="V60" s="29" t="str">
        <f>'UMUR 2021'!AH60</f>
        <v>PSB</v>
      </c>
      <c r="W60" s="33">
        <f>'UMUR 2021'!AI60</f>
        <v>1146</v>
      </c>
      <c r="X60" s="34">
        <f>'UMUR 2021'!AJ60</f>
        <v>0.20126448893572182</v>
      </c>
      <c r="Y60" s="29" t="str">
        <f>'UMUR 2021'!AK60</f>
        <v>PKR</v>
      </c>
      <c r="Z60" s="29" t="str">
        <f>'UMUR 2021'!AL60</f>
        <v>PH</v>
      </c>
      <c r="AA60" s="33">
        <f>'UMUR 2021'!AM60</f>
        <v>498</v>
      </c>
      <c r="AB60" s="34">
        <f t="shared" si="5"/>
        <v>8.7460484720758694E-2</v>
      </c>
      <c r="AC60" s="29">
        <f>'UMUR 2021'!AO60</f>
        <v>0</v>
      </c>
      <c r="AD60" s="29" t="str">
        <f>'UMUR 2021'!AP60</f>
        <v/>
      </c>
      <c r="AE60" s="33">
        <f>'UMUR 2021'!AQ60</f>
        <v>0</v>
      </c>
      <c r="AF60" s="34" t="str">
        <f>'UMUR 2021'!AR60</f>
        <v/>
      </c>
      <c r="AG60" s="29">
        <f>'UMUR 2021'!AS60</f>
        <v>0</v>
      </c>
      <c r="AH60" s="29" t="str">
        <f>'UMUR 2021'!AT60</f>
        <v/>
      </c>
      <c r="AI60" s="33">
        <f>'UMUR 2021'!AU60</f>
        <v>0</v>
      </c>
      <c r="AJ60" s="34" t="str">
        <f>'UMUR 2021'!AV60</f>
        <v/>
      </c>
      <c r="AK60" s="29">
        <f>'UMUR 2021'!AW60</f>
        <v>0</v>
      </c>
      <c r="AL60" s="29" t="str">
        <f>'UMUR 2021'!AX60</f>
        <v/>
      </c>
      <c r="AM60" s="33">
        <f>'UMUR 2021'!AY60</f>
        <v>0</v>
      </c>
      <c r="AN60" s="34" t="str">
        <f>'UMUR 2021'!AZ60</f>
        <v/>
      </c>
      <c r="AO60" s="29">
        <f>'UMUR 2021'!BA60</f>
        <v>0</v>
      </c>
      <c r="AP60" s="29" t="str">
        <f>'UMUR 2021'!BB60</f>
        <v/>
      </c>
      <c r="AQ60" s="33">
        <f>'UMUR 2021'!BC60</f>
        <v>0</v>
      </c>
      <c r="AR60" s="34" t="str">
        <f>'UMUR 2021'!BD60</f>
        <v/>
      </c>
      <c r="AS60" s="29">
        <f>'UMUR 2021'!BE60</f>
        <v>0</v>
      </c>
      <c r="AT60" s="29" t="str">
        <f>'UMUR 2021'!BF60</f>
        <v/>
      </c>
      <c r="AU60" s="33">
        <f>'UMUR 2021'!BG60</f>
        <v>0</v>
      </c>
      <c r="AV60" s="34" t="str">
        <f>'UMUR 2021'!BH60</f>
        <v/>
      </c>
    </row>
    <row r="61" spans="1:48">
      <c r="A61" s="13" t="s">
        <v>166</v>
      </c>
      <c r="B61" s="14" t="s">
        <v>168</v>
      </c>
      <c r="C61" s="37">
        <f>('ETNIK 2021'!E60+'ETNIK 2021'!M60)/'ETNIK 2021'!D60</f>
        <v>1.0313580541313937E-2</v>
      </c>
      <c r="D61" s="37">
        <f>'ETNIK 2021'!F60/'ETNIK 2021'!D60</f>
        <v>2.6409920114462859E-2</v>
      </c>
      <c r="E61" s="37">
        <f>'ETNIK 2021'!L60/'ETNIK 2021'!D60</f>
        <v>0.83724812209371646</v>
      </c>
      <c r="F61" s="37">
        <f>'ETNIK 2021'!K60/'ETNIK 2021'!D60</f>
        <v>3.4577322046023609E-3</v>
      </c>
      <c r="G61" s="37">
        <f>('ETNIK 2021'!J60+'ETNIK 2021'!N60)/'ETNIK 2021'!D60</f>
        <v>0.11958984142124716</v>
      </c>
      <c r="H61" s="37">
        <f t="shared" si="0"/>
        <v>2.9808036246572328E-3</v>
      </c>
      <c r="I61" s="13" t="str">
        <f t="shared" si="1"/>
        <v>IBAN</v>
      </c>
      <c r="J61" s="15">
        <f t="shared" si="2"/>
        <v>3588</v>
      </c>
      <c r="K61" s="15">
        <f>'UMUR 2021'!W61</f>
        <v>16681</v>
      </c>
      <c r="L61" s="16">
        <f t="shared" si="3"/>
        <v>0.72801390803908639</v>
      </c>
      <c r="M61" s="15">
        <f>'UMUR 2021'!Y61</f>
        <v>12144</v>
      </c>
      <c r="N61" s="15">
        <f>'UMUR 2021'!Z61</f>
        <v>18</v>
      </c>
      <c r="O61" s="15">
        <f>'UMUR 2021'!AA61</f>
        <v>158</v>
      </c>
      <c r="P61" s="33">
        <f t="shared" si="4"/>
        <v>11968</v>
      </c>
      <c r="Q61" s="29" t="str">
        <f>'UMUR 2021'!AC61</f>
        <v>PRS</v>
      </c>
      <c r="R61" s="29" t="str">
        <f>'UMUR 2021'!AD61</f>
        <v>GPS</v>
      </c>
      <c r="S61" s="33">
        <f>'UMUR 2021'!AE61</f>
        <v>7778</v>
      </c>
      <c r="T61" s="34">
        <f>'UMUR 2021'!AF61</f>
        <v>0.64989973262032086</v>
      </c>
      <c r="U61" s="29" t="str">
        <f>'UMUR 2021'!AG61</f>
        <v>PSB</v>
      </c>
      <c r="V61" s="29" t="str">
        <f>'UMUR 2021'!AH61</f>
        <v>PSB</v>
      </c>
      <c r="W61" s="33">
        <f>'UMUR 2021'!AI61</f>
        <v>4190</v>
      </c>
      <c r="X61" s="34">
        <f>'UMUR 2021'!AJ61</f>
        <v>0.35010026737967914</v>
      </c>
      <c r="Y61" s="29">
        <f>'UMUR 2021'!AK61</f>
        <v>0</v>
      </c>
      <c r="Z61" s="29" t="str">
        <f>'UMUR 2021'!AL61</f>
        <v/>
      </c>
      <c r="AA61" s="33">
        <f>'UMUR 2021'!AM61</f>
        <v>0</v>
      </c>
      <c r="AB61" s="34">
        <f t="shared" si="5"/>
        <v>0</v>
      </c>
      <c r="AC61" s="29">
        <f>'UMUR 2021'!AO61</f>
        <v>0</v>
      </c>
      <c r="AD61" s="29" t="str">
        <f>'UMUR 2021'!AP61</f>
        <v/>
      </c>
      <c r="AE61" s="33">
        <f>'UMUR 2021'!AQ61</f>
        <v>0</v>
      </c>
      <c r="AF61" s="34" t="str">
        <f>'UMUR 2021'!AR61</f>
        <v/>
      </c>
      <c r="AG61" s="29">
        <f>'UMUR 2021'!AS61</f>
        <v>0</v>
      </c>
      <c r="AH61" s="29" t="str">
        <f>'UMUR 2021'!AT61</f>
        <v/>
      </c>
      <c r="AI61" s="33">
        <f>'UMUR 2021'!AU61</f>
        <v>0</v>
      </c>
      <c r="AJ61" s="34" t="str">
        <f>'UMUR 2021'!AV61</f>
        <v/>
      </c>
      <c r="AK61" s="29">
        <f>'UMUR 2021'!AW61</f>
        <v>0</v>
      </c>
      <c r="AL61" s="29" t="str">
        <f>'UMUR 2021'!AX61</f>
        <v/>
      </c>
      <c r="AM61" s="33">
        <f>'UMUR 2021'!AY61</f>
        <v>0</v>
      </c>
      <c r="AN61" s="34" t="str">
        <f>'UMUR 2021'!AZ61</f>
        <v/>
      </c>
      <c r="AO61" s="29">
        <f>'UMUR 2021'!BA61</f>
        <v>0</v>
      </c>
      <c r="AP61" s="29" t="str">
        <f>'UMUR 2021'!BB61</f>
        <v/>
      </c>
      <c r="AQ61" s="33">
        <f>'UMUR 2021'!BC61</f>
        <v>0</v>
      </c>
      <c r="AR61" s="34" t="str">
        <f>'UMUR 2021'!BD61</f>
        <v/>
      </c>
      <c r="AS61" s="29">
        <f>'UMUR 2021'!BE61</f>
        <v>0</v>
      </c>
      <c r="AT61" s="29" t="str">
        <f>'UMUR 2021'!BF61</f>
        <v/>
      </c>
      <c r="AU61" s="33">
        <f>'UMUR 2021'!BG61</f>
        <v>0</v>
      </c>
      <c r="AV61" s="34" t="str">
        <f>'UMUR 2021'!BH61</f>
        <v/>
      </c>
    </row>
    <row r="62" spans="1:48">
      <c r="A62" s="13" t="s">
        <v>167</v>
      </c>
      <c r="B62" s="14" t="s">
        <v>169</v>
      </c>
      <c r="C62" s="37">
        <f>('ETNIK 2021'!E61+'ETNIK 2021'!M61)/'ETNIK 2021'!D61</f>
        <v>4.0275387263339069E-2</v>
      </c>
      <c r="D62" s="37">
        <f>'ETNIK 2021'!F61/'ETNIK 2021'!D61</f>
        <v>4.1858864027538724E-2</v>
      </c>
      <c r="E62" s="37">
        <f>'ETNIK 2021'!L61/'ETNIK 2021'!D61</f>
        <v>0.70664371772805512</v>
      </c>
      <c r="F62" s="37">
        <f>'ETNIK 2021'!K61/'ETNIK 2021'!D61</f>
        <v>3.304647160068847E-3</v>
      </c>
      <c r="G62" s="37">
        <f>('ETNIK 2021'!J61+'ETNIK 2021'!N61)/'ETNIK 2021'!D61</f>
        <v>0.19965576592082615</v>
      </c>
      <c r="H62" s="37">
        <f t="shared" si="0"/>
        <v>8.2616179001721857E-3</v>
      </c>
      <c r="I62" s="13" t="str">
        <f t="shared" si="1"/>
        <v>IBAN</v>
      </c>
      <c r="J62" s="15">
        <f t="shared" si="2"/>
        <v>1897</v>
      </c>
      <c r="K62" s="15">
        <f>'UMUR 2021'!W62</f>
        <v>14416</v>
      </c>
      <c r="L62" s="16">
        <f t="shared" si="3"/>
        <v>0.71309655937846839</v>
      </c>
      <c r="M62" s="15">
        <f>'UMUR 2021'!Y62</f>
        <v>10280</v>
      </c>
      <c r="N62" s="15">
        <f>'UMUR 2021'!Z62</f>
        <v>21</v>
      </c>
      <c r="O62" s="15">
        <f>'UMUR 2021'!AA62</f>
        <v>122</v>
      </c>
      <c r="P62" s="33">
        <f t="shared" si="4"/>
        <v>10137</v>
      </c>
      <c r="Q62" s="29" t="str">
        <f>'UMUR 2021'!AC62</f>
        <v>PRS</v>
      </c>
      <c r="R62" s="29" t="str">
        <f>'UMUR 2021'!AD62</f>
        <v>GPS</v>
      </c>
      <c r="S62" s="33">
        <f>'UMUR 2021'!AE62</f>
        <v>5307</v>
      </c>
      <c r="T62" s="34">
        <f>'UMUR 2021'!AF62</f>
        <v>0.52352767090855279</v>
      </c>
      <c r="U62" s="29" t="str">
        <f>'UMUR 2021'!AG62</f>
        <v>PSB</v>
      </c>
      <c r="V62" s="29" t="str">
        <f>'UMUR 2021'!AH62</f>
        <v>PSB</v>
      </c>
      <c r="W62" s="33">
        <f>'UMUR 2021'!AI62</f>
        <v>3410</v>
      </c>
      <c r="X62" s="34">
        <f>'UMUR 2021'!AJ62</f>
        <v>0.3363914373088685</v>
      </c>
      <c r="Y62" s="29" t="str">
        <f>'UMUR 2021'!AK62</f>
        <v>BEBAS</v>
      </c>
      <c r="Z62" s="29" t="str">
        <f>'UMUR 2021'!AL62</f>
        <v>BEBAS</v>
      </c>
      <c r="AA62" s="33">
        <f>'UMUR 2021'!AM62</f>
        <v>546</v>
      </c>
      <c r="AB62" s="34">
        <f t="shared" si="5"/>
        <v>5.3862089375554895E-2</v>
      </c>
      <c r="AC62" s="29" t="str">
        <f>'UMUR 2021'!AO62</f>
        <v>PKR</v>
      </c>
      <c r="AD62" s="29" t="str">
        <f>'UMUR 2021'!AP62</f>
        <v>PH</v>
      </c>
      <c r="AE62" s="33">
        <f>'UMUR 2021'!AQ62</f>
        <v>375</v>
      </c>
      <c r="AF62" s="34">
        <f>'UMUR 2021'!AR62</f>
        <v>3.6993193252441547E-2</v>
      </c>
      <c r="AG62" s="29" t="str">
        <f>'UMUR 2021'!AS62</f>
        <v>PBK</v>
      </c>
      <c r="AH62" s="29" t="str">
        <f>'UMUR 2021'!AT62</f>
        <v>LAIN-LAIN</v>
      </c>
      <c r="AI62" s="33">
        <f>'UMUR 2021'!AU62</f>
        <v>337</v>
      </c>
      <c r="AJ62" s="34">
        <f>'UMUR 2021'!AV62</f>
        <v>3.3244549669527473E-2</v>
      </c>
      <c r="AK62" s="29" t="str">
        <f>'UMUR 2021'!AW62</f>
        <v>BEBAS</v>
      </c>
      <c r="AL62" s="29" t="str">
        <f>'UMUR 2021'!AX62</f>
        <v>BEBAS</v>
      </c>
      <c r="AM62" s="33">
        <f>'UMUR 2021'!AY62</f>
        <v>162</v>
      </c>
      <c r="AN62" s="34">
        <f>'UMUR 2021'!AZ62</f>
        <v>1.5981059485054749E-2</v>
      </c>
      <c r="AO62" s="29">
        <f>'UMUR 2021'!BA62</f>
        <v>0</v>
      </c>
      <c r="AP62" s="29" t="str">
        <f>'UMUR 2021'!BB62</f>
        <v/>
      </c>
      <c r="AQ62" s="33">
        <f>'UMUR 2021'!BC62</f>
        <v>0</v>
      </c>
      <c r="AR62" s="34" t="str">
        <f>'UMUR 2021'!BD62</f>
        <v/>
      </c>
      <c r="AS62" s="29">
        <f>'UMUR 2021'!BE62</f>
        <v>0</v>
      </c>
      <c r="AT62" s="29" t="str">
        <f>'UMUR 2021'!BF62</f>
        <v/>
      </c>
      <c r="AU62" s="33">
        <f>'UMUR 2021'!BG62</f>
        <v>0</v>
      </c>
      <c r="AV62" s="34" t="str">
        <f>'UMUR 2021'!BH62</f>
        <v/>
      </c>
    </row>
    <row r="63" spans="1:48">
      <c r="A63" s="13" t="s">
        <v>172</v>
      </c>
      <c r="B63" s="14" t="s">
        <v>175</v>
      </c>
      <c r="C63" s="37">
        <f>('ETNIK 2021'!E62+'ETNIK 2021'!M62)/'ETNIK 2021'!D62</f>
        <v>6.2916823958726565E-3</v>
      </c>
      <c r="D63" s="37">
        <f>'ETNIK 2021'!F62/'ETNIK 2021'!D62</f>
        <v>5.5366805083679376E-3</v>
      </c>
      <c r="E63" s="37">
        <f>'ETNIK 2021'!L62/'ETNIK 2021'!D62</f>
        <v>0.77375110104441924</v>
      </c>
      <c r="F63" s="37">
        <f>'ETNIK 2021'!K62/'ETNIK 2021'!D62</f>
        <v>1.3841701270919844E-3</v>
      </c>
      <c r="G63" s="37">
        <f>('ETNIK 2021'!J62+'ETNIK 2021'!N62)/'ETNIK 2021'!D62</f>
        <v>0.21102302755756888</v>
      </c>
      <c r="H63" s="37">
        <f t="shared" si="0"/>
        <v>2.0133383666792737E-3</v>
      </c>
      <c r="I63" s="13" t="str">
        <f t="shared" si="1"/>
        <v>IBAN</v>
      </c>
      <c r="J63" s="15">
        <f t="shared" si="2"/>
        <v>1049</v>
      </c>
      <c r="K63" s="15">
        <f>'UMUR 2021'!W63</f>
        <v>7894</v>
      </c>
      <c r="L63" s="16">
        <f t="shared" si="3"/>
        <v>0.65277425893083352</v>
      </c>
      <c r="M63" s="15">
        <f>'UMUR 2021'!Y63</f>
        <v>5153</v>
      </c>
      <c r="N63" s="15">
        <f>'UMUR 2021'!Z63</f>
        <v>13</v>
      </c>
      <c r="O63" s="15">
        <f>'UMUR 2021'!AA63</f>
        <v>89</v>
      </c>
      <c r="P63" s="33">
        <f t="shared" si="4"/>
        <v>5051</v>
      </c>
      <c r="Q63" s="29" t="str">
        <f>'UMUR 2021'!AC63</f>
        <v>PRS</v>
      </c>
      <c r="R63" s="29" t="str">
        <f>'UMUR 2021'!AD63</f>
        <v>GPS</v>
      </c>
      <c r="S63" s="33">
        <f>'UMUR 2021'!AE63</f>
        <v>2843</v>
      </c>
      <c r="T63" s="34">
        <f>'UMUR 2021'!AF63</f>
        <v>0.56285883983369633</v>
      </c>
      <c r="U63" s="29" t="str">
        <f>'UMUR 2021'!AG63</f>
        <v>PSB</v>
      </c>
      <c r="V63" s="29" t="str">
        <f>'UMUR 2021'!AH63</f>
        <v>PSB</v>
      </c>
      <c r="W63" s="33">
        <f>'UMUR 2021'!AI63</f>
        <v>1794</v>
      </c>
      <c r="X63" s="34">
        <f>'UMUR 2021'!AJ63</f>
        <v>0.35517719263512176</v>
      </c>
      <c r="Y63" s="29" t="str">
        <f>'UMUR 2021'!AK63</f>
        <v>DAP</v>
      </c>
      <c r="Z63" s="29" t="str">
        <f>'UMUR 2021'!AL63</f>
        <v>PH</v>
      </c>
      <c r="AA63" s="33">
        <f>'UMUR 2021'!AM63</f>
        <v>250</v>
      </c>
      <c r="AB63" s="34">
        <f t="shared" si="5"/>
        <v>4.9495149475351413E-2</v>
      </c>
      <c r="AC63" s="29" t="str">
        <f>'UMUR 2021'!AO63</f>
        <v>PBK</v>
      </c>
      <c r="AD63" s="29" t="str">
        <f>'UMUR 2021'!AP63</f>
        <v>LAIN-LAIN</v>
      </c>
      <c r="AE63" s="33">
        <f>'UMUR 2021'!AQ63</f>
        <v>88</v>
      </c>
      <c r="AF63" s="34">
        <f>'UMUR 2021'!AR63</f>
        <v>1.7422292615323697E-2</v>
      </c>
      <c r="AG63" s="29" t="str">
        <f>'UMUR 2021'!AS63</f>
        <v>PBDSB</v>
      </c>
      <c r="AH63" s="29" t="str">
        <f>'UMUR 2021'!AT63</f>
        <v>LAIN-LAIN</v>
      </c>
      <c r="AI63" s="33">
        <f>'UMUR 2021'!AU63</f>
        <v>76</v>
      </c>
      <c r="AJ63" s="34">
        <f>'UMUR 2021'!AV63</f>
        <v>1.504652544050683E-2</v>
      </c>
      <c r="AK63" s="29">
        <f>'UMUR 2021'!AW63</f>
        <v>0</v>
      </c>
      <c r="AL63" s="29" t="str">
        <f>'UMUR 2021'!AX63</f>
        <v/>
      </c>
      <c r="AM63" s="33">
        <f>'UMUR 2021'!AY63</f>
        <v>0</v>
      </c>
      <c r="AN63" s="34" t="str">
        <f>'UMUR 2021'!AZ63</f>
        <v/>
      </c>
      <c r="AO63" s="29">
        <f>'UMUR 2021'!BA63</f>
        <v>0</v>
      </c>
      <c r="AP63" s="29" t="str">
        <f>'UMUR 2021'!BB63</f>
        <v/>
      </c>
      <c r="AQ63" s="33">
        <f>'UMUR 2021'!BC63</f>
        <v>0</v>
      </c>
      <c r="AR63" s="34" t="str">
        <f>'UMUR 2021'!BD63</f>
        <v/>
      </c>
      <c r="AS63" s="29">
        <f>'UMUR 2021'!BE63</f>
        <v>0</v>
      </c>
      <c r="AT63" s="29" t="str">
        <f>'UMUR 2021'!BF63</f>
        <v/>
      </c>
      <c r="AU63" s="33">
        <f>'UMUR 2021'!BG63</f>
        <v>0</v>
      </c>
      <c r="AV63" s="34" t="str">
        <f>'UMUR 2021'!BH63</f>
        <v/>
      </c>
    </row>
    <row r="64" spans="1:48">
      <c r="A64" s="13" t="s">
        <v>173</v>
      </c>
      <c r="B64" s="14" t="s">
        <v>176</v>
      </c>
      <c r="C64" s="37">
        <f>('ETNIK 2021'!E63+'ETNIK 2021'!M63)/'ETNIK 2021'!D63</f>
        <v>3.5142264933107216E-2</v>
      </c>
      <c r="D64" s="37">
        <f>'ETNIK 2021'!F63/'ETNIK 2021'!D63</f>
        <v>4.6448087431693992E-2</v>
      </c>
      <c r="E64" s="37">
        <f>'ETNIK 2021'!L63/'ETNIK 2021'!D63</f>
        <v>0.73808177878273973</v>
      </c>
      <c r="F64" s="37">
        <f>'ETNIK 2021'!K63/'ETNIK 2021'!D63</f>
        <v>2.7322404371584699E-3</v>
      </c>
      <c r="G64" s="37">
        <f>('ETNIK 2021'!J63+'ETNIK 2021'!N63)/'ETNIK 2021'!D63</f>
        <v>0.17307329941586583</v>
      </c>
      <c r="H64" s="37">
        <f t="shared" si="0"/>
        <v>4.5223289994346938E-3</v>
      </c>
      <c r="I64" s="13" t="str">
        <f t="shared" si="1"/>
        <v>IBAN</v>
      </c>
      <c r="J64" s="15">
        <f t="shared" si="2"/>
        <v>2997</v>
      </c>
      <c r="K64" s="15">
        <f>'UMUR 2021'!W64</f>
        <v>10530</v>
      </c>
      <c r="L64" s="16">
        <f t="shared" si="3"/>
        <v>0.6295346628679962</v>
      </c>
      <c r="M64" s="15">
        <f>'UMUR 2021'!Y64</f>
        <v>6629</v>
      </c>
      <c r="N64" s="15">
        <f>'UMUR 2021'!Z64</f>
        <v>24</v>
      </c>
      <c r="O64" s="15">
        <f>'UMUR 2021'!AA64</f>
        <v>109</v>
      </c>
      <c r="P64" s="33">
        <f t="shared" si="4"/>
        <v>6496</v>
      </c>
      <c r="Q64" s="29" t="str">
        <f>'UMUR 2021'!AC64</f>
        <v>PBB</v>
      </c>
      <c r="R64" s="29" t="str">
        <f>'UMUR 2021'!AD64</f>
        <v>GPS</v>
      </c>
      <c r="S64" s="33">
        <f>'UMUR 2021'!AE64</f>
        <v>4198</v>
      </c>
      <c r="T64" s="34">
        <f>'UMUR 2021'!AF64</f>
        <v>0.64624384236453203</v>
      </c>
      <c r="U64" s="29" t="str">
        <f>'UMUR 2021'!AG64</f>
        <v>PSB</v>
      </c>
      <c r="V64" s="29" t="str">
        <f>'UMUR 2021'!AH64</f>
        <v>PSB</v>
      </c>
      <c r="W64" s="33">
        <f>'UMUR 2021'!AI64</f>
        <v>1201</v>
      </c>
      <c r="X64" s="34">
        <f>'UMUR 2021'!AJ64</f>
        <v>0.18488300492610837</v>
      </c>
      <c r="Y64" s="29" t="str">
        <f>'UMUR 2021'!AK64</f>
        <v>PKR</v>
      </c>
      <c r="Z64" s="29" t="str">
        <f>'UMUR 2021'!AL64</f>
        <v>PH</v>
      </c>
      <c r="AA64" s="33">
        <f>'UMUR 2021'!AM64</f>
        <v>763</v>
      </c>
      <c r="AB64" s="34">
        <f t="shared" si="5"/>
        <v>0.11745689655172414</v>
      </c>
      <c r="AC64" s="29" t="str">
        <f>'UMUR 2021'!AO64</f>
        <v>PBK</v>
      </c>
      <c r="AD64" s="29" t="str">
        <f>'UMUR 2021'!AP64</f>
        <v>LAIN-LAIN</v>
      </c>
      <c r="AE64" s="33">
        <f>'UMUR 2021'!AQ64</f>
        <v>149</v>
      </c>
      <c r="AF64" s="34">
        <f>'UMUR 2021'!AR64</f>
        <v>2.2937192118226601E-2</v>
      </c>
      <c r="AG64" s="29" t="str">
        <f>'UMUR 2021'!AS64</f>
        <v>BEBAS</v>
      </c>
      <c r="AH64" s="29" t="str">
        <f>'UMUR 2021'!AT64</f>
        <v>BEBAS</v>
      </c>
      <c r="AI64" s="33">
        <f>'UMUR 2021'!AU64</f>
        <v>123</v>
      </c>
      <c r="AJ64" s="34">
        <f>'UMUR 2021'!AV64</f>
        <v>1.893472906403941E-2</v>
      </c>
      <c r="AK64" s="29" t="str">
        <f>'UMUR 2021'!AW64</f>
        <v>PBDSB</v>
      </c>
      <c r="AL64" s="29" t="str">
        <f>'UMUR 2021'!AX64</f>
        <v>LAIN-LAIN</v>
      </c>
      <c r="AM64" s="33">
        <f>'UMUR 2021'!AY64</f>
        <v>62</v>
      </c>
      <c r="AN64" s="34">
        <f>'UMUR 2021'!AZ64</f>
        <v>9.5443349753694586E-3</v>
      </c>
      <c r="AO64" s="29">
        <f>'UMUR 2021'!BA64</f>
        <v>0</v>
      </c>
      <c r="AP64" s="29" t="str">
        <f>'UMUR 2021'!BB64</f>
        <v/>
      </c>
      <c r="AQ64" s="33">
        <f>'UMUR 2021'!BC64</f>
        <v>0</v>
      </c>
      <c r="AR64" s="34" t="str">
        <f>'UMUR 2021'!BD64</f>
        <v/>
      </c>
      <c r="AS64" s="29">
        <f>'UMUR 2021'!BE64</f>
        <v>0</v>
      </c>
      <c r="AT64" s="29" t="str">
        <f>'UMUR 2021'!BF64</f>
        <v/>
      </c>
      <c r="AU64" s="33">
        <f>'UMUR 2021'!BG64</f>
        <v>0</v>
      </c>
      <c r="AV64" s="34" t="str">
        <f>'UMUR 2021'!BH64</f>
        <v/>
      </c>
    </row>
    <row r="65" spans="1:48">
      <c r="A65" s="13" t="s">
        <v>174</v>
      </c>
      <c r="B65" s="14" t="s">
        <v>177</v>
      </c>
      <c r="C65" s="37">
        <f>('ETNIK 2021'!E64+'ETNIK 2021'!M64)/'ETNIK 2021'!D64</f>
        <v>5.4960333687740247E-2</v>
      </c>
      <c r="D65" s="37">
        <f>'ETNIK 2021'!F64/'ETNIK 2021'!D64</f>
        <v>0.18336468471415721</v>
      </c>
      <c r="E65" s="37">
        <f>'ETNIK 2021'!L64/'ETNIK 2021'!D64</f>
        <v>0.57659278645620349</v>
      </c>
      <c r="F65" s="37">
        <f>'ETNIK 2021'!K64/'ETNIK 2021'!D64</f>
        <v>2.4535863253455467E-3</v>
      </c>
      <c r="G65" s="37">
        <f>('ETNIK 2021'!J64+'ETNIK 2021'!N64)/'ETNIK 2021'!D64</f>
        <v>0.17804858100924184</v>
      </c>
      <c r="H65" s="37">
        <f t="shared" si="0"/>
        <v>4.5800278073116762E-3</v>
      </c>
      <c r="I65" s="13" t="str">
        <f t="shared" si="1"/>
        <v>IBAN</v>
      </c>
      <c r="J65" s="15">
        <f t="shared" si="2"/>
        <v>3538</v>
      </c>
      <c r="K65" s="15">
        <f>'UMUR 2021'!W65</f>
        <v>12150</v>
      </c>
      <c r="L65" s="16">
        <f t="shared" si="3"/>
        <v>0.52510288065843624</v>
      </c>
      <c r="M65" s="15">
        <f>'UMUR 2021'!Y65</f>
        <v>6380</v>
      </c>
      <c r="N65" s="15">
        <f>'UMUR 2021'!Z65</f>
        <v>56</v>
      </c>
      <c r="O65" s="15">
        <f>'UMUR 2021'!AA65</f>
        <v>111</v>
      </c>
      <c r="P65" s="33">
        <f t="shared" si="4"/>
        <v>6213</v>
      </c>
      <c r="Q65" s="29" t="str">
        <f>'UMUR 2021'!AC65</f>
        <v>PBB</v>
      </c>
      <c r="R65" s="29" t="str">
        <f>'UMUR 2021'!AD65</f>
        <v>GPS</v>
      </c>
      <c r="S65" s="33">
        <f>'UMUR 2021'!AE65</f>
        <v>4253</v>
      </c>
      <c r="T65" s="34">
        <f>'UMUR 2021'!AF65</f>
        <v>0.68453243199742475</v>
      </c>
      <c r="U65" s="29" t="str">
        <f>'UMUR 2021'!AG65</f>
        <v>DAP</v>
      </c>
      <c r="V65" s="29" t="str">
        <f>'UMUR 2021'!AH65</f>
        <v>PH</v>
      </c>
      <c r="W65" s="33">
        <f>'UMUR 2021'!AI65</f>
        <v>715</v>
      </c>
      <c r="X65" s="34">
        <f>'UMUR 2021'!AJ65</f>
        <v>0.1150812811846129</v>
      </c>
      <c r="Y65" s="29" t="str">
        <f>'UMUR 2021'!AK65</f>
        <v>PSB</v>
      </c>
      <c r="Z65" s="29" t="str">
        <f>'UMUR 2021'!AL65</f>
        <v>PSB</v>
      </c>
      <c r="AA65" s="33">
        <f>'UMUR 2021'!AM65</f>
        <v>689</v>
      </c>
      <c r="AB65" s="34">
        <f t="shared" si="5"/>
        <v>0.11089650732335425</v>
      </c>
      <c r="AC65" s="29" t="str">
        <f>'UMUR 2021'!AO65</f>
        <v>PBK</v>
      </c>
      <c r="AD65" s="29" t="str">
        <f>'UMUR 2021'!AP65</f>
        <v>LAIN-LAIN</v>
      </c>
      <c r="AE65" s="33">
        <f>'UMUR 2021'!AQ65</f>
        <v>297</v>
      </c>
      <c r="AF65" s="34">
        <f>'UMUR 2021'!AR65</f>
        <v>4.7802993722839207E-2</v>
      </c>
      <c r="AG65" s="29" t="str">
        <f>'UMUR 2021'!AS65</f>
        <v>PBDSB</v>
      </c>
      <c r="AH65" s="29" t="str">
        <f>'UMUR 2021'!AT65</f>
        <v>LAIN-LAIN</v>
      </c>
      <c r="AI65" s="33">
        <f>'UMUR 2021'!AU65</f>
        <v>259</v>
      </c>
      <c r="AJ65" s="34">
        <f>'UMUR 2021'!AV65</f>
        <v>4.1686785771768875E-2</v>
      </c>
      <c r="AK65" s="29">
        <f>'UMUR 2021'!AW65</f>
        <v>0</v>
      </c>
      <c r="AL65" s="29" t="str">
        <f>'UMUR 2021'!AX65</f>
        <v/>
      </c>
      <c r="AM65" s="33">
        <f>'UMUR 2021'!AY65</f>
        <v>0</v>
      </c>
      <c r="AN65" s="34" t="str">
        <f>'UMUR 2021'!AZ65</f>
        <v/>
      </c>
      <c r="AO65" s="29">
        <f>'UMUR 2021'!BA65</f>
        <v>0</v>
      </c>
      <c r="AP65" s="29" t="str">
        <f>'UMUR 2021'!BB65</f>
        <v/>
      </c>
      <c r="AQ65" s="33">
        <f>'UMUR 2021'!BC65</f>
        <v>0</v>
      </c>
      <c r="AR65" s="34" t="str">
        <f>'UMUR 2021'!BD65</f>
        <v/>
      </c>
      <c r="AS65" s="29">
        <f>'UMUR 2021'!BE65</f>
        <v>0</v>
      </c>
      <c r="AT65" s="29" t="str">
        <f>'UMUR 2021'!BF65</f>
        <v/>
      </c>
      <c r="AU65" s="33">
        <f>'UMUR 2021'!BG65</f>
        <v>0</v>
      </c>
      <c r="AV65" s="34" t="str">
        <f>'UMUR 2021'!BH65</f>
        <v/>
      </c>
    </row>
    <row r="66" spans="1:48">
      <c r="A66" s="13" t="s">
        <v>180</v>
      </c>
      <c r="B66" s="14" t="s">
        <v>183</v>
      </c>
      <c r="C66" s="37">
        <f>('ETNIK 2021'!E65+'ETNIK 2021'!M65)/'ETNIK 2021'!D65</f>
        <v>2.7381185214159984E-3</v>
      </c>
      <c r="D66" s="37">
        <f>'ETNIK 2021'!F65/'ETNIK 2021'!D65</f>
        <v>4.7917074124779972E-3</v>
      </c>
      <c r="E66" s="37">
        <f>'ETNIK 2021'!L65/'ETNIK 2021'!D65</f>
        <v>0.78476432622726389</v>
      </c>
      <c r="F66" s="37">
        <f>'ETNIK 2021'!K65/'ETNIK 2021'!D65</f>
        <v>8.8010952474085668E-4</v>
      </c>
      <c r="G66" s="37">
        <f>('ETNIK 2021'!J65+'ETNIK 2021'!N65)/'ETNIK 2021'!D65</f>
        <v>0.20389203989829846</v>
      </c>
      <c r="H66" s="37">
        <f t="shared" si="0"/>
        <v>2.9336984158027379E-3</v>
      </c>
      <c r="I66" s="13" t="str">
        <f t="shared" si="1"/>
        <v>IBAN</v>
      </c>
      <c r="J66" s="15">
        <f t="shared" si="2"/>
        <v>1909</v>
      </c>
      <c r="K66" s="15">
        <f>'UMUR 2021'!W66</f>
        <v>10137</v>
      </c>
      <c r="L66" s="16">
        <f t="shared" si="3"/>
        <v>0.57531814146197102</v>
      </c>
      <c r="M66" s="15">
        <f>'UMUR 2021'!Y66</f>
        <v>5832</v>
      </c>
      <c r="N66" s="15">
        <f>'UMUR 2021'!Z66</f>
        <v>17</v>
      </c>
      <c r="O66" s="15">
        <f>'UMUR 2021'!AA66</f>
        <v>90</v>
      </c>
      <c r="P66" s="33">
        <f t="shared" si="4"/>
        <v>5725</v>
      </c>
      <c r="Q66" s="29" t="str">
        <f>'UMUR 2021'!AC66</f>
        <v>PRS</v>
      </c>
      <c r="R66" s="29" t="str">
        <f>'UMUR 2021'!AD66</f>
        <v>GPS</v>
      </c>
      <c r="S66" s="33">
        <f>'UMUR 2021'!AE66</f>
        <v>3541</v>
      </c>
      <c r="T66" s="34">
        <f>'UMUR 2021'!AF66</f>
        <v>0.61851528384279475</v>
      </c>
      <c r="U66" s="29" t="str">
        <f>'UMUR 2021'!AG66</f>
        <v>PSB</v>
      </c>
      <c r="V66" s="29" t="str">
        <f>'UMUR 2021'!AH66</f>
        <v>PSB</v>
      </c>
      <c r="W66" s="33">
        <f>'UMUR 2021'!AI66</f>
        <v>1632</v>
      </c>
      <c r="X66" s="34">
        <f>'UMUR 2021'!AJ66</f>
        <v>0.28506550218340609</v>
      </c>
      <c r="Y66" s="29" t="str">
        <f>'UMUR 2021'!AK66</f>
        <v>DAP</v>
      </c>
      <c r="Z66" s="29" t="str">
        <f>'UMUR 2021'!AL66</f>
        <v>PH</v>
      </c>
      <c r="AA66" s="33">
        <f>'UMUR 2021'!AM66</f>
        <v>470</v>
      </c>
      <c r="AB66" s="34">
        <f t="shared" si="5"/>
        <v>8.2096069868995633E-2</v>
      </c>
      <c r="AC66" s="29" t="str">
        <f>'UMUR 2021'!AO66</f>
        <v>PBK</v>
      </c>
      <c r="AD66" s="29" t="str">
        <f>'UMUR 2021'!AP66</f>
        <v>LAIN-LAIN</v>
      </c>
      <c r="AE66" s="33">
        <f>'UMUR 2021'!AQ66</f>
        <v>82</v>
      </c>
      <c r="AF66" s="34">
        <f>'UMUR 2021'!AR66</f>
        <v>1.4323144104803493E-2</v>
      </c>
      <c r="AG66" s="29">
        <f>'UMUR 2021'!AS66</f>
        <v>0</v>
      </c>
      <c r="AH66" s="29" t="str">
        <f>'UMUR 2021'!AT66</f>
        <v/>
      </c>
      <c r="AI66" s="33">
        <f>'UMUR 2021'!AU66</f>
        <v>0</v>
      </c>
      <c r="AJ66" s="34" t="str">
        <f>'UMUR 2021'!AV66</f>
        <v/>
      </c>
      <c r="AK66" s="29">
        <f>'UMUR 2021'!AW66</f>
        <v>0</v>
      </c>
      <c r="AL66" s="29" t="str">
        <f>'UMUR 2021'!AX66</f>
        <v/>
      </c>
      <c r="AM66" s="33">
        <f>'UMUR 2021'!AY66</f>
        <v>0</v>
      </c>
      <c r="AN66" s="34" t="str">
        <f>'UMUR 2021'!AZ66</f>
        <v/>
      </c>
      <c r="AO66" s="29">
        <f>'UMUR 2021'!BA66</f>
        <v>0</v>
      </c>
      <c r="AP66" s="29" t="str">
        <f>'UMUR 2021'!BB66</f>
        <v/>
      </c>
      <c r="AQ66" s="33">
        <f>'UMUR 2021'!BC66</f>
        <v>0</v>
      </c>
      <c r="AR66" s="34" t="str">
        <f>'UMUR 2021'!BD66</f>
        <v/>
      </c>
      <c r="AS66" s="29">
        <f>'UMUR 2021'!BE66</f>
        <v>0</v>
      </c>
      <c r="AT66" s="29" t="str">
        <f>'UMUR 2021'!BF66</f>
        <v/>
      </c>
      <c r="AU66" s="33">
        <f>'UMUR 2021'!BG66</f>
        <v>0</v>
      </c>
      <c r="AV66" s="34" t="str">
        <f>'UMUR 2021'!BH66</f>
        <v/>
      </c>
    </row>
    <row r="67" spans="1:48">
      <c r="A67" s="13" t="s">
        <v>181</v>
      </c>
      <c r="B67" s="14" t="s">
        <v>184</v>
      </c>
      <c r="C67" s="37">
        <f>('ETNIK 2021'!E66+'ETNIK 2021'!M66)/'ETNIK 2021'!D66</f>
        <v>3.6926519955240579E-2</v>
      </c>
      <c r="D67" s="37">
        <f>'ETNIK 2021'!F66/'ETNIK 2021'!D66</f>
        <v>3.2201914708442123E-2</v>
      </c>
      <c r="E67" s="37">
        <f>'ETNIK 2021'!L66/'ETNIK 2021'!D66</f>
        <v>0.2009200547059555</v>
      </c>
      <c r="F67" s="37">
        <f>'ETNIK 2021'!K66/'ETNIK 2021'!D66</f>
        <v>2.6109660574412533E-3</v>
      </c>
      <c r="G67" s="37">
        <f>('ETNIK 2021'!J66+'ETNIK 2021'!N66)/'ETNIK 2021'!D66</f>
        <v>0.71441004600273528</v>
      </c>
      <c r="H67" s="37">
        <f t="shared" si="0"/>
        <v>1.2930498570185245E-2</v>
      </c>
      <c r="I67" s="13" t="str">
        <f t="shared" si="1"/>
        <v>ORANG ULU</v>
      </c>
      <c r="J67" s="15">
        <f t="shared" si="2"/>
        <v>2245</v>
      </c>
      <c r="K67" s="15">
        <f>'UMUR 2021'!W67</f>
        <v>8003</v>
      </c>
      <c r="L67" s="16">
        <f t="shared" si="3"/>
        <v>0.63676121454454582</v>
      </c>
      <c r="M67" s="15">
        <f>'UMUR 2021'!Y67</f>
        <v>5096</v>
      </c>
      <c r="N67" s="15">
        <f>'UMUR 2021'!Z67</f>
        <v>19</v>
      </c>
      <c r="O67" s="15">
        <f>'UMUR 2021'!AA67</f>
        <v>40</v>
      </c>
      <c r="P67" s="33">
        <f t="shared" si="4"/>
        <v>5037</v>
      </c>
      <c r="Q67" s="29" t="str">
        <f>'UMUR 2021'!AC67</f>
        <v>PRS</v>
      </c>
      <c r="R67" s="29" t="str">
        <f>'UMUR 2021'!AD67</f>
        <v>GPS</v>
      </c>
      <c r="S67" s="33">
        <f>'UMUR 2021'!AE67</f>
        <v>3552</v>
      </c>
      <c r="T67" s="34">
        <f>'UMUR 2021'!AF67</f>
        <v>0.70518165574746872</v>
      </c>
      <c r="U67" s="29" t="str">
        <f>'UMUR 2021'!AG67</f>
        <v>PSB</v>
      </c>
      <c r="V67" s="29" t="str">
        <f>'UMUR 2021'!AH67</f>
        <v>PSB</v>
      </c>
      <c r="W67" s="33">
        <f>'UMUR 2021'!AI67</f>
        <v>1307</v>
      </c>
      <c r="X67" s="34">
        <f>'UMUR 2021'!AJ67</f>
        <v>0.2594798491165376</v>
      </c>
      <c r="Y67" s="29" t="str">
        <f>'UMUR 2021'!AK67</f>
        <v>PBK</v>
      </c>
      <c r="Z67" s="29" t="str">
        <f>'UMUR 2021'!AL67</f>
        <v>LAIN-LAIN</v>
      </c>
      <c r="AA67" s="33">
        <f>'UMUR 2021'!AM67</f>
        <v>97</v>
      </c>
      <c r="AB67" s="34">
        <f t="shared" si="5"/>
        <v>1.9257494540401033E-2</v>
      </c>
      <c r="AC67" s="29" t="str">
        <f>'UMUR 2021'!AO67</f>
        <v>BEBAS</v>
      </c>
      <c r="AD67" s="29" t="str">
        <f>'UMUR 2021'!AP67</f>
        <v>BEBAS</v>
      </c>
      <c r="AE67" s="33">
        <f>'UMUR 2021'!AQ67</f>
        <v>81</v>
      </c>
      <c r="AF67" s="34">
        <f>'UMUR 2021'!AR67</f>
        <v>1.6081000595592615E-2</v>
      </c>
      <c r="AG67" s="29">
        <f>'UMUR 2021'!AS67</f>
        <v>0</v>
      </c>
      <c r="AH67" s="29" t="str">
        <f>'UMUR 2021'!AT67</f>
        <v/>
      </c>
      <c r="AI67" s="33">
        <f>'UMUR 2021'!AU67</f>
        <v>0</v>
      </c>
      <c r="AJ67" s="34" t="str">
        <f>'UMUR 2021'!AV67</f>
        <v/>
      </c>
      <c r="AK67" s="29">
        <f>'UMUR 2021'!AW67</f>
        <v>0</v>
      </c>
      <c r="AL67" s="29" t="str">
        <f>'UMUR 2021'!AX67</f>
        <v/>
      </c>
      <c r="AM67" s="33">
        <f>'UMUR 2021'!AY67</f>
        <v>0</v>
      </c>
      <c r="AN67" s="34" t="str">
        <f>'UMUR 2021'!AZ67</f>
        <v/>
      </c>
      <c r="AO67" s="29">
        <f>'UMUR 2021'!BA67</f>
        <v>0</v>
      </c>
      <c r="AP67" s="29" t="str">
        <f>'UMUR 2021'!BB67</f>
        <v/>
      </c>
      <c r="AQ67" s="33">
        <f>'UMUR 2021'!BC67</f>
        <v>0</v>
      </c>
      <c r="AR67" s="34" t="str">
        <f>'UMUR 2021'!BD67</f>
        <v/>
      </c>
      <c r="AS67" s="29">
        <f>'UMUR 2021'!BE67</f>
        <v>0</v>
      </c>
      <c r="AT67" s="29" t="str">
        <f>'UMUR 2021'!BF67</f>
        <v/>
      </c>
      <c r="AU67" s="33">
        <f>'UMUR 2021'!BG67</f>
        <v>0</v>
      </c>
      <c r="AV67" s="34" t="str">
        <f>'UMUR 2021'!BH67</f>
        <v/>
      </c>
    </row>
    <row r="68" spans="1:48">
      <c r="A68" s="13" t="s">
        <v>182</v>
      </c>
      <c r="B68" s="14" t="s">
        <v>185</v>
      </c>
      <c r="C68" s="37">
        <f>('ETNIK 2021'!E67+'ETNIK 2021'!M67)/'ETNIK 2021'!D67</f>
        <v>8.3938990684819335E-3</v>
      </c>
      <c r="D68" s="37">
        <f>'ETNIK 2021'!F67/'ETNIK 2021'!D67</f>
        <v>1.5354693417954755E-2</v>
      </c>
      <c r="E68" s="37">
        <f>'ETNIK 2021'!L67/'ETNIK 2021'!D67</f>
        <v>0.18353976865595251</v>
      </c>
      <c r="F68" s="37">
        <f>'ETNIK 2021'!K67/'ETNIK 2021'!D67</f>
        <v>3.6851264203091412E-3</v>
      </c>
      <c r="G68" s="37">
        <f>('ETNIK 2021'!J67+'ETNIK 2021'!N67)/'ETNIK 2021'!D67</f>
        <v>0.7812468011055379</v>
      </c>
      <c r="H68" s="37">
        <f t="shared" ref="H68:H84" si="6">1-C68-D68-E68-F68-G68</f>
        <v>7.7797113317636946E-3</v>
      </c>
      <c r="I68" s="13" t="str">
        <f t="shared" ref="I68:I86" si="7">IF(C68&gt;0.5,"MELAYU / MELANAU",IF(D68&gt;0.5,"CINA",IF(E68&gt;0.5,"IBAN",IF(F68&gt;0.5,"BIDAYUH",IF(G68&gt;0.5,"ORANG ULU",IF(H68&gt;0.5,"LAIN-LAIN","MIXED"))))))</f>
        <v>ORANG ULU</v>
      </c>
      <c r="J68" s="15">
        <f t="shared" ref="J68:J84" si="8">S68-W68</f>
        <v>2919</v>
      </c>
      <c r="K68" s="15">
        <f>'UMUR 2021'!W68</f>
        <v>9738</v>
      </c>
      <c r="L68" s="16">
        <f t="shared" ref="L68:L84" si="9">M68/K68</f>
        <v>0.71944957896898742</v>
      </c>
      <c r="M68" s="15">
        <f>'UMUR 2021'!Y68</f>
        <v>7006</v>
      </c>
      <c r="N68" s="15">
        <f>'UMUR 2021'!Z68</f>
        <v>18</v>
      </c>
      <c r="O68" s="15">
        <f>'UMUR 2021'!AA68</f>
        <v>67</v>
      </c>
      <c r="P68" s="33">
        <f t="shared" ref="P68:P84" si="10">M68-N68-O68</f>
        <v>6921</v>
      </c>
      <c r="Q68" s="29" t="str">
        <f>'UMUR 2021'!AC68</f>
        <v>PRS</v>
      </c>
      <c r="R68" s="29" t="str">
        <f>'UMUR 2021'!AD68</f>
        <v>GPS</v>
      </c>
      <c r="S68" s="33">
        <f>'UMUR 2021'!AE68</f>
        <v>4584</v>
      </c>
      <c r="T68" s="34">
        <f>'UMUR 2021'!AF68</f>
        <v>0.6623320329432163</v>
      </c>
      <c r="U68" s="29" t="str">
        <f>'UMUR 2021'!AG68</f>
        <v>PSB</v>
      </c>
      <c r="V68" s="29" t="str">
        <f>'UMUR 2021'!AH68</f>
        <v>PSB</v>
      </c>
      <c r="W68" s="33">
        <f>'UMUR 2021'!AI68</f>
        <v>1665</v>
      </c>
      <c r="X68" s="34">
        <f>'UMUR 2021'!AJ68</f>
        <v>0.24057217165149544</v>
      </c>
      <c r="Y68" s="29" t="str">
        <f>'UMUR 2021'!AK68</f>
        <v>PKR</v>
      </c>
      <c r="Z68" s="29" t="str">
        <f>'UMUR 2021'!AL68</f>
        <v>PH</v>
      </c>
      <c r="AA68" s="33">
        <f>'UMUR 2021'!AM68</f>
        <v>513</v>
      </c>
      <c r="AB68" s="34">
        <f t="shared" ref="AB68:AB84" si="11">IF(AA68&lt;&gt;"",AA68/P68,"")</f>
        <v>7.4122236671001304E-2</v>
      </c>
      <c r="AC68" s="29" t="str">
        <f>'UMUR 2021'!AO68</f>
        <v>PBDSB</v>
      </c>
      <c r="AD68" s="29" t="str">
        <f>'UMUR 2021'!AP68</f>
        <v>LAIN-LAIN</v>
      </c>
      <c r="AE68" s="33">
        <f>'UMUR 2021'!AQ68</f>
        <v>159</v>
      </c>
      <c r="AF68" s="34">
        <f>'UMUR 2021'!AR68</f>
        <v>2.2973558734286952E-2</v>
      </c>
      <c r="AG68" s="29">
        <f>'UMUR 2021'!AS68</f>
        <v>0</v>
      </c>
      <c r="AH68" s="29" t="str">
        <f>'UMUR 2021'!AT68</f>
        <v/>
      </c>
      <c r="AI68" s="33">
        <f>'UMUR 2021'!AU68</f>
        <v>0</v>
      </c>
      <c r="AJ68" s="34" t="str">
        <f>'UMUR 2021'!AV68</f>
        <v/>
      </c>
      <c r="AK68" s="29">
        <f>'UMUR 2021'!AW68</f>
        <v>0</v>
      </c>
      <c r="AL68" s="29" t="str">
        <f>'UMUR 2021'!AX68</f>
        <v/>
      </c>
      <c r="AM68" s="33">
        <f>'UMUR 2021'!AY68</f>
        <v>0</v>
      </c>
      <c r="AN68" s="34" t="str">
        <f>'UMUR 2021'!AZ68</f>
        <v/>
      </c>
      <c r="AO68" s="29">
        <f>'UMUR 2021'!BA68</f>
        <v>0</v>
      </c>
      <c r="AP68" s="29" t="str">
        <f>'UMUR 2021'!BB68</f>
        <v/>
      </c>
      <c r="AQ68" s="33">
        <f>'UMUR 2021'!BC68</f>
        <v>0</v>
      </c>
      <c r="AR68" s="34" t="str">
        <f>'UMUR 2021'!BD68</f>
        <v/>
      </c>
      <c r="AS68" s="29">
        <f>'UMUR 2021'!BE68</f>
        <v>0</v>
      </c>
      <c r="AT68" s="29" t="str">
        <f>'UMUR 2021'!BF68</f>
        <v/>
      </c>
      <c r="AU68" s="33">
        <f>'UMUR 2021'!BG68</f>
        <v>0</v>
      </c>
      <c r="AV68" s="34" t="str">
        <f>'UMUR 2021'!BH68</f>
        <v/>
      </c>
    </row>
    <row r="69" spans="1:48" ht="28.5">
      <c r="A69" s="13" t="s">
        <v>188</v>
      </c>
      <c r="B69" s="14" t="s">
        <v>192</v>
      </c>
      <c r="C69" s="37">
        <f>('ETNIK 2021'!E68+'ETNIK 2021'!M68)/'ETNIK 2021'!D68</f>
        <v>0.54898763418942786</v>
      </c>
      <c r="D69" s="37">
        <f>'ETNIK 2021'!F68/'ETNIK 2021'!D68</f>
        <v>6.4614757439869552E-2</v>
      </c>
      <c r="E69" s="37">
        <f>'ETNIK 2021'!L68/'ETNIK 2021'!D68</f>
        <v>0.28203560266340533</v>
      </c>
      <c r="F69" s="37">
        <f>'ETNIK 2021'!K68/'ETNIK 2021'!D68</f>
        <v>5.0958010599266206E-3</v>
      </c>
      <c r="G69" s="37">
        <f>('ETNIK 2021'!J68+'ETNIK 2021'!N68)/'ETNIK 2021'!D68</f>
        <v>9.1724419078679162E-2</v>
      </c>
      <c r="H69" s="37">
        <f t="shared" si="6"/>
        <v>7.5417855686914781E-3</v>
      </c>
      <c r="I69" s="13" t="str">
        <f t="shared" si="7"/>
        <v>MELAYU / MELANAU</v>
      </c>
      <c r="J69" s="15">
        <f t="shared" si="8"/>
        <v>4243</v>
      </c>
      <c r="K69" s="15">
        <f>'UMUR 2021'!W69</f>
        <v>14643</v>
      </c>
      <c r="L69" s="16">
        <f t="shared" si="9"/>
        <v>0.62958410161852074</v>
      </c>
      <c r="M69" s="15">
        <f>'UMUR 2021'!Y69</f>
        <v>9219</v>
      </c>
      <c r="N69" s="15">
        <f>'UMUR 2021'!Z69</f>
        <v>34</v>
      </c>
      <c r="O69" s="15">
        <f>'UMUR 2021'!AA69</f>
        <v>146</v>
      </c>
      <c r="P69" s="33">
        <f t="shared" si="10"/>
        <v>9039</v>
      </c>
      <c r="Q69" s="29" t="str">
        <f>'UMUR 2021'!AC69</f>
        <v>PBB</v>
      </c>
      <c r="R69" s="29" t="str">
        <f>'UMUR 2021'!AD69</f>
        <v>GPS</v>
      </c>
      <c r="S69" s="33">
        <f>'UMUR 2021'!AE69</f>
        <v>6277</v>
      </c>
      <c r="T69" s="34">
        <f>'UMUR 2021'!AF69</f>
        <v>0.6944352251355238</v>
      </c>
      <c r="U69" s="29" t="str">
        <f>'UMUR 2021'!AG69</f>
        <v>PSB</v>
      </c>
      <c r="V69" s="29" t="str">
        <f>'UMUR 2021'!AH69</f>
        <v>PSB</v>
      </c>
      <c r="W69" s="33">
        <f>'UMUR 2021'!AI69</f>
        <v>2034</v>
      </c>
      <c r="X69" s="34">
        <f>'UMUR 2021'!AJ69</f>
        <v>0.22502489213408564</v>
      </c>
      <c r="Y69" s="29" t="str">
        <f>'UMUR 2021'!AK69</f>
        <v>PBK</v>
      </c>
      <c r="Z69" s="29" t="str">
        <f>'UMUR 2021'!AL69</f>
        <v>LAIN-LAIN</v>
      </c>
      <c r="AA69" s="33">
        <f>'UMUR 2021'!AM69</f>
        <v>587</v>
      </c>
      <c r="AB69" s="34">
        <f t="shared" si="11"/>
        <v>6.4940812036729731E-2</v>
      </c>
      <c r="AC69" s="29" t="str">
        <f>'UMUR 2021'!AO69</f>
        <v>BEBAS</v>
      </c>
      <c r="AD69" s="29" t="str">
        <f>'UMUR 2021'!AP69</f>
        <v>BEBAS</v>
      </c>
      <c r="AE69" s="33">
        <f>'UMUR 2021'!AQ69</f>
        <v>141</v>
      </c>
      <c r="AF69" s="34">
        <f>'UMUR 2021'!AR69</f>
        <v>1.5599070693660804E-2</v>
      </c>
      <c r="AG69" s="29">
        <f>'UMUR 2021'!AS69</f>
        <v>0</v>
      </c>
      <c r="AH69" s="29" t="str">
        <f>'UMUR 2021'!AT69</f>
        <v/>
      </c>
      <c r="AI69" s="33">
        <f>'UMUR 2021'!AU69</f>
        <v>0</v>
      </c>
      <c r="AJ69" s="34" t="str">
        <f>'UMUR 2021'!AV69</f>
        <v/>
      </c>
      <c r="AK69" s="29">
        <f>'UMUR 2021'!AW69</f>
        <v>0</v>
      </c>
      <c r="AL69" s="29" t="str">
        <f>'UMUR 2021'!AX69</f>
        <v/>
      </c>
      <c r="AM69" s="33">
        <f>'UMUR 2021'!AY69</f>
        <v>0</v>
      </c>
      <c r="AN69" s="34" t="str">
        <f>'UMUR 2021'!AZ69</f>
        <v/>
      </c>
      <c r="AO69" s="29">
        <f>'UMUR 2021'!BA69</f>
        <v>0</v>
      </c>
      <c r="AP69" s="29" t="str">
        <f>'UMUR 2021'!BB69</f>
        <v/>
      </c>
      <c r="AQ69" s="33">
        <f>'UMUR 2021'!BC69</f>
        <v>0</v>
      </c>
      <c r="AR69" s="34" t="str">
        <f>'UMUR 2021'!BD69</f>
        <v/>
      </c>
      <c r="AS69" s="29">
        <f>'UMUR 2021'!BE69</f>
        <v>0</v>
      </c>
      <c r="AT69" s="29" t="str">
        <f>'UMUR 2021'!BF69</f>
        <v/>
      </c>
      <c r="AU69" s="33">
        <f>'UMUR 2021'!BG69</f>
        <v>0</v>
      </c>
      <c r="AV69" s="34" t="str">
        <f>'UMUR 2021'!BH69</f>
        <v/>
      </c>
    </row>
    <row r="70" spans="1:48">
      <c r="A70" s="13" t="s">
        <v>189</v>
      </c>
      <c r="B70" s="14" t="s">
        <v>193</v>
      </c>
      <c r="C70" s="37">
        <f>('ETNIK 2021'!E69+'ETNIK 2021'!M69)/'ETNIK 2021'!D69</f>
        <v>0.11456004208864921</v>
      </c>
      <c r="D70" s="37">
        <f>'ETNIK 2021'!F69/'ETNIK 2021'!D69</f>
        <v>0.70174054101451178</v>
      </c>
      <c r="E70" s="37">
        <f>'ETNIK 2021'!L69/'ETNIK 2021'!D69</f>
        <v>0.10110044280766364</v>
      </c>
      <c r="F70" s="37">
        <f>'ETNIK 2021'!K69/'ETNIK 2021'!D69</f>
        <v>8.3738875005480301E-3</v>
      </c>
      <c r="G70" s="37">
        <f>('ETNIK 2021'!J69+'ETNIK 2021'!N69)/'ETNIK 2021'!D69</f>
        <v>6.5982726116883689E-2</v>
      </c>
      <c r="H70" s="37">
        <f t="shared" si="6"/>
        <v>8.2423604717436344E-3</v>
      </c>
      <c r="I70" s="13" t="str">
        <f t="shared" si="7"/>
        <v>CINA</v>
      </c>
      <c r="J70" s="15">
        <f t="shared" si="8"/>
        <v>23</v>
      </c>
      <c r="K70" s="15">
        <f>'UMUR 2021'!W70</f>
        <v>22743</v>
      </c>
      <c r="L70" s="16">
        <f t="shared" si="9"/>
        <v>0.51378446115288223</v>
      </c>
      <c r="M70" s="15">
        <f>'UMUR 2021'!Y70</f>
        <v>11685</v>
      </c>
      <c r="N70" s="15">
        <f>'UMUR 2021'!Z70</f>
        <v>49</v>
      </c>
      <c r="O70" s="15">
        <f>'UMUR 2021'!AA70</f>
        <v>69</v>
      </c>
      <c r="P70" s="33">
        <f t="shared" si="10"/>
        <v>11567</v>
      </c>
      <c r="Q70" s="29" t="str">
        <f>'UMUR 2021'!AC70</f>
        <v>SUPP</v>
      </c>
      <c r="R70" s="29" t="str">
        <f>'UMUR 2021'!AD70</f>
        <v>GPS</v>
      </c>
      <c r="S70" s="33">
        <f>'UMUR 2021'!AE70</f>
        <v>4092</v>
      </c>
      <c r="T70" s="34">
        <f>'UMUR 2021'!AF70</f>
        <v>0.35376502118094577</v>
      </c>
      <c r="U70" s="29" t="str">
        <f>'UMUR 2021'!AG70</f>
        <v>DAP</v>
      </c>
      <c r="V70" s="29" t="str">
        <f>'UMUR 2021'!AH70</f>
        <v>PH</v>
      </c>
      <c r="W70" s="33">
        <f>'UMUR 2021'!AI70</f>
        <v>4069</v>
      </c>
      <c r="X70" s="34">
        <f>'UMUR 2021'!AJ70</f>
        <v>0.35177660586150256</v>
      </c>
      <c r="Y70" s="29" t="str">
        <f>'UMUR 2021'!AK70</f>
        <v>PBK</v>
      </c>
      <c r="Z70" s="29" t="str">
        <f>'UMUR 2021'!AL70</f>
        <v>LAIN-LAIN</v>
      </c>
      <c r="AA70" s="33">
        <f>'UMUR 2021'!AM70</f>
        <v>2204</v>
      </c>
      <c r="AB70" s="34">
        <f t="shared" si="11"/>
        <v>0.19054205930664822</v>
      </c>
      <c r="AC70" s="29" t="str">
        <f>'UMUR 2021'!AO70</f>
        <v>PSB</v>
      </c>
      <c r="AD70" s="29" t="str">
        <f>'UMUR 2021'!AP70</f>
        <v>PSB</v>
      </c>
      <c r="AE70" s="33">
        <f>'UMUR 2021'!AQ70</f>
        <v>1071</v>
      </c>
      <c r="AF70" s="34">
        <f>'UMUR 2021'!AR70</f>
        <v>9.2590991614074525E-2</v>
      </c>
      <c r="AG70" s="29" t="str">
        <f>'UMUR 2021'!AS70</f>
        <v>ASPIRASI</v>
      </c>
      <c r="AH70" s="29" t="str">
        <f>'UMUR 2021'!AT70</f>
        <v>LAIN-LAIN</v>
      </c>
      <c r="AI70" s="33">
        <f>'UMUR 2021'!AU70</f>
        <v>93</v>
      </c>
      <c r="AJ70" s="34">
        <f>'UMUR 2021'!AV70</f>
        <v>8.0401141177487683E-3</v>
      </c>
      <c r="AK70" s="29" t="str">
        <f>'UMUR 2021'!AW70</f>
        <v>BEBAS</v>
      </c>
      <c r="AL70" s="29" t="str">
        <f>'UMUR 2021'!AX70</f>
        <v>BEBAS</v>
      </c>
      <c r="AM70" s="33">
        <f>'UMUR 2021'!AY70</f>
        <v>38</v>
      </c>
      <c r="AN70" s="34">
        <f>'UMUR 2021'!AZ70</f>
        <v>3.2852079190801419E-3</v>
      </c>
      <c r="AO70" s="29">
        <f>'UMUR 2021'!BA70</f>
        <v>0</v>
      </c>
      <c r="AP70" s="29" t="str">
        <f>'UMUR 2021'!BB70</f>
        <v/>
      </c>
      <c r="AQ70" s="33">
        <f>'UMUR 2021'!BC70</f>
        <v>0</v>
      </c>
      <c r="AR70" s="34" t="str">
        <f>'UMUR 2021'!BD70</f>
        <v/>
      </c>
      <c r="AS70" s="29">
        <f>'UMUR 2021'!BE70</f>
        <v>0</v>
      </c>
      <c r="AT70" s="29" t="str">
        <f>'UMUR 2021'!BF70</f>
        <v/>
      </c>
      <c r="AU70" s="33">
        <f>'UMUR 2021'!BG70</f>
        <v>0</v>
      </c>
      <c r="AV70" s="34" t="str">
        <f>'UMUR 2021'!BH70</f>
        <v/>
      </c>
    </row>
    <row r="71" spans="1:48">
      <c r="A71" s="13" t="s">
        <v>190</v>
      </c>
      <c r="B71" s="14" t="s">
        <v>194</v>
      </c>
      <c r="C71" s="37">
        <f>('ETNIK 2021'!E70+'ETNIK 2021'!M70)/'ETNIK 2021'!D70</f>
        <v>6.1734409799554565E-2</v>
      </c>
      <c r="D71" s="37">
        <f>'ETNIK 2021'!F70/'ETNIK 2021'!D70</f>
        <v>3.8488307349665928E-2</v>
      </c>
      <c r="E71" s="37">
        <f>'ETNIK 2021'!L70/'ETNIK 2021'!D70</f>
        <v>0.71053730512249447</v>
      </c>
      <c r="F71" s="37">
        <f>'ETNIK 2021'!K70/'ETNIK 2021'!D70</f>
        <v>3.4103563474387529E-3</v>
      </c>
      <c r="G71" s="37">
        <f>('ETNIK 2021'!J70+'ETNIK 2021'!N70)/'ETNIK 2021'!D70</f>
        <v>0.18290645879732739</v>
      </c>
      <c r="H71" s="37">
        <f t="shared" si="6"/>
        <v>2.9231625835189068E-3</v>
      </c>
      <c r="I71" s="13" t="str">
        <f t="shared" si="7"/>
        <v>IBAN</v>
      </c>
      <c r="J71" s="15">
        <f t="shared" si="8"/>
        <v>3611</v>
      </c>
      <c r="K71" s="15">
        <f>'UMUR 2021'!W71</f>
        <v>14252</v>
      </c>
      <c r="L71" s="16">
        <f t="shared" si="9"/>
        <v>0.71954813359528491</v>
      </c>
      <c r="M71" s="15">
        <f>'UMUR 2021'!Y71</f>
        <v>10255</v>
      </c>
      <c r="N71" s="15">
        <f>'UMUR 2021'!Z71</f>
        <v>21</v>
      </c>
      <c r="O71" s="15">
        <f>'UMUR 2021'!AA71</f>
        <v>143</v>
      </c>
      <c r="P71" s="33">
        <f t="shared" si="10"/>
        <v>10091</v>
      </c>
      <c r="Q71" s="29" t="str">
        <f>'UMUR 2021'!AC71</f>
        <v>PBB</v>
      </c>
      <c r="R71" s="29" t="str">
        <f>'UMUR 2021'!AD71</f>
        <v>GPS</v>
      </c>
      <c r="S71" s="33">
        <f>'UMUR 2021'!AE71</f>
        <v>6339</v>
      </c>
      <c r="T71" s="34">
        <f>'UMUR 2021'!AF71</f>
        <v>0.62818352987810921</v>
      </c>
      <c r="U71" s="29" t="str">
        <f>'UMUR 2021'!AG71</f>
        <v>PSB</v>
      </c>
      <c r="V71" s="29" t="str">
        <f>'UMUR 2021'!AH71</f>
        <v>PSB</v>
      </c>
      <c r="W71" s="33">
        <f>'UMUR 2021'!AI71</f>
        <v>2728</v>
      </c>
      <c r="X71" s="34">
        <f>'UMUR 2021'!AJ71</f>
        <v>0.27033990684768605</v>
      </c>
      <c r="Y71" s="29" t="str">
        <f>'UMUR 2021'!AK71</f>
        <v>DAP</v>
      </c>
      <c r="Z71" s="29" t="str">
        <f>'UMUR 2021'!AL71</f>
        <v>PH</v>
      </c>
      <c r="AA71" s="33">
        <f>'UMUR 2021'!AM71</f>
        <v>399</v>
      </c>
      <c r="AB71" s="34">
        <f t="shared" si="11"/>
        <v>3.9540184322663763E-2</v>
      </c>
      <c r="AC71" s="29" t="str">
        <f>'UMUR 2021'!AO71</f>
        <v>BEBAS</v>
      </c>
      <c r="AD71" s="29" t="str">
        <f>'UMUR 2021'!AP71</f>
        <v>BEBAS</v>
      </c>
      <c r="AE71" s="33">
        <f>'UMUR 2021'!AQ71</f>
        <v>331</v>
      </c>
      <c r="AF71" s="34">
        <f>'UMUR 2021'!AR71</f>
        <v>3.28015062927361E-2</v>
      </c>
      <c r="AG71" s="29" t="str">
        <f>'UMUR 2021'!AS71</f>
        <v>PBK</v>
      </c>
      <c r="AH71" s="29" t="str">
        <f>'UMUR 2021'!AT71</f>
        <v>LAIN-LAIN</v>
      </c>
      <c r="AI71" s="33">
        <f>'UMUR 2021'!AU71</f>
        <v>294</v>
      </c>
      <c r="AJ71" s="34">
        <f>'UMUR 2021'!AV71</f>
        <v>2.9134872658804874E-2</v>
      </c>
      <c r="AK71" s="29">
        <f>'UMUR 2021'!AW71</f>
        <v>0</v>
      </c>
      <c r="AL71" s="29" t="str">
        <f>'UMUR 2021'!AX71</f>
        <v/>
      </c>
      <c r="AM71" s="33">
        <f>'UMUR 2021'!AY71</f>
        <v>0</v>
      </c>
      <c r="AN71" s="34" t="str">
        <f>'UMUR 2021'!AZ71</f>
        <v/>
      </c>
      <c r="AO71" s="29">
        <f>'UMUR 2021'!BA71</f>
        <v>0</v>
      </c>
      <c r="AP71" s="29" t="str">
        <f>'UMUR 2021'!BB71</f>
        <v/>
      </c>
      <c r="AQ71" s="33">
        <f>'UMUR 2021'!BC71</f>
        <v>0</v>
      </c>
      <c r="AR71" s="34" t="str">
        <f>'UMUR 2021'!BD71</f>
        <v/>
      </c>
      <c r="AS71" s="29">
        <f>'UMUR 2021'!BE71</f>
        <v>0</v>
      </c>
      <c r="AT71" s="29" t="str">
        <f>'UMUR 2021'!BF71</f>
        <v/>
      </c>
      <c r="AU71" s="33">
        <f>'UMUR 2021'!BG71</f>
        <v>0</v>
      </c>
      <c r="AV71" s="34" t="str">
        <f>'UMUR 2021'!BH71</f>
        <v/>
      </c>
    </row>
    <row r="72" spans="1:48">
      <c r="A72" s="13" t="s">
        <v>191</v>
      </c>
      <c r="B72" s="14" t="s">
        <v>195</v>
      </c>
      <c r="C72" s="37">
        <f>('ETNIK 2021'!E71+'ETNIK 2021'!M71)/'ETNIK 2021'!D71</f>
        <v>0.19075560476058678</v>
      </c>
      <c r="D72" s="37">
        <f>'ETNIK 2021'!F71/'ETNIK 2021'!D71</f>
        <v>0.11890395792969831</v>
      </c>
      <c r="E72" s="37">
        <f>'ETNIK 2021'!L71/'ETNIK 2021'!D71</f>
        <v>0.47960143924716303</v>
      </c>
      <c r="F72" s="37">
        <f>'ETNIK 2021'!K71/'ETNIK 2021'!D71</f>
        <v>1.8212012178245227E-2</v>
      </c>
      <c r="G72" s="37">
        <f>('ETNIK 2021'!J71+'ETNIK 2021'!N71)/'ETNIK 2021'!D71</f>
        <v>0.18095765292001106</v>
      </c>
      <c r="H72" s="37">
        <f t="shared" si="6"/>
        <v>1.1569332964295631E-2</v>
      </c>
      <c r="I72" s="13" t="str">
        <f t="shared" si="7"/>
        <v>MIXED</v>
      </c>
      <c r="J72" s="15">
        <f t="shared" si="8"/>
        <v>6043</v>
      </c>
      <c r="K72" s="15">
        <f>'UMUR 2021'!W72</f>
        <v>17981</v>
      </c>
      <c r="L72" s="16">
        <f t="shared" si="9"/>
        <v>0.6368388854902397</v>
      </c>
      <c r="M72" s="15">
        <f>'UMUR 2021'!Y72</f>
        <v>11451</v>
      </c>
      <c r="N72" s="15">
        <f>'UMUR 2021'!Z72</f>
        <v>25</v>
      </c>
      <c r="O72" s="15">
        <f>'UMUR 2021'!AA72</f>
        <v>171</v>
      </c>
      <c r="P72" s="33">
        <f t="shared" si="10"/>
        <v>11255</v>
      </c>
      <c r="Q72" s="29" t="str">
        <f>'UMUR 2021'!AC72</f>
        <v>PRS</v>
      </c>
      <c r="R72" s="29" t="str">
        <f>'UMUR 2021'!AD72</f>
        <v>GPS</v>
      </c>
      <c r="S72" s="33">
        <f>'UMUR 2021'!AE72</f>
        <v>7547</v>
      </c>
      <c r="T72" s="34">
        <f>'UMUR 2021'!AF72</f>
        <v>0.67054642381163931</v>
      </c>
      <c r="U72" s="29" t="str">
        <f>'UMUR 2021'!AG72</f>
        <v>DAP</v>
      </c>
      <c r="V72" s="29" t="str">
        <f>'UMUR 2021'!AH72</f>
        <v>PH</v>
      </c>
      <c r="W72" s="33">
        <f>'UMUR 2021'!AI72</f>
        <v>1504</v>
      </c>
      <c r="X72" s="34">
        <f>'UMUR 2021'!AJ72</f>
        <v>0.1336294980008885</v>
      </c>
      <c r="Y72" s="29" t="str">
        <f>'UMUR 2021'!AK72</f>
        <v>PSB</v>
      </c>
      <c r="Z72" s="29" t="str">
        <f>'UMUR 2021'!AL72</f>
        <v>PSB</v>
      </c>
      <c r="AA72" s="33">
        <f>'UMUR 2021'!AM72</f>
        <v>1496</v>
      </c>
      <c r="AB72" s="34">
        <f t="shared" si="11"/>
        <v>0.13291870279875612</v>
      </c>
      <c r="AC72" s="29" t="str">
        <f>'UMUR 2021'!AO72</f>
        <v>PBK</v>
      </c>
      <c r="AD72" s="29" t="str">
        <f>'UMUR 2021'!AP72</f>
        <v>LAIN-LAIN</v>
      </c>
      <c r="AE72" s="33">
        <f>'UMUR 2021'!AQ72</f>
        <v>509</v>
      </c>
      <c r="AF72" s="34">
        <f>'UMUR 2021'!AR72</f>
        <v>4.5224344735673036E-2</v>
      </c>
      <c r="AG72" s="29" t="str">
        <f>'UMUR 2021'!AS72</f>
        <v>PBDSB</v>
      </c>
      <c r="AH72" s="29" t="str">
        <f>'UMUR 2021'!AT72</f>
        <v>LAIN-LAIN</v>
      </c>
      <c r="AI72" s="33">
        <f>'UMUR 2021'!AU72</f>
        <v>199</v>
      </c>
      <c r="AJ72" s="34">
        <f>'UMUR 2021'!AV72</f>
        <v>1.7681030653043092E-2</v>
      </c>
      <c r="AK72" s="29">
        <f>'UMUR 2021'!AW72</f>
        <v>0</v>
      </c>
      <c r="AL72" s="29" t="str">
        <f>'UMUR 2021'!AX72</f>
        <v/>
      </c>
      <c r="AM72" s="33">
        <f>'UMUR 2021'!AY72</f>
        <v>0</v>
      </c>
      <c r="AN72" s="34" t="str">
        <f>'UMUR 2021'!AZ72</f>
        <v/>
      </c>
      <c r="AO72" s="29">
        <f>'UMUR 2021'!BA72</f>
        <v>0</v>
      </c>
      <c r="AP72" s="29" t="str">
        <f>'UMUR 2021'!BB72</f>
        <v/>
      </c>
      <c r="AQ72" s="33">
        <f>'UMUR 2021'!BC72</f>
        <v>0</v>
      </c>
      <c r="AR72" s="34" t="str">
        <f>'UMUR 2021'!BD72</f>
        <v/>
      </c>
      <c r="AS72" s="29">
        <f>'UMUR 2021'!BE72</f>
        <v>0</v>
      </c>
      <c r="AT72" s="29" t="str">
        <f>'UMUR 2021'!BF72</f>
        <v/>
      </c>
      <c r="AU72" s="33">
        <f>'UMUR 2021'!BG72</f>
        <v>0</v>
      </c>
      <c r="AV72" s="34" t="str">
        <f>'UMUR 2021'!BH72</f>
        <v/>
      </c>
    </row>
    <row r="73" spans="1:48">
      <c r="A73" s="13" t="s">
        <v>198</v>
      </c>
      <c r="B73" s="14" t="s">
        <v>200</v>
      </c>
      <c r="C73" s="37">
        <f>('ETNIK 2021'!E72+'ETNIK 2021'!M72)/'ETNIK 2021'!D72</f>
        <v>0.31126606079598873</v>
      </c>
      <c r="D73" s="37">
        <f>'ETNIK 2021'!F72/'ETNIK 2021'!D72</f>
        <v>0.12527420871200251</v>
      </c>
      <c r="E73" s="37">
        <f>'ETNIK 2021'!L72/'ETNIK 2021'!D72</f>
        <v>0.30930742713882797</v>
      </c>
      <c r="F73" s="37">
        <f>'ETNIK 2021'!K72/'ETNIK 2021'!D72</f>
        <v>7.0510811657787525E-3</v>
      </c>
      <c r="G73" s="37">
        <f>('ETNIK 2021'!J72+'ETNIK 2021'!N72)/'ETNIK 2021'!D72</f>
        <v>0.23762143528674395</v>
      </c>
      <c r="H73" s="37">
        <f t="shared" si="6"/>
        <v>9.4797869006581492E-3</v>
      </c>
      <c r="I73" s="13" t="str">
        <f t="shared" si="7"/>
        <v>MIXED</v>
      </c>
      <c r="J73" s="15">
        <f t="shared" si="8"/>
        <v>5397</v>
      </c>
      <c r="K73" s="15">
        <f>'UMUR 2021'!W73</f>
        <v>12674</v>
      </c>
      <c r="L73" s="16">
        <f t="shared" si="9"/>
        <v>0.64478459839040558</v>
      </c>
      <c r="M73" s="15">
        <f>'UMUR 2021'!Y73</f>
        <v>8172</v>
      </c>
      <c r="N73" s="15">
        <f>'UMUR 2021'!Z73</f>
        <v>48</v>
      </c>
      <c r="O73" s="15">
        <f>'UMUR 2021'!AA73</f>
        <v>140</v>
      </c>
      <c r="P73" s="33">
        <f t="shared" si="10"/>
        <v>7984</v>
      </c>
      <c r="Q73" s="29" t="str">
        <f>'UMUR 2021'!AC73</f>
        <v>PBB</v>
      </c>
      <c r="R73" s="29" t="str">
        <f>'UMUR 2021'!AD73</f>
        <v>GPS</v>
      </c>
      <c r="S73" s="33">
        <f>'UMUR 2021'!AE73</f>
        <v>6354</v>
      </c>
      <c r="T73" s="34">
        <f>'UMUR 2021'!AF73</f>
        <v>0.79584168336673344</v>
      </c>
      <c r="U73" s="29" t="str">
        <f>'UMUR 2021'!AG73</f>
        <v>PKR</v>
      </c>
      <c r="V73" s="29" t="str">
        <f>'UMUR 2021'!AH73</f>
        <v>PH</v>
      </c>
      <c r="W73" s="33">
        <f>'UMUR 2021'!AI73</f>
        <v>957</v>
      </c>
      <c r="X73" s="34">
        <f>'UMUR 2021'!AJ73</f>
        <v>0.11986472945891784</v>
      </c>
      <c r="Y73" s="29" t="str">
        <f>'UMUR 2021'!AK73</f>
        <v>PSB</v>
      </c>
      <c r="Z73" s="29" t="str">
        <f>'UMUR 2021'!AL73</f>
        <v>PSB</v>
      </c>
      <c r="AA73" s="33">
        <f>'UMUR 2021'!AM73</f>
        <v>377</v>
      </c>
      <c r="AB73" s="34">
        <f t="shared" si="11"/>
        <v>4.721943887775551E-2</v>
      </c>
      <c r="AC73" s="29" t="str">
        <f>'UMUR 2021'!AO73</f>
        <v>PBK</v>
      </c>
      <c r="AD73" s="29" t="str">
        <f>'UMUR 2021'!AP73</f>
        <v>LAIN-LAIN</v>
      </c>
      <c r="AE73" s="33">
        <f>'UMUR 2021'!AQ73</f>
        <v>296</v>
      </c>
      <c r="AF73" s="34">
        <f>'UMUR 2021'!AR73</f>
        <v>3.7074148296593189E-2</v>
      </c>
      <c r="AG73" s="29">
        <f>'UMUR 2021'!AS73</f>
        <v>0</v>
      </c>
      <c r="AH73" s="29" t="str">
        <f>'UMUR 2021'!AT73</f>
        <v/>
      </c>
      <c r="AI73" s="33">
        <f>'UMUR 2021'!AU73</f>
        <v>0</v>
      </c>
      <c r="AJ73" s="34" t="str">
        <f>'UMUR 2021'!AV73</f>
        <v/>
      </c>
      <c r="AK73" s="29">
        <f>'UMUR 2021'!AW73</f>
        <v>0</v>
      </c>
      <c r="AL73" s="29" t="str">
        <f>'UMUR 2021'!AX73</f>
        <v/>
      </c>
      <c r="AM73" s="33">
        <f>'UMUR 2021'!AY73</f>
        <v>0</v>
      </c>
      <c r="AN73" s="34" t="str">
        <f>'UMUR 2021'!AZ73</f>
        <v/>
      </c>
      <c r="AO73" s="29">
        <f>'UMUR 2021'!BA73</f>
        <v>0</v>
      </c>
      <c r="AP73" s="29" t="str">
        <f>'UMUR 2021'!BB73</f>
        <v/>
      </c>
      <c r="AQ73" s="33">
        <f>'UMUR 2021'!BC73</f>
        <v>0</v>
      </c>
      <c r="AR73" s="34" t="str">
        <f>'UMUR 2021'!BD73</f>
        <v/>
      </c>
      <c r="AS73" s="29">
        <f>'UMUR 2021'!BE73</f>
        <v>0</v>
      </c>
      <c r="AT73" s="29" t="str">
        <f>'UMUR 2021'!BF73</f>
        <v/>
      </c>
      <c r="AU73" s="33">
        <f>'UMUR 2021'!BG73</f>
        <v>0</v>
      </c>
      <c r="AV73" s="34" t="str">
        <f>'UMUR 2021'!BH73</f>
        <v/>
      </c>
    </row>
    <row r="74" spans="1:48">
      <c r="A74" s="13" t="s">
        <v>199</v>
      </c>
      <c r="B74" s="14" t="s">
        <v>201</v>
      </c>
      <c r="C74" s="37">
        <f>('ETNIK 2021'!E73+'ETNIK 2021'!M73)/'ETNIK 2021'!D73</f>
        <v>0.24718651528034813</v>
      </c>
      <c r="D74" s="37">
        <f>'ETNIK 2021'!F73/'ETNIK 2021'!D73</f>
        <v>0.27394588105837042</v>
      </c>
      <c r="E74" s="37">
        <f>'ETNIK 2021'!L73/'ETNIK 2021'!D73</f>
        <v>0.26374230980843294</v>
      </c>
      <c r="F74" s="37">
        <f>'ETNIK 2021'!K73/'ETNIK 2021'!D73</f>
        <v>1.5405391887160506E-2</v>
      </c>
      <c r="G74" s="37">
        <f>('ETNIK 2021'!J73+'ETNIK 2021'!N73)/'ETNIK 2021'!D73</f>
        <v>0.1896163657280048</v>
      </c>
      <c r="H74" s="37">
        <f t="shared" si="6"/>
        <v>1.0103536237683258E-2</v>
      </c>
      <c r="I74" s="13" t="str">
        <f t="shared" si="7"/>
        <v>MIXED</v>
      </c>
      <c r="J74" s="15">
        <f t="shared" si="8"/>
        <v>5562</v>
      </c>
      <c r="K74" s="15">
        <f>'UMUR 2021'!W74</f>
        <v>19907</v>
      </c>
      <c r="L74" s="16">
        <f t="shared" si="9"/>
        <v>0.51514542623197868</v>
      </c>
      <c r="M74" s="15">
        <f>'UMUR 2021'!Y74</f>
        <v>10255</v>
      </c>
      <c r="N74" s="15">
        <f>'UMUR 2021'!Z74</f>
        <v>109</v>
      </c>
      <c r="O74" s="15">
        <f>'UMUR 2021'!AA74</f>
        <v>60</v>
      </c>
      <c r="P74" s="33">
        <f t="shared" si="10"/>
        <v>10086</v>
      </c>
      <c r="Q74" s="29" t="str">
        <f>'UMUR 2021'!AC74</f>
        <v>PBB</v>
      </c>
      <c r="R74" s="29" t="str">
        <f>'UMUR 2021'!AD74</f>
        <v>GPS</v>
      </c>
      <c r="S74" s="33">
        <f>'UMUR 2021'!AE74</f>
        <v>6860</v>
      </c>
      <c r="T74" s="34">
        <f>'UMUR 2021'!AF74</f>
        <v>0.68015070394606381</v>
      </c>
      <c r="U74" s="29" t="str">
        <f>'UMUR 2021'!AG74</f>
        <v>PSB</v>
      </c>
      <c r="V74" s="29" t="str">
        <f>'UMUR 2021'!AH74</f>
        <v>PSB</v>
      </c>
      <c r="W74" s="33">
        <f>'UMUR 2021'!AI74</f>
        <v>1298</v>
      </c>
      <c r="X74" s="34">
        <f>'UMUR 2021'!AJ74</f>
        <v>0.12869323815189371</v>
      </c>
      <c r="Y74" s="29" t="str">
        <f>'UMUR 2021'!AK74</f>
        <v>PKR</v>
      </c>
      <c r="Z74" s="29" t="str">
        <f>'UMUR 2021'!AL74</f>
        <v>PH</v>
      </c>
      <c r="AA74" s="33">
        <f>'UMUR 2021'!AM74</f>
        <v>1139</v>
      </c>
      <c r="AB74" s="34">
        <f t="shared" si="11"/>
        <v>0.11292881221495142</v>
      </c>
      <c r="AC74" s="29" t="str">
        <f>'UMUR 2021'!AO74</f>
        <v>PBK</v>
      </c>
      <c r="AD74" s="29" t="str">
        <f>'UMUR 2021'!AP74</f>
        <v>LAIN-LAIN</v>
      </c>
      <c r="AE74" s="33">
        <f>'UMUR 2021'!AQ74</f>
        <v>789</v>
      </c>
      <c r="AF74" s="34">
        <f>'UMUR 2021'!AR74</f>
        <v>7.8227245687091024E-2</v>
      </c>
      <c r="AG74" s="29">
        <f>'UMUR 2021'!AS74</f>
        <v>0</v>
      </c>
      <c r="AH74" s="29" t="str">
        <f>'UMUR 2021'!AT74</f>
        <v/>
      </c>
      <c r="AI74" s="33">
        <f>'UMUR 2021'!AU74</f>
        <v>0</v>
      </c>
      <c r="AJ74" s="34" t="str">
        <f>'UMUR 2021'!AV74</f>
        <v/>
      </c>
      <c r="AK74" s="29">
        <f>'UMUR 2021'!AW74</f>
        <v>0</v>
      </c>
      <c r="AL74" s="29" t="str">
        <f>'UMUR 2021'!AX74</f>
        <v/>
      </c>
      <c r="AM74" s="33">
        <f>'UMUR 2021'!AY74</f>
        <v>0</v>
      </c>
      <c r="AN74" s="34" t="str">
        <f>'UMUR 2021'!AZ74</f>
        <v/>
      </c>
      <c r="AO74" s="29">
        <f>'UMUR 2021'!BA74</f>
        <v>0</v>
      </c>
      <c r="AP74" s="29" t="str">
        <f>'UMUR 2021'!BB74</f>
        <v/>
      </c>
      <c r="AQ74" s="33">
        <f>'UMUR 2021'!BC74</f>
        <v>0</v>
      </c>
      <c r="AR74" s="34" t="str">
        <f>'UMUR 2021'!BD74</f>
        <v/>
      </c>
      <c r="AS74" s="29">
        <f>'UMUR 2021'!BE74</f>
        <v>0</v>
      </c>
      <c r="AT74" s="29" t="str">
        <f>'UMUR 2021'!BF74</f>
        <v/>
      </c>
      <c r="AU74" s="33">
        <f>'UMUR 2021'!BG74</f>
        <v>0</v>
      </c>
      <c r="AV74" s="34" t="str">
        <f>'UMUR 2021'!BH74</f>
        <v/>
      </c>
    </row>
    <row r="75" spans="1:48">
      <c r="A75" s="13" t="s">
        <v>204</v>
      </c>
      <c r="B75" s="14" t="s">
        <v>207</v>
      </c>
      <c r="C75" s="37">
        <f>('ETNIK 2021'!E74+'ETNIK 2021'!M74)/'ETNIK 2021'!D74</f>
        <v>0.2035418797062378</v>
      </c>
      <c r="D75" s="37">
        <f>'ETNIK 2021'!F74/'ETNIK 2021'!D74</f>
        <v>0.58575811099748998</v>
      </c>
      <c r="E75" s="37">
        <f>'ETNIK 2021'!L74/'ETNIK 2021'!D74</f>
        <v>0.12373338291345171</v>
      </c>
      <c r="F75" s="37">
        <f>'ETNIK 2021'!K74/'ETNIK 2021'!D74</f>
        <v>9.2962721948498649E-3</v>
      </c>
      <c r="G75" s="37">
        <f>('ETNIK 2021'!J74+'ETNIK 2021'!N74)/'ETNIK 2021'!D74</f>
        <v>6.5213349446871807E-2</v>
      </c>
      <c r="H75" s="37">
        <f t="shared" si="6"/>
        <v>1.2457004741098815E-2</v>
      </c>
      <c r="I75" s="13" t="str">
        <f t="shared" si="7"/>
        <v>CINA</v>
      </c>
      <c r="J75" s="15">
        <f t="shared" si="8"/>
        <v>4988</v>
      </c>
      <c r="K75" s="15">
        <f>'UMUR 2021'!W75</f>
        <v>21377</v>
      </c>
      <c r="L75" s="16">
        <f t="shared" si="9"/>
        <v>0.48070355990082797</v>
      </c>
      <c r="M75" s="15">
        <f>'UMUR 2021'!Y75</f>
        <v>10276</v>
      </c>
      <c r="N75" s="15">
        <f>'UMUR 2021'!Z75</f>
        <v>23</v>
      </c>
      <c r="O75" s="15">
        <f>'UMUR 2021'!AA75</f>
        <v>59</v>
      </c>
      <c r="P75" s="33">
        <f t="shared" si="10"/>
        <v>10194</v>
      </c>
      <c r="Q75" s="29" t="str">
        <f>'UMUR 2021'!AC75</f>
        <v>SUPP</v>
      </c>
      <c r="R75" s="29" t="str">
        <f>'UMUR 2021'!AD75</f>
        <v>GPS</v>
      </c>
      <c r="S75" s="33">
        <f>'UMUR 2021'!AE75</f>
        <v>6790</v>
      </c>
      <c r="T75" s="34">
        <f>'UMUR 2021'!AF75</f>
        <v>0.66607808514812639</v>
      </c>
      <c r="U75" s="29" t="str">
        <f>'UMUR 2021'!AG75</f>
        <v>DAP</v>
      </c>
      <c r="V75" s="29" t="str">
        <f>'UMUR 2021'!AH75</f>
        <v>PH</v>
      </c>
      <c r="W75" s="33">
        <f>'UMUR 2021'!AI75</f>
        <v>1802</v>
      </c>
      <c r="X75" s="34">
        <f>'UMUR 2021'!AJ75</f>
        <v>0.17677064940160878</v>
      </c>
      <c r="Y75" s="29" t="str">
        <f>'UMUR 2021'!AK75</f>
        <v>PSB</v>
      </c>
      <c r="Z75" s="29" t="str">
        <f>'UMUR 2021'!AL75</f>
        <v>PSB</v>
      </c>
      <c r="AA75" s="33">
        <f>'UMUR 2021'!AM75</f>
        <v>816</v>
      </c>
      <c r="AB75" s="34">
        <f t="shared" si="11"/>
        <v>8.0047086521483221E-2</v>
      </c>
      <c r="AC75" s="29" t="str">
        <f>'UMUR 2021'!AO75</f>
        <v>PBK</v>
      </c>
      <c r="AD75" s="29" t="str">
        <f>'UMUR 2021'!AP75</f>
        <v>LAIN-LAIN</v>
      </c>
      <c r="AE75" s="33">
        <f>'UMUR 2021'!AQ75</f>
        <v>665</v>
      </c>
      <c r="AF75" s="34">
        <f>'UMUR 2021'!AR75</f>
        <v>6.523445163821856E-2</v>
      </c>
      <c r="AG75" s="29" t="str">
        <f>'UMUR 2021'!AS75</f>
        <v>ASPIRASI</v>
      </c>
      <c r="AH75" s="29" t="str">
        <f>'UMUR 2021'!AT75</f>
        <v>LAIN-LAIN</v>
      </c>
      <c r="AI75" s="33">
        <f>'UMUR 2021'!AU75</f>
        <v>121</v>
      </c>
      <c r="AJ75" s="34">
        <f>'UMUR 2021'!AV75</f>
        <v>1.1869727290563077E-2</v>
      </c>
      <c r="AK75" s="29">
        <f>'UMUR 2021'!AW75</f>
        <v>0</v>
      </c>
      <c r="AL75" s="29" t="str">
        <f>'UMUR 2021'!AX75</f>
        <v/>
      </c>
      <c r="AM75" s="33">
        <f>'UMUR 2021'!AY75</f>
        <v>0</v>
      </c>
      <c r="AN75" s="34" t="str">
        <f>'UMUR 2021'!AZ75</f>
        <v/>
      </c>
      <c r="AO75" s="29">
        <f>'UMUR 2021'!BA75</f>
        <v>0</v>
      </c>
      <c r="AP75" s="29" t="str">
        <f>'UMUR 2021'!BB75</f>
        <v/>
      </c>
      <c r="AQ75" s="33">
        <f>'UMUR 2021'!BC75</f>
        <v>0</v>
      </c>
      <c r="AR75" s="34" t="str">
        <f>'UMUR 2021'!BD75</f>
        <v/>
      </c>
      <c r="AS75" s="29">
        <f>'UMUR 2021'!BE75</f>
        <v>0</v>
      </c>
      <c r="AT75" s="29" t="str">
        <f>'UMUR 2021'!BF75</f>
        <v/>
      </c>
      <c r="AU75" s="33">
        <f>'UMUR 2021'!BG75</f>
        <v>0</v>
      </c>
      <c r="AV75" s="34" t="str">
        <f>'UMUR 2021'!BH75</f>
        <v/>
      </c>
    </row>
    <row r="76" spans="1:48">
      <c r="A76" s="13" t="s">
        <v>205</v>
      </c>
      <c r="B76" s="14" t="s">
        <v>208</v>
      </c>
      <c r="C76" s="37">
        <f>('ETNIK 2021'!E75+'ETNIK 2021'!M75)/'ETNIK 2021'!D75</f>
        <v>0.20087430904295675</v>
      </c>
      <c r="D76" s="37">
        <f>'ETNIK 2021'!F75/'ETNIK 2021'!D75</f>
        <v>0.66523357057697174</v>
      </c>
      <c r="E76" s="37">
        <f>'ETNIK 2021'!L75/'ETNIK 2021'!D75</f>
        <v>7.9699411105892556E-2</v>
      </c>
      <c r="F76" s="37">
        <f>'ETNIK 2021'!K75/'ETNIK 2021'!D75</f>
        <v>1.0043715452147838E-2</v>
      </c>
      <c r="G76" s="37">
        <f>('ETNIK 2021'!J75+'ETNIK 2021'!N75)/'ETNIK 2021'!D75</f>
        <v>3.2913038765851367E-2</v>
      </c>
      <c r="H76" s="37">
        <f t="shared" si="6"/>
        <v>1.1235955056179713E-2</v>
      </c>
      <c r="I76" s="13" t="str">
        <f t="shared" si="7"/>
        <v>CINA</v>
      </c>
      <c r="J76" s="15">
        <f t="shared" si="8"/>
        <v>1566</v>
      </c>
      <c r="K76" s="15">
        <f>'UMUR 2021'!W76</f>
        <v>27567</v>
      </c>
      <c r="L76" s="16">
        <f t="shared" si="9"/>
        <v>0.45514564515543948</v>
      </c>
      <c r="M76" s="15">
        <f>'UMUR 2021'!Y76</f>
        <v>12547</v>
      </c>
      <c r="N76" s="15">
        <f>'UMUR 2021'!Z76</f>
        <v>60</v>
      </c>
      <c r="O76" s="15">
        <f>'UMUR 2021'!AA76</f>
        <v>96</v>
      </c>
      <c r="P76" s="33">
        <f t="shared" si="10"/>
        <v>12391</v>
      </c>
      <c r="Q76" s="29" t="str">
        <f>'UMUR 2021'!AC76</f>
        <v>SUPP</v>
      </c>
      <c r="R76" s="29" t="str">
        <f>'UMUR 2021'!AD76</f>
        <v>GPS</v>
      </c>
      <c r="S76" s="33">
        <f>'UMUR 2021'!AE76</f>
        <v>5558</v>
      </c>
      <c r="T76" s="34">
        <f>'UMUR 2021'!AF76</f>
        <v>0.44855136792833511</v>
      </c>
      <c r="U76" s="29" t="str">
        <f>'UMUR 2021'!AG76</f>
        <v>DAP</v>
      </c>
      <c r="V76" s="29" t="str">
        <f>'UMUR 2021'!AH76</f>
        <v>PH</v>
      </c>
      <c r="W76" s="33">
        <f>'UMUR 2021'!AI76</f>
        <v>3992</v>
      </c>
      <c r="X76" s="34">
        <f>'UMUR 2021'!AJ76</f>
        <v>0.32216931643935115</v>
      </c>
      <c r="Y76" s="29" t="str">
        <f>'UMUR 2021'!AK76</f>
        <v>PSB</v>
      </c>
      <c r="Z76" s="29" t="str">
        <f>'UMUR 2021'!AL76</f>
        <v>PSB</v>
      </c>
      <c r="AA76" s="33">
        <f>'UMUR 2021'!AM76</f>
        <v>1667</v>
      </c>
      <c r="AB76" s="34">
        <f t="shared" si="11"/>
        <v>0.13453312888386731</v>
      </c>
      <c r="AC76" s="29" t="str">
        <f>'UMUR 2021'!AO76</f>
        <v>PBK</v>
      </c>
      <c r="AD76" s="29" t="str">
        <f>'UMUR 2021'!AP76</f>
        <v>LAIN-LAIN</v>
      </c>
      <c r="AE76" s="33">
        <f>'UMUR 2021'!AQ76</f>
        <v>1022</v>
      </c>
      <c r="AF76" s="34">
        <f>'UMUR 2021'!AR76</f>
        <v>8.2479218787829878E-2</v>
      </c>
      <c r="AG76" s="29" t="str">
        <f>'UMUR 2021'!AS76</f>
        <v>ASPIRASI</v>
      </c>
      <c r="AH76" s="29" t="str">
        <f>'UMUR 2021'!AT76</f>
        <v>LAIN-LAIN</v>
      </c>
      <c r="AI76" s="33">
        <f>'UMUR 2021'!AU76</f>
        <v>152</v>
      </c>
      <c r="AJ76" s="34">
        <f>'UMUR 2021'!AV76</f>
        <v>1.2266967960616576E-2</v>
      </c>
      <c r="AK76" s="29">
        <f>'UMUR 2021'!AW76</f>
        <v>0</v>
      </c>
      <c r="AL76" s="29" t="str">
        <f>'UMUR 2021'!AX76</f>
        <v/>
      </c>
      <c r="AM76" s="33">
        <f>'UMUR 2021'!AY76</f>
        <v>0</v>
      </c>
      <c r="AN76" s="34" t="str">
        <f>'UMUR 2021'!AZ76</f>
        <v/>
      </c>
      <c r="AO76" s="29">
        <f>'UMUR 2021'!BA76</f>
        <v>0</v>
      </c>
      <c r="AP76" s="29" t="str">
        <f>'UMUR 2021'!BB76</f>
        <v/>
      </c>
      <c r="AQ76" s="33">
        <f>'UMUR 2021'!BC76</f>
        <v>0</v>
      </c>
      <c r="AR76" s="34" t="str">
        <f>'UMUR 2021'!BD76</f>
        <v/>
      </c>
      <c r="AS76" s="29">
        <f>'UMUR 2021'!BE76</f>
        <v>0</v>
      </c>
      <c r="AT76" s="29" t="str">
        <f>'UMUR 2021'!BF76</f>
        <v/>
      </c>
      <c r="AU76" s="33">
        <f>'UMUR 2021'!BG76</f>
        <v>0</v>
      </c>
      <c r="AV76" s="34" t="str">
        <f>'UMUR 2021'!BH76</f>
        <v/>
      </c>
    </row>
    <row r="77" spans="1:48">
      <c r="A77" s="13" t="s">
        <v>206</v>
      </c>
      <c r="B77" s="14" t="s">
        <v>209</v>
      </c>
      <c r="C77" s="37">
        <f>('ETNIK 2021'!E76+'ETNIK 2021'!M76)/'ETNIK 2021'!D76</f>
        <v>0.21290266055313806</v>
      </c>
      <c r="D77" s="37">
        <f>'ETNIK 2021'!F76/'ETNIK 2021'!D76</f>
        <v>0.40515755965071115</v>
      </c>
      <c r="E77" s="37">
        <f>'ETNIK 2021'!L76/'ETNIK 2021'!D76</f>
        <v>0.23141847492771822</v>
      </c>
      <c r="F77" s="37">
        <f>'ETNIK 2021'!K76/'ETNIK 2021'!D76</f>
        <v>1.2295201658830057E-2</v>
      </c>
      <c r="G77" s="37">
        <f>('ETNIK 2021'!J76+'ETNIK 2021'!N76)/'ETNIK 2021'!D76</f>
        <v>0.12654420139598727</v>
      </c>
      <c r="H77" s="37">
        <f t="shared" si="6"/>
        <v>1.1681901813615198E-2</v>
      </c>
      <c r="I77" s="13" t="str">
        <f t="shared" si="7"/>
        <v>MIXED</v>
      </c>
      <c r="J77" s="15">
        <f t="shared" si="8"/>
        <v>7591</v>
      </c>
      <c r="K77" s="15">
        <f>'UMUR 2021'!W77</f>
        <v>34117</v>
      </c>
      <c r="L77" s="16">
        <f t="shared" si="9"/>
        <v>0.50370782894158339</v>
      </c>
      <c r="M77" s="15">
        <f>'UMUR 2021'!Y77</f>
        <v>17185</v>
      </c>
      <c r="N77" s="15">
        <f>'UMUR 2021'!Z77</f>
        <v>87</v>
      </c>
      <c r="O77" s="15">
        <f>'UMUR 2021'!AA77</f>
        <v>189</v>
      </c>
      <c r="P77" s="33">
        <f t="shared" si="10"/>
        <v>16909</v>
      </c>
      <c r="Q77" s="29" t="str">
        <f>'UMUR 2021'!AC77</f>
        <v>SUPP</v>
      </c>
      <c r="R77" s="29" t="str">
        <f>'UMUR 2021'!AD77</f>
        <v>GPS</v>
      </c>
      <c r="S77" s="33">
        <f>'UMUR 2021'!AE77</f>
        <v>10535</v>
      </c>
      <c r="T77" s="34">
        <f>'UMUR 2021'!AF77</f>
        <v>0.62304098409131237</v>
      </c>
      <c r="U77" s="29" t="str">
        <f>'UMUR 2021'!AG77</f>
        <v>DAP</v>
      </c>
      <c r="V77" s="29" t="str">
        <f>'UMUR 2021'!AH77</f>
        <v>PH</v>
      </c>
      <c r="W77" s="33">
        <f>'UMUR 2021'!AI77</f>
        <v>2944</v>
      </c>
      <c r="X77" s="34">
        <f>'UMUR 2021'!AJ77</f>
        <v>0.17410846294872553</v>
      </c>
      <c r="Y77" s="29" t="str">
        <f>'UMUR 2021'!AK77</f>
        <v>PSB</v>
      </c>
      <c r="Z77" s="29" t="str">
        <f>'UMUR 2021'!AL77</f>
        <v>PSB</v>
      </c>
      <c r="AA77" s="33">
        <f>'UMUR 2021'!AM77</f>
        <v>1896</v>
      </c>
      <c r="AB77" s="34">
        <f t="shared" si="11"/>
        <v>0.11212963510556509</v>
      </c>
      <c r="AC77" s="29" t="str">
        <f>'UMUR 2021'!AO77</f>
        <v>PBK</v>
      </c>
      <c r="AD77" s="29" t="str">
        <f>'UMUR 2021'!AP77</f>
        <v>LAIN-LAIN</v>
      </c>
      <c r="AE77" s="33">
        <f>'UMUR 2021'!AQ77</f>
        <v>1023</v>
      </c>
      <c r="AF77" s="34">
        <f>'UMUR 2021'!AR77</f>
        <v>6.0500325270565973E-2</v>
      </c>
      <c r="AG77" s="29" t="str">
        <f>'UMUR 2021'!AS77</f>
        <v>PBDSB</v>
      </c>
      <c r="AH77" s="29" t="str">
        <f>'UMUR 2021'!AT77</f>
        <v>LAIN-LAIN</v>
      </c>
      <c r="AI77" s="33">
        <f>'UMUR 2021'!AU77</f>
        <v>511</v>
      </c>
      <c r="AJ77" s="34">
        <f>'UMUR 2021'!AV77</f>
        <v>3.0220592583831096E-2</v>
      </c>
      <c r="AK77" s="29">
        <f>'UMUR 2021'!AW77</f>
        <v>0</v>
      </c>
      <c r="AL77" s="29" t="str">
        <f>'UMUR 2021'!AX77</f>
        <v/>
      </c>
      <c r="AM77" s="33">
        <f>'UMUR 2021'!AY77</f>
        <v>0</v>
      </c>
      <c r="AN77" s="34" t="str">
        <f>'UMUR 2021'!AZ77</f>
        <v/>
      </c>
      <c r="AO77" s="29">
        <f>'UMUR 2021'!BA77</f>
        <v>0</v>
      </c>
      <c r="AP77" s="29" t="str">
        <f>'UMUR 2021'!BB77</f>
        <v/>
      </c>
      <c r="AQ77" s="33">
        <f>'UMUR 2021'!BC77</f>
        <v>0</v>
      </c>
      <c r="AR77" s="34" t="str">
        <f>'UMUR 2021'!BD77</f>
        <v/>
      </c>
      <c r="AS77" s="29">
        <f>'UMUR 2021'!BE77</f>
        <v>0</v>
      </c>
      <c r="AT77" s="29" t="str">
        <f>'UMUR 2021'!BF77</f>
        <v/>
      </c>
      <c r="AU77" s="33">
        <f>'UMUR 2021'!BG77</f>
        <v>0</v>
      </c>
      <c r="AV77" s="34" t="str">
        <f>'UMUR 2021'!BH77</f>
        <v/>
      </c>
    </row>
    <row r="78" spans="1:48">
      <c r="A78" s="13" t="s">
        <v>212</v>
      </c>
      <c r="B78" s="14" t="s">
        <v>215</v>
      </c>
      <c r="C78" s="37">
        <f>('ETNIK 2021'!E77+'ETNIK 2021'!M77)/'ETNIK 2021'!D77</f>
        <v>0.10636888995906574</v>
      </c>
      <c r="D78" s="37">
        <f>'ETNIK 2021'!F77/'ETNIK 2021'!D77</f>
        <v>0.13141102817240549</v>
      </c>
      <c r="E78" s="37">
        <f>'ETNIK 2021'!L77/'ETNIK 2021'!D77</f>
        <v>0.52094871177462077</v>
      </c>
      <c r="F78" s="37">
        <f>'ETNIK 2021'!K77/'ETNIK 2021'!D77</f>
        <v>3.0700698290392486E-3</v>
      </c>
      <c r="G78" s="37">
        <f>('ETNIK 2021'!J77+'ETNIK 2021'!N77)/'ETNIK 2021'!D77</f>
        <v>0.2321213580544185</v>
      </c>
      <c r="H78" s="37">
        <f t="shared" si="6"/>
        <v>6.0799422104502454E-3</v>
      </c>
      <c r="I78" s="13" t="str">
        <f t="shared" si="7"/>
        <v>IBAN</v>
      </c>
      <c r="J78" s="15">
        <f t="shared" si="8"/>
        <v>5976</v>
      </c>
      <c r="K78" s="15">
        <f>'UMUR 2021'!W78</f>
        <v>16478</v>
      </c>
      <c r="L78" s="16">
        <f t="shared" si="9"/>
        <v>0.67587085811384873</v>
      </c>
      <c r="M78" s="15">
        <f>'UMUR 2021'!Y78</f>
        <v>11137</v>
      </c>
      <c r="N78" s="15">
        <f>'UMUR 2021'!Z78</f>
        <v>39</v>
      </c>
      <c r="O78" s="15">
        <f>'UMUR 2021'!AA78</f>
        <v>138</v>
      </c>
      <c r="P78" s="33">
        <f t="shared" si="10"/>
        <v>10960</v>
      </c>
      <c r="Q78" s="29" t="str">
        <f>'UMUR 2021'!AC78</f>
        <v>PDP</v>
      </c>
      <c r="R78" s="29" t="str">
        <f>'UMUR 2021'!AD78</f>
        <v>GPS</v>
      </c>
      <c r="S78" s="33">
        <f>'UMUR 2021'!AE78</f>
        <v>8169</v>
      </c>
      <c r="T78" s="34">
        <f>'UMUR 2021'!AF78</f>
        <v>0.74534671532846719</v>
      </c>
      <c r="U78" s="29" t="str">
        <f>'UMUR 2021'!AG78</f>
        <v>PSB</v>
      </c>
      <c r="V78" s="29" t="str">
        <f>'UMUR 2021'!AH78</f>
        <v>PSB</v>
      </c>
      <c r="W78" s="33">
        <f>'UMUR 2021'!AI78</f>
        <v>2193</v>
      </c>
      <c r="X78" s="34">
        <f>'UMUR 2021'!AJ78</f>
        <v>0.2000912408759124</v>
      </c>
      <c r="Y78" s="29" t="str">
        <f>'UMUR 2021'!AK78</f>
        <v>PKR</v>
      </c>
      <c r="Z78" s="29" t="str">
        <f>'UMUR 2021'!AL78</f>
        <v>PH</v>
      </c>
      <c r="AA78" s="33">
        <f>'UMUR 2021'!AM78</f>
        <v>373</v>
      </c>
      <c r="AB78" s="34">
        <f t="shared" si="11"/>
        <v>3.4032846715328469E-2</v>
      </c>
      <c r="AC78" s="29" t="str">
        <f>'UMUR 2021'!AO78</f>
        <v>PBDSB</v>
      </c>
      <c r="AD78" s="29" t="str">
        <f>'UMUR 2021'!AP78</f>
        <v>LAIN-LAIN</v>
      </c>
      <c r="AE78" s="33">
        <f>'UMUR 2021'!AQ78</f>
        <v>124</v>
      </c>
      <c r="AF78" s="34">
        <f>'UMUR 2021'!AR78</f>
        <v>1.1313868613138687E-2</v>
      </c>
      <c r="AG78" s="29" t="str">
        <f>'UMUR 2021'!AS78</f>
        <v>PBK</v>
      </c>
      <c r="AH78" s="29" t="str">
        <f>'UMUR 2021'!AT78</f>
        <v>LAIN-LAIN</v>
      </c>
      <c r="AI78" s="33">
        <f>'UMUR 2021'!AU78</f>
        <v>101</v>
      </c>
      <c r="AJ78" s="34">
        <f>'UMUR 2021'!AV78</f>
        <v>9.2153284671532849E-3</v>
      </c>
      <c r="AK78" s="29">
        <f>'UMUR 2021'!AW78</f>
        <v>0</v>
      </c>
      <c r="AL78" s="29" t="str">
        <f>'UMUR 2021'!AX78</f>
        <v/>
      </c>
      <c r="AM78" s="33">
        <f>'UMUR 2021'!AY78</f>
        <v>0</v>
      </c>
      <c r="AN78" s="34" t="str">
        <f>'UMUR 2021'!AZ78</f>
        <v/>
      </c>
      <c r="AO78" s="29">
        <f>'UMUR 2021'!BA78</f>
        <v>0</v>
      </c>
      <c r="AP78" s="29" t="str">
        <f>'UMUR 2021'!BB78</f>
        <v/>
      </c>
      <c r="AQ78" s="33">
        <f>'UMUR 2021'!BC78</f>
        <v>0</v>
      </c>
      <c r="AR78" s="34" t="str">
        <f>'UMUR 2021'!BD78</f>
        <v/>
      </c>
      <c r="AS78" s="29">
        <f>'UMUR 2021'!BE78</f>
        <v>0</v>
      </c>
      <c r="AT78" s="29" t="str">
        <f>'UMUR 2021'!BF78</f>
        <v/>
      </c>
      <c r="AU78" s="33">
        <f>'UMUR 2021'!BG78</f>
        <v>0</v>
      </c>
      <c r="AV78" s="34" t="str">
        <f>'UMUR 2021'!BH78</f>
        <v/>
      </c>
    </row>
    <row r="79" spans="1:48">
      <c r="A79" s="13" t="s">
        <v>213</v>
      </c>
      <c r="B79" s="14" t="s">
        <v>216</v>
      </c>
      <c r="C79" s="37">
        <f>('ETNIK 2021'!E78+'ETNIK 2021'!M78)/'ETNIK 2021'!D78</f>
        <v>4.3346337234503683E-3</v>
      </c>
      <c r="D79" s="37">
        <f>'ETNIK 2021'!F78/'ETNIK 2021'!D78</f>
        <v>3.1035977459904638E-2</v>
      </c>
      <c r="E79" s="37">
        <f>'ETNIK 2021'!L78/'ETNIK 2021'!D78</f>
        <v>1.5864759427828348E-2</v>
      </c>
      <c r="F79" s="37">
        <f>'ETNIK 2021'!K78/'ETNIK 2021'!D78</f>
        <v>2.2540095361941914E-3</v>
      </c>
      <c r="G79" s="37">
        <f>('ETNIK 2021'!J78+'ETNIK 2021'!N78)/'ETNIK 2021'!D78</f>
        <v>0.93853489380147381</v>
      </c>
      <c r="H79" s="37">
        <f t="shared" si="6"/>
        <v>7.9757260511487127E-3</v>
      </c>
      <c r="I79" s="13" t="str">
        <f t="shared" si="7"/>
        <v>ORANG ULU</v>
      </c>
      <c r="J79" s="15">
        <f t="shared" si="8"/>
        <v>2422</v>
      </c>
      <c r="K79" s="15">
        <f>'UMUR 2021'!W79</f>
        <v>11465</v>
      </c>
      <c r="L79" s="16">
        <f t="shared" si="9"/>
        <v>0.57235063235935457</v>
      </c>
      <c r="M79" s="15">
        <f>'UMUR 2021'!Y79</f>
        <v>6562</v>
      </c>
      <c r="N79" s="15">
        <f>'UMUR 2021'!Z79</f>
        <v>24</v>
      </c>
      <c r="O79" s="15">
        <f>'UMUR 2021'!AA79</f>
        <v>77</v>
      </c>
      <c r="P79" s="33">
        <f t="shared" si="10"/>
        <v>6461</v>
      </c>
      <c r="Q79" s="29" t="str">
        <f>'UMUR 2021'!AC79</f>
        <v>PBB</v>
      </c>
      <c r="R79" s="29" t="str">
        <f>'UMUR 2021'!AD79</f>
        <v>GPS</v>
      </c>
      <c r="S79" s="33">
        <f>'UMUR 2021'!AE79</f>
        <v>3861</v>
      </c>
      <c r="T79" s="34">
        <f>'UMUR 2021'!AF79</f>
        <v>0.59758551307847085</v>
      </c>
      <c r="U79" s="29" t="str">
        <f>'UMUR 2021'!AG79</f>
        <v>PSB</v>
      </c>
      <c r="V79" s="29" t="str">
        <f>'UMUR 2021'!AH79</f>
        <v>PSB</v>
      </c>
      <c r="W79" s="33">
        <f>'UMUR 2021'!AI79</f>
        <v>1439</v>
      </c>
      <c r="X79" s="34">
        <f>'UMUR 2021'!AJ79</f>
        <v>0.22272094103080017</v>
      </c>
      <c r="Y79" s="29" t="str">
        <f>'UMUR 2021'!AK79</f>
        <v>PKR</v>
      </c>
      <c r="Z79" s="29" t="str">
        <f>'UMUR 2021'!AL79</f>
        <v>PH</v>
      </c>
      <c r="AA79" s="33">
        <f>'UMUR 2021'!AM79</f>
        <v>1093</v>
      </c>
      <c r="AB79" s="34">
        <f t="shared" si="11"/>
        <v>0.16916885930970438</v>
      </c>
      <c r="AC79" s="29" t="str">
        <f>'UMUR 2021'!AO79</f>
        <v>PBK</v>
      </c>
      <c r="AD79" s="29" t="str">
        <f>'UMUR 2021'!AP79</f>
        <v>LAIN-LAIN</v>
      </c>
      <c r="AE79" s="33">
        <f>'UMUR 2021'!AQ79</f>
        <v>68</v>
      </c>
      <c r="AF79" s="34">
        <f>'UMUR 2021'!AR79</f>
        <v>1.0524686581024609E-2</v>
      </c>
      <c r="AG79" s="29">
        <f>'UMUR 2021'!AS79</f>
        <v>0</v>
      </c>
      <c r="AH79" s="29" t="str">
        <f>'UMUR 2021'!AT79</f>
        <v/>
      </c>
      <c r="AI79" s="33">
        <f>'UMUR 2021'!AU79</f>
        <v>0</v>
      </c>
      <c r="AJ79" s="34" t="str">
        <f>'UMUR 2021'!AV79</f>
        <v/>
      </c>
      <c r="AK79" s="29">
        <f>'UMUR 2021'!AW79</f>
        <v>0</v>
      </c>
      <c r="AL79" s="29" t="str">
        <f>'UMUR 2021'!AX79</f>
        <v/>
      </c>
      <c r="AM79" s="33">
        <f>'UMUR 2021'!AY79</f>
        <v>0</v>
      </c>
      <c r="AN79" s="34" t="str">
        <f>'UMUR 2021'!AZ79</f>
        <v/>
      </c>
      <c r="AO79" s="29">
        <f>'UMUR 2021'!BA79</f>
        <v>0</v>
      </c>
      <c r="AP79" s="29" t="str">
        <f>'UMUR 2021'!BB79</f>
        <v/>
      </c>
      <c r="AQ79" s="33">
        <f>'UMUR 2021'!BC79</f>
        <v>0</v>
      </c>
      <c r="AR79" s="34" t="str">
        <f>'UMUR 2021'!BD79</f>
        <v/>
      </c>
      <c r="AS79" s="29">
        <f>'UMUR 2021'!BE79</f>
        <v>0</v>
      </c>
      <c r="AT79" s="29" t="str">
        <f>'UMUR 2021'!BF79</f>
        <v/>
      </c>
      <c r="AU79" s="33">
        <f>'UMUR 2021'!BG79</f>
        <v>0</v>
      </c>
      <c r="AV79" s="34" t="str">
        <f>'UMUR 2021'!BH79</f>
        <v/>
      </c>
    </row>
    <row r="80" spans="1:48">
      <c r="A80" s="13" t="s">
        <v>214</v>
      </c>
      <c r="B80" s="14" t="s">
        <v>217</v>
      </c>
      <c r="C80" s="37">
        <f>('ETNIK 2021'!E79+'ETNIK 2021'!M79)/'ETNIK 2021'!D79</f>
        <v>7.57825370675453E-2</v>
      </c>
      <c r="D80" s="37">
        <f>'ETNIK 2021'!F79/'ETNIK 2021'!D79</f>
        <v>2.7231320864424848E-2</v>
      </c>
      <c r="E80" s="37">
        <f>'ETNIK 2021'!L79/'ETNIK 2021'!D79</f>
        <v>0.20060083341409052</v>
      </c>
      <c r="F80" s="37">
        <f>'ETNIK 2021'!K79/'ETNIK 2021'!D79</f>
        <v>3.585618761507898E-3</v>
      </c>
      <c r="G80" s="37">
        <f>('ETNIK 2021'!J79+'ETNIK 2021'!N79)/'ETNIK 2021'!D79</f>
        <v>0.67099525147785644</v>
      </c>
      <c r="H80" s="37">
        <f t="shared" si="6"/>
        <v>2.1804438414575023E-2</v>
      </c>
      <c r="I80" s="13" t="str">
        <f t="shared" si="7"/>
        <v>ORANG ULU</v>
      </c>
      <c r="J80" s="15">
        <f t="shared" si="8"/>
        <v>2875</v>
      </c>
      <c r="K80" s="15">
        <f>'UMUR 2021'!W80</f>
        <v>9572</v>
      </c>
      <c r="L80" s="16">
        <f t="shared" si="9"/>
        <v>0.60614291684078558</v>
      </c>
      <c r="M80" s="15">
        <f>'UMUR 2021'!Y80</f>
        <v>5802</v>
      </c>
      <c r="N80" s="15">
        <f>'UMUR 2021'!Z80</f>
        <v>34</v>
      </c>
      <c r="O80" s="15">
        <f>'UMUR 2021'!AA80</f>
        <v>172</v>
      </c>
      <c r="P80" s="33">
        <f t="shared" si="10"/>
        <v>5596</v>
      </c>
      <c r="Q80" s="29" t="str">
        <f>'UMUR 2021'!AC80</f>
        <v>PBB</v>
      </c>
      <c r="R80" s="29" t="str">
        <f>'UMUR 2021'!AD80</f>
        <v>GPS</v>
      </c>
      <c r="S80" s="33">
        <f>'UMUR 2021'!AE80</f>
        <v>3731</v>
      </c>
      <c r="T80" s="34">
        <f>'UMUR 2021'!AF80</f>
        <v>0.66672623302358824</v>
      </c>
      <c r="U80" s="29" t="str">
        <f>'UMUR 2021'!AG80</f>
        <v>PSB</v>
      </c>
      <c r="V80" s="29" t="str">
        <f>'UMUR 2021'!AH80</f>
        <v>PSB</v>
      </c>
      <c r="W80" s="33">
        <f>'UMUR 2021'!AI80</f>
        <v>856</v>
      </c>
      <c r="X80" s="34">
        <f>'UMUR 2021'!AJ80</f>
        <v>0.15296640457469621</v>
      </c>
      <c r="Y80" s="29" t="str">
        <f>'UMUR 2021'!AK80</f>
        <v>PKR</v>
      </c>
      <c r="Z80" s="29" t="str">
        <f>'UMUR 2021'!AL80</f>
        <v>PH</v>
      </c>
      <c r="AA80" s="33">
        <f>'UMUR 2021'!AM80</f>
        <v>810</v>
      </c>
      <c r="AB80" s="34">
        <f t="shared" si="11"/>
        <v>0.14474624731951394</v>
      </c>
      <c r="AC80" s="29" t="str">
        <f>'UMUR 2021'!AO80</f>
        <v>PBK</v>
      </c>
      <c r="AD80" s="29" t="str">
        <f>'UMUR 2021'!AP80</f>
        <v>LAIN-LAIN</v>
      </c>
      <c r="AE80" s="33">
        <f>'UMUR 2021'!AQ80</f>
        <v>199</v>
      </c>
      <c r="AF80" s="34">
        <f>'UMUR 2021'!AR80</f>
        <v>3.5561115082201569E-2</v>
      </c>
      <c r="AG80" s="29">
        <f>'UMUR 2021'!AS80</f>
        <v>0</v>
      </c>
      <c r="AH80" s="29" t="str">
        <f>'UMUR 2021'!AT80</f>
        <v/>
      </c>
      <c r="AI80" s="33">
        <f>'UMUR 2021'!AU80</f>
        <v>0</v>
      </c>
      <c r="AJ80" s="34" t="str">
        <f>'UMUR 2021'!AV80</f>
        <v/>
      </c>
      <c r="AK80" s="29">
        <f>'UMUR 2021'!AW80</f>
        <v>0</v>
      </c>
      <c r="AL80" s="29" t="str">
        <f>'UMUR 2021'!AX80</f>
        <v/>
      </c>
      <c r="AM80" s="33">
        <f>'UMUR 2021'!AY80</f>
        <v>0</v>
      </c>
      <c r="AN80" s="34" t="str">
        <f>'UMUR 2021'!AZ80</f>
        <v/>
      </c>
      <c r="AO80" s="29">
        <f>'UMUR 2021'!BA80</f>
        <v>0</v>
      </c>
      <c r="AP80" s="29" t="str">
        <f>'UMUR 2021'!BB80</f>
        <v/>
      </c>
      <c r="AQ80" s="33">
        <f>'UMUR 2021'!BC80</f>
        <v>0</v>
      </c>
      <c r="AR80" s="34" t="str">
        <f>'UMUR 2021'!BD80</f>
        <v/>
      </c>
      <c r="AS80" s="29">
        <f>'UMUR 2021'!BE80</f>
        <v>0</v>
      </c>
      <c r="AT80" s="29" t="str">
        <f>'UMUR 2021'!BF80</f>
        <v/>
      </c>
      <c r="AU80" s="33">
        <f>'UMUR 2021'!BG80</f>
        <v>0</v>
      </c>
      <c r="AV80" s="34" t="str">
        <f>'UMUR 2021'!BH80</f>
        <v/>
      </c>
    </row>
    <row r="81" spans="1:48">
      <c r="A81" s="13" t="s">
        <v>221</v>
      </c>
      <c r="B81" s="14" t="s">
        <v>223</v>
      </c>
      <c r="C81" s="37">
        <f>('ETNIK 2021'!E80+'ETNIK 2021'!M80)/'ETNIK 2021'!D80</f>
        <v>0.42744063324538256</v>
      </c>
      <c r="D81" s="37">
        <f>'ETNIK 2021'!F80/'ETNIK 2021'!D80</f>
        <v>0.25652301377895048</v>
      </c>
      <c r="E81" s="37">
        <f>'ETNIK 2021'!L80/'ETNIK 2021'!D80</f>
        <v>7.8627968337730877E-2</v>
      </c>
      <c r="F81" s="37">
        <f>'ETNIK 2021'!K80/'ETNIK 2021'!D80</f>
        <v>4.4561712107886254E-3</v>
      </c>
      <c r="G81" s="37">
        <f>('ETNIK 2021'!J80+'ETNIK 2021'!N80)/'ETNIK 2021'!D80</f>
        <v>0.20732922896511288</v>
      </c>
      <c r="H81" s="37">
        <f t="shared" si="6"/>
        <v>2.5622984462034509E-2</v>
      </c>
      <c r="I81" s="13" t="str">
        <f t="shared" si="7"/>
        <v>MIXED</v>
      </c>
      <c r="J81" s="15">
        <f t="shared" si="8"/>
        <v>4986</v>
      </c>
      <c r="K81" s="15">
        <f>'UMUR 2021'!W81</f>
        <v>16975</v>
      </c>
      <c r="L81" s="16">
        <f t="shared" si="9"/>
        <v>0.48972017673048601</v>
      </c>
      <c r="M81" s="15">
        <f>'UMUR 2021'!Y81</f>
        <v>8313</v>
      </c>
      <c r="N81" s="15">
        <f>'UMUR 2021'!Z81</f>
        <v>62</v>
      </c>
      <c r="O81" s="15">
        <f>'UMUR 2021'!AA81</f>
        <v>61</v>
      </c>
      <c r="P81" s="33">
        <f t="shared" si="10"/>
        <v>8190</v>
      </c>
      <c r="Q81" s="29" t="str">
        <f>'UMUR 2021'!AC81</f>
        <v>PBB</v>
      </c>
      <c r="R81" s="29" t="str">
        <f>'UMUR 2021'!AD81</f>
        <v>GPS</v>
      </c>
      <c r="S81" s="33">
        <f>'UMUR 2021'!AE81</f>
        <v>6454</v>
      </c>
      <c r="T81" s="34">
        <f>'UMUR 2021'!AF81</f>
        <v>0.78803418803418801</v>
      </c>
      <c r="U81" s="29" t="str">
        <f>'UMUR 2021'!AG81</f>
        <v>PSB</v>
      </c>
      <c r="V81" s="29" t="str">
        <f>'UMUR 2021'!AH81</f>
        <v>PSB</v>
      </c>
      <c r="W81" s="33">
        <f>'UMUR 2021'!AI81</f>
        <v>1468</v>
      </c>
      <c r="X81" s="34">
        <f>'UMUR 2021'!AJ81</f>
        <v>0.17924297924297924</v>
      </c>
      <c r="Y81" s="29" t="str">
        <f>'UMUR 2021'!AK81</f>
        <v>PBK</v>
      </c>
      <c r="Z81" s="29" t="str">
        <f>'UMUR 2021'!AL81</f>
        <v>LAIN-LAIN</v>
      </c>
      <c r="AA81" s="33">
        <f>'UMUR 2021'!AM81</f>
        <v>206</v>
      </c>
      <c r="AB81" s="34">
        <f t="shared" si="11"/>
        <v>2.5152625152625153E-2</v>
      </c>
      <c r="AC81" s="29" t="str">
        <f>'UMUR 2021'!AO81</f>
        <v>BEBAS</v>
      </c>
      <c r="AD81" s="29" t="str">
        <f>'UMUR 2021'!AP81</f>
        <v>BEBAS</v>
      </c>
      <c r="AE81" s="33">
        <f>'UMUR 2021'!AQ81</f>
        <v>62</v>
      </c>
      <c r="AF81" s="34">
        <f>'UMUR 2021'!AR81</f>
        <v>7.5702075702075702E-3</v>
      </c>
      <c r="AG81" s="29">
        <f>'UMUR 2021'!AS81</f>
        <v>0</v>
      </c>
      <c r="AH81" s="29" t="str">
        <f>'UMUR 2021'!AT81</f>
        <v/>
      </c>
      <c r="AI81" s="33">
        <f>'UMUR 2021'!AU81</f>
        <v>0</v>
      </c>
      <c r="AJ81" s="34" t="str">
        <f>'UMUR 2021'!AV81</f>
        <v/>
      </c>
      <c r="AK81" s="29">
        <f>'UMUR 2021'!AW81</f>
        <v>0</v>
      </c>
      <c r="AL81" s="29" t="str">
        <f>'UMUR 2021'!AX81</f>
        <v/>
      </c>
      <c r="AM81" s="33">
        <f>'UMUR 2021'!AY81</f>
        <v>0</v>
      </c>
      <c r="AN81" s="34" t="str">
        <f>'UMUR 2021'!AZ81</f>
        <v/>
      </c>
      <c r="AO81" s="29">
        <f>'UMUR 2021'!BA81</f>
        <v>0</v>
      </c>
      <c r="AP81" s="29" t="str">
        <f>'UMUR 2021'!BB81</f>
        <v/>
      </c>
      <c r="AQ81" s="33">
        <f>'UMUR 2021'!BC81</f>
        <v>0</v>
      </c>
      <c r="AR81" s="34" t="str">
        <f>'UMUR 2021'!BD81</f>
        <v/>
      </c>
      <c r="AS81" s="29">
        <f>'UMUR 2021'!BE81</f>
        <v>0</v>
      </c>
      <c r="AT81" s="29" t="str">
        <f>'UMUR 2021'!BF81</f>
        <v/>
      </c>
      <c r="AU81" s="33">
        <f>'UMUR 2021'!BG81</f>
        <v>0</v>
      </c>
      <c r="AV81" s="34" t="str">
        <f>'UMUR 2021'!BH81</f>
        <v/>
      </c>
    </row>
    <row r="82" spans="1:48">
      <c r="A82" s="13" t="s">
        <v>222</v>
      </c>
      <c r="B82" s="14" t="s">
        <v>224</v>
      </c>
      <c r="C82" s="37">
        <f>('ETNIK 2021'!E81+'ETNIK 2021'!M81)/'ETNIK 2021'!D81</f>
        <v>4.175940646528882E-2</v>
      </c>
      <c r="D82" s="37">
        <f>'ETNIK 2021'!F81/'ETNIK 2021'!D81</f>
        <v>3.1690514043455222E-2</v>
      </c>
      <c r="E82" s="37">
        <f>'ETNIK 2021'!L81/'ETNIK 2021'!D81</f>
        <v>0.44377318494965556</v>
      </c>
      <c r="F82" s="37">
        <f>'ETNIK 2021'!K81/'ETNIK 2021'!D81</f>
        <v>2.6497085320614732E-3</v>
      </c>
      <c r="G82" s="37">
        <f>('ETNIK 2021'!J81+'ETNIK 2021'!N81)/'ETNIK 2021'!D81</f>
        <v>0.30376258611552731</v>
      </c>
      <c r="H82" s="37">
        <f t="shared" si="6"/>
        <v>0.17636459989401154</v>
      </c>
      <c r="I82" s="13" t="str">
        <f t="shared" si="7"/>
        <v>MIXED</v>
      </c>
      <c r="J82" s="15">
        <f t="shared" si="8"/>
        <v>706</v>
      </c>
      <c r="K82" s="15">
        <f>'UMUR 2021'!W82</f>
        <v>9375</v>
      </c>
      <c r="L82" s="16">
        <f t="shared" si="9"/>
        <v>0.61887999999999999</v>
      </c>
      <c r="M82" s="15">
        <f>'UMUR 2021'!Y82</f>
        <v>5802</v>
      </c>
      <c r="N82" s="15">
        <f>'UMUR 2021'!Z82</f>
        <v>32</v>
      </c>
      <c r="O82" s="15">
        <f>'UMUR 2021'!AA82</f>
        <v>68</v>
      </c>
      <c r="P82" s="33">
        <f t="shared" si="10"/>
        <v>5702</v>
      </c>
      <c r="Q82" s="29" t="str">
        <f>'UMUR 2021'!AC82</f>
        <v>PBB</v>
      </c>
      <c r="R82" s="29" t="str">
        <f>'UMUR 2021'!AD82</f>
        <v>GPS</v>
      </c>
      <c r="S82" s="33">
        <f>'UMUR 2021'!AE82</f>
        <v>3030</v>
      </c>
      <c r="T82" s="34">
        <f>'UMUR 2021'!AF82</f>
        <v>0.53139249386180287</v>
      </c>
      <c r="U82" s="29" t="str">
        <f>'UMUR 2021'!AG82</f>
        <v>PSB</v>
      </c>
      <c r="V82" s="29" t="str">
        <f>'UMUR 2021'!AH82</f>
        <v>PSB</v>
      </c>
      <c r="W82" s="33">
        <f>'UMUR 2021'!AI82</f>
        <v>2324</v>
      </c>
      <c r="X82" s="34">
        <f>'UMUR 2021'!AJ82</f>
        <v>0.40757628902139598</v>
      </c>
      <c r="Y82" s="29" t="str">
        <f>'UMUR 2021'!AK82</f>
        <v>PKR</v>
      </c>
      <c r="Z82" s="29" t="str">
        <f>'UMUR 2021'!AL82</f>
        <v>PH</v>
      </c>
      <c r="AA82" s="33">
        <f>'UMUR 2021'!AM82</f>
        <v>268</v>
      </c>
      <c r="AB82" s="34">
        <f t="shared" si="11"/>
        <v>4.7001052262364083E-2</v>
      </c>
      <c r="AC82" s="29" t="str">
        <f>'UMUR 2021'!AO82</f>
        <v>PBK</v>
      </c>
      <c r="AD82" s="29" t="str">
        <f>'UMUR 2021'!AP82</f>
        <v>LAIN-LAIN</v>
      </c>
      <c r="AE82" s="33">
        <f>'UMUR 2021'!AQ82</f>
        <v>80</v>
      </c>
      <c r="AF82" s="34">
        <f>'UMUR 2021'!AR82</f>
        <v>1.403016485443704E-2</v>
      </c>
      <c r="AG82" s="29">
        <f>'UMUR 2021'!AS82</f>
        <v>0</v>
      </c>
      <c r="AH82" s="29" t="str">
        <f>'UMUR 2021'!AT82</f>
        <v/>
      </c>
      <c r="AI82" s="33">
        <f>'UMUR 2021'!AU82</f>
        <v>0</v>
      </c>
      <c r="AJ82" s="34" t="str">
        <f>'UMUR 2021'!AV82</f>
        <v/>
      </c>
      <c r="AK82" s="29">
        <f>'UMUR 2021'!AW82</f>
        <v>0</v>
      </c>
      <c r="AL82" s="29" t="str">
        <f>'UMUR 2021'!AX82</f>
        <v/>
      </c>
      <c r="AM82" s="33">
        <f>'UMUR 2021'!AY82</f>
        <v>0</v>
      </c>
      <c r="AN82" s="34" t="str">
        <f>'UMUR 2021'!AZ82</f>
        <v/>
      </c>
      <c r="AO82" s="29">
        <f>'UMUR 2021'!BA82</f>
        <v>0</v>
      </c>
      <c r="AP82" s="29" t="str">
        <f>'UMUR 2021'!BB82</f>
        <v/>
      </c>
      <c r="AQ82" s="33">
        <f>'UMUR 2021'!BC82</f>
        <v>0</v>
      </c>
      <c r="AR82" s="34" t="str">
        <f>'UMUR 2021'!BD82</f>
        <v/>
      </c>
      <c r="AS82" s="29">
        <f>'UMUR 2021'!BE82</f>
        <v>0</v>
      </c>
      <c r="AT82" s="29" t="str">
        <f>'UMUR 2021'!BF82</f>
        <v/>
      </c>
      <c r="AU82" s="33">
        <f>'UMUR 2021'!BG82</f>
        <v>0</v>
      </c>
      <c r="AV82" s="34" t="str">
        <f>'UMUR 2021'!BH82</f>
        <v/>
      </c>
    </row>
    <row r="83" spans="1:48">
      <c r="A83" s="13" t="s">
        <v>226</v>
      </c>
      <c r="B83" s="14" t="s">
        <v>228</v>
      </c>
      <c r="C83" s="37">
        <f>('ETNIK 2021'!E82+'ETNIK 2021'!M82)/'ETNIK 2021'!D82</f>
        <v>2.8648269410664173E-2</v>
      </c>
      <c r="D83" s="37">
        <f>'ETNIK 2021'!F82/'ETNIK 2021'!D82</f>
        <v>4.4434050514499529E-2</v>
      </c>
      <c r="E83" s="37">
        <f>'ETNIK 2021'!L82/'ETNIK 2021'!D82</f>
        <v>2.7946679139382601E-2</v>
      </c>
      <c r="F83" s="37">
        <f>'ETNIK 2021'!K82/'ETNIK 2021'!D82</f>
        <v>3.2740879326473341E-3</v>
      </c>
      <c r="G83" s="37">
        <f>('ETNIK 2021'!J82+'ETNIK 2021'!N82)/'ETNIK 2021'!D82</f>
        <v>0.86599625818521986</v>
      </c>
      <c r="H83" s="37">
        <f t="shared" si="6"/>
        <v>2.9700654817586325E-2</v>
      </c>
      <c r="I83" s="13" t="str">
        <f t="shared" si="7"/>
        <v>ORANG ULU</v>
      </c>
      <c r="J83" s="15">
        <f t="shared" si="8"/>
        <v>680</v>
      </c>
      <c r="K83" s="15">
        <f>'UMUR 2021'!W83</f>
        <v>8503</v>
      </c>
      <c r="L83" s="16">
        <f t="shared" si="9"/>
        <v>0.5884981771139598</v>
      </c>
      <c r="M83" s="15">
        <f>'UMUR 2021'!Y83</f>
        <v>5004</v>
      </c>
      <c r="N83" s="15">
        <f>'UMUR 2021'!Z83</f>
        <v>26</v>
      </c>
      <c r="O83" s="15">
        <f>'UMUR 2021'!AA83</f>
        <v>62</v>
      </c>
      <c r="P83" s="33">
        <f t="shared" si="10"/>
        <v>4916</v>
      </c>
      <c r="Q83" s="29" t="str">
        <f>'UMUR 2021'!AC83</f>
        <v>PSB</v>
      </c>
      <c r="R83" s="29" t="str">
        <f>'UMUR 2021'!AD83</f>
        <v>PSB</v>
      </c>
      <c r="S83" s="33">
        <f>'UMUR 2021'!AE83</f>
        <v>2687</v>
      </c>
      <c r="T83" s="34">
        <f>'UMUR 2021'!AF83</f>
        <v>0.5465825874694874</v>
      </c>
      <c r="U83" s="29" t="str">
        <f>'UMUR 2021'!AG83</f>
        <v>PDP</v>
      </c>
      <c r="V83" s="29" t="str">
        <f>'UMUR 2021'!AH83</f>
        <v>GPS</v>
      </c>
      <c r="W83" s="33">
        <f>'UMUR 2021'!AI83</f>
        <v>2007</v>
      </c>
      <c r="X83" s="34">
        <f>'UMUR 2021'!AJ83</f>
        <v>0.40825874694873882</v>
      </c>
      <c r="Y83" s="29" t="str">
        <f>'UMUR 2021'!AK83</f>
        <v>PBK</v>
      </c>
      <c r="Z83" s="29" t="str">
        <f>'UMUR 2021'!AL83</f>
        <v>LAIN-LAIN</v>
      </c>
      <c r="AA83" s="33">
        <f>'UMUR 2021'!AM83</f>
        <v>110</v>
      </c>
      <c r="AB83" s="34">
        <f t="shared" si="11"/>
        <v>2.2375915378356388E-2</v>
      </c>
      <c r="AC83" s="29" t="str">
        <f>'UMUR 2021'!AO83</f>
        <v>PKR</v>
      </c>
      <c r="AD83" s="29" t="str">
        <f>'UMUR 2021'!AP83</f>
        <v>PH</v>
      </c>
      <c r="AE83" s="33">
        <f>'UMUR 2021'!AQ83</f>
        <v>57</v>
      </c>
      <c r="AF83" s="34">
        <f>'UMUR 2021'!AR83</f>
        <v>1.1594792514239219E-2</v>
      </c>
      <c r="AG83" s="29" t="str">
        <f>'UMUR 2021'!AS83</f>
        <v>BEBAS</v>
      </c>
      <c r="AH83" s="29" t="str">
        <f>'UMUR 2021'!AT83</f>
        <v>BEBAS</v>
      </c>
      <c r="AI83" s="33">
        <f>'UMUR 2021'!AU83</f>
        <v>55</v>
      </c>
      <c r="AJ83" s="34">
        <f>'UMUR 2021'!AV83</f>
        <v>1.1187957689178194E-2</v>
      </c>
      <c r="AK83" s="29">
        <f>'UMUR 2021'!AW83</f>
        <v>0</v>
      </c>
      <c r="AL83" s="29" t="str">
        <f>'UMUR 2021'!AX83</f>
        <v/>
      </c>
      <c r="AM83" s="33">
        <f>'UMUR 2021'!AY83</f>
        <v>0</v>
      </c>
      <c r="AN83" s="34" t="str">
        <f>'UMUR 2021'!AZ83</f>
        <v/>
      </c>
      <c r="AO83" s="29">
        <f>'UMUR 2021'!BA83</f>
        <v>0</v>
      </c>
      <c r="AP83" s="29" t="str">
        <f>'UMUR 2021'!BB83</f>
        <v/>
      </c>
      <c r="AQ83" s="33">
        <f>'UMUR 2021'!BC83</f>
        <v>0</v>
      </c>
      <c r="AR83" s="34" t="str">
        <f>'UMUR 2021'!BD83</f>
        <v/>
      </c>
      <c r="AS83" s="29">
        <f>'UMUR 2021'!BE83</f>
        <v>0</v>
      </c>
      <c r="AT83" s="29" t="str">
        <f>'UMUR 2021'!BF83</f>
        <v/>
      </c>
      <c r="AU83" s="33">
        <f>'UMUR 2021'!BG83</f>
        <v>0</v>
      </c>
      <c r="AV83" s="34" t="str">
        <f>'UMUR 2021'!BH83</f>
        <v/>
      </c>
    </row>
    <row r="84" spans="1:48" ht="28.5">
      <c r="A84" s="13" t="s">
        <v>227</v>
      </c>
      <c r="B84" s="14" t="s">
        <v>229</v>
      </c>
      <c r="C84" s="37">
        <f>('ETNIK 2021'!E83+'ETNIK 2021'!M83)/'ETNIK 2021'!D83</f>
        <v>0.64258990608536304</v>
      </c>
      <c r="D84" s="37">
        <f>'ETNIK 2021'!F83/'ETNIK 2021'!D83</f>
        <v>0.12086737420783386</v>
      </c>
      <c r="E84" s="37">
        <f>'ETNIK 2021'!L83/'ETNIK 2021'!D83</f>
        <v>1.4583492402840344E-2</v>
      </c>
      <c r="F84" s="37">
        <f>'ETNIK 2021'!K83/'ETNIK 2021'!D83</f>
        <v>1.9088340841414064E-3</v>
      </c>
      <c r="G84" s="37">
        <f>('ETNIK 2021'!J83+'ETNIK 2021'!N83)/'ETNIK 2021'!D83</f>
        <v>0.19958769183782546</v>
      </c>
      <c r="H84" s="37">
        <f t="shared" si="6"/>
        <v>2.0462701381995879E-2</v>
      </c>
      <c r="I84" s="13" t="str">
        <f t="shared" si="7"/>
        <v>MELAYU / MELANAU</v>
      </c>
      <c r="J84" s="15">
        <f t="shared" si="8"/>
        <v>5636</v>
      </c>
      <c r="K84" s="15">
        <f>'UMUR 2021'!W84</f>
        <v>13054</v>
      </c>
      <c r="L84" s="16">
        <f t="shared" si="9"/>
        <v>0.57009345794392519</v>
      </c>
      <c r="M84" s="15">
        <f>'UMUR 2021'!Y84</f>
        <v>7442</v>
      </c>
      <c r="N84" s="15">
        <f>'UMUR 2021'!Z84</f>
        <v>79</v>
      </c>
      <c r="O84" s="15">
        <f>'UMUR 2021'!AA84</f>
        <v>64</v>
      </c>
      <c r="P84" s="33">
        <f t="shared" si="10"/>
        <v>7299</v>
      </c>
      <c r="Q84" s="29" t="str">
        <f>'UMUR 2021'!AC84</f>
        <v>PBB</v>
      </c>
      <c r="R84" s="29" t="str">
        <f>'UMUR 2021'!AD84</f>
        <v>GPS</v>
      </c>
      <c r="S84" s="33">
        <f>'UMUR 2021'!AE84</f>
        <v>6385</v>
      </c>
      <c r="T84" s="34">
        <f>'UMUR 2021'!AF84</f>
        <v>0.87477736676257023</v>
      </c>
      <c r="U84" s="29" t="str">
        <f>'UMUR 2021'!AG84</f>
        <v>PSB</v>
      </c>
      <c r="V84" s="29" t="str">
        <f>'UMUR 2021'!AH84</f>
        <v>PSB</v>
      </c>
      <c r="W84" s="33">
        <f>'UMUR 2021'!AI84</f>
        <v>749</v>
      </c>
      <c r="X84" s="34">
        <f>'UMUR 2021'!AJ84</f>
        <v>0.10261679682148239</v>
      </c>
      <c r="Y84" s="29" t="str">
        <f>'UMUR 2021'!AK84</f>
        <v>PBK</v>
      </c>
      <c r="Z84" s="29" t="str">
        <f>'UMUR 2021'!AL84</f>
        <v>LAIN-LAIN</v>
      </c>
      <c r="AA84" s="33">
        <f>'UMUR 2021'!AM84</f>
        <v>165</v>
      </c>
      <c r="AB84" s="34">
        <f t="shared" si="11"/>
        <v>2.2605836415947388E-2</v>
      </c>
      <c r="AC84" s="29">
        <f>'UMUR 2021'!AO84</f>
        <v>0</v>
      </c>
      <c r="AD84" s="29" t="str">
        <f>'UMUR 2021'!AP84</f>
        <v/>
      </c>
      <c r="AE84" s="33">
        <f>'UMUR 2021'!AQ84</f>
        <v>0</v>
      </c>
      <c r="AF84" s="34" t="str">
        <f>'UMUR 2021'!AR84</f>
        <v/>
      </c>
      <c r="AG84" s="29">
        <f>'UMUR 2021'!AS84</f>
        <v>0</v>
      </c>
      <c r="AH84" s="29" t="str">
        <f>'UMUR 2021'!AT84</f>
        <v/>
      </c>
      <c r="AI84" s="33">
        <f>'UMUR 2021'!AU84</f>
        <v>0</v>
      </c>
      <c r="AJ84" s="34" t="str">
        <f>'UMUR 2021'!AV84</f>
        <v/>
      </c>
      <c r="AK84" s="29">
        <f>'UMUR 2021'!AW84</f>
        <v>0</v>
      </c>
      <c r="AL84" s="29" t="str">
        <f>'UMUR 2021'!AX84</f>
        <v/>
      </c>
      <c r="AM84" s="33">
        <f>'UMUR 2021'!AY84</f>
        <v>0</v>
      </c>
      <c r="AN84" s="34" t="str">
        <f>'UMUR 2021'!AZ84</f>
        <v/>
      </c>
      <c r="AO84" s="29">
        <f>'UMUR 2021'!BA84</f>
        <v>0</v>
      </c>
      <c r="AP84" s="29" t="str">
        <f>'UMUR 2021'!BB84</f>
        <v/>
      </c>
      <c r="AQ84" s="33">
        <f>'UMUR 2021'!BC84</f>
        <v>0</v>
      </c>
      <c r="AR84" s="34" t="str">
        <f>'UMUR 2021'!BD84</f>
        <v/>
      </c>
      <c r="AS84" s="29">
        <f>'UMUR 2021'!BE84</f>
        <v>0</v>
      </c>
      <c r="AT84" s="29" t="str">
        <f>'UMUR 2021'!BF84</f>
        <v/>
      </c>
      <c r="AU84" s="33">
        <f>'UMUR 2021'!BG84</f>
        <v>0</v>
      </c>
      <c r="AV84" s="34" t="str">
        <f>'UMUR 2021'!BH84</f>
        <v/>
      </c>
    </row>
    <row r="85" spans="1:48">
      <c r="C85" s="24"/>
      <c r="D85" s="24"/>
      <c r="E85" s="24"/>
      <c r="F85" s="24"/>
      <c r="G85" s="24"/>
      <c r="H85" s="24"/>
      <c r="I85" s="4"/>
    </row>
    <row r="86" spans="1:48" ht="15">
      <c r="A86" s="87" t="s">
        <v>271</v>
      </c>
      <c r="B86" s="88"/>
      <c r="C86" s="16">
        <f>(C3*$K$3+C4*$K$4+C5*$K$5+C6*$K$6+C7*$K$7+C8*$K$8+C9*$K$9+C10*$K$10+C11*$K$11+C12*$K$12+C13*$K$13+C14*$K$14+C15*$K$15+C16*$K$16+C17*$K$17+C18*$K$18+C19*$K$19+C20*$K$20+C21*$K$21+C22*$K$22+C23*$K$23+C24*$K$24+C25*$K$25+C26*$K$26+C27*$K$27+C28*$K$28+C29*$K$29+C30*$K$30+C31*$K$31+C32*$K$32+C33*$K$33+C34*$K$34+C35*$K$35+C36*$K$36+C37*$K$37+C38*$K$38+C39*$K$39+C40*$K$40+C41*$K$41+C42*$K$42+C43*$K$43+C44*$K$44+C45*$K$45+C46*$K$46+C47*$K$47+C48*$K$48+C49*$K$49+C50*$K$50+C51*$K$51+C52*$K$52+C53*$K$53+C54*$K$54+C55*$K$55+C56*$K$56+C57*$K$57+C58*$K$58+C59*$K$59+C60*$K$60+C61*$K$61+C62*$K$62+C63*$K$63+C64*$K$64+C65*$K$65+C66*$K$66+C67*$K$67+C68*$K$68+C69*$K$69+C70*$K$70+C71*$K$71+C72*$K$72+C73*$K$73+C74*$K$74+C75*$K$75+C76*$K$76+C77*$K$77+C78*$K$78+C79*$K$79+C80*$K$80+C81*$K$81+C82*$K$82+C83*$K$83+C84*$K$84)/$K$86</f>
        <v>0.26739151530426086</v>
      </c>
      <c r="D86" s="16">
        <f t="shared" ref="D86:H86" si="12">(D3*$K$3+D4*$K$4+D5*$K$5+D6*$K$6+D7*$K$7+D8*$K$8+D9*$K$9+D10*$K$10+D11*$K$11+D12*$K$12+D13*$K$13+D14*$K$14+D15*$K$15+D16*$K$16+D17*$K$17+D18*$K$18+D19*$K$19+D20*$K$20+D21*$K$21+D22*$K$22+D23*$K$23+D24*$K$24+D25*$K$25+D26*$K$26+D27*$K$27+D28*$K$28+D29*$K$29+D30*$K$30+D31*$K$31+D32*$K$32+D33*$K$33+D34*$K$34+D35*$K$35+D36*$K$36+D37*$K$37+D38*$K$38+D39*$K$39+D40*$K$40+D41*$K$41+D42*$K$42+D43*$K$43+D44*$K$44+D45*$K$45+D46*$K$46+D47*$K$47+D48*$K$48+D49*$K$49+D50*$K$50+D51*$K$51+D52*$K$52+D53*$K$53+D54*$K$54+D55*$K$55+D56*$K$56+D57*$K$57+D58*$K$58+D59*$K$59+D60*$K$60+D61*$K$61+D62*$K$62+D63*$K$63+D64*$K$64+D65*$K$65+D66*$K$66+D67*$K$67+D68*$K$68+D69*$K$69+D70*$K$70+D71*$K$71+D72*$K$72+D73*$K$73+D74*$K$74+D75*$K$75+D76*$K$76+D77*$K$77+D78*$K$78+D79*$K$79+D80*$K$80+D81*$K$81+D82*$K$82+D83*$K$83+D84*$K$84)/$K$86</f>
        <v>0.29705560423022015</v>
      </c>
      <c r="E86" s="16">
        <f t="shared" si="12"/>
        <v>0.2423560080904314</v>
      </c>
      <c r="F86" s="16">
        <f t="shared" si="12"/>
        <v>7.0963482111676163E-2</v>
      </c>
      <c r="G86" s="16">
        <f t="shared" si="12"/>
        <v>0.11276756946588602</v>
      </c>
      <c r="H86" s="16">
        <f t="shared" si="12"/>
        <v>9.4658207975252956E-3</v>
      </c>
      <c r="I86" s="13" t="str">
        <f t="shared" si="7"/>
        <v>MIXED</v>
      </c>
      <c r="J86" s="33">
        <f>AVERAGE(J3:J84)</f>
        <v>3509.1341463414633</v>
      </c>
      <c r="K86" s="33">
        <f>SUM(K3:K84)</f>
        <v>1252014</v>
      </c>
      <c r="L86" s="16">
        <f t="shared" ref="L86" si="13">M86/K86</f>
        <v>0.60673203334786996</v>
      </c>
      <c r="M86" s="33">
        <f>SUM(M3:M84)</f>
        <v>759637</v>
      </c>
      <c r="N86" s="33">
        <f>SUM(N3:N84)</f>
        <v>3404</v>
      </c>
      <c r="O86" s="33">
        <f>SUM(O3:O84)</f>
        <v>9884</v>
      </c>
      <c r="P86" s="33">
        <f>SUM(P3:P84)</f>
        <v>746349</v>
      </c>
      <c r="Q86" s="23"/>
      <c r="R86" s="23"/>
    </row>
    <row r="87" spans="1:48">
      <c r="B87" s="24"/>
      <c r="C87" s="24"/>
      <c r="D87" s="24"/>
      <c r="E87" s="24"/>
      <c r="F87" s="24"/>
      <c r="G87" s="24"/>
      <c r="H87" s="24"/>
      <c r="I87" s="24"/>
      <c r="N87" s="32">
        <f>N86/$M$86</f>
        <v>4.4810876774038126E-3</v>
      </c>
      <c r="O87" s="32">
        <f>O86/$M$86</f>
        <v>1.301147785060496E-2</v>
      </c>
      <c r="P87" s="32">
        <f>P86/$M$86</f>
        <v>0.98250743447199118</v>
      </c>
      <c r="Q87" s="23"/>
      <c r="R87" s="23"/>
    </row>
    <row r="88" spans="1:48">
      <c r="B88" s="24"/>
      <c r="C88" s="24"/>
      <c r="D88" s="24"/>
      <c r="E88" s="24"/>
      <c r="F88" s="24"/>
      <c r="G88" s="24"/>
      <c r="H88" s="24"/>
      <c r="I88" s="24"/>
      <c r="Q88" s="23"/>
      <c r="R88" s="23"/>
    </row>
    <row r="89" spans="1:48">
      <c r="B89" s="24"/>
      <c r="C89" s="24"/>
      <c r="D89" s="24"/>
      <c r="E89" s="24"/>
      <c r="F89" s="24"/>
      <c r="G89" s="24"/>
      <c r="H89" s="24"/>
      <c r="I89" s="24"/>
      <c r="Q89" s="23"/>
      <c r="R89" s="23"/>
    </row>
    <row r="90" spans="1:48">
      <c r="B90" s="24"/>
      <c r="C90" s="24"/>
      <c r="D90" s="24"/>
      <c r="E90" s="24"/>
      <c r="F90" s="24"/>
      <c r="G90" s="24"/>
      <c r="H90" s="24"/>
      <c r="I90" s="24"/>
      <c r="Q90" s="23"/>
      <c r="R90" s="23"/>
    </row>
    <row r="91" spans="1:48">
      <c r="B91" s="24"/>
      <c r="C91" s="24"/>
      <c r="D91" s="24"/>
      <c r="E91" s="24"/>
      <c r="F91" s="24"/>
      <c r="G91" s="24"/>
      <c r="H91" s="24"/>
      <c r="I91" s="24"/>
      <c r="Q91" s="23"/>
      <c r="R91" s="23"/>
    </row>
    <row r="92" spans="1:48">
      <c r="B92" s="24"/>
      <c r="C92" s="24"/>
      <c r="D92" s="24"/>
      <c r="E92" s="24"/>
      <c r="F92" s="24"/>
      <c r="G92" s="24"/>
      <c r="H92" s="24"/>
      <c r="I92" s="24"/>
      <c r="Q92" s="23"/>
      <c r="R92" s="23"/>
    </row>
    <row r="93" spans="1:48">
      <c r="B93" s="24"/>
      <c r="C93" s="24"/>
      <c r="D93" s="24"/>
      <c r="E93" s="24"/>
      <c r="F93" s="24"/>
      <c r="G93" s="24"/>
      <c r="H93" s="24"/>
      <c r="I93" s="24"/>
      <c r="Q93" s="23"/>
      <c r="R93" s="23"/>
    </row>
    <row r="94" spans="1:48">
      <c r="B94" s="24"/>
      <c r="C94" s="24"/>
      <c r="D94" s="24"/>
      <c r="E94" s="24"/>
      <c r="F94" s="24"/>
      <c r="G94" s="24"/>
      <c r="H94" s="24"/>
      <c r="I94" s="24"/>
      <c r="Q94" s="23"/>
      <c r="R94" s="23"/>
    </row>
    <row r="95" spans="1:48">
      <c r="B95" s="24"/>
      <c r="C95" s="24"/>
      <c r="D95" s="24"/>
      <c r="E95" s="24"/>
      <c r="F95" s="24"/>
      <c r="G95" s="24"/>
      <c r="H95" s="24"/>
      <c r="I95" s="24"/>
      <c r="Q95" s="23"/>
      <c r="R95" s="23"/>
    </row>
    <row r="96" spans="1:48">
      <c r="B96" s="24"/>
      <c r="C96" s="24"/>
      <c r="D96" s="24"/>
      <c r="E96" s="24"/>
      <c r="F96" s="24"/>
      <c r="G96" s="24"/>
      <c r="H96" s="24"/>
      <c r="I96" s="24"/>
      <c r="Q96" s="23"/>
      <c r="R96" s="23"/>
    </row>
    <row r="97" spans="2:18">
      <c r="B97" s="24"/>
      <c r="C97" s="24"/>
      <c r="D97" s="24"/>
      <c r="E97" s="24"/>
      <c r="F97" s="24"/>
      <c r="G97" s="24"/>
      <c r="H97" s="24"/>
      <c r="I97" s="24"/>
      <c r="Q97" s="23"/>
      <c r="R97" s="23"/>
    </row>
    <row r="98" spans="2:18" s="24" customFormat="1"/>
    <row r="99" spans="2:18" s="24" customFormat="1"/>
    <row r="100" spans="2:18" s="24" customFormat="1"/>
    <row r="101" spans="2:18" s="24" customFormat="1"/>
    <row r="102" spans="2:18" s="24" customFormat="1"/>
    <row r="103" spans="2:18" s="24" customFormat="1"/>
    <row r="104" spans="2:18" s="24" customFormat="1"/>
    <row r="105" spans="2:18" s="24" customFormat="1"/>
    <row r="106" spans="2:18" s="24" customFormat="1"/>
    <row r="107" spans="2:18" s="24" customFormat="1"/>
    <row r="108" spans="2:18" s="24" customFormat="1"/>
    <row r="109" spans="2:18">
      <c r="B109" s="24"/>
      <c r="C109" s="24"/>
      <c r="D109" s="24"/>
      <c r="E109" s="24"/>
      <c r="F109" s="24"/>
      <c r="G109" s="24"/>
      <c r="H109" s="24"/>
      <c r="I109" s="24"/>
      <c r="Q109" s="23"/>
      <c r="R109" s="23"/>
    </row>
    <row r="110" spans="2:18">
      <c r="B110" s="24"/>
      <c r="C110" s="24"/>
      <c r="D110" s="24"/>
      <c r="E110" s="24"/>
      <c r="F110" s="24"/>
      <c r="G110" s="24"/>
      <c r="H110" s="24"/>
      <c r="I110" s="24"/>
      <c r="Q110" s="23"/>
      <c r="R110" s="23"/>
    </row>
    <row r="111" spans="2:18" s="24" customFormat="1"/>
    <row r="112" spans="2:18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</sheetData>
  <mergeCells count="25">
    <mergeCell ref="U1:X1"/>
    <mergeCell ref="Y1:AB1"/>
    <mergeCell ref="A86:B86"/>
    <mergeCell ref="H1:H2"/>
    <mergeCell ref="D1:D2"/>
    <mergeCell ref="E1:E2"/>
    <mergeCell ref="F1:F2"/>
    <mergeCell ref="G1:G2"/>
    <mergeCell ref="C1:C2"/>
    <mergeCell ref="M1:M2"/>
    <mergeCell ref="AK1:AN1"/>
    <mergeCell ref="AO1:AR1"/>
    <mergeCell ref="AS1:AV1"/>
    <mergeCell ref="A1:A2"/>
    <mergeCell ref="B1:B2"/>
    <mergeCell ref="J1:J2"/>
    <mergeCell ref="K1:K2"/>
    <mergeCell ref="L1:L2"/>
    <mergeCell ref="AC1:AF1"/>
    <mergeCell ref="AG1:AJ1"/>
    <mergeCell ref="I1:I2"/>
    <mergeCell ref="N1:N2"/>
    <mergeCell ref="O1:O2"/>
    <mergeCell ref="P1:P2"/>
    <mergeCell ref="Q1:T1"/>
  </mergeCells>
  <conditionalFormatting sqref="L3:L84">
    <cfRule type="colorScale" priority="215">
      <colorScale>
        <cfvo type="percentile" val="10"/>
        <cfvo type="percentile" val="50"/>
        <cfvo type="percentile" val="90"/>
        <color rgb="FFFFCCCC"/>
        <color rgb="FFFFEB84"/>
        <color theme="9" tint="0.59999389629810485"/>
      </colorScale>
    </cfRule>
  </conditionalFormatting>
  <conditionalFormatting sqref="L86">
    <cfRule type="colorScale" priority="209">
      <colorScale>
        <cfvo type="percentile" val="10"/>
        <cfvo type="percentile" val="50"/>
        <cfvo type="percentile" val="90"/>
        <color rgb="FFFFCCCC"/>
        <color rgb="FFFFEB84"/>
        <color theme="9" tint="0.59999389629810485"/>
      </colorScale>
    </cfRule>
  </conditionalFormatting>
  <conditionalFormatting sqref="J86">
    <cfRule type="cellIs" dxfId="78" priority="205" operator="greaterThan">
      <formula>3001</formula>
    </cfRule>
    <cfRule type="cellIs" dxfId="77" priority="206" operator="between">
      <formula>1001</formula>
      <formula>3000</formula>
    </cfRule>
    <cfRule type="cellIs" dxfId="76" priority="207" operator="between">
      <formula>500</formula>
      <formula>1000</formula>
    </cfRule>
    <cfRule type="cellIs" dxfId="75" priority="208" operator="lessThan">
      <formula>500</formula>
    </cfRule>
  </conditionalFormatting>
  <conditionalFormatting sqref="C3:H84">
    <cfRule type="cellIs" dxfId="74" priority="147" operator="between">
      <formula>10%</formula>
      <formula>29.99%</formula>
    </cfRule>
    <cfRule type="cellIs" dxfId="73" priority="148" operator="greaterThan">
      <formula>60%</formula>
    </cfRule>
    <cfRule type="cellIs" dxfId="72" priority="149" operator="lessThan">
      <formula>9.99%</formula>
    </cfRule>
    <cfRule type="cellIs" dxfId="71" priority="150" operator="between">
      <formula>50%</formula>
      <formula>59.99%</formula>
    </cfRule>
    <cfRule type="cellIs" dxfId="70" priority="151" operator="between">
      <formula>30%</formula>
      <formula>49.99%</formula>
    </cfRule>
  </conditionalFormatting>
  <conditionalFormatting sqref="C3:H84">
    <cfRule type="cellIs" dxfId="69" priority="146" operator="equal">
      <formula>0</formula>
    </cfRule>
  </conditionalFormatting>
  <conditionalFormatting sqref="H86">
    <cfRule type="cellIs" dxfId="68" priority="130" operator="between">
      <formula>10%</formula>
      <formula>29.99%</formula>
    </cfRule>
    <cfRule type="cellIs" dxfId="67" priority="136" operator="greaterThan">
      <formula>60%</formula>
    </cfRule>
    <cfRule type="cellIs" dxfId="66" priority="137" operator="lessThan">
      <formula>9.99%</formula>
    </cfRule>
    <cfRule type="cellIs" dxfId="65" priority="138" operator="between">
      <formula>50%</formula>
      <formula>59.99%</formula>
    </cfRule>
    <cfRule type="cellIs" dxfId="64" priority="139" operator="between">
      <formula>30%</formula>
      <formula>49.99%</formula>
    </cfRule>
  </conditionalFormatting>
  <conditionalFormatting sqref="C86:H86">
    <cfRule type="cellIs" dxfId="63" priority="131" operator="between">
      <formula>10%</formula>
      <formula>29.99%</formula>
    </cfRule>
    <cfRule type="cellIs" dxfId="62" priority="132" operator="greaterThan">
      <formula>60%</formula>
    </cfRule>
    <cfRule type="cellIs" dxfId="61" priority="133" operator="lessThan">
      <formula>9.99%</formula>
    </cfRule>
    <cfRule type="cellIs" dxfId="60" priority="134" operator="between">
      <formula>50%</formula>
      <formula>59.99%</formula>
    </cfRule>
    <cfRule type="cellIs" dxfId="59" priority="135" operator="between">
      <formula>30%</formula>
      <formula>49.99%</formula>
    </cfRule>
  </conditionalFormatting>
  <conditionalFormatting sqref="C86:H86">
    <cfRule type="cellIs" dxfId="58" priority="129" operator="equal">
      <formula>0</formula>
    </cfRule>
  </conditionalFormatting>
  <conditionalFormatting sqref="AJ3:AJ84">
    <cfRule type="cellIs" dxfId="57" priority="11" operator="greaterThan">
      <formula>0.125</formula>
    </cfRule>
    <cfRule type="cellIs" dxfId="56" priority="12" operator="lessThan">
      <formula>0.125</formula>
    </cfRule>
  </conditionalFormatting>
  <conditionalFormatting sqref="T3:T84">
    <cfRule type="cellIs" dxfId="55" priority="114" operator="greaterThan">
      <formula>60%</formula>
    </cfRule>
    <cfRule type="cellIs" dxfId="54" priority="115" operator="between">
      <formula>56%</formula>
      <formula>59.99%</formula>
    </cfRule>
    <cfRule type="cellIs" dxfId="53" priority="116" operator="lessThan">
      <formula>55.99%</formula>
    </cfRule>
  </conditionalFormatting>
  <conditionalFormatting sqref="R3:R84">
    <cfRule type="cellIs" dxfId="52" priority="107" operator="equal">
      <formula>"PN"</formula>
    </cfRule>
    <cfRule type="cellIs" dxfId="51" priority="108" operator="equal">
      <formula>"GPS"</formula>
    </cfRule>
    <cfRule type="cellIs" dxfId="50" priority="109" operator="equal">
      <formula>"PH"</formula>
    </cfRule>
  </conditionalFormatting>
  <conditionalFormatting sqref="T3:T84">
    <cfRule type="cellIs" dxfId="49" priority="106" operator="equal">
      <formula>""</formula>
    </cfRule>
  </conditionalFormatting>
  <conditionalFormatting sqref="AP3:AP84">
    <cfRule type="cellIs" dxfId="48" priority="50" operator="equal">
      <formula>"PN"</formula>
    </cfRule>
    <cfRule type="cellIs" dxfId="47" priority="51" operator="equal">
      <formula>"GPS"</formula>
    </cfRule>
    <cfRule type="cellIs" dxfId="46" priority="52" operator="equal">
      <formula>"PH"</formula>
    </cfRule>
  </conditionalFormatting>
  <conditionalFormatting sqref="V3:V84">
    <cfRule type="cellIs" dxfId="45" priority="85" operator="equal">
      <formula>"PN"</formula>
    </cfRule>
    <cfRule type="cellIs" dxfId="44" priority="86" operator="equal">
      <formula>"GPS"</formula>
    </cfRule>
    <cfRule type="cellIs" dxfId="43" priority="87" operator="equal">
      <formula>"PH"</formula>
    </cfRule>
  </conditionalFormatting>
  <conditionalFormatting sqref="Z3:Z84">
    <cfRule type="cellIs" dxfId="42" priority="78" operator="equal">
      <formula>"PN"</formula>
    </cfRule>
    <cfRule type="cellIs" dxfId="41" priority="79" operator="equal">
      <formula>"GPS"</formula>
    </cfRule>
    <cfRule type="cellIs" dxfId="40" priority="80" operator="equal">
      <formula>"PH"</formula>
    </cfRule>
  </conditionalFormatting>
  <conditionalFormatting sqref="AD3:AD84">
    <cfRule type="cellIs" dxfId="39" priority="71" operator="equal">
      <formula>"PN"</formula>
    </cfRule>
    <cfRule type="cellIs" dxfId="38" priority="72" operator="equal">
      <formula>"GPS"</formula>
    </cfRule>
    <cfRule type="cellIs" dxfId="37" priority="73" operator="equal">
      <formula>"PH"</formula>
    </cfRule>
  </conditionalFormatting>
  <conditionalFormatting sqref="AH3:AH84">
    <cfRule type="cellIs" dxfId="36" priority="64" operator="equal">
      <formula>"PN"</formula>
    </cfRule>
    <cfRule type="cellIs" dxfId="35" priority="65" operator="equal">
      <formula>"GPS"</formula>
    </cfRule>
    <cfRule type="cellIs" dxfId="34" priority="66" operator="equal">
      <formula>"PH"</formula>
    </cfRule>
  </conditionalFormatting>
  <conditionalFormatting sqref="AL3:AL84">
    <cfRule type="cellIs" dxfId="33" priority="57" operator="equal">
      <formula>"PN"</formula>
    </cfRule>
    <cfRule type="cellIs" dxfId="32" priority="58" operator="equal">
      <formula>"GPS"</formula>
    </cfRule>
    <cfRule type="cellIs" dxfId="31" priority="59" operator="equal">
      <formula>"PH"</formula>
    </cfRule>
  </conditionalFormatting>
  <conditionalFormatting sqref="AB3:AB84">
    <cfRule type="cellIs" dxfId="30" priority="31" operator="equal">
      <formula>""</formula>
    </cfRule>
  </conditionalFormatting>
  <conditionalFormatting sqref="AT3:AT84">
    <cfRule type="cellIs" dxfId="29" priority="43" operator="equal">
      <formula>"PN"</formula>
    </cfRule>
    <cfRule type="cellIs" dxfId="28" priority="44" operator="equal">
      <formula>"GPS"</formula>
    </cfRule>
    <cfRule type="cellIs" dxfId="27" priority="45" operator="equal">
      <formula>"PH"</formula>
    </cfRule>
  </conditionalFormatting>
  <conditionalFormatting sqref="J3:J84">
    <cfRule type="cellIs" dxfId="26" priority="38" operator="greaterThan">
      <formula>1001</formula>
    </cfRule>
    <cfRule type="cellIs" dxfId="25" priority="39" operator="between">
      <formula>501</formula>
      <formula>1000</formula>
    </cfRule>
    <cfRule type="cellIs" dxfId="24" priority="40" operator="between">
      <formula>101</formula>
      <formula>500</formula>
    </cfRule>
    <cfRule type="cellIs" dxfId="23" priority="41" operator="lessThan">
      <formula>100</formula>
    </cfRule>
  </conditionalFormatting>
  <conditionalFormatting sqref="J3:J84">
    <cfRule type="cellIs" dxfId="22" priority="37" operator="equal">
      <formula>"N/A"</formula>
    </cfRule>
  </conditionalFormatting>
  <conditionalFormatting sqref="X3:X84">
    <cfRule type="cellIs" dxfId="21" priority="35" operator="greaterThan">
      <formula>0.125</formula>
    </cfRule>
    <cfRule type="cellIs" dxfId="20" priority="36" operator="lessThan">
      <formula>0.125</formula>
    </cfRule>
  </conditionalFormatting>
  <conditionalFormatting sqref="X3:X84">
    <cfRule type="cellIs" dxfId="19" priority="34" operator="equal">
      <formula>""</formula>
    </cfRule>
  </conditionalFormatting>
  <conditionalFormatting sqref="AB3:AB84">
    <cfRule type="cellIs" dxfId="18" priority="32" operator="greaterThan">
      <formula>0.125</formula>
    </cfRule>
    <cfRule type="cellIs" dxfId="17" priority="33" operator="lessThan">
      <formula>0.125</formula>
    </cfRule>
  </conditionalFormatting>
  <conditionalFormatting sqref="AF3:AF84">
    <cfRule type="cellIs" dxfId="16" priority="14" operator="greaterThan">
      <formula>0.125</formula>
    </cfRule>
    <cfRule type="cellIs" dxfId="15" priority="15" operator="lessThan">
      <formula>0.125</formula>
    </cfRule>
  </conditionalFormatting>
  <conditionalFormatting sqref="AF3:AF84">
    <cfRule type="cellIs" dxfId="14" priority="13" operator="equal">
      <formula>""</formula>
    </cfRule>
  </conditionalFormatting>
  <conditionalFormatting sqref="AJ3:AJ84">
    <cfRule type="cellIs" dxfId="13" priority="10" operator="equal">
      <formula>""</formula>
    </cfRule>
  </conditionalFormatting>
  <conditionalFormatting sqref="AN3:AN84">
    <cfRule type="cellIs" dxfId="12" priority="8" operator="greaterThan">
      <formula>0.125</formula>
    </cfRule>
    <cfRule type="cellIs" dxfId="11" priority="9" operator="lessThan">
      <formula>0.125</formula>
    </cfRule>
  </conditionalFormatting>
  <conditionalFormatting sqref="AN3:AN84">
    <cfRule type="cellIs" dxfId="10" priority="7" operator="equal">
      <formula>""</formula>
    </cfRule>
  </conditionalFormatting>
  <conditionalFormatting sqref="AR3:AR84">
    <cfRule type="cellIs" dxfId="9" priority="5" operator="greaterThan">
      <formula>0.125</formula>
    </cfRule>
    <cfRule type="cellIs" dxfId="8" priority="6" operator="lessThan">
      <formula>0.125</formula>
    </cfRule>
  </conditionalFormatting>
  <conditionalFormatting sqref="AR3:AR84">
    <cfRule type="cellIs" dxfId="7" priority="4" operator="equal">
      <formula>""</formula>
    </cfRule>
  </conditionalFormatting>
  <conditionalFormatting sqref="AV3:AV84">
    <cfRule type="cellIs" dxfId="6" priority="2" operator="greaterThan">
      <formula>0.125</formula>
    </cfRule>
    <cfRule type="cellIs" dxfId="5" priority="3" operator="lessThan">
      <formula>0.125</formula>
    </cfRule>
  </conditionalFormatting>
  <conditionalFormatting sqref="AV3:AV84">
    <cfRule type="cellIs" dxfId="4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D224-C647-4E66-81A9-81B40C496C96}">
  <dimension ref="A1:K116"/>
  <sheetViews>
    <sheetView workbookViewId="0">
      <selection activeCell="C29" sqref="C29"/>
    </sheetView>
  </sheetViews>
  <sheetFormatPr defaultRowHeight="14.25"/>
  <cols>
    <col min="1" max="1" width="5.75" style="4" customWidth="1"/>
    <col min="2" max="2" width="20" style="1" customWidth="1"/>
    <col min="3" max="3" width="5.75" style="4" customWidth="1"/>
    <col min="4" max="4" width="20.875" style="1" customWidth="1"/>
    <col min="5" max="5" width="10.625" style="5" customWidth="1"/>
    <col min="6" max="6" width="10" style="5" customWidth="1"/>
    <col min="7" max="7" width="6.75" style="5" customWidth="1"/>
    <col min="8" max="8" width="8.625" style="8" customWidth="1"/>
    <col min="9" max="9" width="8.375" style="5" customWidth="1"/>
    <col min="10" max="10" width="10" style="5" customWidth="1"/>
    <col min="11" max="11" width="9" style="8" customWidth="1"/>
    <col min="12" max="16384" width="9" style="1"/>
  </cols>
  <sheetData>
    <row r="1" spans="1:11" s="2" customFormat="1" ht="30">
      <c r="A1" s="9" t="s">
        <v>0</v>
      </c>
      <c r="B1" s="9" t="s">
        <v>3</v>
      </c>
      <c r="C1" s="9" t="s">
        <v>0</v>
      </c>
      <c r="D1" s="9" t="s">
        <v>1</v>
      </c>
      <c r="E1" s="9" t="s">
        <v>230</v>
      </c>
      <c r="F1" s="9" t="s">
        <v>232</v>
      </c>
      <c r="G1" s="9" t="s">
        <v>234</v>
      </c>
      <c r="H1" s="9" t="s">
        <v>233</v>
      </c>
      <c r="I1" s="10" t="s">
        <v>2</v>
      </c>
      <c r="J1" s="10" t="s">
        <v>231</v>
      </c>
      <c r="K1" s="10" t="s">
        <v>233</v>
      </c>
    </row>
    <row r="2" spans="1:11" s="6" customFormat="1" ht="15">
      <c r="A2" s="9"/>
      <c r="B2" s="11"/>
      <c r="C2" s="9" t="s">
        <v>4</v>
      </c>
      <c r="D2" s="11" t="s">
        <v>9</v>
      </c>
      <c r="E2" s="10">
        <f>SUM(E3:E4)</f>
        <v>29617</v>
      </c>
      <c r="F2" s="10">
        <f>SUM(F3:F4)</f>
        <v>30309</v>
      </c>
      <c r="G2" s="10">
        <f>F2-E2</f>
        <v>692</v>
      </c>
      <c r="H2" s="12">
        <f>G2/E2</f>
        <v>2.3364959313907554E-2</v>
      </c>
      <c r="I2" s="10">
        <f>SUM(I3:I4)</f>
        <v>16480</v>
      </c>
      <c r="J2" s="10">
        <f>F2+I2</f>
        <v>46789</v>
      </c>
      <c r="K2" s="12">
        <f t="shared" ref="K2:K33" si="0">(J2-F2)/F2</f>
        <v>0.54373288462172953</v>
      </c>
    </row>
    <row r="3" spans="1:11">
      <c r="A3" s="13" t="s">
        <v>4</v>
      </c>
      <c r="B3" s="14" t="s">
        <v>9</v>
      </c>
      <c r="C3" s="13" t="s">
        <v>5</v>
      </c>
      <c r="D3" s="14" t="s">
        <v>6</v>
      </c>
      <c r="E3" s="15">
        <v>11256</v>
      </c>
      <c r="F3" s="15">
        <v>11486</v>
      </c>
      <c r="G3" s="15">
        <f t="shared" ref="G3:G66" si="1">F3-E3</f>
        <v>230</v>
      </c>
      <c r="H3" s="16">
        <f t="shared" ref="H3:H66" si="2">G3/E3</f>
        <v>2.0433546552949537E-2</v>
      </c>
      <c r="I3" s="15">
        <v>6936</v>
      </c>
      <c r="J3" s="15">
        <f t="shared" ref="J3:J66" si="3">F3+I3</f>
        <v>18422</v>
      </c>
      <c r="K3" s="16">
        <f t="shared" si="0"/>
        <v>0.60386557548319697</v>
      </c>
    </row>
    <row r="4" spans="1:11">
      <c r="A4" s="13" t="s">
        <v>4</v>
      </c>
      <c r="B4" s="14" t="s">
        <v>9</v>
      </c>
      <c r="C4" s="13" t="s">
        <v>8</v>
      </c>
      <c r="D4" s="14" t="s">
        <v>7</v>
      </c>
      <c r="E4" s="15">
        <v>18361</v>
      </c>
      <c r="F4" s="15">
        <v>18823</v>
      </c>
      <c r="G4" s="15">
        <f t="shared" si="1"/>
        <v>462</v>
      </c>
      <c r="H4" s="16">
        <f t="shared" si="2"/>
        <v>2.5162028211971027E-2</v>
      </c>
      <c r="I4" s="15">
        <v>9544</v>
      </c>
      <c r="J4" s="15">
        <f t="shared" si="3"/>
        <v>28367</v>
      </c>
      <c r="K4" s="16">
        <f t="shared" si="0"/>
        <v>0.507039260479201</v>
      </c>
    </row>
    <row r="5" spans="1:11" ht="15">
      <c r="A5" s="13"/>
      <c r="B5" s="14"/>
      <c r="C5" s="9" t="s">
        <v>10</v>
      </c>
      <c r="D5" s="17" t="s">
        <v>11</v>
      </c>
      <c r="E5" s="10">
        <f>SUM(E6:E8)</f>
        <v>45627</v>
      </c>
      <c r="F5" s="10">
        <f>SUM(F6:F8)</f>
        <v>46936</v>
      </c>
      <c r="G5" s="10">
        <f t="shared" si="1"/>
        <v>1309</v>
      </c>
      <c r="H5" s="12">
        <f t="shared" si="2"/>
        <v>2.8689153352181824E-2</v>
      </c>
      <c r="I5" s="10">
        <f>SUM(I6:I8)</f>
        <v>30929</v>
      </c>
      <c r="J5" s="10">
        <f t="shared" si="3"/>
        <v>77865</v>
      </c>
      <c r="K5" s="12">
        <f t="shared" si="0"/>
        <v>0.65896113857167204</v>
      </c>
    </row>
    <row r="6" spans="1:11">
      <c r="A6" s="13" t="s">
        <v>10</v>
      </c>
      <c r="B6" s="14" t="s">
        <v>11</v>
      </c>
      <c r="C6" s="13" t="s">
        <v>12</v>
      </c>
      <c r="D6" s="14" t="s">
        <v>15</v>
      </c>
      <c r="E6" s="15">
        <v>11413</v>
      </c>
      <c r="F6" s="15">
        <v>11443</v>
      </c>
      <c r="G6" s="15">
        <f t="shared" si="1"/>
        <v>30</v>
      </c>
      <c r="H6" s="16">
        <f t="shared" si="2"/>
        <v>2.6285814422150181E-3</v>
      </c>
      <c r="I6" s="15">
        <v>4511</v>
      </c>
      <c r="J6" s="15">
        <f t="shared" si="3"/>
        <v>15954</v>
      </c>
      <c r="K6" s="16">
        <f t="shared" si="0"/>
        <v>0.39421480381018964</v>
      </c>
    </row>
    <row r="7" spans="1:11">
      <c r="A7" s="13" t="s">
        <v>10</v>
      </c>
      <c r="B7" s="14" t="s">
        <v>11</v>
      </c>
      <c r="C7" s="13" t="s">
        <v>13</v>
      </c>
      <c r="D7" s="14" t="s">
        <v>16</v>
      </c>
      <c r="E7" s="15">
        <v>19678</v>
      </c>
      <c r="F7" s="15">
        <v>20603</v>
      </c>
      <c r="G7" s="15">
        <f t="shared" si="1"/>
        <v>925</v>
      </c>
      <c r="H7" s="16">
        <f t="shared" si="2"/>
        <v>4.7006809635125518E-2</v>
      </c>
      <c r="I7" s="15">
        <v>16172</v>
      </c>
      <c r="J7" s="15">
        <f t="shared" si="3"/>
        <v>36775</v>
      </c>
      <c r="K7" s="16">
        <f t="shared" si="0"/>
        <v>0.78493423287870701</v>
      </c>
    </row>
    <row r="8" spans="1:11">
      <c r="A8" s="13" t="s">
        <v>10</v>
      </c>
      <c r="B8" s="14" t="s">
        <v>11</v>
      </c>
      <c r="C8" s="13" t="s">
        <v>14</v>
      </c>
      <c r="D8" s="14" t="s">
        <v>17</v>
      </c>
      <c r="E8" s="15">
        <v>14536</v>
      </c>
      <c r="F8" s="15">
        <v>14890</v>
      </c>
      <c r="G8" s="15">
        <f t="shared" si="1"/>
        <v>354</v>
      </c>
      <c r="H8" s="16">
        <f t="shared" si="2"/>
        <v>2.4353329664281782E-2</v>
      </c>
      <c r="I8" s="15">
        <v>10246</v>
      </c>
      <c r="J8" s="15">
        <f t="shared" si="3"/>
        <v>25136</v>
      </c>
      <c r="K8" s="16">
        <f t="shared" si="0"/>
        <v>0.68811282740094026</v>
      </c>
    </row>
    <row r="9" spans="1:11" ht="15">
      <c r="A9" s="13"/>
      <c r="B9" s="14"/>
      <c r="C9" s="9" t="s">
        <v>18</v>
      </c>
      <c r="D9" s="17" t="s">
        <v>19</v>
      </c>
      <c r="E9" s="10">
        <f>SUM(E10:E12)</f>
        <v>57925</v>
      </c>
      <c r="F9" s="10">
        <f>SUM(F10:F12)</f>
        <v>61967</v>
      </c>
      <c r="G9" s="10">
        <f t="shared" si="1"/>
        <v>4042</v>
      </c>
      <c r="H9" s="12">
        <f t="shared" si="2"/>
        <v>6.9779887785930084E-2</v>
      </c>
      <c r="I9" s="10">
        <f>SUM(I10:I12)</f>
        <v>46815</v>
      </c>
      <c r="J9" s="10">
        <f t="shared" si="3"/>
        <v>108782</v>
      </c>
      <c r="K9" s="12">
        <f t="shared" si="0"/>
        <v>0.75548275695128053</v>
      </c>
    </row>
    <row r="10" spans="1:11">
      <c r="A10" s="13" t="s">
        <v>18</v>
      </c>
      <c r="B10" s="14" t="s">
        <v>19</v>
      </c>
      <c r="C10" s="13" t="s">
        <v>20</v>
      </c>
      <c r="D10" s="14" t="s">
        <v>23</v>
      </c>
      <c r="E10" s="15">
        <v>23908</v>
      </c>
      <c r="F10" s="15">
        <v>26113</v>
      </c>
      <c r="G10" s="15">
        <f t="shared" si="1"/>
        <v>2205</v>
      </c>
      <c r="H10" s="16">
        <f t="shared" si="2"/>
        <v>9.2228542747197592E-2</v>
      </c>
      <c r="I10" s="15">
        <v>24851</v>
      </c>
      <c r="J10" s="15">
        <f t="shared" si="3"/>
        <v>50964</v>
      </c>
      <c r="K10" s="16">
        <f t="shared" si="0"/>
        <v>0.95167158120476392</v>
      </c>
    </row>
    <row r="11" spans="1:11">
      <c r="A11" s="13" t="s">
        <v>18</v>
      </c>
      <c r="B11" s="14" t="s">
        <v>19</v>
      </c>
      <c r="C11" s="13" t="s">
        <v>21</v>
      </c>
      <c r="D11" s="14" t="s">
        <v>24</v>
      </c>
      <c r="E11" s="15">
        <v>19946</v>
      </c>
      <c r="F11" s="15">
        <v>21459</v>
      </c>
      <c r="G11" s="15">
        <f t="shared" si="1"/>
        <v>1513</v>
      </c>
      <c r="H11" s="16">
        <f t="shared" si="2"/>
        <v>7.5854807981550185E-2</v>
      </c>
      <c r="I11" s="15">
        <v>16043</v>
      </c>
      <c r="J11" s="15">
        <f t="shared" si="3"/>
        <v>37502</v>
      </c>
      <c r="K11" s="16">
        <f t="shared" si="0"/>
        <v>0.74761172468428161</v>
      </c>
    </row>
    <row r="12" spans="1:11">
      <c r="A12" s="13" t="s">
        <v>18</v>
      </c>
      <c r="B12" s="14" t="s">
        <v>19</v>
      </c>
      <c r="C12" s="13" t="s">
        <v>22</v>
      </c>
      <c r="D12" s="14" t="s">
        <v>25</v>
      </c>
      <c r="E12" s="15">
        <v>14071</v>
      </c>
      <c r="F12" s="15">
        <v>14395</v>
      </c>
      <c r="G12" s="15">
        <f t="shared" si="1"/>
        <v>324</v>
      </c>
      <c r="H12" s="16">
        <f t="shared" si="2"/>
        <v>2.3026082012650131E-2</v>
      </c>
      <c r="I12" s="15">
        <v>5921</v>
      </c>
      <c r="J12" s="15">
        <f t="shared" si="3"/>
        <v>20316</v>
      </c>
      <c r="K12" s="16">
        <f t="shared" si="0"/>
        <v>0.41132337617228204</v>
      </c>
    </row>
    <row r="13" spans="1:11" ht="15">
      <c r="A13" s="13"/>
      <c r="B13" s="14"/>
      <c r="C13" s="9" t="s">
        <v>26</v>
      </c>
      <c r="D13" s="17" t="s">
        <v>27</v>
      </c>
      <c r="E13" s="10">
        <f>SUM(E14:E16)</f>
        <v>81855</v>
      </c>
      <c r="F13" s="10">
        <f>SUM(F14:F16)</f>
        <v>80831</v>
      </c>
      <c r="G13" s="10">
        <f t="shared" si="1"/>
        <v>-1024</v>
      </c>
      <c r="H13" s="12">
        <f t="shared" si="2"/>
        <v>-1.2509926088815588E-2</v>
      </c>
      <c r="I13" s="10">
        <f>SUM(I14:I16)</f>
        <v>29947</v>
      </c>
      <c r="J13" s="10">
        <f t="shared" si="3"/>
        <v>110778</v>
      </c>
      <c r="K13" s="12">
        <f t="shared" si="0"/>
        <v>0.37048904504459923</v>
      </c>
    </row>
    <row r="14" spans="1:11">
      <c r="A14" s="13" t="s">
        <v>26</v>
      </c>
      <c r="B14" s="14" t="s">
        <v>27</v>
      </c>
      <c r="C14" s="13" t="s">
        <v>28</v>
      </c>
      <c r="D14" s="14" t="s">
        <v>31</v>
      </c>
      <c r="E14" s="15">
        <v>21957</v>
      </c>
      <c r="F14" s="15">
        <v>21100</v>
      </c>
      <c r="G14" s="15">
        <f t="shared" si="1"/>
        <v>-857</v>
      </c>
      <c r="H14" s="16">
        <f t="shared" si="2"/>
        <v>-3.9030832991756616E-2</v>
      </c>
      <c r="I14" s="15">
        <v>4510</v>
      </c>
      <c r="J14" s="15">
        <f t="shared" si="3"/>
        <v>25610</v>
      </c>
      <c r="K14" s="16">
        <f t="shared" si="0"/>
        <v>0.21374407582938387</v>
      </c>
    </row>
    <row r="15" spans="1:11">
      <c r="A15" s="13" t="s">
        <v>26</v>
      </c>
      <c r="B15" s="14" t="s">
        <v>27</v>
      </c>
      <c r="C15" s="13" t="s">
        <v>29</v>
      </c>
      <c r="D15" s="14" t="s">
        <v>32</v>
      </c>
      <c r="E15" s="15">
        <v>30497</v>
      </c>
      <c r="F15" s="15">
        <v>29923</v>
      </c>
      <c r="G15" s="15">
        <f t="shared" si="1"/>
        <v>-574</v>
      </c>
      <c r="H15" s="16">
        <f t="shared" si="2"/>
        <v>-1.8821523428533955E-2</v>
      </c>
      <c r="I15" s="15">
        <v>8870</v>
      </c>
      <c r="J15" s="15">
        <f t="shared" si="3"/>
        <v>38793</v>
      </c>
      <c r="K15" s="16">
        <f t="shared" si="0"/>
        <v>0.2964274972429235</v>
      </c>
    </row>
    <row r="16" spans="1:11">
      <c r="A16" s="13" t="s">
        <v>26</v>
      </c>
      <c r="B16" s="14" t="s">
        <v>27</v>
      </c>
      <c r="C16" s="13" t="s">
        <v>30</v>
      </c>
      <c r="D16" s="14" t="s">
        <v>33</v>
      </c>
      <c r="E16" s="15">
        <v>29401</v>
      </c>
      <c r="F16" s="15">
        <v>29808</v>
      </c>
      <c r="G16" s="15">
        <f t="shared" si="1"/>
        <v>407</v>
      </c>
      <c r="H16" s="16">
        <f t="shared" si="2"/>
        <v>1.3843066562361825E-2</v>
      </c>
      <c r="I16" s="15">
        <v>16567</v>
      </c>
      <c r="J16" s="15">
        <f t="shared" si="3"/>
        <v>46375</v>
      </c>
      <c r="K16" s="16">
        <f t="shared" si="0"/>
        <v>0.55579039184111645</v>
      </c>
    </row>
    <row r="17" spans="1:11" ht="15">
      <c r="A17" s="13"/>
      <c r="B17" s="14"/>
      <c r="C17" s="9" t="s">
        <v>34</v>
      </c>
      <c r="D17" s="17" t="s">
        <v>35</v>
      </c>
      <c r="E17" s="10">
        <f>SUM(E18:E20)</f>
        <v>66239</v>
      </c>
      <c r="F17" s="10">
        <f>SUM(F18:F20)</f>
        <v>70176</v>
      </c>
      <c r="G17" s="10">
        <f t="shared" si="1"/>
        <v>3937</v>
      </c>
      <c r="H17" s="12">
        <f t="shared" si="2"/>
        <v>5.9436283760322471E-2</v>
      </c>
      <c r="I17" s="10">
        <f>SUM(I18:I20)</f>
        <v>49008</v>
      </c>
      <c r="J17" s="10">
        <f t="shared" si="3"/>
        <v>119184</v>
      </c>
      <c r="K17" s="12">
        <f t="shared" si="0"/>
        <v>0.69835841313269498</v>
      </c>
    </row>
    <row r="18" spans="1:11">
      <c r="A18" s="13" t="s">
        <v>34</v>
      </c>
      <c r="B18" s="14" t="s">
        <v>35</v>
      </c>
      <c r="C18" s="13" t="s">
        <v>36</v>
      </c>
      <c r="D18" s="14" t="s">
        <v>39</v>
      </c>
      <c r="E18" s="15">
        <v>27462</v>
      </c>
      <c r="F18" s="15">
        <v>28508</v>
      </c>
      <c r="G18" s="15">
        <f t="shared" si="1"/>
        <v>1046</v>
      </c>
      <c r="H18" s="16">
        <f t="shared" si="2"/>
        <v>3.8088995703153446E-2</v>
      </c>
      <c r="I18" s="15">
        <v>16773</v>
      </c>
      <c r="J18" s="15">
        <f t="shared" si="3"/>
        <v>45281</v>
      </c>
      <c r="K18" s="16">
        <f t="shared" si="0"/>
        <v>0.58836116177914977</v>
      </c>
    </row>
    <row r="19" spans="1:11">
      <c r="A19" s="13" t="s">
        <v>34</v>
      </c>
      <c r="B19" s="14" t="s">
        <v>35</v>
      </c>
      <c r="C19" s="13" t="s">
        <v>37</v>
      </c>
      <c r="D19" s="14" t="s">
        <v>40</v>
      </c>
      <c r="E19" s="15">
        <v>19351</v>
      </c>
      <c r="F19" s="15">
        <v>20902</v>
      </c>
      <c r="G19" s="15">
        <f t="shared" si="1"/>
        <v>1551</v>
      </c>
      <c r="H19" s="16">
        <f t="shared" si="2"/>
        <v>8.0150896594491247E-2</v>
      </c>
      <c r="I19" s="15">
        <v>15753</v>
      </c>
      <c r="J19" s="15">
        <f t="shared" si="3"/>
        <v>36655</v>
      </c>
      <c r="K19" s="16">
        <f t="shared" si="0"/>
        <v>0.75365993684814847</v>
      </c>
    </row>
    <row r="20" spans="1:11">
      <c r="A20" s="13" t="s">
        <v>34</v>
      </c>
      <c r="B20" s="14" t="s">
        <v>35</v>
      </c>
      <c r="C20" s="13" t="s">
        <v>38</v>
      </c>
      <c r="D20" s="14" t="s">
        <v>41</v>
      </c>
      <c r="E20" s="15">
        <v>19426</v>
      </c>
      <c r="F20" s="15">
        <v>20766</v>
      </c>
      <c r="G20" s="15">
        <f t="shared" si="1"/>
        <v>1340</v>
      </c>
      <c r="H20" s="16">
        <f t="shared" si="2"/>
        <v>6.8979717903840221E-2</v>
      </c>
      <c r="I20" s="15">
        <v>16482</v>
      </c>
      <c r="J20" s="15">
        <f t="shared" si="3"/>
        <v>37248</v>
      </c>
      <c r="K20" s="16">
        <f t="shared" si="0"/>
        <v>0.7937012424154869</v>
      </c>
    </row>
    <row r="21" spans="1:11" ht="15">
      <c r="A21" s="13"/>
      <c r="B21" s="14"/>
      <c r="C21" s="9" t="s">
        <v>42</v>
      </c>
      <c r="D21" s="17" t="s">
        <v>43</v>
      </c>
      <c r="E21" s="10">
        <f>SUM(E22:E24)</f>
        <v>46300</v>
      </c>
      <c r="F21" s="10">
        <f>SUM(F22:F24)</f>
        <v>48204</v>
      </c>
      <c r="G21" s="10">
        <f t="shared" si="1"/>
        <v>1904</v>
      </c>
      <c r="H21" s="12">
        <f t="shared" si="2"/>
        <v>4.1123110151187907E-2</v>
      </c>
      <c r="I21" s="10">
        <f>SUM(I22:I24)</f>
        <v>31981</v>
      </c>
      <c r="J21" s="10">
        <f t="shared" si="3"/>
        <v>80185</v>
      </c>
      <c r="K21" s="12">
        <f t="shared" si="0"/>
        <v>0.66345116587835029</v>
      </c>
    </row>
    <row r="22" spans="1:11">
      <c r="A22" s="13" t="s">
        <v>42</v>
      </c>
      <c r="B22" s="14" t="s">
        <v>43</v>
      </c>
      <c r="C22" s="13" t="s">
        <v>44</v>
      </c>
      <c r="D22" s="14" t="s">
        <v>47</v>
      </c>
      <c r="E22" s="15">
        <v>12451</v>
      </c>
      <c r="F22" s="15">
        <v>12419</v>
      </c>
      <c r="G22" s="15">
        <f t="shared" si="1"/>
        <v>-32</v>
      </c>
      <c r="H22" s="16">
        <f t="shared" si="2"/>
        <v>-2.5700746927957594E-3</v>
      </c>
      <c r="I22" s="15">
        <v>6023</v>
      </c>
      <c r="J22" s="15">
        <f t="shared" si="3"/>
        <v>18442</v>
      </c>
      <c r="K22" s="16">
        <f t="shared" si="0"/>
        <v>0.4849826878170545</v>
      </c>
    </row>
    <row r="23" spans="1:11">
      <c r="A23" s="13" t="s">
        <v>42</v>
      </c>
      <c r="B23" s="14" t="s">
        <v>43</v>
      </c>
      <c r="C23" s="13" t="s">
        <v>45</v>
      </c>
      <c r="D23" s="14" t="s">
        <v>48</v>
      </c>
      <c r="E23" s="15">
        <v>18325</v>
      </c>
      <c r="F23" s="15">
        <v>18738</v>
      </c>
      <c r="G23" s="15">
        <f t="shared" si="1"/>
        <v>413</v>
      </c>
      <c r="H23" s="16">
        <f t="shared" si="2"/>
        <v>2.2537517053206002E-2</v>
      </c>
      <c r="I23" s="15">
        <v>12541</v>
      </c>
      <c r="J23" s="15">
        <f t="shared" si="3"/>
        <v>31279</v>
      </c>
      <c r="K23" s="16">
        <f t="shared" si="0"/>
        <v>0.66928167360444013</v>
      </c>
    </row>
    <row r="24" spans="1:11">
      <c r="A24" s="13" t="s">
        <v>42</v>
      </c>
      <c r="B24" s="14" t="s">
        <v>43</v>
      </c>
      <c r="C24" s="13" t="s">
        <v>46</v>
      </c>
      <c r="D24" s="14" t="s">
        <v>49</v>
      </c>
      <c r="E24" s="15">
        <v>15524</v>
      </c>
      <c r="F24" s="15">
        <v>17047</v>
      </c>
      <c r="G24" s="15">
        <f t="shared" si="1"/>
        <v>1523</v>
      </c>
      <c r="H24" s="16">
        <f t="shared" si="2"/>
        <v>9.8106158206647767E-2</v>
      </c>
      <c r="I24" s="15">
        <v>13417</v>
      </c>
      <c r="J24" s="15">
        <f t="shared" si="3"/>
        <v>30464</v>
      </c>
      <c r="K24" s="16">
        <f t="shared" si="0"/>
        <v>0.78705930662286616</v>
      </c>
    </row>
    <row r="25" spans="1:11" ht="15">
      <c r="A25" s="13"/>
      <c r="B25" s="14"/>
      <c r="C25" s="9" t="s">
        <v>50</v>
      </c>
      <c r="D25" s="17" t="s">
        <v>51</v>
      </c>
      <c r="E25" s="10">
        <f>SUM(E26:E28)</f>
        <v>46179</v>
      </c>
      <c r="F25" s="10">
        <f>SUM(F26:F28)</f>
        <v>47132</v>
      </c>
      <c r="G25" s="10">
        <f t="shared" si="1"/>
        <v>953</v>
      </c>
      <c r="H25" s="12">
        <f t="shared" si="2"/>
        <v>2.0637086121397172E-2</v>
      </c>
      <c r="I25" s="10">
        <f>SUM(I26:I28)</f>
        <v>32726</v>
      </c>
      <c r="J25" s="10">
        <f t="shared" si="3"/>
        <v>79858</v>
      </c>
      <c r="K25" s="12">
        <f t="shared" si="0"/>
        <v>0.69434778918781292</v>
      </c>
    </row>
    <row r="26" spans="1:11">
      <c r="A26" s="13" t="s">
        <v>50</v>
      </c>
      <c r="B26" s="14" t="s">
        <v>51</v>
      </c>
      <c r="C26" s="13" t="s">
        <v>52</v>
      </c>
      <c r="D26" s="14" t="s">
        <v>55</v>
      </c>
      <c r="E26" s="15">
        <v>9752</v>
      </c>
      <c r="F26" s="15">
        <v>9891</v>
      </c>
      <c r="G26" s="15">
        <f t="shared" si="1"/>
        <v>139</v>
      </c>
      <c r="H26" s="16">
        <f t="shared" si="2"/>
        <v>1.4253486464315013E-2</v>
      </c>
      <c r="I26" s="15">
        <v>6015</v>
      </c>
      <c r="J26" s="15">
        <f t="shared" si="3"/>
        <v>15906</v>
      </c>
      <c r="K26" s="16">
        <f t="shared" si="0"/>
        <v>0.60812860175917505</v>
      </c>
    </row>
    <row r="27" spans="1:11">
      <c r="A27" s="13" t="s">
        <v>50</v>
      </c>
      <c r="B27" s="14" t="s">
        <v>51</v>
      </c>
      <c r="C27" s="13" t="s">
        <v>53</v>
      </c>
      <c r="D27" s="14" t="s">
        <v>56</v>
      </c>
      <c r="E27" s="15">
        <v>19009</v>
      </c>
      <c r="F27" s="15">
        <v>19416</v>
      </c>
      <c r="G27" s="15">
        <f t="shared" si="1"/>
        <v>407</v>
      </c>
      <c r="H27" s="16">
        <f t="shared" si="2"/>
        <v>2.1410910621284654E-2</v>
      </c>
      <c r="I27" s="15">
        <v>14061</v>
      </c>
      <c r="J27" s="15">
        <f t="shared" si="3"/>
        <v>33477</v>
      </c>
      <c r="K27" s="16">
        <f t="shared" si="0"/>
        <v>0.72419653893695923</v>
      </c>
    </row>
    <row r="28" spans="1:11">
      <c r="A28" s="13" t="s">
        <v>50</v>
      </c>
      <c r="B28" s="14" t="s">
        <v>51</v>
      </c>
      <c r="C28" s="13" t="s">
        <v>54</v>
      </c>
      <c r="D28" s="14" t="s">
        <v>57</v>
      </c>
      <c r="E28" s="15">
        <v>17418</v>
      </c>
      <c r="F28" s="15">
        <v>17825</v>
      </c>
      <c r="G28" s="15">
        <f t="shared" si="1"/>
        <v>407</v>
      </c>
      <c r="H28" s="16">
        <f t="shared" si="2"/>
        <v>2.3366632219543E-2</v>
      </c>
      <c r="I28" s="15">
        <v>12650</v>
      </c>
      <c r="J28" s="15">
        <f t="shared" si="3"/>
        <v>30475</v>
      </c>
      <c r="K28" s="16">
        <f t="shared" si="0"/>
        <v>0.70967741935483875</v>
      </c>
    </row>
    <row r="29" spans="1:11" ht="15">
      <c r="A29" s="13"/>
      <c r="B29" s="14"/>
      <c r="C29" s="9" t="s">
        <v>58</v>
      </c>
      <c r="D29" s="17" t="s">
        <v>59</v>
      </c>
      <c r="E29" s="10">
        <f>SUM(E30:E32)</f>
        <v>37629</v>
      </c>
      <c r="F29" s="10">
        <f>SUM(F30:F32)</f>
        <v>38385</v>
      </c>
      <c r="G29" s="10">
        <f t="shared" si="1"/>
        <v>756</v>
      </c>
      <c r="H29" s="12">
        <f t="shared" si="2"/>
        <v>2.0090887347524514E-2</v>
      </c>
      <c r="I29" s="10">
        <f>SUM(I30:I32)</f>
        <v>26146</v>
      </c>
      <c r="J29" s="10">
        <f t="shared" si="3"/>
        <v>64531</v>
      </c>
      <c r="K29" s="12">
        <f t="shared" si="0"/>
        <v>0.68115149146802134</v>
      </c>
    </row>
    <row r="30" spans="1:11">
      <c r="A30" s="13" t="s">
        <v>58</v>
      </c>
      <c r="B30" s="14" t="s">
        <v>59</v>
      </c>
      <c r="C30" s="13" t="s">
        <v>60</v>
      </c>
      <c r="D30" s="14" t="s">
        <v>63</v>
      </c>
      <c r="E30" s="15">
        <v>12095</v>
      </c>
      <c r="F30" s="15">
        <v>12118</v>
      </c>
      <c r="G30" s="15">
        <f t="shared" si="1"/>
        <v>23</v>
      </c>
      <c r="H30" s="16">
        <f t="shared" si="2"/>
        <v>1.9016122364613477E-3</v>
      </c>
      <c r="I30" s="15">
        <v>8206</v>
      </c>
      <c r="J30" s="15">
        <f t="shared" si="3"/>
        <v>20324</v>
      </c>
      <c r="K30" s="16">
        <f t="shared" si="0"/>
        <v>0.67717445122957587</v>
      </c>
    </row>
    <row r="31" spans="1:11">
      <c r="A31" s="13" t="s">
        <v>58</v>
      </c>
      <c r="B31" s="14" t="s">
        <v>59</v>
      </c>
      <c r="C31" s="13" t="s">
        <v>61</v>
      </c>
      <c r="D31" s="14" t="s">
        <v>64</v>
      </c>
      <c r="E31" s="15">
        <v>11140</v>
      </c>
      <c r="F31" s="15">
        <v>11288</v>
      </c>
      <c r="G31" s="15">
        <f t="shared" si="1"/>
        <v>148</v>
      </c>
      <c r="H31" s="16">
        <f t="shared" si="2"/>
        <v>1.3285457809694794E-2</v>
      </c>
      <c r="I31" s="15">
        <v>7618</v>
      </c>
      <c r="J31" s="15">
        <f t="shared" si="3"/>
        <v>18906</v>
      </c>
      <c r="K31" s="16">
        <f t="shared" si="0"/>
        <v>0.67487597448617997</v>
      </c>
    </row>
    <row r="32" spans="1:11">
      <c r="A32" s="13" t="s">
        <v>58</v>
      </c>
      <c r="B32" s="14" t="s">
        <v>59</v>
      </c>
      <c r="C32" s="13" t="s">
        <v>62</v>
      </c>
      <c r="D32" s="14" t="s">
        <v>65</v>
      </c>
      <c r="E32" s="15">
        <v>14394</v>
      </c>
      <c r="F32" s="15">
        <v>14979</v>
      </c>
      <c r="G32" s="15">
        <f t="shared" si="1"/>
        <v>585</v>
      </c>
      <c r="H32" s="16">
        <f t="shared" si="2"/>
        <v>4.0641934139224678E-2</v>
      </c>
      <c r="I32" s="15">
        <v>10322</v>
      </c>
      <c r="J32" s="15">
        <f t="shared" si="3"/>
        <v>25301</v>
      </c>
      <c r="K32" s="16">
        <f t="shared" si="0"/>
        <v>0.6890980706322184</v>
      </c>
    </row>
    <row r="33" spans="1:11" ht="15">
      <c r="A33" s="13"/>
      <c r="B33" s="14"/>
      <c r="C33" s="9" t="s">
        <v>66</v>
      </c>
      <c r="D33" s="17" t="s">
        <v>67</v>
      </c>
      <c r="E33" s="10">
        <f>SUM(E34:E36)</f>
        <v>23213</v>
      </c>
      <c r="F33" s="10">
        <f>SUM(F34:F36)</f>
        <v>23308</v>
      </c>
      <c r="G33" s="10">
        <f t="shared" si="1"/>
        <v>95</v>
      </c>
      <c r="H33" s="12">
        <f t="shared" si="2"/>
        <v>4.0925343557489339E-3</v>
      </c>
      <c r="I33" s="10">
        <f>SUM(I34:I36)</f>
        <v>9294</v>
      </c>
      <c r="J33" s="10">
        <f t="shared" si="3"/>
        <v>32602</v>
      </c>
      <c r="K33" s="12">
        <f t="shared" si="0"/>
        <v>0.39874721125793716</v>
      </c>
    </row>
    <row r="34" spans="1:11">
      <c r="A34" s="13" t="s">
        <v>66</v>
      </c>
      <c r="B34" s="14" t="s">
        <v>67</v>
      </c>
      <c r="C34" s="13" t="s">
        <v>68</v>
      </c>
      <c r="D34" s="14" t="s">
        <v>71</v>
      </c>
      <c r="E34" s="15">
        <v>7606</v>
      </c>
      <c r="F34" s="15">
        <v>7697</v>
      </c>
      <c r="G34" s="15">
        <f t="shared" si="1"/>
        <v>91</v>
      </c>
      <c r="H34" s="16">
        <f t="shared" si="2"/>
        <v>1.1964238758874573E-2</v>
      </c>
      <c r="I34" s="15">
        <v>2731</v>
      </c>
      <c r="J34" s="15">
        <f t="shared" si="3"/>
        <v>10428</v>
      </c>
      <c r="K34" s="16">
        <f t="shared" ref="K34:K65" si="4">(J34-F34)/F34</f>
        <v>0.35481356372612705</v>
      </c>
    </row>
    <row r="35" spans="1:11">
      <c r="A35" s="13" t="s">
        <v>66</v>
      </c>
      <c r="B35" s="14" t="s">
        <v>67</v>
      </c>
      <c r="C35" s="13" t="s">
        <v>69</v>
      </c>
      <c r="D35" s="14" t="s">
        <v>72</v>
      </c>
      <c r="E35" s="15">
        <v>8329</v>
      </c>
      <c r="F35" s="15">
        <v>8364</v>
      </c>
      <c r="G35" s="15">
        <f t="shared" si="1"/>
        <v>35</v>
      </c>
      <c r="H35" s="16">
        <f t="shared" si="2"/>
        <v>4.2021851362708607E-3</v>
      </c>
      <c r="I35" s="15">
        <v>3780</v>
      </c>
      <c r="J35" s="15">
        <f t="shared" si="3"/>
        <v>12144</v>
      </c>
      <c r="K35" s="16">
        <f t="shared" si="4"/>
        <v>0.4519368723098996</v>
      </c>
    </row>
    <row r="36" spans="1:11">
      <c r="A36" s="13" t="s">
        <v>66</v>
      </c>
      <c r="B36" s="14" t="s">
        <v>67</v>
      </c>
      <c r="C36" s="13" t="s">
        <v>70</v>
      </c>
      <c r="D36" s="14" t="s">
        <v>73</v>
      </c>
      <c r="E36" s="15">
        <v>7278</v>
      </c>
      <c r="F36" s="15">
        <v>7247</v>
      </c>
      <c r="G36" s="15">
        <f t="shared" si="1"/>
        <v>-31</v>
      </c>
      <c r="H36" s="16">
        <f t="shared" si="2"/>
        <v>-4.2594119263533936E-3</v>
      </c>
      <c r="I36" s="15">
        <v>2783</v>
      </c>
      <c r="J36" s="15">
        <f t="shared" si="3"/>
        <v>10030</v>
      </c>
      <c r="K36" s="16">
        <f t="shared" si="4"/>
        <v>0.38402097419621911</v>
      </c>
    </row>
    <row r="37" spans="1:11" ht="15">
      <c r="A37" s="13"/>
      <c r="B37" s="14"/>
      <c r="C37" s="9" t="s">
        <v>74</v>
      </c>
      <c r="D37" s="17" t="s">
        <v>75</v>
      </c>
      <c r="E37" s="10">
        <f>SUM(E38:E40)</f>
        <v>29811</v>
      </c>
      <c r="F37" s="10">
        <f>SUM(F38:F40)</f>
        <v>30268</v>
      </c>
      <c r="G37" s="10">
        <f t="shared" si="1"/>
        <v>457</v>
      </c>
      <c r="H37" s="12">
        <f t="shared" si="2"/>
        <v>1.5329911777531784E-2</v>
      </c>
      <c r="I37" s="10">
        <f>SUM(I38:I40)</f>
        <v>12568</v>
      </c>
      <c r="J37" s="10">
        <f t="shared" si="3"/>
        <v>42836</v>
      </c>
      <c r="K37" s="12">
        <f t="shared" si="4"/>
        <v>0.41522399894277784</v>
      </c>
    </row>
    <row r="38" spans="1:11">
      <c r="A38" s="13" t="s">
        <v>74</v>
      </c>
      <c r="B38" s="14" t="s">
        <v>75</v>
      </c>
      <c r="C38" s="13" t="s">
        <v>76</v>
      </c>
      <c r="D38" s="14" t="s">
        <v>79</v>
      </c>
      <c r="E38" s="15">
        <v>9427</v>
      </c>
      <c r="F38" s="15">
        <v>9415</v>
      </c>
      <c r="G38" s="15">
        <f t="shared" si="1"/>
        <v>-12</v>
      </c>
      <c r="H38" s="16">
        <f t="shared" si="2"/>
        <v>-1.2729394292988225E-3</v>
      </c>
      <c r="I38" s="15">
        <v>4269</v>
      </c>
      <c r="J38" s="15">
        <f t="shared" si="3"/>
        <v>13684</v>
      </c>
      <c r="K38" s="16">
        <f t="shared" si="4"/>
        <v>0.45342538502389801</v>
      </c>
    </row>
    <row r="39" spans="1:11">
      <c r="A39" s="13" t="s">
        <v>74</v>
      </c>
      <c r="B39" s="14" t="s">
        <v>75</v>
      </c>
      <c r="C39" s="13" t="s">
        <v>77</v>
      </c>
      <c r="D39" s="14" t="s">
        <v>80</v>
      </c>
      <c r="E39" s="15">
        <v>9495</v>
      </c>
      <c r="F39" s="15">
        <v>9667</v>
      </c>
      <c r="G39" s="15">
        <f t="shared" si="1"/>
        <v>172</v>
      </c>
      <c r="H39" s="16">
        <f t="shared" si="2"/>
        <v>1.8114797261716692E-2</v>
      </c>
      <c r="I39" s="15">
        <v>4302</v>
      </c>
      <c r="J39" s="15">
        <f t="shared" si="3"/>
        <v>13969</v>
      </c>
      <c r="K39" s="16">
        <f t="shared" si="4"/>
        <v>0.44501913727112857</v>
      </c>
    </row>
    <row r="40" spans="1:11">
      <c r="A40" s="13" t="s">
        <v>74</v>
      </c>
      <c r="B40" s="14" t="s">
        <v>75</v>
      </c>
      <c r="C40" s="13" t="s">
        <v>78</v>
      </c>
      <c r="D40" s="14" t="s">
        <v>81</v>
      </c>
      <c r="E40" s="15">
        <v>10889</v>
      </c>
      <c r="F40" s="15">
        <v>11186</v>
      </c>
      <c r="G40" s="15">
        <f t="shared" si="1"/>
        <v>297</v>
      </c>
      <c r="H40" s="16">
        <f t="shared" si="2"/>
        <v>2.7275231885388926E-2</v>
      </c>
      <c r="I40" s="15">
        <v>3997</v>
      </c>
      <c r="J40" s="15">
        <f t="shared" si="3"/>
        <v>15183</v>
      </c>
      <c r="K40" s="16">
        <f t="shared" si="4"/>
        <v>0.35732165206508137</v>
      </c>
    </row>
    <row r="41" spans="1:11" ht="15">
      <c r="A41" s="13"/>
      <c r="B41" s="14"/>
      <c r="C41" s="9" t="s">
        <v>82</v>
      </c>
      <c r="D41" s="17" t="s">
        <v>83</v>
      </c>
      <c r="E41" s="10">
        <f>SUM(E42:E44)</f>
        <v>33015</v>
      </c>
      <c r="F41" s="10">
        <f>SUM(F42:F44)</f>
        <v>33911</v>
      </c>
      <c r="G41" s="10">
        <f t="shared" si="1"/>
        <v>896</v>
      </c>
      <c r="H41" s="12">
        <f t="shared" si="2"/>
        <v>2.7139179160987431E-2</v>
      </c>
      <c r="I41" s="10">
        <f>SUM(I42:I44)</f>
        <v>16183</v>
      </c>
      <c r="J41" s="10">
        <f t="shared" si="3"/>
        <v>50094</v>
      </c>
      <c r="K41" s="12">
        <f t="shared" si="4"/>
        <v>0.47721978119194364</v>
      </c>
    </row>
    <row r="42" spans="1:11">
      <c r="A42" s="13" t="s">
        <v>82</v>
      </c>
      <c r="B42" s="14" t="s">
        <v>83</v>
      </c>
      <c r="C42" s="13" t="s">
        <v>84</v>
      </c>
      <c r="D42" s="14" t="s">
        <v>87</v>
      </c>
      <c r="E42" s="15">
        <v>10503</v>
      </c>
      <c r="F42" s="15">
        <v>10870</v>
      </c>
      <c r="G42" s="15">
        <f t="shared" si="1"/>
        <v>367</v>
      </c>
      <c r="H42" s="16">
        <f t="shared" si="2"/>
        <v>3.4942397410263733E-2</v>
      </c>
      <c r="I42" s="15">
        <v>4818</v>
      </c>
      <c r="J42" s="15">
        <f t="shared" si="3"/>
        <v>15688</v>
      </c>
      <c r="K42" s="16">
        <f t="shared" si="4"/>
        <v>0.44323827046918124</v>
      </c>
    </row>
    <row r="43" spans="1:11">
      <c r="A43" s="13" t="s">
        <v>82</v>
      </c>
      <c r="B43" s="14" t="s">
        <v>83</v>
      </c>
      <c r="C43" s="13" t="s">
        <v>85</v>
      </c>
      <c r="D43" s="14" t="s">
        <v>88</v>
      </c>
      <c r="E43" s="15">
        <v>9658</v>
      </c>
      <c r="F43" s="15">
        <v>9721</v>
      </c>
      <c r="G43" s="15">
        <f t="shared" si="1"/>
        <v>63</v>
      </c>
      <c r="H43" s="16">
        <f t="shared" si="2"/>
        <v>6.5230896665976392E-3</v>
      </c>
      <c r="I43" s="15">
        <v>4148</v>
      </c>
      <c r="J43" s="15">
        <f t="shared" si="3"/>
        <v>13869</v>
      </c>
      <c r="K43" s="16">
        <f t="shared" si="4"/>
        <v>0.42670507149470221</v>
      </c>
    </row>
    <row r="44" spans="1:11">
      <c r="A44" s="13" t="s">
        <v>82</v>
      </c>
      <c r="B44" s="14" t="s">
        <v>83</v>
      </c>
      <c r="C44" s="13" t="s">
        <v>86</v>
      </c>
      <c r="D44" s="14" t="s">
        <v>89</v>
      </c>
      <c r="E44" s="15">
        <v>12854</v>
      </c>
      <c r="F44" s="15">
        <v>13320</v>
      </c>
      <c r="G44" s="15">
        <f t="shared" si="1"/>
        <v>466</v>
      </c>
      <c r="H44" s="16">
        <f t="shared" si="2"/>
        <v>3.6253306363777812E-2</v>
      </c>
      <c r="I44" s="15">
        <v>7217</v>
      </c>
      <c r="J44" s="15">
        <f t="shared" si="3"/>
        <v>20537</v>
      </c>
      <c r="K44" s="16">
        <f t="shared" si="4"/>
        <v>0.54181681681681682</v>
      </c>
    </row>
    <row r="45" spans="1:11" ht="15">
      <c r="A45" s="13"/>
      <c r="B45" s="14"/>
      <c r="C45" s="9" t="s">
        <v>90</v>
      </c>
      <c r="D45" s="11" t="s">
        <v>91</v>
      </c>
      <c r="E45" s="10">
        <f>SUM(E46:E47)</f>
        <v>20801</v>
      </c>
      <c r="F45" s="10">
        <f>SUM(F46:F47)</f>
        <v>21149</v>
      </c>
      <c r="G45" s="10">
        <f t="shared" si="1"/>
        <v>348</v>
      </c>
      <c r="H45" s="12">
        <f t="shared" si="2"/>
        <v>1.6729964905533388E-2</v>
      </c>
      <c r="I45" s="10">
        <f>SUM(I46:I47)</f>
        <v>7963</v>
      </c>
      <c r="J45" s="10">
        <f t="shared" si="3"/>
        <v>29112</v>
      </c>
      <c r="K45" s="12">
        <f t="shared" si="4"/>
        <v>0.37651898434914183</v>
      </c>
    </row>
    <row r="46" spans="1:11">
      <c r="A46" s="13" t="s">
        <v>90</v>
      </c>
      <c r="B46" s="14" t="s">
        <v>91</v>
      </c>
      <c r="C46" s="13" t="s">
        <v>92</v>
      </c>
      <c r="D46" s="14" t="s">
        <v>94</v>
      </c>
      <c r="E46" s="15">
        <v>11020</v>
      </c>
      <c r="F46" s="15">
        <v>11139</v>
      </c>
      <c r="G46" s="15">
        <f t="shared" si="1"/>
        <v>119</v>
      </c>
      <c r="H46" s="16">
        <f t="shared" si="2"/>
        <v>1.0798548094373866E-2</v>
      </c>
      <c r="I46" s="15">
        <v>3691</v>
      </c>
      <c r="J46" s="15">
        <f t="shared" si="3"/>
        <v>14830</v>
      </c>
      <c r="K46" s="16">
        <f t="shared" si="4"/>
        <v>0.33135829069036715</v>
      </c>
    </row>
    <row r="47" spans="1:11">
      <c r="A47" s="13" t="s">
        <v>90</v>
      </c>
      <c r="B47" s="14" t="s">
        <v>91</v>
      </c>
      <c r="C47" s="13" t="s">
        <v>93</v>
      </c>
      <c r="D47" s="14" t="s">
        <v>95</v>
      </c>
      <c r="E47" s="15">
        <v>9781</v>
      </c>
      <c r="F47" s="15">
        <v>10010</v>
      </c>
      <c r="G47" s="15">
        <f t="shared" si="1"/>
        <v>229</v>
      </c>
      <c r="H47" s="16">
        <f t="shared" si="2"/>
        <v>2.3412738983743995E-2</v>
      </c>
      <c r="I47" s="15">
        <v>4272</v>
      </c>
      <c r="J47" s="15">
        <f t="shared" si="3"/>
        <v>14282</v>
      </c>
      <c r="K47" s="16">
        <f t="shared" si="4"/>
        <v>0.42677322677322677</v>
      </c>
    </row>
    <row r="48" spans="1:11" ht="15">
      <c r="A48" s="13"/>
      <c r="B48" s="14"/>
      <c r="C48" s="9" t="s">
        <v>96</v>
      </c>
      <c r="D48" s="17" t="s">
        <v>97</v>
      </c>
      <c r="E48" s="10">
        <f>SUM(E49:E51)</f>
        <v>29145</v>
      </c>
      <c r="F48" s="10">
        <f>SUM(F49:F51)</f>
        <v>30044</v>
      </c>
      <c r="G48" s="10">
        <f t="shared" si="1"/>
        <v>899</v>
      </c>
      <c r="H48" s="12">
        <f t="shared" si="2"/>
        <v>3.0845771144278607E-2</v>
      </c>
      <c r="I48" s="10">
        <f>SUM(I49:I51)</f>
        <v>11931</v>
      </c>
      <c r="J48" s="10">
        <f t="shared" si="3"/>
        <v>41975</v>
      </c>
      <c r="K48" s="12">
        <f t="shared" si="4"/>
        <v>0.39711756091066436</v>
      </c>
    </row>
    <row r="49" spans="1:11">
      <c r="A49" s="13" t="s">
        <v>96</v>
      </c>
      <c r="B49" s="14" t="s">
        <v>97</v>
      </c>
      <c r="C49" s="13" t="s">
        <v>98</v>
      </c>
      <c r="D49" s="14" t="s">
        <v>101</v>
      </c>
      <c r="E49" s="15">
        <v>10550</v>
      </c>
      <c r="F49" s="15">
        <v>11069</v>
      </c>
      <c r="G49" s="15">
        <f t="shared" si="1"/>
        <v>519</v>
      </c>
      <c r="H49" s="16">
        <f t="shared" si="2"/>
        <v>4.9194312796208534E-2</v>
      </c>
      <c r="I49" s="15">
        <v>5352</v>
      </c>
      <c r="J49" s="15">
        <f t="shared" si="3"/>
        <v>16421</v>
      </c>
      <c r="K49" s="16">
        <f t="shared" si="4"/>
        <v>0.48351251242207965</v>
      </c>
    </row>
    <row r="50" spans="1:11">
      <c r="A50" s="13" t="s">
        <v>96</v>
      </c>
      <c r="B50" s="14" t="s">
        <v>97</v>
      </c>
      <c r="C50" s="13" t="s">
        <v>99</v>
      </c>
      <c r="D50" s="14" t="s">
        <v>102</v>
      </c>
      <c r="E50" s="15">
        <v>9367</v>
      </c>
      <c r="F50" s="15">
        <v>9384</v>
      </c>
      <c r="G50" s="15">
        <f t="shared" si="1"/>
        <v>17</v>
      </c>
      <c r="H50" s="16">
        <f t="shared" si="2"/>
        <v>1.8148820326678765E-3</v>
      </c>
      <c r="I50" s="15">
        <v>3364</v>
      </c>
      <c r="J50" s="15">
        <f t="shared" si="3"/>
        <v>12748</v>
      </c>
      <c r="K50" s="16">
        <f t="shared" si="4"/>
        <v>0.35848252344416026</v>
      </c>
    </row>
    <row r="51" spans="1:11">
      <c r="A51" s="13" t="s">
        <v>96</v>
      </c>
      <c r="B51" s="14" t="s">
        <v>97</v>
      </c>
      <c r="C51" s="13" t="s">
        <v>100</v>
      </c>
      <c r="D51" s="14" t="s">
        <v>103</v>
      </c>
      <c r="E51" s="15">
        <v>9228</v>
      </c>
      <c r="F51" s="15">
        <v>9591</v>
      </c>
      <c r="G51" s="15">
        <f t="shared" si="1"/>
        <v>363</v>
      </c>
      <c r="H51" s="16">
        <f t="shared" si="2"/>
        <v>3.9336801040312092E-2</v>
      </c>
      <c r="I51" s="15">
        <v>3215</v>
      </c>
      <c r="J51" s="15">
        <f t="shared" si="3"/>
        <v>12806</v>
      </c>
      <c r="K51" s="16">
        <f t="shared" si="4"/>
        <v>0.33521009279532893</v>
      </c>
    </row>
    <row r="52" spans="1:11" ht="15">
      <c r="A52" s="13"/>
      <c r="B52" s="14"/>
      <c r="C52" s="9" t="s">
        <v>104</v>
      </c>
      <c r="D52" s="17" t="s">
        <v>105</v>
      </c>
      <c r="E52" s="10">
        <f>SUM(E53:E55)</f>
        <v>30517</v>
      </c>
      <c r="F52" s="10">
        <f>SUM(F53:F55)</f>
        <v>31458</v>
      </c>
      <c r="G52" s="10">
        <f t="shared" si="1"/>
        <v>941</v>
      </c>
      <c r="H52" s="12">
        <f t="shared" si="2"/>
        <v>3.0835272143395483E-2</v>
      </c>
      <c r="I52" s="10">
        <f>SUM(I53:I55)</f>
        <v>13123</v>
      </c>
      <c r="J52" s="10">
        <f t="shared" si="3"/>
        <v>44581</v>
      </c>
      <c r="K52" s="12">
        <f t="shared" si="4"/>
        <v>0.4171593871193337</v>
      </c>
    </row>
    <row r="53" spans="1:11">
      <c r="A53" s="13" t="s">
        <v>104</v>
      </c>
      <c r="B53" s="14" t="s">
        <v>105</v>
      </c>
      <c r="C53" s="13" t="s">
        <v>106</v>
      </c>
      <c r="D53" s="14" t="s">
        <v>109</v>
      </c>
      <c r="E53" s="15">
        <v>7828</v>
      </c>
      <c r="F53" s="15">
        <v>8101</v>
      </c>
      <c r="G53" s="15">
        <f t="shared" si="1"/>
        <v>273</v>
      </c>
      <c r="H53" s="16">
        <f t="shared" si="2"/>
        <v>3.4874808380173733E-2</v>
      </c>
      <c r="I53" s="15">
        <v>3831</v>
      </c>
      <c r="J53" s="15">
        <f t="shared" si="3"/>
        <v>11932</v>
      </c>
      <c r="K53" s="16">
        <f t="shared" si="4"/>
        <v>0.47290457968152078</v>
      </c>
    </row>
    <row r="54" spans="1:11">
      <c r="A54" s="13" t="s">
        <v>104</v>
      </c>
      <c r="B54" s="14" t="s">
        <v>105</v>
      </c>
      <c r="C54" s="13" t="s">
        <v>107</v>
      </c>
      <c r="D54" s="14" t="s">
        <v>110</v>
      </c>
      <c r="E54" s="15">
        <v>12756</v>
      </c>
      <c r="F54" s="15">
        <v>13191</v>
      </c>
      <c r="G54" s="15">
        <f t="shared" si="1"/>
        <v>435</v>
      </c>
      <c r="H54" s="16">
        <f t="shared" si="2"/>
        <v>3.4101599247412982E-2</v>
      </c>
      <c r="I54" s="15">
        <v>5033</v>
      </c>
      <c r="J54" s="15">
        <f t="shared" si="3"/>
        <v>18224</v>
      </c>
      <c r="K54" s="16">
        <f t="shared" si="4"/>
        <v>0.38154802516867559</v>
      </c>
    </row>
    <row r="55" spans="1:11">
      <c r="A55" s="13" t="s">
        <v>104</v>
      </c>
      <c r="B55" s="14" t="s">
        <v>105</v>
      </c>
      <c r="C55" s="13" t="s">
        <v>108</v>
      </c>
      <c r="D55" s="14" t="s">
        <v>111</v>
      </c>
      <c r="E55" s="15">
        <v>9933</v>
      </c>
      <c r="F55" s="15">
        <v>10166</v>
      </c>
      <c r="G55" s="15">
        <f t="shared" si="1"/>
        <v>233</v>
      </c>
      <c r="H55" s="16">
        <f t="shared" si="2"/>
        <v>2.3457162992046712E-2</v>
      </c>
      <c r="I55" s="15">
        <v>4259</v>
      </c>
      <c r="J55" s="15">
        <f t="shared" si="3"/>
        <v>14425</v>
      </c>
      <c r="K55" s="16">
        <f t="shared" si="4"/>
        <v>0.41894550462325397</v>
      </c>
    </row>
    <row r="56" spans="1:11" ht="15">
      <c r="A56" s="13"/>
      <c r="B56" s="14"/>
      <c r="C56" s="9" t="s">
        <v>112</v>
      </c>
      <c r="D56" s="11" t="s">
        <v>113</v>
      </c>
      <c r="E56" s="10">
        <f>SUM(E57:E58)</f>
        <v>21899</v>
      </c>
      <c r="F56" s="10">
        <f>SUM(F57:F58)</f>
        <v>21885</v>
      </c>
      <c r="G56" s="10">
        <f t="shared" si="1"/>
        <v>-14</v>
      </c>
      <c r="H56" s="12">
        <f t="shared" si="2"/>
        <v>-6.3929859810950274E-4</v>
      </c>
      <c r="I56" s="10">
        <f>SUM(I57:I58)</f>
        <v>11129</v>
      </c>
      <c r="J56" s="10">
        <f t="shared" si="3"/>
        <v>33014</v>
      </c>
      <c r="K56" s="12">
        <f t="shared" si="4"/>
        <v>0.50852181859721268</v>
      </c>
    </row>
    <row r="57" spans="1:11">
      <c r="A57" s="13" t="s">
        <v>112</v>
      </c>
      <c r="B57" s="14" t="s">
        <v>113</v>
      </c>
      <c r="C57" s="13" t="s">
        <v>114</v>
      </c>
      <c r="D57" s="14" t="s">
        <v>116</v>
      </c>
      <c r="E57" s="15">
        <v>11305</v>
      </c>
      <c r="F57" s="15">
        <v>11507</v>
      </c>
      <c r="G57" s="15">
        <f t="shared" si="1"/>
        <v>202</v>
      </c>
      <c r="H57" s="16">
        <f t="shared" si="2"/>
        <v>1.7868199911543564E-2</v>
      </c>
      <c r="I57" s="15">
        <v>6647</v>
      </c>
      <c r="J57" s="15">
        <f t="shared" si="3"/>
        <v>18154</v>
      </c>
      <c r="K57" s="16">
        <f t="shared" si="4"/>
        <v>0.57764838793777695</v>
      </c>
    </row>
    <row r="58" spans="1:11">
      <c r="A58" s="13" t="s">
        <v>112</v>
      </c>
      <c r="B58" s="14" t="s">
        <v>113</v>
      </c>
      <c r="C58" s="13" t="s">
        <v>115</v>
      </c>
      <c r="D58" s="14" t="s">
        <v>117</v>
      </c>
      <c r="E58" s="15">
        <v>10594</v>
      </c>
      <c r="F58" s="15">
        <v>10378</v>
      </c>
      <c r="G58" s="15">
        <f t="shared" si="1"/>
        <v>-216</v>
      </c>
      <c r="H58" s="16">
        <f t="shared" si="2"/>
        <v>-2.0388899377005852E-2</v>
      </c>
      <c r="I58" s="15">
        <v>4482</v>
      </c>
      <c r="J58" s="15">
        <f t="shared" si="3"/>
        <v>14860</v>
      </c>
      <c r="K58" s="16">
        <f t="shared" si="4"/>
        <v>0.43187512044709964</v>
      </c>
    </row>
    <row r="59" spans="1:11" ht="15">
      <c r="A59" s="13"/>
      <c r="B59" s="14"/>
      <c r="C59" s="9" t="s">
        <v>118</v>
      </c>
      <c r="D59" s="11" t="s">
        <v>119</v>
      </c>
      <c r="E59" s="10">
        <f>SUM(E60:E61)</f>
        <v>19592</v>
      </c>
      <c r="F59" s="10">
        <f>SUM(F60:F61)</f>
        <v>19296</v>
      </c>
      <c r="G59" s="10">
        <f t="shared" si="1"/>
        <v>-296</v>
      </c>
      <c r="H59" s="12">
        <f t="shared" si="2"/>
        <v>-1.5108207431604737E-2</v>
      </c>
      <c r="I59" s="10">
        <f>SUM(I60:I61)</f>
        <v>9134</v>
      </c>
      <c r="J59" s="10">
        <f t="shared" si="3"/>
        <v>28430</v>
      </c>
      <c r="K59" s="12">
        <f t="shared" si="4"/>
        <v>0.47336235489220563</v>
      </c>
    </row>
    <row r="60" spans="1:11">
      <c r="A60" s="13" t="s">
        <v>118</v>
      </c>
      <c r="B60" s="14" t="s">
        <v>119</v>
      </c>
      <c r="C60" s="13" t="s">
        <v>120</v>
      </c>
      <c r="D60" s="14" t="s">
        <v>122</v>
      </c>
      <c r="E60" s="15">
        <v>9413</v>
      </c>
      <c r="F60" s="15">
        <v>9261</v>
      </c>
      <c r="G60" s="15">
        <f t="shared" si="1"/>
        <v>-152</v>
      </c>
      <c r="H60" s="16">
        <f t="shared" si="2"/>
        <v>-1.6147880590672473E-2</v>
      </c>
      <c r="I60" s="15">
        <v>4928</v>
      </c>
      <c r="J60" s="15">
        <f t="shared" si="3"/>
        <v>14189</v>
      </c>
      <c r="K60" s="16">
        <f t="shared" si="4"/>
        <v>0.53212396069538925</v>
      </c>
    </row>
    <row r="61" spans="1:11">
      <c r="A61" s="13" t="s">
        <v>118</v>
      </c>
      <c r="B61" s="14" t="s">
        <v>119</v>
      </c>
      <c r="C61" s="13" t="s">
        <v>121</v>
      </c>
      <c r="D61" s="14" t="s">
        <v>123</v>
      </c>
      <c r="E61" s="15">
        <v>10179</v>
      </c>
      <c r="F61" s="15">
        <v>10035</v>
      </c>
      <c r="G61" s="15">
        <f t="shared" si="1"/>
        <v>-144</v>
      </c>
      <c r="H61" s="16">
        <f t="shared" si="2"/>
        <v>-1.4146772767462422E-2</v>
      </c>
      <c r="I61" s="15">
        <v>4206</v>
      </c>
      <c r="J61" s="15">
        <f t="shared" si="3"/>
        <v>14241</v>
      </c>
      <c r="K61" s="16">
        <f t="shared" si="4"/>
        <v>0.41913303437967114</v>
      </c>
    </row>
    <row r="62" spans="1:11" ht="15">
      <c r="A62" s="13"/>
      <c r="B62" s="14"/>
      <c r="C62" s="9" t="s">
        <v>124</v>
      </c>
      <c r="D62" s="11" t="s">
        <v>125</v>
      </c>
      <c r="E62" s="10">
        <f>SUM(E63:E64)</f>
        <v>39559</v>
      </c>
      <c r="F62" s="10">
        <f>SUM(F63:F64)</f>
        <v>41918</v>
      </c>
      <c r="G62" s="10">
        <f t="shared" si="1"/>
        <v>2359</v>
      </c>
      <c r="H62" s="12">
        <f t="shared" si="2"/>
        <v>5.9632447736292629E-2</v>
      </c>
      <c r="I62" s="10">
        <f>SUM(I63:I64)</f>
        <v>13145</v>
      </c>
      <c r="J62" s="10">
        <f t="shared" si="3"/>
        <v>55063</v>
      </c>
      <c r="K62" s="12">
        <f t="shared" si="4"/>
        <v>0.31358843456271768</v>
      </c>
    </row>
    <row r="63" spans="1:11">
      <c r="A63" s="13" t="s">
        <v>124</v>
      </c>
      <c r="B63" s="14" t="s">
        <v>125</v>
      </c>
      <c r="C63" s="13" t="s">
        <v>126</v>
      </c>
      <c r="D63" s="14" t="s">
        <v>128</v>
      </c>
      <c r="E63" s="15">
        <v>21666</v>
      </c>
      <c r="F63" s="15">
        <v>23665</v>
      </c>
      <c r="G63" s="15">
        <f t="shared" si="1"/>
        <v>1999</v>
      </c>
      <c r="H63" s="16">
        <f t="shared" si="2"/>
        <v>9.2264377365457395E-2</v>
      </c>
      <c r="I63" s="15">
        <v>7485</v>
      </c>
      <c r="J63" s="15">
        <f t="shared" si="3"/>
        <v>31150</v>
      </c>
      <c r="K63" s="16">
        <f t="shared" si="4"/>
        <v>0.31628987956898375</v>
      </c>
    </row>
    <row r="64" spans="1:11">
      <c r="A64" s="13" t="s">
        <v>124</v>
      </c>
      <c r="B64" s="14" t="s">
        <v>125</v>
      </c>
      <c r="C64" s="13" t="s">
        <v>127</v>
      </c>
      <c r="D64" s="14" t="s">
        <v>129</v>
      </c>
      <c r="E64" s="15">
        <v>17893</v>
      </c>
      <c r="F64" s="15">
        <v>18253</v>
      </c>
      <c r="G64" s="15">
        <f t="shared" si="1"/>
        <v>360</v>
      </c>
      <c r="H64" s="16">
        <f t="shared" si="2"/>
        <v>2.0119599843514222E-2</v>
      </c>
      <c r="I64" s="15">
        <v>5660</v>
      </c>
      <c r="J64" s="15">
        <f t="shared" si="3"/>
        <v>23913</v>
      </c>
      <c r="K64" s="16">
        <f t="shared" si="4"/>
        <v>0.31008601325809454</v>
      </c>
    </row>
    <row r="65" spans="1:11" ht="15">
      <c r="A65" s="13"/>
      <c r="B65" s="14"/>
      <c r="C65" s="9" t="s">
        <v>130</v>
      </c>
      <c r="D65" s="11" t="s">
        <v>131</v>
      </c>
      <c r="E65" s="10">
        <f>SUM(E66:E67)</f>
        <v>25380</v>
      </c>
      <c r="F65" s="10">
        <f>SUM(F66:F67)</f>
        <v>25986</v>
      </c>
      <c r="G65" s="10">
        <f t="shared" si="1"/>
        <v>606</v>
      </c>
      <c r="H65" s="12">
        <f t="shared" si="2"/>
        <v>2.3877068557919622E-2</v>
      </c>
      <c r="I65" s="10">
        <f>SUM(I66:I67)</f>
        <v>8956</v>
      </c>
      <c r="J65" s="10">
        <f t="shared" si="3"/>
        <v>34942</v>
      </c>
      <c r="K65" s="12">
        <f t="shared" si="4"/>
        <v>0.34464711767875011</v>
      </c>
    </row>
    <row r="66" spans="1:11">
      <c r="A66" s="13" t="s">
        <v>130</v>
      </c>
      <c r="B66" s="14" t="s">
        <v>131</v>
      </c>
      <c r="C66" s="13" t="s">
        <v>132</v>
      </c>
      <c r="D66" s="14" t="s">
        <v>134</v>
      </c>
      <c r="E66" s="15">
        <v>11095</v>
      </c>
      <c r="F66" s="15">
        <v>11223</v>
      </c>
      <c r="G66" s="15">
        <f t="shared" si="1"/>
        <v>128</v>
      </c>
      <c r="H66" s="16">
        <f t="shared" si="2"/>
        <v>1.1536728255971159E-2</v>
      </c>
      <c r="I66" s="15">
        <v>3465</v>
      </c>
      <c r="J66" s="15">
        <f t="shared" si="3"/>
        <v>14688</v>
      </c>
      <c r="K66" s="16">
        <f t="shared" ref="K66:K97" si="5">(J66-F66)/F66</f>
        <v>0.30874097834803527</v>
      </c>
    </row>
    <row r="67" spans="1:11">
      <c r="A67" s="13" t="s">
        <v>130</v>
      </c>
      <c r="B67" s="14" t="s">
        <v>131</v>
      </c>
      <c r="C67" s="13" t="s">
        <v>133</v>
      </c>
      <c r="D67" s="14" t="s">
        <v>135</v>
      </c>
      <c r="E67" s="15">
        <v>14285</v>
      </c>
      <c r="F67" s="15">
        <v>14763</v>
      </c>
      <c r="G67" s="15">
        <f t="shared" ref="G67:G114" si="6">F67-E67</f>
        <v>478</v>
      </c>
      <c r="H67" s="16">
        <f t="shared" ref="H67:H114" si="7">G67/E67</f>
        <v>3.3461673083654185E-2</v>
      </c>
      <c r="I67" s="15">
        <v>5491</v>
      </c>
      <c r="J67" s="15">
        <f t="shared" ref="J67:J114" si="8">F67+I67</f>
        <v>20254</v>
      </c>
      <c r="K67" s="16">
        <f t="shared" si="5"/>
        <v>0.37194337194337196</v>
      </c>
    </row>
    <row r="68" spans="1:11" ht="15">
      <c r="A68" s="13"/>
      <c r="B68" s="14"/>
      <c r="C68" s="9" t="s">
        <v>136</v>
      </c>
      <c r="D68" s="11" t="s">
        <v>137</v>
      </c>
      <c r="E68" s="10">
        <f>SUM(E69:E70)</f>
        <v>21022</v>
      </c>
      <c r="F68" s="10">
        <f>SUM(F69:F70)</f>
        <v>21830</v>
      </c>
      <c r="G68" s="10">
        <f t="shared" si="6"/>
        <v>808</v>
      </c>
      <c r="H68" s="12">
        <f t="shared" si="7"/>
        <v>3.8435924269812578E-2</v>
      </c>
      <c r="I68" s="10">
        <f>SUM(I69:I70)</f>
        <v>9308</v>
      </c>
      <c r="J68" s="10">
        <f t="shared" si="8"/>
        <v>31138</v>
      </c>
      <c r="K68" s="12">
        <f t="shared" si="5"/>
        <v>0.42638570774163992</v>
      </c>
    </row>
    <row r="69" spans="1:11">
      <c r="A69" s="13" t="s">
        <v>136</v>
      </c>
      <c r="B69" s="14" t="s">
        <v>137</v>
      </c>
      <c r="C69" s="13" t="s">
        <v>138</v>
      </c>
      <c r="D69" s="14" t="s">
        <v>140</v>
      </c>
      <c r="E69" s="15">
        <v>9516</v>
      </c>
      <c r="F69" s="15">
        <v>9960</v>
      </c>
      <c r="G69" s="15">
        <f t="shared" si="6"/>
        <v>444</v>
      </c>
      <c r="H69" s="16">
        <f t="shared" si="7"/>
        <v>4.6658259773013869E-2</v>
      </c>
      <c r="I69" s="15">
        <v>4217</v>
      </c>
      <c r="J69" s="15">
        <f t="shared" si="8"/>
        <v>14177</v>
      </c>
      <c r="K69" s="16">
        <f t="shared" si="5"/>
        <v>0.42339357429718877</v>
      </c>
    </row>
    <row r="70" spans="1:11">
      <c r="A70" s="13" t="s">
        <v>136</v>
      </c>
      <c r="B70" s="14" t="s">
        <v>137</v>
      </c>
      <c r="C70" s="13" t="s">
        <v>139</v>
      </c>
      <c r="D70" s="14" t="s">
        <v>141</v>
      </c>
      <c r="E70" s="15">
        <v>11506</v>
      </c>
      <c r="F70" s="15">
        <v>11870</v>
      </c>
      <c r="G70" s="15">
        <f t="shared" si="6"/>
        <v>364</v>
      </c>
      <c r="H70" s="16">
        <f t="shared" si="7"/>
        <v>3.1635668346949419E-2</v>
      </c>
      <c r="I70" s="15">
        <v>5091</v>
      </c>
      <c r="J70" s="15">
        <f t="shared" si="8"/>
        <v>16961</v>
      </c>
      <c r="K70" s="16">
        <f t="shared" si="5"/>
        <v>0.42889637742207243</v>
      </c>
    </row>
    <row r="71" spans="1:11" ht="15">
      <c r="A71" s="13"/>
      <c r="B71" s="14"/>
      <c r="C71" s="9" t="s">
        <v>142</v>
      </c>
      <c r="D71" s="11" t="s">
        <v>143</v>
      </c>
      <c r="E71" s="10">
        <f>SUM(E72:E73)</f>
        <v>61972</v>
      </c>
      <c r="F71" s="10">
        <f>SUM(F72:F73)</f>
        <v>62979</v>
      </c>
      <c r="G71" s="10">
        <f t="shared" si="6"/>
        <v>1007</v>
      </c>
      <c r="H71" s="12">
        <f t="shared" si="7"/>
        <v>1.6249273865616729E-2</v>
      </c>
      <c r="I71" s="10">
        <f>SUM(I72:I73)</f>
        <v>25132</v>
      </c>
      <c r="J71" s="10">
        <f t="shared" si="8"/>
        <v>88111</v>
      </c>
      <c r="K71" s="12">
        <f t="shared" si="5"/>
        <v>0.39905365280490324</v>
      </c>
    </row>
    <row r="72" spans="1:11">
      <c r="A72" s="13" t="s">
        <v>142</v>
      </c>
      <c r="B72" s="14" t="s">
        <v>143</v>
      </c>
      <c r="C72" s="13" t="s">
        <v>144</v>
      </c>
      <c r="D72" s="14" t="s">
        <v>146</v>
      </c>
      <c r="E72" s="15">
        <v>28577</v>
      </c>
      <c r="F72" s="15">
        <v>27825</v>
      </c>
      <c r="G72" s="15">
        <f t="shared" si="6"/>
        <v>-752</v>
      </c>
      <c r="H72" s="16">
        <f t="shared" si="7"/>
        <v>-2.6314868600622879E-2</v>
      </c>
      <c r="I72" s="15">
        <v>7793</v>
      </c>
      <c r="J72" s="15">
        <f t="shared" si="8"/>
        <v>35618</v>
      </c>
      <c r="K72" s="16">
        <f t="shared" si="5"/>
        <v>0.28007187780772685</v>
      </c>
    </row>
    <row r="73" spans="1:11">
      <c r="A73" s="13" t="s">
        <v>142</v>
      </c>
      <c r="B73" s="14" t="s">
        <v>143</v>
      </c>
      <c r="C73" s="13" t="s">
        <v>145</v>
      </c>
      <c r="D73" s="14" t="s">
        <v>147</v>
      </c>
      <c r="E73" s="15">
        <v>33395</v>
      </c>
      <c r="F73" s="15">
        <v>35154</v>
      </c>
      <c r="G73" s="15">
        <f t="shared" si="6"/>
        <v>1759</v>
      </c>
      <c r="H73" s="16">
        <f t="shared" si="7"/>
        <v>5.267255577182213E-2</v>
      </c>
      <c r="I73" s="15">
        <v>17339</v>
      </c>
      <c r="J73" s="15">
        <f t="shared" si="8"/>
        <v>52493</v>
      </c>
      <c r="K73" s="16">
        <f t="shared" si="5"/>
        <v>0.49322978892871366</v>
      </c>
    </row>
    <row r="74" spans="1:11" ht="15">
      <c r="A74" s="13"/>
      <c r="B74" s="14"/>
      <c r="C74" s="9" t="s">
        <v>148</v>
      </c>
      <c r="D74" s="17" t="s">
        <v>149</v>
      </c>
      <c r="E74" s="10">
        <f>SUM(E75:E77)</f>
        <v>74148</v>
      </c>
      <c r="F74" s="10">
        <f>SUM(F75:F77)</f>
        <v>77660</v>
      </c>
      <c r="G74" s="10">
        <f t="shared" si="6"/>
        <v>3512</v>
      </c>
      <c r="H74" s="12">
        <f t="shared" si="7"/>
        <v>4.7364729999460536E-2</v>
      </c>
      <c r="I74" s="10">
        <f>SUM(I75:I77)</f>
        <v>27631</v>
      </c>
      <c r="J74" s="10">
        <f t="shared" si="8"/>
        <v>105291</v>
      </c>
      <c r="K74" s="12">
        <f t="shared" si="5"/>
        <v>0.35579448879732167</v>
      </c>
    </row>
    <row r="75" spans="1:11">
      <c r="A75" s="13" t="s">
        <v>148</v>
      </c>
      <c r="B75" s="14" t="s">
        <v>149</v>
      </c>
      <c r="C75" s="13" t="s">
        <v>150</v>
      </c>
      <c r="D75" s="14" t="s">
        <v>153</v>
      </c>
      <c r="E75" s="15">
        <v>19674</v>
      </c>
      <c r="F75" s="15">
        <v>19802</v>
      </c>
      <c r="G75" s="15">
        <f t="shared" si="6"/>
        <v>128</v>
      </c>
      <c r="H75" s="16">
        <f t="shared" si="7"/>
        <v>6.5060485920504221E-3</v>
      </c>
      <c r="I75" s="15">
        <v>2866</v>
      </c>
      <c r="J75" s="15">
        <f t="shared" si="8"/>
        <v>22668</v>
      </c>
      <c r="K75" s="16">
        <f t="shared" si="5"/>
        <v>0.14473285526714474</v>
      </c>
    </row>
    <row r="76" spans="1:11">
      <c r="A76" s="13" t="s">
        <v>148</v>
      </c>
      <c r="B76" s="14" t="s">
        <v>149</v>
      </c>
      <c r="C76" s="13" t="s">
        <v>151</v>
      </c>
      <c r="D76" s="14" t="s">
        <v>154</v>
      </c>
      <c r="E76" s="15">
        <v>34626</v>
      </c>
      <c r="F76" s="15">
        <v>34599</v>
      </c>
      <c r="G76" s="15">
        <f t="shared" si="6"/>
        <v>-27</v>
      </c>
      <c r="H76" s="16">
        <f t="shared" si="7"/>
        <v>-7.7976087333217817E-4</v>
      </c>
      <c r="I76" s="15">
        <v>15246</v>
      </c>
      <c r="J76" s="15">
        <f t="shared" si="8"/>
        <v>49845</v>
      </c>
      <c r="K76" s="16">
        <f t="shared" si="5"/>
        <v>0.44064857365819821</v>
      </c>
    </row>
    <row r="77" spans="1:11">
      <c r="A77" s="13" t="s">
        <v>148</v>
      </c>
      <c r="B77" s="14" t="s">
        <v>149</v>
      </c>
      <c r="C77" s="13" t="s">
        <v>152</v>
      </c>
      <c r="D77" s="14" t="s">
        <v>155</v>
      </c>
      <c r="E77" s="15">
        <v>19848</v>
      </c>
      <c r="F77" s="15">
        <v>23259</v>
      </c>
      <c r="G77" s="15">
        <f t="shared" si="6"/>
        <v>3411</v>
      </c>
      <c r="H77" s="16">
        <f t="shared" si="7"/>
        <v>0.17185610640870616</v>
      </c>
      <c r="I77" s="15">
        <v>9519</v>
      </c>
      <c r="J77" s="15">
        <f t="shared" si="8"/>
        <v>32778</v>
      </c>
      <c r="K77" s="16">
        <f t="shared" si="5"/>
        <v>0.40926093125241841</v>
      </c>
    </row>
    <row r="78" spans="1:11" ht="15">
      <c r="A78" s="13"/>
      <c r="B78" s="14"/>
      <c r="C78" s="9" t="s">
        <v>156</v>
      </c>
      <c r="D78" s="17" t="s">
        <v>157</v>
      </c>
      <c r="E78" s="10">
        <f>SUM(E79:E81)</f>
        <v>30607</v>
      </c>
      <c r="F78" s="10">
        <f>SUM(F79:F81)</f>
        <v>31440</v>
      </c>
      <c r="G78" s="10">
        <f t="shared" si="6"/>
        <v>833</v>
      </c>
      <c r="H78" s="12">
        <f t="shared" si="7"/>
        <v>2.7215996340706376E-2</v>
      </c>
      <c r="I78" s="10">
        <f>SUM(I79:I81)</f>
        <v>15613</v>
      </c>
      <c r="J78" s="10">
        <f t="shared" si="8"/>
        <v>47053</v>
      </c>
      <c r="K78" s="12">
        <f t="shared" si="5"/>
        <v>0.49659669211195928</v>
      </c>
    </row>
    <row r="79" spans="1:11">
      <c r="A79" s="13" t="s">
        <v>156</v>
      </c>
      <c r="B79" s="14" t="s">
        <v>157</v>
      </c>
      <c r="C79" s="13" t="s">
        <v>158</v>
      </c>
      <c r="D79" s="14" t="s">
        <v>161</v>
      </c>
      <c r="E79" s="15">
        <v>12015</v>
      </c>
      <c r="F79" s="15">
        <v>12558</v>
      </c>
      <c r="G79" s="15">
        <f t="shared" si="6"/>
        <v>543</v>
      </c>
      <c r="H79" s="16">
        <f t="shared" si="7"/>
        <v>4.519350811485643E-2</v>
      </c>
      <c r="I79" s="15">
        <v>5325</v>
      </c>
      <c r="J79" s="15">
        <f t="shared" si="8"/>
        <v>17883</v>
      </c>
      <c r="K79" s="16">
        <f t="shared" si="5"/>
        <v>0.42403248924988057</v>
      </c>
    </row>
    <row r="80" spans="1:11">
      <c r="A80" s="13" t="s">
        <v>156</v>
      </c>
      <c r="B80" s="14" t="s">
        <v>157</v>
      </c>
      <c r="C80" s="13" t="s">
        <v>159</v>
      </c>
      <c r="D80" s="14" t="s">
        <v>162</v>
      </c>
      <c r="E80" s="15">
        <v>9860</v>
      </c>
      <c r="F80" s="15">
        <v>10133</v>
      </c>
      <c r="G80" s="15">
        <f t="shared" si="6"/>
        <v>273</v>
      </c>
      <c r="H80" s="16">
        <f t="shared" si="7"/>
        <v>2.768762677484787E-2</v>
      </c>
      <c r="I80" s="15">
        <v>5841</v>
      </c>
      <c r="J80" s="15">
        <f t="shared" si="8"/>
        <v>15974</v>
      </c>
      <c r="K80" s="16">
        <f t="shared" si="5"/>
        <v>0.57643343531037206</v>
      </c>
    </row>
    <row r="81" spans="1:11">
      <c r="A81" s="13" t="s">
        <v>156</v>
      </c>
      <c r="B81" s="14" t="s">
        <v>157</v>
      </c>
      <c r="C81" s="13" t="s">
        <v>160</v>
      </c>
      <c r="D81" s="14" t="s">
        <v>163</v>
      </c>
      <c r="E81" s="15">
        <v>8732</v>
      </c>
      <c r="F81" s="15">
        <v>8749</v>
      </c>
      <c r="G81" s="15">
        <f t="shared" si="6"/>
        <v>17</v>
      </c>
      <c r="H81" s="16">
        <f t="shared" si="7"/>
        <v>1.9468621163536417E-3</v>
      </c>
      <c r="I81" s="15">
        <v>4447</v>
      </c>
      <c r="J81" s="15">
        <f t="shared" si="8"/>
        <v>13196</v>
      </c>
      <c r="K81" s="16">
        <f t="shared" si="5"/>
        <v>0.50828666133272371</v>
      </c>
    </row>
    <row r="82" spans="1:11" ht="15">
      <c r="A82" s="13"/>
      <c r="B82" s="14"/>
      <c r="C82" s="9" t="s">
        <v>164</v>
      </c>
      <c r="D82" s="11" t="s">
        <v>165</v>
      </c>
      <c r="E82" s="10">
        <f>SUM(E83:E84)</f>
        <v>30024</v>
      </c>
      <c r="F82" s="10">
        <f>SUM(F83:F84)</f>
        <v>31297</v>
      </c>
      <c r="G82" s="10">
        <f t="shared" si="6"/>
        <v>1273</v>
      </c>
      <c r="H82" s="12">
        <f t="shared" si="7"/>
        <v>4.2399413802291501E-2</v>
      </c>
      <c r="I82" s="10">
        <f>SUM(I83:I84)</f>
        <v>13649</v>
      </c>
      <c r="J82" s="10">
        <f t="shared" si="8"/>
        <v>44946</v>
      </c>
      <c r="K82" s="12">
        <f t="shared" si="5"/>
        <v>0.43611208742051955</v>
      </c>
    </row>
    <row r="83" spans="1:11">
      <c r="A83" s="13" t="s">
        <v>164</v>
      </c>
      <c r="B83" s="14" t="s">
        <v>165</v>
      </c>
      <c r="C83" s="13" t="s">
        <v>166</v>
      </c>
      <c r="D83" s="14" t="s">
        <v>168</v>
      </c>
      <c r="E83" s="15">
        <v>16201</v>
      </c>
      <c r="F83" s="15">
        <v>16772</v>
      </c>
      <c r="G83" s="15">
        <f t="shared" si="6"/>
        <v>571</v>
      </c>
      <c r="H83" s="16">
        <f t="shared" si="7"/>
        <v>3.5244737979137089E-2</v>
      </c>
      <c r="I83" s="15">
        <v>6002</v>
      </c>
      <c r="J83" s="15">
        <f t="shared" si="8"/>
        <v>22774</v>
      </c>
      <c r="K83" s="16">
        <f t="shared" si="5"/>
        <v>0.35785833532077271</v>
      </c>
    </row>
    <row r="84" spans="1:11">
      <c r="A84" s="13" t="s">
        <v>164</v>
      </c>
      <c r="B84" s="14" t="s">
        <v>165</v>
      </c>
      <c r="C84" s="13" t="s">
        <v>167</v>
      </c>
      <c r="D84" s="14" t="s">
        <v>169</v>
      </c>
      <c r="E84" s="15">
        <v>13823</v>
      </c>
      <c r="F84" s="15">
        <v>14525</v>
      </c>
      <c r="G84" s="15">
        <f t="shared" si="6"/>
        <v>702</v>
      </c>
      <c r="H84" s="16">
        <f t="shared" si="7"/>
        <v>5.0784923677928091E-2</v>
      </c>
      <c r="I84" s="15">
        <v>7647</v>
      </c>
      <c r="J84" s="15">
        <f t="shared" si="8"/>
        <v>22172</v>
      </c>
      <c r="K84" s="16">
        <f t="shared" si="5"/>
        <v>0.52647160068846821</v>
      </c>
    </row>
    <row r="85" spans="1:11" ht="15">
      <c r="A85" s="13"/>
      <c r="B85" s="14"/>
      <c r="C85" s="9" t="s">
        <v>170</v>
      </c>
      <c r="D85" s="17" t="s">
        <v>171</v>
      </c>
      <c r="E85" s="10">
        <f>SUM(E86:E88)</f>
        <v>30656</v>
      </c>
      <c r="F85" s="10">
        <f>SUM(F86:F88)</f>
        <v>30789</v>
      </c>
      <c r="G85" s="10">
        <f t="shared" si="6"/>
        <v>133</v>
      </c>
      <c r="H85" s="12">
        <f t="shared" si="7"/>
        <v>4.3384655532359082E-3</v>
      </c>
      <c r="I85" s="10">
        <f>SUM(I86:I88)</f>
        <v>14314</v>
      </c>
      <c r="J85" s="10">
        <f t="shared" si="8"/>
        <v>45103</v>
      </c>
      <c r="K85" s="12">
        <f t="shared" si="5"/>
        <v>0.46490629770372538</v>
      </c>
    </row>
    <row r="86" spans="1:11">
      <c r="A86" s="13" t="s">
        <v>170</v>
      </c>
      <c r="B86" s="14" t="s">
        <v>171</v>
      </c>
      <c r="C86" s="13" t="s">
        <v>172</v>
      </c>
      <c r="D86" s="14" t="s">
        <v>175</v>
      </c>
      <c r="E86" s="15">
        <v>7862</v>
      </c>
      <c r="F86" s="15">
        <v>7947</v>
      </c>
      <c r="G86" s="15">
        <f t="shared" si="6"/>
        <v>85</v>
      </c>
      <c r="H86" s="16">
        <f t="shared" si="7"/>
        <v>1.0811498346476723E-2</v>
      </c>
      <c r="I86" s="15">
        <v>3419</v>
      </c>
      <c r="J86" s="15">
        <f t="shared" si="8"/>
        <v>11366</v>
      </c>
      <c r="K86" s="16">
        <f t="shared" si="5"/>
        <v>0.43022524222977226</v>
      </c>
    </row>
    <row r="87" spans="1:11">
      <c r="A87" s="13" t="s">
        <v>170</v>
      </c>
      <c r="B87" s="14" t="s">
        <v>171</v>
      </c>
      <c r="C87" s="13" t="s">
        <v>173</v>
      </c>
      <c r="D87" s="14" t="s">
        <v>176</v>
      </c>
      <c r="E87" s="15">
        <v>10627</v>
      </c>
      <c r="F87" s="15">
        <v>10615</v>
      </c>
      <c r="G87" s="15">
        <f t="shared" si="6"/>
        <v>-12</v>
      </c>
      <c r="H87" s="16">
        <f t="shared" si="7"/>
        <v>-1.1291992095605534E-3</v>
      </c>
      <c r="I87" s="15">
        <v>5408</v>
      </c>
      <c r="J87" s="15">
        <f t="shared" si="8"/>
        <v>16023</v>
      </c>
      <c r="K87" s="16">
        <f t="shared" si="5"/>
        <v>0.5094677343382007</v>
      </c>
    </row>
    <row r="88" spans="1:11">
      <c r="A88" s="13" t="s">
        <v>170</v>
      </c>
      <c r="B88" s="14" t="s">
        <v>171</v>
      </c>
      <c r="C88" s="13" t="s">
        <v>174</v>
      </c>
      <c r="D88" s="14" t="s">
        <v>177</v>
      </c>
      <c r="E88" s="15">
        <v>12167</v>
      </c>
      <c r="F88" s="15">
        <v>12227</v>
      </c>
      <c r="G88" s="15">
        <f t="shared" si="6"/>
        <v>60</v>
      </c>
      <c r="H88" s="16">
        <f t="shared" si="7"/>
        <v>4.931371743239911E-3</v>
      </c>
      <c r="I88" s="15">
        <v>5487</v>
      </c>
      <c r="J88" s="15">
        <f t="shared" si="8"/>
        <v>17714</v>
      </c>
      <c r="K88" s="16">
        <f t="shared" si="5"/>
        <v>0.44876093890570051</v>
      </c>
    </row>
    <row r="89" spans="1:11" ht="15">
      <c r="A89" s="13"/>
      <c r="B89" s="14"/>
      <c r="C89" s="9" t="s">
        <v>178</v>
      </c>
      <c r="D89" s="17" t="s">
        <v>179</v>
      </c>
      <c r="E89" s="10">
        <f>SUM(E90:E92)</f>
        <v>27518</v>
      </c>
      <c r="F89" s="10">
        <f>SUM(F90:F92)</f>
        <v>28037</v>
      </c>
      <c r="G89" s="10">
        <f t="shared" si="6"/>
        <v>519</v>
      </c>
      <c r="H89" s="12">
        <f t="shared" si="7"/>
        <v>1.8860382295224944E-2</v>
      </c>
      <c r="I89" s="10">
        <f>SUM(I90:I92)</f>
        <v>14849</v>
      </c>
      <c r="J89" s="10">
        <f t="shared" si="8"/>
        <v>42886</v>
      </c>
      <c r="K89" s="12">
        <f t="shared" si="5"/>
        <v>0.52962157149481048</v>
      </c>
    </row>
    <row r="90" spans="1:11">
      <c r="A90" s="13" t="s">
        <v>178</v>
      </c>
      <c r="B90" s="14" t="s">
        <v>179</v>
      </c>
      <c r="C90" s="13" t="s">
        <v>180</v>
      </c>
      <c r="D90" s="14" t="s">
        <v>183</v>
      </c>
      <c r="E90" s="15">
        <v>10223</v>
      </c>
      <c r="F90" s="15">
        <v>10225</v>
      </c>
      <c r="G90" s="15">
        <f t="shared" si="6"/>
        <v>2</v>
      </c>
      <c r="H90" s="16">
        <f t="shared" si="7"/>
        <v>1.9563728846718183E-4</v>
      </c>
      <c r="I90" s="15">
        <v>5237</v>
      </c>
      <c r="J90" s="15">
        <f t="shared" si="8"/>
        <v>15462</v>
      </c>
      <c r="K90" s="16">
        <f t="shared" si="5"/>
        <v>0.51217603911980436</v>
      </c>
    </row>
    <row r="91" spans="1:11">
      <c r="A91" s="13" t="s">
        <v>178</v>
      </c>
      <c r="B91" s="14" t="s">
        <v>179</v>
      </c>
      <c r="C91" s="13" t="s">
        <v>181</v>
      </c>
      <c r="D91" s="14" t="s">
        <v>184</v>
      </c>
      <c r="E91" s="15">
        <v>7925</v>
      </c>
      <c r="F91" s="15">
        <v>8043</v>
      </c>
      <c r="G91" s="15">
        <f t="shared" si="6"/>
        <v>118</v>
      </c>
      <c r="H91" s="16">
        <f t="shared" si="7"/>
        <v>1.4889589905362776E-2</v>
      </c>
      <c r="I91" s="15">
        <v>4003</v>
      </c>
      <c r="J91" s="15">
        <f t="shared" si="8"/>
        <v>12046</v>
      </c>
      <c r="K91" s="16">
        <f t="shared" si="5"/>
        <v>0.49769986323511128</v>
      </c>
    </row>
    <row r="92" spans="1:11">
      <c r="A92" s="13" t="s">
        <v>178</v>
      </c>
      <c r="B92" s="14" t="s">
        <v>179</v>
      </c>
      <c r="C92" s="13" t="s">
        <v>182</v>
      </c>
      <c r="D92" s="14" t="s">
        <v>185</v>
      </c>
      <c r="E92" s="15">
        <v>9370</v>
      </c>
      <c r="F92" s="15">
        <v>9769</v>
      </c>
      <c r="G92" s="15">
        <f t="shared" si="6"/>
        <v>399</v>
      </c>
      <c r="H92" s="16">
        <f t="shared" si="7"/>
        <v>4.2582710779082177E-2</v>
      </c>
      <c r="I92" s="15">
        <v>5609</v>
      </c>
      <c r="J92" s="15">
        <f t="shared" si="8"/>
        <v>15378</v>
      </c>
      <c r="K92" s="16">
        <f t="shared" si="5"/>
        <v>0.57416316920872146</v>
      </c>
    </row>
    <row r="93" spans="1:11" ht="15">
      <c r="A93" s="13"/>
      <c r="B93" s="14"/>
      <c r="C93" s="9" t="s">
        <v>187</v>
      </c>
      <c r="D93" s="17" t="s">
        <v>186</v>
      </c>
      <c r="E93" s="10">
        <f>SUM(E94:E97)</f>
        <v>65047</v>
      </c>
      <c r="F93" s="10">
        <f>SUM(F94:F97)</f>
        <v>69960</v>
      </c>
      <c r="G93" s="10">
        <f t="shared" si="6"/>
        <v>4913</v>
      </c>
      <c r="H93" s="12">
        <f t="shared" si="7"/>
        <v>7.5530001383614931E-2</v>
      </c>
      <c r="I93" s="10">
        <f>SUM(I94:I97)</f>
        <v>43189</v>
      </c>
      <c r="J93" s="10">
        <f t="shared" si="8"/>
        <v>113149</v>
      </c>
      <c r="K93" s="12">
        <f t="shared" si="5"/>
        <v>0.61733847913093198</v>
      </c>
    </row>
    <row r="94" spans="1:11">
      <c r="A94" s="13" t="s">
        <v>187</v>
      </c>
      <c r="B94" s="14" t="s">
        <v>186</v>
      </c>
      <c r="C94" s="13" t="s">
        <v>188</v>
      </c>
      <c r="D94" s="14" t="s">
        <v>192</v>
      </c>
      <c r="E94" s="15">
        <v>14406</v>
      </c>
      <c r="F94" s="15">
        <v>14718</v>
      </c>
      <c r="G94" s="15">
        <f t="shared" si="6"/>
        <v>312</v>
      </c>
      <c r="H94" s="16">
        <f t="shared" si="7"/>
        <v>2.1657642648896292E-2</v>
      </c>
      <c r="I94" s="15">
        <v>7817</v>
      </c>
      <c r="J94" s="15">
        <f t="shared" si="8"/>
        <v>22535</v>
      </c>
      <c r="K94" s="16">
        <f t="shared" si="5"/>
        <v>0.53111835847261857</v>
      </c>
    </row>
    <row r="95" spans="1:11">
      <c r="A95" s="13" t="s">
        <v>187</v>
      </c>
      <c r="B95" s="14" t="s">
        <v>186</v>
      </c>
      <c r="C95" s="13" t="s">
        <v>189</v>
      </c>
      <c r="D95" s="14" t="s">
        <v>193</v>
      </c>
      <c r="E95" s="15">
        <v>21531</v>
      </c>
      <c r="F95" s="15">
        <v>22809</v>
      </c>
      <c r="G95" s="15">
        <f t="shared" si="6"/>
        <v>1278</v>
      </c>
      <c r="H95" s="16">
        <f t="shared" si="7"/>
        <v>5.9356276995959315E-2</v>
      </c>
      <c r="I95" s="15">
        <v>14730</v>
      </c>
      <c r="J95" s="15">
        <f t="shared" si="8"/>
        <v>37539</v>
      </c>
      <c r="K95" s="16">
        <f t="shared" si="5"/>
        <v>0.64579771142969877</v>
      </c>
    </row>
    <row r="96" spans="1:11">
      <c r="A96" s="13" t="s">
        <v>187</v>
      </c>
      <c r="B96" s="14" t="s">
        <v>186</v>
      </c>
      <c r="C96" s="13" t="s">
        <v>190</v>
      </c>
      <c r="D96" s="14" t="s">
        <v>194</v>
      </c>
      <c r="E96" s="15">
        <v>14102</v>
      </c>
      <c r="F96" s="15">
        <v>14378</v>
      </c>
      <c r="G96" s="15">
        <f t="shared" si="6"/>
        <v>276</v>
      </c>
      <c r="H96" s="16">
        <f t="shared" si="7"/>
        <v>1.9571691958587434E-2</v>
      </c>
      <c r="I96" s="15">
        <v>8127</v>
      </c>
      <c r="J96" s="15">
        <f t="shared" si="8"/>
        <v>22505</v>
      </c>
      <c r="K96" s="16">
        <f t="shared" si="5"/>
        <v>0.56523855890944497</v>
      </c>
    </row>
    <row r="97" spans="1:11">
      <c r="A97" s="13" t="s">
        <v>187</v>
      </c>
      <c r="B97" s="14" t="s">
        <v>186</v>
      </c>
      <c r="C97" s="13" t="s">
        <v>191</v>
      </c>
      <c r="D97" s="14" t="s">
        <v>195</v>
      </c>
      <c r="E97" s="15">
        <v>15008</v>
      </c>
      <c r="F97" s="15">
        <v>18055</v>
      </c>
      <c r="G97" s="15">
        <f t="shared" si="6"/>
        <v>3047</v>
      </c>
      <c r="H97" s="16">
        <f t="shared" si="7"/>
        <v>0.20302505330490406</v>
      </c>
      <c r="I97" s="15">
        <v>12515</v>
      </c>
      <c r="J97" s="15">
        <f t="shared" si="8"/>
        <v>30570</v>
      </c>
      <c r="K97" s="16">
        <f t="shared" si="5"/>
        <v>0.69315978953198565</v>
      </c>
    </row>
    <row r="98" spans="1:11" ht="15">
      <c r="A98" s="13"/>
      <c r="B98" s="14"/>
      <c r="C98" s="9" t="s">
        <v>196</v>
      </c>
      <c r="D98" s="11" t="s">
        <v>197</v>
      </c>
      <c r="E98" s="10">
        <f>SUM(E99:E100)</f>
        <v>31868</v>
      </c>
      <c r="F98" s="10">
        <f>SUM(F99:F100)</f>
        <v>32758</v>
      </c>
      <c r="G98" s="10">
        <f t="shared" si="6"/>
        <v>890</v>
      </c>
      <c r="H98" s="12">
        <f t="shared" si="7"/>
        <v>2.7927701769800427E-2</v>
      </c>
      <c r="I98" s="10">
        <f>SUM(I99:I100)</f>
        <v>25219</v>
      </c>
      <c r="J98" s="10">
        <f t="shared" si="8"/>
        <v>57977</v>
      </c>
      <c r="K98" s="12">
        <f t="shared" ref="K98:K114" si="9">(J98-F98)/F98</f>
        <v>0.76985774467305701</v>
      </c>
    </row>
    <row r="99" spans="1:11">
      <c r="A99" s="13" t="s">
        <v>196</v>
      </c>
      <c r="B99" s="14" t="s">
        <v>197</v>
      </c>
      <c r="C99" s="13" t="s">
        <v>198</v>
      </c>
      <c r="D99" s="14" t="s">
        <v>200</v>
      </c>
      <c r="E99" s="15">
        <v>12692</v>
      </c>
      <c r="F99" s="15">
        <v>12764</v>
      </c>
      <c r="G99" s="15">
        <f t="shared" si="6"/>
        <v>72</v>
      </c>
      <c r="H99" s="16">
        <f t="shared" si="7"/>
        <v>5.6728647967223449E-3</v>
      </c>
      <c r="I99" s="15">
        <v>7265</v>
      </c>
      <c r="J99" s="15">
        <f t="shared" si="8"/>
        <v>20029</v>
      </c>
      <c r="K99" s="16">
        <f t="shared" si="9"/>
        <v>0.56917894077091824</v>
      </c>
    </row>
    <row r="100" spans="1:11">
      <c r="A100" s="13" t="s">
        <v>196</v>
      </c>
      <c r="B100" s="14" t="s">
        <v>197</v>
      </c>
      <c r="C100" s="13" t="s">
        <v>199</v>
      </c>
      <c r="D100" s="14" t="s">
        <v>201</v>
      </c>
      <c r="E100" s="15">
        <v>19176</v>
      </c>
      <c r="F100" s="15">
        <v>19994</v>
      </c>
      <c r="G100" s="15">
        <f t="shared" si="6"/>
        <v>818</v>
      </c>
      <c r="H100" s="16">
        <f t="shared" si="7"/>
        <v>4.2657488527325822E-2</v>
      </c>
      <c r="I100" s="15">
        <v>17954</v>
      </c>
      <c r="J100" s="15">
        <f t="shared" si="8"/>
        <v>37948</v>
      </c>
      <c r="K100" s="16">
        <f t="shared" si="9"/>
        <v>0.89796939081724514</v>
      </c>
    </row>
    <row r="101" spans="1:11" ht="15">
      <c r="A101" s="13"/>
      <c r="B101" s="14"/>
      <c r="C101" s="9" t="s">
        <v>202</v>
      </c>
      <c r="D101" s="17" t="s">
        <v>203</v>
      </c>
      <c r="E101" s="10">
        <f>SUM(E102:E104)</f>
        <v>80385</v>
      </c>
      <c r="F101" s="10">
        <f>SUM(F102:F104)</f>
        <v>83434</v>
      </c>
      <c r="G101" s="10">
        <f t="shared" si="6"/>
        <v>3049</v>
      </c>
      <c r="H101" s="12">
        <f t="shared" si="7"/>
        <v>3.7929962057597813E-2</v>
      </c>
      <c r="I101" s="10">
        <f>SUM(I102:I104)</f>
        <v>59166</v>
      </c>
      <c r="J101" s="10">
        <f t="shared" si="8"/>
        <v>142600</v>
      </c>
      <c r="K101" s="12">
        <f t="shared" si="9"/>
        <v>0.70913536447970849</v>
      </c>
    </row>
    <row r="102" spans="1:11">
      <c r="A102" s="13" t="s">
        <v>202</v>
      </c>
      <c r="B102" s="14" t="s">
        <v>203</v>
      </c>
      <c r="C102" s="13" t="s">
        <v>204</v>
      </c>
      <c r="D102" s="14" t="s">
        <v>207</v>
      </c>
      <c r="E102" s="15">
        <v>21665</v>
      </c>
      <c r="F102" s="15">
        <v>21515</v>
      </c>
      <c r="G102" s="15">
        <f t="shared" si="6"/>
        <v>-150</v>
      </c>
      <c r="H102" s="16">
        <f t="shared" si="7"/>
        <v>-6.9236095084237248E-3</v>
      </c>
      <c r="I102" s="15">
        <v>9407</v>
      </c>
      <c r="J102" s="15">
        <f t="shared" si="8"/>
        <v>30922</v>
      </c>
      <c r="K102" s="16">
        <f t="shared" si="9"/>
        <v>0.4372298396467581</v>
      </c>
    </row>
    <row r="103" spans="1:11">
      <c r="A103" s="13" t="s">
        <v>202</v>
      </c>
      <c r="B103" s="14" t="s">
        <v>203</v>
      </c>
      <c r="C103" s="13" t="s">
        <v>205</v>
      </c>
      <c r="D103" s="14" t="s">
        <v>208</v>
      </c>
      <c r="E103" s="15">
        <v>27681</v>
      </c>
      <c r="F103" s="15">
        <v>27679</v>
      </c>
      <c r="G103" s="15">
        <f t="shared" si="6"/>
        <v>-2</v>
      </c>
      <c r="H103" s="16">
        <f t="shared" si="7"/>
        <v>-7.2251725009934612E-5</v>
      </c>
      <c r="I103" s="15">
        <v>16540</v>
      </c>
      <c r="J103" s="15">
        <f t="shared" si="8"/>
        <v>44219</v>
      </c>
      <c r="K103" s="16">
        <f t="shared" si="9"/>
        <v>0.59756494092994694</v>
      </c>
    </row>
    <row r="104" spans="1:11">
      <c r="A104" s="13" t="s">
        <v>202</v>
      </c>
      <c r="B104" s="14" t="s">
        <v>203</v>
      </c>
      <c r="C104" s="13" t="s">
        <v>206</v>
      </c>
      <c r="D104" s="14" t="s">
        <v>209</v>
      </c>
      <c r="E104" s="15">
        <v>31039</v>
      </c>
      <c r="F104" s="15">
        <v>34240</v>
      </c>
      <c r="G104" s="15">
        <f t="shared" si="6"/>
        <v>3201</v>
      </c>
      <c r="H104" s="16">
        <f t="shared" si="7"/>
        <v>0.10312832243306808</v>
      </c>
      <c r="I104" s="15">
        <v>33219</v>
      </c>
      <c r="J104" s="15">
        <f t="shared" si="8"/>
        <v>67459</v>
      </c>
      <c r="K104" s="16">
        <f t="shared" si="9"/>
        <v>0.97018107476635518</v>
      </c>
    </row>
    <row r="105" spans="1:11" ht="15">
      <c r="A105" s="13"/>
      <c r="B105" s="14"/>
      <c r="C105" s="9" t="s">
        <v>210</v>
      </c>
      <c r="D105" s="17" t="s">
        <v>211</v>
      </c>
      <c r="E105" s="10">
        <f>SUM(E106:E108)</f>
        <v>35684</v>
      </c>
      <c r="F105" s="10">
        <f>SUM(F106:F108)</f>
        <v>37766</v>
      </c>
      <c r="G105" s="10">
        <f t="shared" si="6"/>
        <v>2082</v>
      </c>
      <c r="H105" s="12">
        <f t="shared" si="7"/>
        <v>5.8345476964465869E-2</v>
      </c>
      <c r="I105" s="10">
        <f>SUM(I106:I108)</f>
        <v>21183</v>
      </c>
      <c r="J105" s="10">
        <f t="shared" si="8"/>
        <v>58949</v>
      </c>
      <c r="K105" s="12">
        <f t="shared" si="9"/>
        <v>0.56090133982947621</v>
      </c>
    </row>
    <row r="106" spans="1:11">
      <c r="A106" s="13" t="s">
        <v>210</v>
      </c>
      <c r="B106" s="14" t="s">
        <v>211</v>
      </c>
      <c r="C106" s="13" t="s">
        <v>212</v>
      </c>
      <c r="D106" s="14" t="s">
        <v>215</v>
      </c>
      <c r="E106" s="15">
        <v>15685</v>
      </c>
      <c r="F106" s="15">
        <v>16612</v>
      </c>
      <c r="G106" s="15">
        <f t="shared" si="6"/>
        <v>927</v>
      </c>
      <c r="H106" s="16">
        <f t="shared" si="7"/>
        <v>5.9101051960471787E-2</v>
      </c>
      <c r="I106" s="15">
        <v>8689</v>
      </c>
      <c r="J106" s="15">
        <f t="shared" si="8"/>
        <v>25301</v>
      </c>
      <c r="K106" s="16">
        <f t="shared" si="9"/>
        <v>0.52305562244160853</v>
      </c>
    </row>
    <row r="107" spans="1:11">
      <c r="A107" s="13" t="s">
        <v>210</v>
      </c>
      <c r="B107" s="14" t="s">
        <v>211</v>
      </c>
      <c r="C107" s="13" t="s">
        <v>213</v>
      </c>
      <c r="D107" s="14" t="s">
        <v>216</v>
      </c>
      <c r="E107" s="15">
        <v>10813</v>
      </c>
      <c r="F107" s="15">
        <v>11535</v>
      </c>
      <c r="G107" s="15">
        <f t="shared" si="6"/>
        <v>722</v>
      </c>
      <c r="H107" s="16">
        <f t="shared" si="7"/>
        <v>6.6771478775547954E-2</v>
      </c>
      <c r="I107" s="15">
        <v>6318</v>
      </c>
      <c r="J107" s="15">
        <f t="shared" si="8"/>
        <v>17853</v>
      </c>
      <c r="K107" s="16">
        <f t="shared" si="9"/>
        <v>0.54772431729518856</v>
      </c>
    </row>
    <row r="108" spans="1:11">
      <c r="A108" s="13" t="s">
        <v>210</v>
      </c>
      <c r="B108" s="14" t="s">
        <v>211</v>
      </c>
      <c r="C108" s="13" t="s">
        <v>214</v>
      </c>
      <c r="D108" s="14" t="s">
        <v>217</v>
      </c>
      <c r="E108" s="15">
        <v>9186</v>
      </c>
      <c r="F108" s="15">
        <v>9619</v>
      </c>
      <c r="G108" s="15">
        <f t="shared" si="6"/>
        <v>433</v>
      </c>
      <c r="H108" s="16">
        <f t="shared" si="7"/>
        <v>4.7136947528848248E-2</v>
      </c>
      <c r="I108" s="15">
        <v>6176</v>
      </c>
      <c r="J108" s="15">
        <f t="shared" si="8"/>
        <v>15795</v>
      </c>
      <c r="K108" s="16">
        <f t="shared" si="9"/>
        <v>0.64206258446823994</v>
      </c>
    </row>
    <row r="109" spans="1:11" ht="15">
      <c r="A109" s="13"/>
      <c r="B109" s="14"/>
      <c r="C109" s="9" t="s">
        <v>218</v>
      </c>
      <c r="D109" s="11" t="s">
        <v>220</v>
      </c>
      <c r="E109" s="10">
        <f>SUM(E110:E111)</f>
        <v>26408</v>
      </c>
      <c r="F109" s="10">
        <f>SUM(F110:F111)</f>
        <v>26490</v>
      </c>
      <c r="G109" s="10">
        <f t="shared" si="6"/>
        <v>82</v>
      </c>
      <c r="H109" s="12">
        <f t="shared" si="7"/>
        <v>3.105119660708876E-3</v>
      </c>
      <c r="I109" s="10">
        <f>SUM(I110:I111)</f>
        <v>15930</v>
      </c>
      <c r="J109" s="10">
        <f t="shared" si="8"/>
        <v>42420</v>
      </c>
      <c r="K109" s="12">
        <f t="shared" si="9"/>
        <v>0.60135900339750847</v>
      </c>
    </row>
    <row r="110" spans="1:11">
      <c r="A110" s="13" t="s">
        <v>218</v>
      </c>
      <c r="B110" s="14" t="s">
        <v>220</v>
      </c>
      <c r="C110" s="13" t="s">
        <v>221</v>
      </c>
      <c r="D110" s="14" t="s">
        <v>223</v>
      </c>
      <c r="E110" s="15">
        <v>17057</v>
      </c>
      <c r="F110" s="15">
        <v>17055</v>
      </c>
      <c r="G110" s="15">
        <f t="shared" si="6"/>
        <v>-2</v>
      </c>
      <c r="H110" s="16">
        <f t="shared" si="7"/>
        <v>-1.1725391334935803E-4</v>
      </c>
      <c r="I110" s="15">
        <v>10119</v>
      </c>
      <c r="J110" s="15">
        <f t="shared" si="8"/>
        <v>27174</v>
      </c>
      <c r="K110" s="16">
        <f t="shared" si="9"/>
        <v>0.59331574318381708</v>
      </c>
    </row>
    <row r="111" spans="1:11">
      <c r="A111" s="13" t="s">
        <v>218</v>
      </c>
      <c r="B111" s="14" t="s">
        <v>220</v>
      </c>
      <c r="C111" s="13" t="s">
        <v>222</v>
      </c>
      <c r="D111" s="14" t="s">
        <v>224</v>
      </c>
      <c r="E111" s="15">
        <v>9351</v>
      </c>
      <c r="F111" s="15">
        <v>9435</v>
      </c>
      <c r="G111" s="15">
        <f t="shared" si="6"/>
        <v>84</v>
      </c>
      <c r="H111" s="16">
        <f t="shared" si="7"/>
        <v>8.9829964709656727E-3</v>
      </c>
      <c r="I111" s="15">
        <v>5811</v>
      </c>
      <c r="J111" s="15">
        <f t="shared" si="8"/>
        <v>15246</v>
      </c>
      <c r="K111" s="16">
        <f t="shared" si="9"/>
        <v>0.61589825119236885</v>
      </c>
    </row>
    <row r="112" spans="1:11" ht="15">
      <c r="A112" s="13"/>
      <c r="B112" s="14"/>
      <c r="C112" s="9" t="s">
        <v>219</v>
      </c>
      <c r="D112" s="11" t="s">
        <v>225</v>
      </c>
      <c r="E112" s="10">
        <f>SUM(E113:E114)</f>
        <v>21297</v>
      </c>
      <c r="F112" s="10">
        <f>SUM(F113:F114)</f>
        <v>21649</v>
      </c>
      <c r="G112" s="10">
        <f t="shared" si="6"/>
        <v>352</v>
      </c>
      <c r="H112" s="12">
        <f t="shared" si="7"/>
        <v>1.6528149504625063E-2</v>
      </c>
      <c r="I112" s="10">
        <f>SUM(I113:I114)</f>
        <v>12091</v>
      </c>
      <c r="J112" s="10">
        <f t="shared" si="8"/>
        <v>33740</v>
      </c>
      <c r="K112" s="12">
        <f t="shared" si="9"/>
        <v>0.558501547415585</v>
      </c>
    </row>
    <row r="113" spans="1:11">
      <c r="A113" s="13" t="s">
        <v>219</v>
      </c>
      <c r="B113" s="14" t="s">
        <v>225</v>
      </c>
      <c r="C113" s="13" t="s">
        <v>226</v>
      </c>
      <c r="D113" s="14" t="s">
        <v>228</v>
      </c>
      <c r="E113" s="15">
        <v>8151</v>
      </c>
      <c r="F113" s="15">
        <v>8552</v>
      </c>
      <c r="G113" s="15">
        <f t="shared" si="6"/>
        <v>401</v>
      </c>
      <c r="H113" s="16">
        <f t="shared" si="7"/>
        <v>4.9196417617470248E-2</v>
      </c>
      <c r="I113" s="15">
        <v>5197</v>
      </c>
      <c r="J113" s="15">
        <f t="shared" si="8"/>
        <v>13749</v>
      </c>
      <c r="K113" s="16">
        <f t="shared" si="9"/>
        <v>0.60769410664172119</v>
      </c>
    </row>
    <row r="114" spans="1:11">
      <c r="A114" s="13" t="s">
        <v>219</v>
      </c>
      <c r="B114" s="14" t="s">
        <v>225</v>
      </c>
      <c r="C114" s="13" t="s">
        <v>227</v>
      </c>
      <c r="D114" s="14" t="s">
        <v>229</v>
      </c>
      <c r="E114" s="15">
        <v>13146</v>
      </c>
      <c r="F114" s="15">
        <v>13097</v>
      </c>
      <c r="G114" s="15">
        <f t="shared" si="6"/>
        <v>-49</v>
      </c>
      <c r="H114" s="16">
        <f t="shared" si="7"/>
        <v>-3.7273695420660278E-3</v>
      </c>
      <c r="I114" s="15">
        <v>6894</v>
      </c>
      <c r="J114" s="15">
        <f t="shared" si="8"/>
        <v>19991</v>
      </c>
      <c r="K114" s="16">
        <f t="shared" si="9"/>
        <v>0.52638008704283423</v>
      </c>
    </row>
    <row r="116" spans="1:11" ht="15">
      <c r="D116" s="18" t="s">
        <v>235</v>
      </c>
      <c r="E116" s="3">
        <f>E2+E5+E9+E13+E17+E21+E25+E29+E33+E37+E41+E45+E48+E52+E56+E59+E62+E65+E68+E71+E74+E78+E82+E85+E89+E93+E98+E101+E105+E109+E112</f>
        <v>1220939</v>
      </c>
      <c r="F116" s="3">
        <f>F2+F5+F9+F13+F17+F21+F25+F29+F33+F37+F41+F45+F48+F52+F56+F59+F62+F65+F68+F71+F74+F78+F82+F85+F89+F93+F98+F101+F105+F109+F112</f>
        <v>1259252</v>
      </c>
      <c r="G116" s="3"/>
      <c r="H116" s="7"/>
      <c r="I116" s="3">
        <f>I2+I5+I9+I13+I17+I21+I25+I29+I33+I37+I41+I45+I48+I52+I56+I59+I62+I65+I68+I71+I74+I78+I82+I85+I89+I93+I98+I101+I105+I109+I112</f>
        <v>674732</v>
      </c>
      <c r="J116" s="3">
        <f>J2+J5+J9+J13+J17+J21+J25+J29+J33+J37+J41+J45+J48+J52+J56+J59+J62+J65+J68+J71+J74+J78+J82+J85+J89+J93+J98+J101+J105+J109+J112</f>
        <v>1933984</v>
      </c>
    </row>
  </sheetData>
  <conditionalFormatting sqref="G2:G114"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H2:H114">
    <cfRule type="cellIs" dxfId="1" priority="4" operator="greaterThan">
      <formula>0</formula>
    </cfRule>
    <cfRule type="cellIs" dxfId="0" priority="5" operator="lessThan">
      <formula>0</formula>
    </cfRule>
  </conditionalFormatting>
  <conditionalFormatting sqref="K2:K114">
    <cfRule type="colorScale" priority="1">
      <colorScale>
        <cfvo type="percent" val="0"/>
        <cfvo type="percentile" val="50"/>
        <cfvo type="percent" val="100"/>
        <color rgb="FFFFCCCC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1A82-DFFA-44A5-86D4-4187FD1BAB15}">
  <dimension ref="A1:AJ87"/>
  <sheetViews>
    <sheetView topLeftCell="H61" workbookViewId="0">
      <selection activeCell="I64" sqref="I64:J70"/>
    </sheetView>
  </sheetViews>
  <sheetFormatPr defaultRowHeight="14.25"/>
  <cols>
    <col min="1" max="1" width="5.75" style="24" customWidth="1"/>
    <col min="2" max="2" width="17.875" style="23" customWidth="1"/>
    <col min="3" max="3" width="14.5" style="24" bestFit="1" customWidth="1"/>
    <col min="4" max="4" width="9.5" style="24" bestFit="1" customWidth="1"/>
    <col min="5" max="5" width="14.875" style="24" bestFit="1" customWidth="1"/>
    <col min="6" max="6" width="11" style="23" customWidth="1"/>
    <col min="7" max="7" width="9" style="23"/>
    <col min="8" max="8" width="19.5" style="23" customWidth="1"/>
    <col min="9" max="9" width="18.125" style="24" bestFit="1" customWidth="1"/>
    <col min="10" max="10" width="9.875" style="24" bestFit="1" customWidth="1"/>
    <col min="11" max="11" width="14.875" style="23" bestFit="1" customWidth="1"/>
    <col min="12" max="14" width="9" style="23"/>
    <col min="15" max="15" width="18.25" style="23" bestFit="1" customWidth="1"/>
    <col min="16" max="16" width="9.875" style="23" bestFit="1" customWidth="1"/>
    <col min="17" max="17" width="13.5" style="23" bestFit="1" customWidth="1"/>
    <col min="18" max="18" width="9.125" style="23" bestFit="1" customWidth="1"/>
    <col min="19" max="19" width="8" style="23" bestFit="1" customWidth="1"/>
    <col min="20" max="20" width="9.25" style="23" bestFit="1" customWidth="1"/>
    <col min="21" max="21" width="8" style="23" bestFit="1" customWidth="1"/>
    <col min="22" max="22" width="8.625" style="23" bestFit="1" customWidth="1"/>
    <col min="23" max="23" width="9" style="23"/>
    <col min="24" max="24" width="9.5" style="23" bestFit="1" customWidth="1"/>
    <col min="25" max="25" width="13.5" style="23" customWidth="1"/>
    <col min="26" max="26" width="9.25" style="23" customWidth="1"/>
    <col min="27" max="27" width="9.875" style="23" bestFit="1" customWidth="1"/>
    <col min="28" max="28" width="13.125" style="23" customWidth="1"/>
    <col min="29" max="29" width="10.25" style="23" customWidth="1"/>
    <col min="30" max="30" width="8" style="23" bestFit="1" customWidth="1"/>
    <col min="31" max="31" width="9" style="23"/>
    <col min="32" max="32" width="7" style="23" bestFit="1" customWidth="1"/>
    <col min="33" max="33" width="8.625" style="23" bestFit="1" customWidth="1"/>
    <col min="34" max="34" width="9" style="23"/>
    <col min="35" max="35" width="11" style="23" customWidth="1"/>
    <col min="36" max="16384" width="9" style="23"/>
  </cols>
  <sheetData>
    <row r="1" spans="1:36" ht="15">
      <c r="A1" s="84" t="s">
        <v>0</v>
      </c>
      <c r="B1" s="84" t="s">
        <v>1</v>
      </c>
      <c r="C1" s="84" t="s">
        <v>287</v>
      </c>
      <c r="D1" s="84"/>
      <c r="E1" s="84"/>
    </row>
    <row r="2" spans="1:36" s="25" customFormat="1" ht="45">
      <c r="A2" s="84"/>
      <c r="B2" s="84"/>
      <c r="C2" s="26" t="s">
        <v>236</v>
      </c>
      <c r="D2" s="26" t="s">
        <v>237</v>
      </c>
      <c r="E2" s="26" t="s">
        <v>238</v>
      </c>
      <c r="I2" s="26" t="s">
        <v>236</v>
      </c>
      <c r="J2" s="26" t="s">
        <v>237</v>
      </c>
      <c r="K2" s="26" t="s">
        <v>238</v>
      </c>
      <c r="O2" s="26" t="s">
        <v>236</v>
      </c>
      <c r="P2" s="26" t="s">
        <v>237</v>
      </c>
      <c r="Q2" s="27" t="s">
        <v>312</v>
      </c>
      <c r="R2" s="27" t="s">
        <v>313</v>
      </c>
      <c r="S2" s="26" t="s">
        <v>233</v>
      </c>
      <c r="T2" s="27" t="s">
        <v>311</v>
      </c>
      <c r="U2" s="26" t="s">
        <v>233</v>
      </c>
      <c r="V2" s="27" t="s">
        <v>314</v>
      </c>
      <c r="W2" s="26" t="s">
        <v>233</v>
      </c>
      <c r="AA2" s="26" t="s">
        <v>237</v>
      </c>
      <c r="AB2" s="27" t="s">
        <v>312</v>
      </c>
      <c r="AC2" s="27" t="s">
        <v>313</v>
      </c>
      <c r="AD2" s="26" t="s">
        <v>233</v>
      </c>
      <c r="AE2" s="27" t="s">
        <v>311</v>
      </c>
      <c r="AF2" s="26" t="s">
        <v>233</v>
      </c>
      <c r="AG2" s="27" t="s">
        <v>314</v>
      </c>
      <c r="AH2" s="26" t="s">
        <v>233</v>
      </c>
      <c r="AI2" s="26" t="s">
        <v>256</v>
      </c>
      <c r="AJ2" s="26" t="s">
        <v>233</v>
      </c>
    </row>
    <row r="3" spans="1:36">
      <c r="A3" s="13" t="s">
        <v>5</v>
      </c>
      <c r="B3" s="14" t="s">
        <v>6</v>
      </c>
      <c r="C3" s="29" t="str">
        <f>IF('PRN 2016'!Q3&lt;&gt;"",'PRN 2016'!Q3,"")</f>
        <v>PSB</v>
      </c>
      <c r="D3" s="29" t="str">
        <f>IF(C3&lt;&gt;"",INDEX($J$3:$J$23,MATCH(C3,$I$3:$I$23,0),1),"")</f>
        <v>PSB</v>
      </c>
      <c r="E3" s="29" t="str">
        <f>IF(D3&lt;&gt;"",INDEX($K$3:$K$23,MATCH(D3,$J$3:$J$23,0),1),"")</f>
        <v>PEMBANGKANG</v>
      </c>
      <c r="I3" s="29" t="s">
        <v>243</v>
      </c>
      <c r="J3" s="29" t="s">
        <v>241</v>
      </c>
      <c r="K3" s="29" t="str">
        <f>IF(INDEX($AC$3:$AC$10,MATCH(J3,$AA$3:$AA$10,0),1)&gt;$P$38,"KERAJAAN",IF(OR(J3="PH",J3="PSB",J3="LAIN-LAIN"),"PEMBANGKANG",IF(OR(J3="BEBAS - K",J3="PN"),"KERAJAAN",IF(J3="BEBAS - P","PEMBANGKANG","BEBAS"))))</f>
        <v>KERAJAAN</v>
      </c>
      <c r="O3" s="29" t="str">
        <f>I3</f>
        <v>PBB</v>
      </c>
      <c r="P3" s="29" t="str">
        <f>J3</f>
        <v>GPS</v>
      </c>
      <c r="Q3" s="15">
        <f>COUNTIF('PRN 2016'!$Q$3:$Q$84,'DUN 2016'!O3)+COUNTIF('PRN 2016'!$V$3:$V$84,'DUN 2016'!O3)+COUNTIF('PRN 2016'!$Z$3:$Z$84,'DUN 2016'!O3)+COUNTIF('PRN 2016'!$AD$3:$AD$84,'DUN 2016'!O3)+COUNTIF('PRN 2016'!$AH$3:$AH$84,'DUN 2016'!O3)</f>
        <v>47</v>
      </c>
      <c r="R3" s="29">
        <f>COUNTIF($C$3:$C$84,"*"&amp;O3&amp;"*")</f>
        <v>47</v>
      </c>
      <c r="S3" s="34">
        <f>R3/Q3</f>
        <v>1</v>
      </c>
      <c r="T3" s="33">
        <f>COUNTIFS('PRN 2016'!$Y$3:$Y$84,"&lt;12.50%",'PRN 2016'!$V$3:$V$84,"="&amp;O3)+COUNTIFS('PRN 2016'!$AC$3:$AC$84,"&lt;12.50%",'PRN 2016'!$Z$3:$Z$84,"="&amp;O3)+COUNTIFS('PRN 2016'!$AG$3:$AG$84,"&lt;12.50%",'PRN 2016'!$AD$3:$AD$84,"="&amp;O3)+COUNTIFS('PRN 2016'!$AK$3:$AK$84,"&lt;12.50%",'PRN 2016'!$AH$3:$AH$84,"="&amp;O3)</f>
        <v>0</v>
      </c>
      <c r="U3" s="34">
        <f>T3/Q3</f>
        <v>0</v>
      </c>
      <c r="V3" s="29">
        <f>COUNTIF('PRN 2016'!$V$3:$V$84,"="&amp;'DUN 2016'!O3)</f>
        <v>0</v>
      </c>
      <c r="W3" s="34">
        <f>V3/COUNTA($B$3:$B$84)</f>
        <v>0</v>
      </c>
      <c r="AA3" s="29" t="s">
        <v>241</v>
      </c>
      <c r="AB3" s="29">
        <f t="shared" ref="AB3:AB10" si="0">SUMIF($P$3:$P$19,AA3,$Q$3:$Q$19)</f>
        <v>78</v>
      </c>
      <c r="AC3" s="29">
        <f>SUMIF($P$3:$P$19,AA3,$R$3:$R$19)</f>
        <v>68</v>
      </c>
      <c r="AD3" s="34">
        <f>AC3/AB3</f>
        <v>0.87179487179487181</v>
      </c>
      <c r="AE3" s="29">
        <f>SUMIF($P$3:$P$19,AA3,$T$3:$T$19)</f>
        <v>0</v>
      </c>
      <c r="AF3" s="34">
        <f>AE3/AB3</f>
        <v>0</v>
      </c>
      <c r="AG3" s="29">
        <f>SUMIF($P$3:$P$19,AA3,$V$3:$V$19)</f>
        <v>10</v>
      </c>
      <c r="AH3" s="34">
        <f>AG3/COUNTA($B$3:$B$84)</f>
        <v>0.12195121951219512</v>
      </c>
      <c r="AI3" s="33">
        <f>SUMIFS('UMUR 2021'!$AE$3:$AE$84,'UMUR 2021'!$AD$3:$AD$84,"="&amp;'DUN 2016'!AA3)+SUMIFS('UMUR 2021'!$AI$3:$AI$84,'UMUR 2021'!$AH$3:$AH$84,"="&amp;'DUN 2016'!AA3)+SUMIFS('UMUR 2021'!$AM$3:$AM$84,'UMUR 2021'!$AL$3:$AL$84,"="&amp;'DUN 2016'!AA3)+SUMIFS('UMUR 2021'!$AQ$3:$AQ$84,'UMUR 2021'!$AP$3:$AP$84,"="&amp;'DUN 2016'!AA3)+SUMIFS('UMUR 2021'!$AU$3:$AU$84,'UMUR 2021'!$AT$3:$AT$84,"="&amp;'DUN 2016'!AA3)+SUMIFS('UMUR 2021'!$AY$3:$AY$84,'UMUR 2021'!$AX$3:$AX$84,"="&amp;'DUN 2016'!AA3)+SUMIFS('UMUR 2021'!$BC$3:$BC$84,'UMUR 2021'!$BB$3:$BB$84,"="&amp;'DUN 2016'!AA3)+SUMIFS('UMUR 2021'!$BF$3:$BF$84,'UMUR 2021'!$BE$3:$BE$84,"="&amp;'DUN 2016'!AA3)</f>
        <v>457233</v>
      </c>
      <c r="AJ3" s="34">
        <f>AI3/$AI$25</f>
        <v>0.61280033023425995</v>
      </c>
    </row>
    <row r="4" spans="1:36">
      <c r="A4" s="13" t="s">
        <v>8</v>
      </c>
      <c r="B4" s="14" t="s">
        <v>7</v>
      </c>
      <c r="C4" s="29" t="str">
        <f>IF('PRN 2016'!Q4&lt;&gt;"",'PRN 2016'!Q4,"")</f>
        <v>PDP</v>
      </c>
      <c r="D4" s="29" t="str">
        <f t="shared" ref="D4:D67" si="1">IF(C4&lt;&gt;"",INDEX($J$3:$J$23,MATCH(C4,$I$3:$I$23,0),1),"")</f>
        <v>GPS</v>
      </c>
      <c r="E4" s="29" t="str">
        <f t="shared" ref="E4:E67" si="2">IF(D4&lt;&gt;"",INDEX($K$3:$K$23,MATCH(D4,$J$3:$J$23,0),1),"")</f>
        <v>KERAJAAN</v>
      </c>
      <c r="I4" s="29" t="s">
        <v>239</v>
      </c>
      <c r="J4" s="29" t="s">
        <v>241</v>
      </c>
      <c r="K4" s="29" t="str">
        <f t="shared" ref="K4:K19" si="3">IF(INDEX($AC$3:$AC$10,MATCH(J4,$AA$3:$AA$10,0),1)&gt;$P$38,"KERAJAAN",IF(OR(J4="PH",J4="PSB",J4="LAIN-LAIN"),"PEMBANGKANG",IF(OR(J4="BEBAS - K",J4="PN"),"KERAJAAN",IF(J4="BEBAS - P","PEMBANGKANG","BEBAS"))))</f>
        <v>KERAJAAN</v>
      </c>
      <c r="O4" s="29" t="str">
        <f t="shared" ref="O4:P19" si="4">I4</f>
        <v>SUPP</v>
      </c>
      <c r="P4" s="29" t="str">
        <f t="shared" si="4"/>
        <v>GPS</v>
      </c>
      <c r="Q4" s="15">
        <f>COUNTIF('PRN 2016'!$Q$3:$Q$84,'DUN 2016'!O4)+COUNTIF('PRN 2016'!$V$3:$V$84,'DUN 2016'!O4)+COUNTIF('PRN 2016'!$Z$3:$Z$84,'DUN 2016'!O4)+COUNTIF('PRN 2016'!$AD$3:$AD$84,'DUN 2016'!O4)+COUNTIF('PRN 2016'!$AH$3:$AH$84,'DUN 2016'!O4)</f>
        <v>15</v>
      </c>
      <c r="R4" s="29">
        <f t="shared" ref="R4:R19" si="5">COUNTIF($C$3:$C$84,"*"&amp;O4&amp;"*")</f>
        <v>7</v>
      </c>
      <c r="S4" s="34">
        <f t="shared" ref="S4:S19" si="6">R4/Q4</f>
        <v>0.46666666666666667</v>
      </c>
      <c r="T4" s="33">
        <f>COUNTIFS('PRN 2016'!$Y$3:$Y$84,"&lt;12.50%",'PRN 2016'!$V$3:$V$84,"="&amp;O4)+COUNTIFS('PRN 2016'!$AC$3:$AC$84,"&lt;12.50%",'PRN 2016'!$Z$3:$Z$84,"="&amp;O4)+COUNTIFS('PRN 2016'!$AG$3:$AG$84,"&lt;12.50%",'PRN 2016'!$AD$3:$AD$84,"="&amp;O4)+COUNTIFS('PRN 2016'!$AK$3:$AK$84,"&lt;12.50%",'PRN 2016'!$AH$3:$AH$84,"="&amp;O4)</f>
        <v>0</v>
      </c>
      <c r="U4" s="34">
        <f t="shared" ref="U4:U19" si="7">T4/Q4</f>
        <v>0</v>
      </c>
      <c r="V4" s="29">
        <f>COUNTIF('PRN 2016'!$V$3:$V$84,"="&amp;'DUN 2016'!O4)</f>
        <v>8</v>
      </c>
      <c r="W4" s="34">
        <f t="shared" ref="W4:W19" si="8">V4/COUNTA($B$3:$B$84)</f>
        <v>9.7560975609756101E-2</v>
      </c>
      <c r="AA4" s="29" t="s">
        <v>245</v>
      </c>
      <c r="AB4" s="29">
        <f t="shared" si="0"/>
        <v>82</v>
      </c>
      <c r="AC4" s="29">
        <f>SUMIF($P$3:$P$19,AA4,$R$3:$R$19)</f>
        <v>7</v>
      </c>
      <c r="AD4" s="34">
        <f>AC4/AB4</f>
        <v>8.5365853658536592E-2</v>
      </c>
      <c r="AE4" s="29">
        <f t="shared" ref="AE4:AE10" si="9">SUMIF($P$3:$P$19,AA4,$T$3:$T$19)</f>
        <v>26</v>
      </c>
      <c r="AF4" s="34">
        <f t="shared" ref="AF4:AF10" si="10">AE4/AB4</f>
        <v>0.31707317073170732</v>
      </c>
      <c r="AG4" s="29">
        <f t="shared" ref="AG4:AG10" si="11">SUMIF($P$3:$P$19,AA4,$V$3:$V$19)</f>
        <v>53</v>
      </c>
      <c r="AH4" s="34">
        <f t="shared" ref="AH4:AH10" si="12">AG4/COUNTA($B$3:$B$84)</f>
        <v>0.64634146341463417</v>
      </c>
      <c r="AI4" s="33">
        <f>SUMIFS('UMUR 2021'!$AE$3:$AE$84,'UMUR 2021'!$AD$3:$AD$84,"="&amp;'DUN 2016'!AA4)+SUMIFS('UMUR 2021'!$AI$3:$AI$84,'UMUR 2021'!$AH$3:$AH$84,"="&amp;'DUN 2016'!AA4)+SUMIFS('UMUR 2021'!$AM$3:$AM$84,'UMUR 2021'!$AL$3:$AL$84,"="&amp;'DUN 2016'!AA4)+SUMIFS('UMUR 2021'!$AQ$3:$AQ$84,'UMUR 2021'!$AP$3:$AP$84,"="&amp;'DUN 2016'!AA4)+SUMIFS('UMUR 2021'!$AU$3:$AU$84,'UMUR 2021'!$AT$3:$AT$84,"="&amp;'DUN 2016'!AA4)+SUMIFS('UMUR 2021'!$AY$3:$AY$84,'UMUR 2021'!$AX$3:$AX$84,"="&amp;'DUN 2016'!AA4)+SUMIFS('UMUR 2021'!$BC$3:$BC$84,'UMUR 2021'!$BB$3:$BB$84,"="&amp;'DUN 2016'!AA4)+SUMIFS('UMUR 2021'!$BF$3:$BF$84,'UMUR 2021'!$BE$3:$BE$84,"="&amp;'DUN 2016'!AA4)</f>
        <v>76824</v>
      </c>
      <c r="AJ4" s="34">
        <f t="shared" ref="AJ4:AJ10" si="13">AI4/$AI$25</f>
        <v>0.10296232461330827</v>
      </c>
    </row>
    <row r="5" spans="1:36">
      <c r="A5" s="13" t="s">
        <v>12</v>
      </c>
      <c r="B5" s="14" t="s">
        <v>15</v>
      </c>
      <c r="C5" s="29" t="str">
        <f>IF('PRN 2016'!Q5&lt;&gt;"",'PRN 2016'!Q5,"")</f>
        <v>PBB</v>
      </c>
      <c r="D5" s="29" t="str">
        <f t="shared" si="1"/>
        <v>GPS</v>
      </c>
      <c r="E5" s="29" t="str">
        <f t="shared" si="2"/>
        <v>KERAJAAN</v>
      </c>
      <c r="I5" s="29" t="s">
        <v>240</v>
      </c>
      <c r="J5" s="29" t="s">
        <v>241</v>
      </c>
      <c r="K5" s="29" t="str">
        <f t="shared" si="3"/>
        <v>KERAJAAN</v>
      </c>
      <c r="O5" s="29" t="str">
        <f t="shared" si="4"/>
        <v>PDP</v>
      </c>
      <c r="P5" s="29" t="str">
        <f t="shared" si="4"/>
        <v>GPS</v>
      </c>
      <c r="Q5" s="15">
        <f>COUNTIF('PRN 2016'!$Q$3:$Q$84,'DUN 2016'!O5)+COUNTIF('PRN 2016'!$V$3:$V$84,'DUN 2016'!O5)+COUNTIF('PRN 2016'!$Z$3:$Z$84,'DUN 2016'!O5)+COUNTIF('PRN 2016'!$AD$3:$AD$84,'DUN 2016'!O5)+COUNTIF('PRN 2016'!$AH$3:$AH$84,'DUN 2016'!O5)</f>
        <v>5</v>
      </c>
      <c r="R5" s="29">
        <f t="shared" si="5"/>
        <v>3</v>
      </c>
      <c r="S5" s="34">
        <f t="shared" si="6"/>
        <v>0.6</v>
      </c>
      <c r="T5" s="33">
        <f>COUNTIFS('PRN 2016'!$Y$3:$Y$84,"&lt;12.50%",'PRN 2016'!$V$3:$V$84,"="&amp;O5)+COUNTIFS('PRN 2016'!$AC$3:$AC$84,"&lt;12.50%",'PRN 2016'!$Z$3:$Z$84,"="&amp;O5)+COUNTIFS('PRN 2016'!$AG$3:$AG$84,"&lt;12.50%",'PRN 2016'!$AD$3:$AD$84,"="&amp;O5)+COUNTIFS('PRN 2016'!$AK$3:$AK$84,"&lt;12.50%",'PRN 2016'!$AH$3:$AH$84,"="&amp;O5)</f>
        <v>0</v>
      </c>
      <c r="U5" s="34">
        <f t="shared" si="7"/>
        <v>0</v>
      </c>
      <c r="V5" s="29">
        <f>COUNTIF('PRN 2016'!$V$3:$V$84,"="&amp;'DUN 2016'!O5)</f>
        <v>2</v>
      </c>
      <c r="W5" s="34">
        <f t="shared" si="8"/>
        <v>2.4390243902439025E-2</v>
      </c>
      <c r="AA5" s="29" t="s">
        <v>252</v>
      </c>
      <c r="AB5" s="29">
        <f t="shared" si="0"/>
        <v>6</v>
      </c>
      <c r="AC5" s="29">
        <f>SUMIF($P$3:$P$19,AA5,$R$3:$R$19)</f>
        <v>6</v>
      </c>
      <c r="AD5" s="34">
        <f>AC5/AB5</f>
        <v>1</v>
      </c>
      <c r="AE5" s="29">
        <f t="shared" si="9"/>
        <v>0</v>
      </c>
      <c r="AF5" s="34">
        <f t="shared" si="10"/>
        <v>0</v>
      </c>
      <c r="AG5" s="29">
        <f t="shared" si="11"/>
        <v>0</v>
      </c>
      <c r="AH5" s="34">
        <f t="shared" si="12"/>
        <v>0</v>
      </c>
      <c r="AI5" s="33">
        <f>SUMIFS('UMUR 2021'!$AE$3:$AE$84,'UMUR 2021'!$AD$3:$AD$84,"="&amp;'DUN 2016'!AA5)+SUMIFS('UMUR 2021'!$AI$3:$AI$84,'UMUR 2021'!$AH$3:$AH$84,"="&amp;'DUN 2016'!AA5)+SUMIFS('UMUR 2021'!$AM$3:$AM$84,'UMUR 2021'!$AL$3:$AL$84,"="&amp;'DUN 2016'!AA5)+SUMIFS('UMUR 2021'!$AQ$3:$AQ$84,'UMUR 2021'!$AP$3:$AP$84,"="&amp;'DUN 2016'!AA5)+SUMIFS('UMUR 2021'!$AU$3:$AU$84,'UMUR 2021'!$AT$3:$AT$84,"="&amp;'DUN 2016'!AA5)+SUMIFS('UMUR 2021'!$AY$3:$AY$84,'UMUR 2021'!$AX$3:$AX$84,"="&amp;'DUN 2016'!AA5)+SUMIFS('UMUR 2021'!$BC$3:$BC$84,'UMUR 2021'!$BB$3:$BB$84,"="&amp;'DUN 2016'!AA5)+SUMIFS('UMUR 2021'!$BF$3:$BF$84,'UMUR 2021'!$BE$3:$BE$84,"="&amp;'DUN 2016'!AA5)</f>
        <v>139515</v>
      </c>
      <c r="AJ5" s="34">
        <f t="shared" si="13"/>
        <v>0.18698308755630669</v>
      </c>
    </row>
    <row r="6" spans="1:36">
      <c r="A6" s="13" t="s">
        <v>13</v>
      </c>
      <c r="B6" s="14" t="s">
        <v>16</v>
      </c>
      <c r="C6" s="29" t="str">
        <f>IF('PRN 2016'!Q6&lt;&gt;"",'PRN 2016'!Q6,"")</f>
        <v>PBB</v>
      </c>
      <c r="D6" s="29" t="str">
        <f t="shared" si="1"/>
        <v>GPS</v>
      </c>
      <c r="E6" s="29" t="str">
        <f t="shared" si="2"/>
        <v>KERAJAAN</v>
      </c>
      <c r="I6" s="29" t="s">
        <v>249</v>
      </c>
      <c r="J6" s="29" t="s">
        <v>241</v>
      </c>
      <c r="K6" s="29" t="str">
        <f t="shared" si="3"/>
        <v>KERAJAAN</v>
      </c>
      <c r="O6" s="29" t="str">
        <f t="shared" si="4"/>
        <v>PRS</v>
      </c>
      <c r="P6" s="29" t="str">
        <f t="shared" si="4"/>
        <v>GPS</v>
      </c>
      <c r="Q6" s="15">
        <f>COUNTIF('PRN 2016'!$Q$3:$Q$84,'DUN 2016'!O6)+COUNTIF('PRN 2016'!$V$3:$V$84,'DUN 2016'!O6)+COUNTIF('PRN 2016'!$Z$3:$Z$84,'DUN 2016'!O6)+COUNTIF('PRN 2016'!$AD$3:$AD$84,'DUN 2016'!O6)+COUNTIF('PRN 2016'!$AH$3:$AH$84,'DUN 2016'!O6)</f>
        <v>11</v>
      </c>
      <c r="R6" s="29">
        <f t="shared" si="5"/>
        <v>11</v>
      </c>
      <c r="S6" s="34">
        <f t="shared" si="6"/>
        <v>1</v>
      </c>
      <c r="T6" s="33">
        <f>COUNTIFS('PRN 2016'!$Y$3:$Y$84,"&lt;12.50%",'PRN 2016'!$V$3:$V$84,"="&amp;O6)+COUNTIFS('PRN 2016'!$AC$3:$AC$84,"&lt;12.50%",'PRN 2016'!$Z$3:$Z$84,"="&amp;O6)+COUNTIFS('PRN 2016'!$AG$3:$AG$84,"&lt;12.50%",'PRN 2016'!$AD$3:$AD$84,"="&amp;O6)+COUNTIFS('PRN 2016'!$AK$3:$AK$84,"&lt;12.50%",'PRN 2016'!$AH$3:$AH$84,"="&amp;O6)</f>
        <v>0</v>
      </c>
      <c r="U6" s="34">
        <f t="shared" si="7"/>
        <v>0</v>
      </c>
      <c r="V6" s="29">
        <f>COUNTIF('PRN 2016'!$V$3:$V$84,"="&amp;'DUN 2016'!O6)</f>
        <v>0</v>
      </c>
      <c r="W6" s="34">
        <f t="shared" si="8"/>
        <v>0</v>
      </c>
      <c r="AA6" s="29" t="s">
        <v>279</v>
      </c>
      <c r="AB6" s="29">
        <f t="shared" si="0"/>
        <v>0</v>
      </c>
      <c r="AC6" s="29">
        <f t="shared" ref="AC6" si="14">SUMIF($P$3:$P$19,AA6,$R$3:$R$19)</f>
        <v>0</v>
      </c>
      <c r="AD6" s="34" t="e">
        <f>AC6/AB6</f>
        <v>#DIV/0!</v>
      </c>
      <c r="AE6" s="29">
        <f t="shared" si="9"/>
        <v>0</v>
      </c>
      <c r="AF6" s="34" t="e">
        <f t="shared" si="10"/>
        <v>#DIV/0!</v>
      </c>
      <c r="AG6" s="29">
        <f t="shared" si="11"/>
        <v>0</v>
      </c>
      <c r="AH6" s="34">
        <f t="shared" si="12"/>
        <v>0</v>
      </c>
      <c r="AI6" s="33">
        <f>SUMIFS('UMUR 2021'!$AE$3:$AE$84,'UMUR 2021'!$AD$3:$AD$84,"="&amp;'DUN 2016'!AA6)+SUMIFS('UMUR 2021'!$AI$3:$AI$84,'UMUR 2021'!$AH$3:$AH$84,"="&amp;'DUN 2016'!AA6)+SUMIFS('UMUR 2021'!$AM$3:$AM$84,'UMUR 2021'!$AL$3:$AL$84,"="&amp;'DUN 2016'!AA6)+SUMIFS('UMUR 2021'!$AQ$3:$AQ$84,'UMUR 2021'!$AP$3:$AP$84,"="&amp;'DUN 2016'!AA6)+SUMIFS('UMUR 2021'!$AU$3:$AU$84,'UMUR 2021'!$AT$3:$AT$84,"="&amp;'DUN 2016'!AA6)+SUMIFS('UMUR 2021'!$AY$3:$AY$84,'UMUR 2021'!$AX$3:$AX$84,"="&amp;'DUN 2016'!AA6)+SUMIFS('UMUR 2021'!$BC$3:$BC$84,'UMUR 2021'!$BB$3:$BB$84,"="&amp;'DUN 2016'!AA6)+SUMIFS('UMUR 2021'!$BF$3:$BF$84,'UMUR 2021'!$BE$3:$BE$84,"="&amp;'DUN 2016'!AA6)</f>
        <v>48625</v>
      </c>
      <c r="AJ6" s="34">
        <f t="shared" si="13"/>
        <v>6.5168997114470939E-2</v>
      </c>
    </row>
    <row r="7" spans="1:36">
      <c r="A7" s="13" t="s">
        <v>14</v>
      </c>
      <c r="B7" s="14" t="s">
        <v>17</v>
      </c>
      <c r="C7" s="29" t="str">
        <f>IF('PRN 2016'!Q7&lt;&gt;"",'PRN 2016'!Q7,"")</f>
        <v>PBB</v>
      </c>
      <c r="D7" s="29" t="str">
        <f t="shared" si="1"/>
        <v>GPS</v>
      </c>
      <c r="E7" s="29" t="str">
        <f t="shared" si="2"/>
        <v>KERAJAAN</v>
      </c>
      <c r="I7" s="29" t="s">
        <v>244</v>
      </c>
      <c r="J7" s="29" t="s">
        <v>245</v>
      </c>
      <c r="K7" s="29" t="str">
        <f t="shared" si="3"/>
        <v>PEMBANGKANG</v>
      </c>
      <c r="O7" s="29" t="str">
        <f t="shared" si="4"/>
        <v>DAP</v>
      </c>
      <c r="P7" s="29" t="str">
        <f t="shared" si="4"/>
        <v>PH</v>
      </c>
      <c r="Q7" s="15">
        <f>COUNTIF('PRN 2016'!$Q$3:$Q$84,'DUN 2016'!O7)+COUNTIF('PRN 2016'!$V$3:$V$84,'DUN 2016'!O7)+COUNTIF('PRN 2016'!$Z$3:$Z$84,'DUN 2016'!O7)+COUNTIF('PRN 2016'!$AD$3:$AD$84,'DUN 2016'!O7)+COUNTIF('PRN 2016'!$AH$3:$AH$84,'DUN 2016'!O7)</f>
        <v>31</v>
      </c>
      <c r="R7" s="29">
        <f t="shared" si="5"/>
        <v>7</v>
      </c>
      <c r="S7" s="34">
        <f t="shared" si="6"/>
        <v>0.22580645161290322</v>
      </c>
      <c r="T7" s="33">
        <f>COUNTIFS('PRN 2016'!$Y$3:$Y$84,"&lt;12.50%",'PRN 2016'!$V$3:$V$84,"="&amp;O7)+COUNTIFS('PRN 2016'!$AC$3:$AC$84,"&lt;12.50%",'PRN 2016'!$Z$3:$Z$84,"="&amp;O7)+COUNTIFS('PRN 2016'!$AG$3:$AG$84,"&lt;12.50%",'PRN 2016'!$AD$3:$AD$84,"="&amp;O7)+COUNTIFS('PRN 2016'!$AK$3:$AK$84,"&lt;12.50%",'PRN 2016'!$AH$3:$AH$84,"="&amp;O7)</f>
        <v>7</v>
      </c>
      <c r="U7" s="34">
        <f t="shared" si="7"/>
        <v>0.22580645161290322</v>
      </c>
      <c r="V7" s="29">
        <f>COUNTIF('PRN 2016'!$V$3:$V$84,"="&amp;'DUN 2016'!O7)</f>
        <v>19</v>
      </c>
      <c r="W7" s="34">
        <f t="shared" si="8"/>
        <v>0.23170731707317074</v>
      </c>
      <c r="AA7" s="29" t="s">
        <v>246</v>
      </c>
      <c r="AB7" s="29">
        <f t="shared" si="0"/>
        <v>11</v>
      </c>
      <c r="AC7" s="29">
        <f>SUMIF($P$3:$P$19,AA7,$R$3:$R$19)</f>
        <v>1</v>
      </c>
      <c r="AD7" s="34">
        <f>AC7/AB7</f>
        <v>9.0909090909090912E-2</v>
      </c>
      <c r="AE7" s="29">
        <f t="shared" si="9"/>
        <v>7</v>
      </c>
      <c r="AF7" s="34">
        <f t="shared" si="10"/>
        <v>0.63636363636363635</v>
      </c>
      <c r="AG7" s="29">
        <f t="shared" si="11"/>
        <v>5</v>
      </c>
      <c r="AH7" s="34">
        <f t="shared" si="12"/>
        <v>6.097560975609756E-2</v>
      </c>
      <c r="AI7" s="33">
        <f>SUMIFS('UMUR 2021'!$AE$3:$AE$84,'UMUR 2021'!$AD$3:$AD$84,"="&amp;'DUN 2016'!AA7)+SUMIFS('UMUR 2021'!$AI$3:$AI$84,'UMUR 2021'!$AH$3:$AH$84,"="&amp;'DUN 2016'!AA7)+SUMIFS('UMUR 2021'!$AM$3:$AM$84,'UMUR 2021'!$AL$3:$AL$84,"="&amp;'DUN 2016'!AA7)+SUMIFS('UMUR 2021'!$AQ$3:$AQ$84,'UMUR 2021'!$AP$3:$AP$84,"="&amp;'DUN 2016'!AA7)+SUMIFS('UMUR 2021'!$AU$3:$AU$84,'UMUR 2021'!$AT$3:$AT$84,"="&amp;'DUN 2016'!AA7)+SUMIFS('UMUR 2021'!$AY$3:$AY$84,'UMUR 2021'!$AX$3:$AX$84,"="&amp;'DUN 2016'!AA7)+SUMIFS('UMUR 2021'!$BC$3:$BC$84,'UMUR 2021'!$BB$3:$BB$84,"="&amp;'DUN 2016'!AA7)+SUMIFS('UMUR 2021'!$BF$3:$BF$84,'UMUR 2021'!$BE$3:$BE$84,"="&amp;'DUN 2016'!AA7)</f>
        <v>2058</v>
      </c>
      <c r="AJ7" s="34">
        <f t="shared" si="13"/>
        <v>2.7582066028088675E-3</v>
      </c>
    </row>
    <row r="8" spans="1:36">
      <c r="A8" s="13" t="s">
        <v>20</v>
      </c>
      <c r="B8" s="14" t="s">
        <v>23</v>
      </c>
      <c r="C8" s="29" t="str">
        <f>IF('PRN 2016'!Q8&lt;&gt;"",'PRN 2016'!Q8,"")</f>
        <v>PBB</v>
      </c>
      <c r="D8" s="29" t="str">
        <f t="shared" si="1"/>
        <v>GPS</v>
      </c>
      <c r="E8" s="29" t="str">
        <f t="shared" si="2"/>
        <v>KERAJAAN</v>
      </c>
      <c r="I8" s="29" t="s">
        <v>253</v>
      </c>
      <c r="J8" s="29" t="s">
        <v>245</v>
      </c>
      <c r="K8" s="29" t="str">
        <f t="shared" si="3"/>
        <v>PEMBANGKANG</v>
      </c>
      <c r="O8" s="29" t="str">
        <f t="shared" si="4"/>
        <v>PKR</v>
      </c>
      <c r="P8" s="29" t="str">
        <f t="shared" si="4"/>
        <v>PH</v>
      </c>
      <c r="Q8" s="15">
        <f>COUNTIF('PRN 2016'!$Q$3:$Q$84,'DUN 2016'!O8)+COUNTIF('PRN 2016'!$V$3:$V$84,'DUN 2016'!O8)+COUNTIF('PRN 2016'!$Z$3:$Z$84,'DUN 2016'!O8)+COUNTIF('PRN 2016'!$AD$3:$AD$84,'DUN 2016'!O8)+COUNTIF('PRN 2016'!$AH$3:$AH$84,'DUN 2016'!O8)</f>
        <v>38</v>
      </c>
      <c r="R8" s="29">
        <f t="shared" si="5"/>
        <v>0</v>
      </c>
      <c r="S8" s="34">
        <f t="shared" si="6"/>
        <v>0</v>
      </c>
      <c r="T8" s="33">
        <f>COUNTIFS('PRN 2016'!$Y$3:$Y$84,"&lt;12.50%",'PRN 2016'!$V$3:$V$84,"="&amp;O8)+COUNTIFS('PRN 2016'!$AC$3:$AC$84,"&lt;12.50%",'PRN 2016'!$Z$3:$Z$84,"="&amp;O8)+COUNTIFS('PRN 2016'!$AG$3:$AG$84,"&lt;12.50%",'PRN 2016'!$AD$3:$AD$84,"="&amp;O8)+COUNTIFS('PRN 2016'!$AK$3:$AK$84,"&lt;12.50%",'PRN 2016'!$AH$3:$AH$84,"="&amp;O8)</f>
        <v>10</v>
      </c>
      <c r="U8" s="34">
        <f t="shared" si="7"/>
        <v>0.26315789473684209</v>
      </c>
      <c r="V8" s="29">
        <f>COUNTIF('PRN 2016'!$V$3:$V$84,"="&amp;'DUN 2016'!O8)</f>
        <v>27</v>
      </c>
      <c r="W8" s="34">
        <f t="shared" si="8"/>
        <v>0.32926829268292684</v>
      </c>
      <c r="AA8" s="29" t="s">
        <v>305</v>
      </c>
      <c r="AB8" s="29">
        <f t="shared" si="0"/>
        <v>0</v>
      </c>
      <c r="AC8" s="29">
        <f>SUMIF($P$3:$P$19,AA8,$R$3:$R$19)</f>
        <v>0</v>
      </c>
      <c r="AD8" s="34" t="e">
        <f t="shared" ref="AD8:AD9" si="15">AC8/AB8</f>
        <v>#DIV/0!</v>
      </c>
      <c r="AE8" s="29">
        <f t="shared" si="9"/>
        <v>0</v>
      </c>
      <c r="AF8" s="34" t="e">
        <f t="shared" si="10"/>
        <v>#DIV/0!</v>
      </c>
      <c r="AG8" s="29">
        <f t="shared" si="11"/>
        <v>0</v>
      </c>
      <c r="AH8" s="34">
        <f t="shared" si="12"/>
        <v>0</v>
      </c>
      <c r="AI8" s="33">
        <f>SUMIFS('UMUR 2021'!$AE$3:$AE$84,'UMUR 2021'!$AD$3:$AD$84,"="&amp;'DUN 2016'!AA8)+SUMIFS('UMUR 2021'!$AI$3:$AI$84,'UMUR 2021'!$AH$3:$AH$84,"="&amp;'DUN 2016'!AA8)+SUMIFS('UMUR 2021'!$AM$3:$AM$84,'UMUR 2021'!$AL$3:$AL$84,"="&amp;'DUN 2016'!AA8)+SUMIFS('UMUR 2021'!$AQ$3:$AQ$84,'UMUR 2021'!$AP$3:$AP$84,"="&amp;'DUN 2016'!AA8)+SUMIFS('UMUR 2021'!$AU$3:$AU$84,'UMUR 2021'!$AT$3:$AT$84,"="&amp;'DUN 2016'!AA8)+SUMIFS('UMUR 2021'!$AY$3:$AY$84,'UMUR 2021'!$AX$3:$AX$84,"="&amp;'DUN 2016'!AA8)+SUMIFS('UMUR 2021'!$BC$3:$BC$84,'UMUR 2021'!$BB$3:$BB$84,"="&amp;'DUN 2016'!AA8)+SUMIFS('UMUR 2021'!$BF$3:$BF$84,'UMUR 2021'!$BE$3:$BE$84,"="&amp;'DUN 2016'!AA8)</f>
        <v>0</v>
      </c>
      <c r="AJ8" s="34">
        <f t="shared" si="13"/>
        <v>0</v>
      </c>
    </row>
    <row r="9" spans="1:36">
      <c r="A9" s="13" t="s">
        <v>21</v>
      </c>
      <c r="B9" s="14" t="s">
        <v>24</v>
      </c>
      <c r="C9" s="29" t="str">
        <f>IF('PRN 2016'!Q9&lt;&gt;"",'PRN 2016'!Q9,"")</f>
        <v>PBB</v>
      </c>
      <c r="D9" s="29" t="str">
        <f t="shared" si="1"/>
        <v>GPS</v>
      </c>
      <c r="E9" s="29" t="str">
        <f t="shared" si="2"/>
        <v>KERAJAAN</v>
      </c>
      <c r="I9" s="29" t="s">
        <v>254</v>
      </c>
      <c r="J9" s="29" t="s">
        <v>245</v>
      </c>
      <c r="K9" s="29" t="str">
        <f t="shared" si="3"/>
        <v>PEMBANGKANG</v>
      </c>
      <c r="O9" s="29" t="str">
        <f t="shared" si="4"/>
        <v>AMANAH</v>
      </c>
      <c r="P9" s="29" t="str">
        <f t="shared" si="4"/>
        <v>PH</v>
      </c>
      <c r="Q9" s="15">
        <f>COUNTIF('PRN 2016'!$Q$3:$Q$84,'DUN 2016'!O9)+COUNTIF('PRN 2016'!$V$3:$V$84,'DUN 2016'!O9)+COUNTIF('PRN 2016'!$Z$3:$Z$84,'DUN 2016'!O9)+COUNTIF('PRN 2016'!$AD$3:$AD$84,'DUN 2016'!O9)+COUNTIF('PRN 2016'!$AH$3:$AH$84,'DUN 2016'!O9)</f>
        <v>13</v>
      </c>
      <c r="R9" s="29">
        <f t="shared" si="5"/>
        <v>0</v>
      </c>
      <c r="S9" s="34">
        <f t="shared" si="6"/>
        <v>0</v>
      </c>
      <c r="T9" s="33">
        <f>COUNTIFS('PRN 2016'!$Y$3:$Y$84,"&lt;12.50%",'PRN 2016'!$V$3:$V$84,"="&amp;O9)+COUNTIFS('PRN 2016'!$AC$3:$AC$84,"&lt;12.50%",'PRN 2016'!$Z$3:$Z$84,"="&amp;O9)+COUNTIFS('PRN 2016'!$AG$3:$AG$84,"&lt;12.50%",'PRN 2016'!$AD$3:$AD$84,"="&amp;O9)+COUNTIFS('PRN 2016'!$AK$3:$AK$84,"&lt;12.50%",'PRN 2016'!$AH$3:$AH$84,"="&amp;O9)</f>
        <v>9</v>
      </c>
      <c r="U9" s="34">
        <f t="shared" si="7"/>
        <v>0.69230769230769229</v>
      </c>
      <c r="V9" s="29">
        <f>COUNTIF('PRN 2016'!$V$3:$V$84,"="&amp;'DUN 2016'!O9)</f>
        <v>7</v>
      </c>
      <c r="W9" s="34">
        <f t="shared" si="8"/>
        <v>8.5365853658536592E-2</v>
      </c>
      <c r="AA9" s="29" t="s">
        <v>306</v>
      </c>
      <c r="AB9" s="29">
        <f t="shared" si="0"/>
        <v>0</v>
      </c>
      <c r="AC9" s="29">
        <f>SUMIF($P$3:$P$19,AA9,$R$3:$R$19)</f>
        <v>0</v>
      </c>
      <c r="AD9" s="34" t="e">
        <f t="shared" si="15"/>
        <v>#DIV/0!</v>
      </c>
      <c r="AE9" s="29">
        <f t="shared" si="9"/>
        <v>0</v>
      </c>
      <c r="AF9" s="34" t="e">
        <f t="shared" si="10"/>
        <v>#DIV/0!</v>
      </c>
      <c r="AG9" s="29">
        <f t="shared" si="11"/>
        <v>0</v>
      </c>
      <c r="AH9" s="34">
        <f t="shared" si="12"/>
        <v>0</v>
      </c>
      <c r="AI9" s="33">
        <f>SUMIFS('UMUR 2021'!$AE$3:$AE$84,'UMUR 2021'!$AD$3:$AD$84,"="&amp;'DUN 2016'!AA9)+SUMIFS('UMUR 2021'!$AI$3:$AI$84,'UMUR 2021'!$AH$3:$AH$84,"="&amp;'DUN 2016'!AA9)+SUMIFS('UMUR 2021'!$AM$3:$AM$84,'UMUR 2021'!$AL$3:$AL$84,"="&amp;'DUN 2016'!AA9)+SUMIFS('UMUR 2021'!$AQ$3:$AQ$84,'UMUR 2021'!$AP$3:$AP$84,"="&amp;'DUN 2016'!AA9)+SUMIFS('UMUR 2021'!$AU$3:$AU$84,'UMUR 2021'!$AT$3:$AT$84,"="&amp;'DUN 2016'!AA9)+SUMIFS('UMUR 2021'!$AY$3:$AY$84,'UMUR 2021'!$AX$3:$AX$84,"="&amp;'DUN 2016'!AA9)+SUMIFS('UMUR 2021'!$BC$3:$BC$84,'UMUR 2021'!$BB$3:$BB$84,"="&amp;'DUN 2016'!AA9)+SUMIFS('UMUR 2021'!$BF$3:$BF$84,'UMUR 2021'!$BE$3:$BE$84,"="&amp;'DUN 2016'!AA9)</f>
        <v>0</v>
      </c>
      <c r="AJ9" s="34">
        <f t="shared" si="13"/>
        <v>0</v>
      </c>
    </row>
    <row r="10" spans="1:36">
      <c r="A10" s="13" t="s">
        <v>22</v>
      </c>
      <c r="B10" s="14" t="s">
        <v>25</v>
      </c>
      <c r="C10" s="29" t="str">
        <f>IF('PRN 2016'!Q10&lt;&gt;"",'PRN 2016'!Q10,"")</f>
        <v>PBB</v>
      </c>
      <c r="D10" s="29" t="str">
        <f t="shared" si="1"/>
        <v>GPS</v>
      </c>
      <c r="E10" s="29" t="str">
        <f t="shared" si="2"/>
        <v>KERAJAAN</v>
      </c>
      <c r="I10" s="29" t="s">
        <v>252</v>
      </c>
      <c r="J10" s="29" t="s">
        <v>252</v>
      </c>
      <c r="K10" s="29" t="str">
        <f t="shared" si="3"/>
        <v>PEMBANGKANG</v>
      </c>
      <c r="O10" s="29" t="str">
        <f t="shared" si="4"/>
        <v>PSB</v>
      </c>
      <c r="P10" s="29" t="str">
        <f t="shared" si="4"/>
        <v>PSB</v>
      </c>
      <c r="Q10" s="15">
        <f>COUNTIF('PRN 2016'!$Q$3:$Q$84,'DUN 2016'!O10)+COUNTIF('PRN 2016'!$V$3:$V$84,'DUN 2016'!O10)+COUNTIF('PRN 2016'!$Z$3:$Z$84,'DUN 2016'!O10)+COUNTIF('PRN 2016'!$AD$3:$AD$84,'DUN 2016'!O10)+COUNTIF('PRN 2016'!$AH$3:$AH$84,'DUN 2016'!O10)</f>
        <v>6</v>
      </c>
      <c r="R10" s="29">
        <f t="shared" si="5"/>
        <v>6</v>
      </c>
      <c r="S10" s="34">
        <f t="shared" si="6"/>
        <v>1</v>
      </c>
      <c r="T10" s="33">
        <f>COUNTIFS('PRN 2016'!$Y$3:$Y$84,"&lt;12.50%",'PRN 2016'!$V$3:$V$84,"="&amp;O10)+COUNTIFS('PRN 2016'!$AC$3:$AC$84,"&lt;12.50%",'PRN 2016'!$Z$3:$Z$84,"="&amp;O10)+COUNTIFS('PRN 2016'!$AG$3:$AG$84,"&lt;12.50%",'PRN 2016'!$AD$3:$AD$84,"="&amp;O10)+COUNTIFS('PRN 2016'!$AK$3:$AK$84,"&lt;12.50%",'PRN 2016'!$AH$3:$AH$84,"="&amp;O10)</f>
        <v>0</v>
      </c>
      <c r="U10" s="34">
        <f t="shared" si="7"/>
        <v>0</v>
      </c>
      <c r="V10" s="29">
        <f>COUNTIF('PRN 2016'!$V$3:$V$84,"="&amp;'DUN 2016'!O10)</f>
        <v>0</v>
      </c>
      <c r="W10" s="34">
        <f t="shared" si="8"/>
        <v>0</v>
      </c>
      <c r="AA10" s="29" t="s">
        <v>251</v>
      </c>
      <c r="AB10" s="29">
        <f t="shared" si="0"/>
        <v>37</v>
      </c>
      <c r="AC10" s="29">
        <f>SUMIF($P$3:$P$19,AA10,$R$3:$R$19)</f>
        <v>0</v>
      </c>
      <c r="AD10" s="34">
        <f>AC10/AB10</f>
        <v>0</v>
      </c>
      <c r="AE10" s="29">
        <f t="shared" si="9"/>
        <v>21</v>
      </c>
      <c r="AF10" s="34">
        <f t="shared" si="10"/>
        <v>0.56756756756756754</v>
      </c>
      <c r="AG10" s="29">
        <f t="shared" si="11"/>
        <v>12</v>
      </c>
      <c r="AH10" s="34">
        <f t="shared" si="12"/>
        <v>0.14634146341463414</v>
      </c>
      <c r="AI10" s="33">
        <f>SUMIFS('UMUR 2021'!$AE$3:$AE$84,'UMUR 2021'!$AD$3:$AD$84,"="&amp;'DUN 2016'!AA10)+SUMIFS('UMUR 2021'!$AI$3:$AI$84,'UMUR 2021'!$AH$3:$AH$84,"="&amp;'DUN 2016'!AA10)+SUMIFS('UMUR 2021'!$AM$3:$AM$84,'UMUR 2021'!$AL$3:$AL$84,"="&amp;'DUN 2016'!AA10)+SUMIFS('UMUR 2021'!$AQ$3:$AQ$84,'UMUR 2021'!$AP$3:$AP$84,"="&amp;'DUN 2016'!AA10)+SUMIFS('UMUR 2021'!$AU$3:$AU$84,'UMUR 2021'!$AT$3:$AT$84,"="&amp;'DUN 2016'!AA10)+SUMIFS('UMUR 2021'!$AY$3:$AY$84,'UMUR 2021'!$AX$3:$AX$84,"="&amp;'DUN 2016'!AA10)+SUMIFS('UMUR 2021'!$BC$3:$BC$84,'UMUR 2021'!$BB$3:$BB$84,"="&amp;'DUN 2016'!AA10)+SUMIFS('UMUR 2021'!$BF$3:$BF$84,'UMUR 2021'!$BE$3:$BE$84,"="&amp;'DUN 2016'!AA10)</f>
        <v>21882</v>
      </c>
      <c r="AJ10" s="34">
        <f t="shared" si="13"/>
        <v>2.9327053878845304E-2</v>
      </c>
    </row>
    <row r="11" spans="1:36">
      <c r="A11" s="13" t="s">
        <v>28</v>
      </c>
      <c r="B11" s="14" t="s">
        <v>31</v>
      </c>
      <c r="C11" s="29" t="str">
        <f>IF('PRN 2016'!Q11&lt;&gt;"",'PRN 2016'!Q11,"")</f>
        <v>DAP</v>
      </c>
      <c r="D11" s="29" t="str">
        <f t="shared" si="1"/>
        <v>PH</v>
      </c>
      <c r="E11" s="29" t="str">
        <f t="shared" si="2"/>
        <v>PEMBANGKANG</v>
      </c>
      <c r="I11" s="29" t="s">
        <v>301</v>
      </c>
      <c r="J11" s="29" t="s">
        <v>279</v>
      </c>
      <c r="K11" s="29" t="str">
        <f t="shared" si="3"/>
        <v>PEMBANGKANG</v>
      </c>
      <c r="O11" s="29" t="str">
        <f t="shared" si="4"/>
        <v>PBK</v>
      </c>
      <c r="P11" s="29" t="str">
        <f t="shared" si="4"/>
        <v>LAIN-LAIN</v>
      </c>
      <c r="Q11" s="15">
        <f>COUNTIF('PRN 2016'!$Q$3:$Q$84,'DUN 2016'!O11)+COUNTIF('PRN 2016'!$V$3:$V$84,'DUN 2016'!O11)+COUNTIF('PRN 2016'!$Z$3:$Z$84,'DUN 2016'!O11)+COUNTIF('PRN 2016'!$AD$3:$AD$84,'DUN 2016'!O11)+COUNTIF('PRN 2016'!$AH$3:$AH$84,'DUN 2016'!O11)</f>
        <v>0</v>
      </c>
      <c r="R11" s="29">
        <f t="shared" si="5"/>
        <v>0</v>
      </c>
      <c r="S11" s="34" t="e">
        <f t="shared" si="6"/>
        <v>#DIV/0!</v>
      </c>
      <c r="T11" s="33">
        <f>COUNTIFS('PRN 2016'!$Y$3:$Y$84,"&lt;12.50%",'PRN 2016'!$V$3:$V$84,"="&amp;O11)+COUNTIFS('PRN 2016'!$AC$3:$AC$84,"&lt;12.50%",'PRN 2016'!$Z$3:$Z$84,"="&amp;O11)+COUNTIFS('PRN 2016'!$AG$3:$AG$84,"&lt;12.50%",'PRN 2016'!$AD$3:$AD$84,"="&amp;O11)+COUNTIFS('PRN 2016'!$AK$3:$AK$84,"&lt;12.50%",'PRN 2016'!$AH$3:$AH$84,"="&amp;O11)</f>
        <v>0</v>
      </c>
      <c r="U11" s="34" t="e">
        <f t="shared" si="7"/>
        <v>#DIV/0!</v>
      </c>
      <c r="V11" s="29">
        <f>COUNTIF('PRN 2016'!$V$3:$V$84,"="&amp;'DUN 2016'!O11)</f>
        <v>0</v>
      </c>
      <c r="W11" s="34">
        <f t="shared" si="8"/>
        <v>0</v>
      </c>
      <c r="AG11" s="56"/>
    </row>
    <row r="12" spans="1:36">
      <c r="A12" s="13" t="s">
        <v>29</v>
      </c>
      <c r="B12" s="14" t="s">
        <v>32</v>
      </c>
      <c r="C12" s="29" t="str">
        <f>IF('PRN 2016'!Q12&lt;&gt;"",'PRN 2016'!Q12,"")</f>
        <v>DAP</v>
      </c>
      <c r="D12" s="29" t="str">
        <f t="shared" si="1"/>
        <v>PH</v>
      </c>
      <c r="E12" s="29" t="str">
        <f t="shared" si="2"/>
        <v>PEMBANGKANG</v>
      </c>
      <c r="I12" s="29" t="s">
        <v>302</v>
      </c>
      <c r="J12" s="29" t="s">
        <v>279</v>
      </c>
      <c r="K12" s="29" t="str">
        <f t="shared" si="3"/>
        <v>PEMBANGKANG</v>
      </c>
      <c r="O12" s="29" t="str">
        <f t="shared" si="4"/>
        <v>ASPIRASI</v>
      </c>
      <c r="P12" s="29" t="str">
        <f t="shared" si="4"/>
        <v>LAIN-LAIN</v>
      </c>
      <c r="Q12" s="15">
        <f>COUNTIF('PRN 2016'!$Q$3:$Q$84,'DUN 2016'!O12)+COUNTIF('PRN 2016'!$V$3:$V$84,'DUN 2016'!O12)+COUNTIF('PRN 2016'!$Z$3:$Z$84,'DUN 2016'!O12)+COUNTIF('PRN 2016'!$AD$3:$AD$84,'DUN 2016'!O12)+COUNTIF('PRN 2016'!$AH$3:$AH$84,'DUN 2016'!O12)</f>
        <v>0</v>
      </c>
      <c r="R12" s="29">
        <f t="shared" si="5"/>
        <v>0</v>
      </c>
      <c r="S12" s="34" t="e">
        <f t="shared" si="6"/>
        <v>#DIV/0!</v>
      </c>
      <c r="T12" s="33">
        <f>COUNTIFS('PRN 2016'!$Y$3:$Y$84,"&lt;12.50%",'PRN 2016'!$V$3:$V$84,"="&amp;O12)+COUNTIFS('PRN 2016'!$AC$3:$AC$84,"&lt;12.50%",'PRN 2016'!$Z$3:$Z$84,"="&amp;O12)+COUNTIFS('PRN 2016'!$AG$3:$AG$84,"&lt;12.50%",'PRN 2016'!$AD$3:$AD$84,"="&amp;O12)+COUNTIFS('PRN 2016'!$AK$3:$AK$84,"&lt;12.50%",'PRN 2016'!$AH$3:$AH$84,"="&amp;O12)</f>
        <v>0</v>
      </c>
      <c r="U12" s="34" t="e">
        <f t="shared" si="7"/>
        <v>#DIV/0!</v>
      </c>
      <c r="V12" s="29">
        <f>COUNTIF('PRN 2016'!$V$3:$V$84,"="&amp;'DUN 2016'!O12)</f>
        <v>0</v>
      </c>
      <c r="W12" s="34">
        <f t="shared" si="8"/>
        <v>0</v>
      </c>
    </row>
    <row r="13" spans="1:36">
      <c r="A13" s="13" t="s">
        <v>30</v>
      </c>
      <c r="B13" s="14" t="s">
        <v>33</v>
      </c>
      <c r="C13" s="29" t="str">
        <f>IF('PRN 2016'!Q13&lt;&gt;"",'PRN 2016'!Q13,"")</f>
        <v>PSB</v>
      </c>
      <c r="D13" s="29" t="str">
        <f t="shared" si="1"/>
        <v>PSB</v>
      </c>
      <c r="E13" s="29" t="str">
        <f t="shared" si="2"/>
        <v>PEMBANGKANG</v>
      </c>
      <c r="I13" s="29" t="s">
        <v>303</v>
      </c>
      <c r="J13" s="29" t="s">
        <v>279</v>
      </c>
      <c r="K13" s="29" t="str">
        <f t="shared" si="3"/>
        <v>PEMBANGKANG</v>
      </c>
      <c r="O13" s="29" t="str">
        <f t="shared" si="4"/>
        <v>PBDSB</v>
      </c>
      <c r="P13" s="29" t="str">
        <f t="shared" si="4"/>
        <v>LAIN-LAIN</v>
      </c>
      <c r="Q13" s="15">
        <f>COUNTIF('PRN 2016'!$Q$3:$Q$84,'DUN 2016'!O13)+COUNTIF('PRN 2016'!$V$3:$V$84,'DUN 2016'!O13)+COUNTIF('PRN 2016'!$Z$3:$Z$84,'DUN 2016'!O13)+COUNTIF('PRN 2016'!$AD$3:$AD$84,'DUN 2016'!O13)+COUNTIF('PRN 2016'!$AH$3:$AH$84,'DUN 2016'!O13)</f>
        <v>0</v>
      </c>
      <c r="R13" s="29">
        <f t="shared" si="5"/>
        <v>0</v>
      </c>
      <c r="S13" s="34" t="e">
        <f t="shared" si="6"/>
        <v>#DIV/0!</v>
      </c>
      <c r="T13" s="33">
        <f>COUNTIFS('PRN 2016'!$Y$3:$Y$84,"&lt;12.50%",'PRN 2016'!$V$3:$V$84,"="&amp;O13)+COUNTIFS('PRN 2016'!$AC$3:$AC$84,"&lt;12.50%",'PRN 2016'!$Z$3:$Z$84,"="&amp;O13)+COUNTIFS('PRN 2016'!$AG$3:$AG$84,"&lt;12.50%",'PRN 2016'!$AD$3:$AD$84,"="&amp;O13)+COUNTIFS('PRN 2016'!$AK$3:$AK$84,"&lt;12.50%",'PRN 2016'!$AH$3:$AH$84,"="&amp;O13)</f>
        <v>0</v>
      </c>
      <c r="U13" s="34" t="e">
        <f t="shared" si="7"/>
        <v>#DIV/0!</v>
      </c>
      <c r="V13" s="29">
        <f>COUNTIF('PRN 2016'!$V$3:$V$84,"="&amp;'DUN 2016'!O13)</f>
        <v>0</v>
      </c>
      <c r="W13" s="34">
        <f t="shared" si="8"/>
        <v>0</v>
      </c>
    </row>
    <row r="14" spans="1:36">
      <c r="A14" s="13" t="s">
        <v>36</v>
      </c>
      <c r="B14" s="14" t="s">
        <v>39</v>
      </c>
      <c r="C14" s="29" t="str">
        <f>IF('PRN 2016'!Q14&lt;&gt;"",'PRN 2016'!Q14,"")</f>
        <v>DAP</v>
      </c>
      <c r="D14" s="29" t="str">
        <f t="shared" si="1"/>
        <v>PH</v>
      </c>
      <c r="E14" s="29" t="str">
        <f t="shared" si="2"/>
        <v>PEMBANGKANG</v>
      </c>
      <c r="I14" s="29" t="s">
        <v>304</v>
      </c>
      <c r="J14" s="29" t="s">
        <v>279</v>
      </c>
      <c r="K14" s="29" t="str">
        <f t="shared" si="3"/>
        <v>PEMBANGKANG</v>
      </c>
      <c r="O14" s="29" t="str">
        <f t="shared" si="4"/>
        <v>SEDAR</v>
      </c>
      <c r="P14" s="29" t="str">
        <f t="shared" si="4"/>
        <v>LAIN-LAIN</v>
      </c>
      <c r="Q14" s="15">
        <f>COUNTIF('PRN 2016'!$Q$3:$Q$84,'DUN 2016'!O14)+COUNTIF('PRN 2016'!$V$3:$V$84,'DUN 2016'!O14)+COUNTIF('PRN 2016'!$Z$3:$Z$84,'DUN 2016'!O14)+COUNTIF('PRN 2016'!$AD$3:$AD$84,'DUN 2016'!O14)+COUNTIF('PRN 2016'!$AH$3:$AH$84,'DUN 2016'!O14)</f>
        <v>0</v>
      </c>
      <c r="R14" s="29">
        <f t="shared" si="5"/>
        <v>0</v>
      </c>
      <c r="S14" s="34" t="e">
        <f t="shared" si="6"/>
        <v>#DIV/0!</v>
      </c>
      <c r="T14" s="33">
        <f>COUNTIFS('PRN 2016'!$Y$3:$Y$84,"&lt;12.50%",'PRN 2016'!$V$3:$V$84,"="&amp;O14)+COUNTIFS('PRN 2016'!$AC$3:$AC$84,"&lt;12.50%",'PRN 2016'!$Z$3:$Z$84,"="&amp;O14)+COUNTIFS('PRN 2016'!$AG$3:$AG$84,"&lt;12.50%",'PRN 2016'!$AD$3:$AD$84,"="&amp;O14)+COUNTIFS('PRN 2016'!$AK$3:$AK$84,"&lt;12.50%",'PRN 2016'!$AH$3:$AH$84,"="&amp;O14)</f>
        <v>0</v>
      </c>
      <c r="U14" s="34" t="e">
        <f t="shared" si="7"/>
        <v>#DIV/0!</v>
      </c>
      <c r="V14" s="29">
        <f>COUNTIF('PRN 2016'!$V$3:$V$84,"="&amp;'DUN 2016'!O14)</f>
        <v>0</v>
      </c>
      <c r="W14" s="34">
        <f t="shared" si="8"/>
        <v>0</v>
      </c>
    </row>
    <row r="15" spans="1:36">
      <c r="A15" s="13" t="s">
        <v>37</v>
      </c>
      <c r="B15" s="14" t="s">
        <v>40</v>
      </c>
      <c r="C15" s="29" t="str">
        <f>IF('PRN 2016'!Q15&lt;&gt;"",'PRN 2016'!Q15,"")</f>
        <v>SUPP</v>
      </c>
      <c r="D15" s="29" t="str">
        <f t="shared" si="1"/>
        <v>GPS</v>
      </c>
      <c r="E15" s="29" t="str">
        <f t="shared" si="2"/>
        <v>KERAJAAN</v>
      </c>
      <c r="I15" s="29" t="s">
        <v>250</v>
      </c>
      <c r="J15" s="29" t="s">
        <v>246</v>
      </c>
      <c r="K15" s="29" t="str">
        <f t="shared" si="3"/>
        <v>KERAJAAN</v>
      </c>
      <c r="O15" s="29" t="str">
        <f t="shared" si="4"/>
        <v>PAS</v>
      </c>
      <c r="P15" s="29" t="str">
        <f t="shared" si="4"/>
        <v>PN</v>
      </c>
      <c r="Q15" s="15">
        <f>COUNTIF('PRN 2016'!$Q$3:$Q$84,'DUN 2016'!O15)+COUNTIF('PRN 2016'!$V$3:$V$84,'DUN 2016'!O15)+COUNTIF('PRN 2016'!$Z$3:$Z$84,'DUN 2016'!O15)+COUNTIF('PRN 2016'!$AD$3:$AD$84,'DUN 2016'!O15)+COUNTIF('PRN 2016'!$AH$3:$AH$84,'DUN 2016'!O15)</f>
        <v>10</v>
      </c>
      <c r="R15" s="29">
        <f t="shared" si="5"/>
        <v>0</v>
      </c>
      <c r="S15" s="34">
        <f t="shared" si="6"/>
        <v>0</v>
      </c>
      <c r="T15" s="33">
        <f>COUNTIFS('PRN 2016'!$Y$3:$Y$84,"&lt;12.50%",'PRN 2016'!$V$3:$V$84,"="&amp;O15)+COUNTIFS('PRN 2016'!$AC$3:$AC$84,"&lt;12.50%",'PRN 2016'!$Z$3:$Z$84,"="&amp;O15)+COUNTIFS('PRN 2016'!$AG$3:$AG$84,"&lt;12.50%",'PRN 2016'!$AD$3:$AD$84,"="&amp;O15)+COUNTIFS('PRN 2016'!$AK$3:$AK$84,"&lt;12.50%",'PRN 2016'!$AH$3:$AH$84,"="&amp;O15)</f>
        <v>7</v>
      </c>
      <c r="U15" s="34">
        <f t="shared" si="7"/>
        <v>0.7</v>
      </c>
      <c r="V15" s="29">
        <f>COUNTIF('PRN 2016'!$V$3:$V$84,"="&amp;'DUN 2016'!O15)</f>
        <v>5</v>
      </c>
      <c r="W15" s="34">
        <f t="shared" si="8"/>
        <v>6.097560975609756E-2</v>
      </c>
    </row>
    <row r="16" spans="1:36">
      <c r="A16" s="13" t="s">
        <v>38</v>
      </c>
      <c r="B16" s="14" t="s">
        <v>41</v>
      </c>
      <c r="C16" s="29" t="str">
        <f>IF('PRN 2016'!Q16&lt;&gt;"",'PRN 2016'!Q16,"")</f>
        <v>SUPP</v>
      </c>
      <c r="D16" s="29" t="str">
        <f t="shared" si="1"/>
        <v>GPS</v>
      </c>
      <c r="E16" s="29" t="str">
        <f t="shared" si="2"/>
        <v>KERAJAAN</v>
      </c>
      <c r="I16" s="29" t="s">
        <v>248</v>
      </c>
      <c r="J16" s="29" t="s">
        <v>246</v>
      </c>
      <c r="K16" s="29" t="str">
        <f t="shared" si="3"/>
        <v>KERAJAAN</v>
      </c>
      <c r="O16" s="29" t="str">
        <f t="shared" si="4"/>
        <v>BERSATU</v>
      </c>
      <c r="P16" s="29" t="str">
        <f t="shared" si="4"/>
        <v>PN</v>
      </c>
      <c r="Q16" s="15">
        <f>COUNTIF('PRN 2016'!$Q$3:$Q$84,'DUN 2016'!O16)+COUNTIF('PRN 2016'!$V$3:$V$84,'DUN 2016'!O16)+COUNTIF('PRN 2016'!$Z$3:$Z$84,'DUN 2016'!O16)+COUNTIF('PRN 2016'!$AD$3:$AD$84,'DUN 2016'!O16)+COUNTIF('PRN 2016'!$AH$3:$AH$84,'DUN 2016'!O16)</f>
        <v>1</v>
      </c>
      <c r="R16" s="29">
        <f t="shared" si="5"/>
        <v>1</v>
      </c>
      <c r="S16" s="34">
        <f t="shared" si="6"/>
        <v>1</v>
      </c>
      <c r="T16" s="33">
        <f>COUNTIFS('PRN 2016'!$Y$3:$Y$84,"&lt;12.50%",'PRN 2016'!$V$3:$V$84,"="&amp;O16)+COUNTIFS('PRN 2016'!$AC$3:$AC$84,"&lt;12.50%",'PRN 2016'!$Z$3:$Z$84,"="&amp;O16)+COUNTIFS('PRN 2016'!$AG$3:$AG$84,"&lt;12.50%",'PRN 2016'!$AD$3:$AD$84,"="&amp;O16)+COUNTIFS('PRN 2016'!$AK$3:$AK$84,"&lt;12.50%",'PRN 2016'!$AH$3:$AH$84,"="&amp;O16)</f>
        <v>0</v>
      </c>
      <c r="U16" s="34">
        <f t="shared" si="7"/>
        <v>0</v>
      </c>
      <c r="V16" s="29">
        <f>COUNTIF('PRN 2016'!$V$3:$V$84,"="&amp;'DUN 2016'!O16)</f>
        <v>0</v>
      </c>
      <c r="W16" s="34">
        <f t="shared" si="8"/>
        <v>0</v>
      </c>
    </row>
    <row r="17" spans="1:35">
      <c r="A17" s="13" t="s">
        <v>44</v>
      </c>
      <c r="B17" s="14" t="s">
        <v>47</v>
      </c>
      <c r="C17" s="29" t="str">
        <f>IF('PRN 2016'!Q17&lt;&gt;"",'PRN 2016'!Q17,"")</f>
        <v>PBB</v>
      </c>
      <c r="D17" s="29" t="str">
        <f t="shared" si="1"/>
        <v>GPS</v>
      </c>
      <c r="E17" s="29" t="str">
        <f t="shared" si="2"/>
        <v>KERAJAAN</v>
      </c>
      <c r="I17" s="29" t="s">
        <v>305</v>
      </c>
      <c r="J17" s="29" t="s">
        <v>305</v>
      </c>
      <c r="K17" s="29" t="str">
        <f t="shared" si="3"/>
        <v>KERAJAAN</v>
      </c>
      <c r="O17" s="29" t="str">
        <f t="shared" si="4"/>
        <v>BEBAS - K</v>
      </c>
      <c r="P17" s="29" t="str">
        <f t="shared" si="4"/>
        <v>BEBAS - K</v>
      </c>
      <c r="Q17" s="15">
        <f>COUNTIF('PRN 2016'!$Q$3:$Q$84,'DUN 2016'!O17)+COUNTIF('PRN 2016'!$V$3:$V$84,'DUN 2016'!O17)+COUNTIF('PRN 2016'!$Z$3:$Z$84,'DUN 2016'!O17)+COUNTIF('PRN 2016'!$AD$3:$AD$84,'DUN 2016'!O17)+COUNTIF('PRN 2016'!$AH$3:$AH$84,'DUN 2016'!O17)</f>
        <v>0</v>
      </c>
      <c r="R17" s="29">
        <f t="shared" si="5"/>
        <v>0</v>
      </c>
      <c r="S17" s="34" t="e">
        <f t="shared" si="6"/>
        <v>#DIV/0!</v>
      </c>
      <c r="T17" s="33">
        <f>COUNTIFS('PRN 2016'!$Y$3:$Y$84,"&lt;12.50%",'PRN 2016'!$V$3:$V$84,"="&amp;O17)+COUNTIFS('PRN 2016'!$AC$3:$AC$84,"&lt;12.50%",'PRN 2016'!$Z$3:$Z$84,"="&amp;O17)+COUNTIFS('PRN 2016'!$AG$3:$AG$84,"&lt;12.50%",'PRN 2016'!$AD$3:$AD$84,"="&amp;O17)+COUNTIFS('PRN 2016'!$AK$3:$AK$84,"&lt;12.50%",'PRN 2016'!$AH$3:$AH$84,"="&amp;O17)</f>
        <v>0</v>
      </c>
      <c r="U17" s="34" t="e">
        <f t="shared" si="7"/>
        <v>#DIV/0!</v>
      </c>
      <c r="V17" s="29">
        <f>COUNTIF('PRN 2016'!$V$3:$V$84,"="&amp;'DUN 2016'!O17)</f>
        <v>0</v>
      </c>
      <c r="W17" s="34">
        <f t="shared" si="8"/>
        <v>0</v>
      </c>
    </row>
    <row r="18" spans="1:35">
      <c r="A18" s="13" t="s">
        <v>45</v>
      </c>
      <c r="B18" s="14" t="s">
        <v>48</v>
      </c>
      <c r="C18" s="29" t="str">
        <f>IF('PRN 2016'!Q18&lt;&gt;"",'PRN 2016'!Q18,"")</f>
        <v>PBB</v>
      </c>
      <c r="D18" s="29" t="str">
        <f t="shared" si="1"/>
        <v>GPS</v>
      </c>
      <c r="E18" s="29" t="str">
        <f t="shared" si="2"/>
        <v>KERAJAAN</v>
      </c>
      <c r="I18" s="29" t="s">
        <v>306</v>
      </c>
      <c r="J18" s="29" t="s">
        <v>306</v>
      </c>
      <c r="K18" s="29" t="str">
        <f t="shared" si="3"/>
        <v>PEMBANGKANG</v>
      </c>
      <c r="O18" s="29" t="str">
        <f t="shared" si="4"/>
        <v>BEBAS - P</v>
      </c>
      <c r="P18" s="29" t="str">
        <f t="shared" si="4"/>
        <v>BEBAS - P</v>
      </c>
      <c r="Q18" s="15">
        <f>COUNTIF('PRN 2016'!$Q$3:$Q$84,'DUN 2016'!O18)+COUNTIF('PRN 2016'!$V$3:$V$84,'DUN 2016'!O18)+COUNTIF('PRN 2016'!$Z$3:$Z$84,'DUN 2016'!O18)+COUNTIF('PRN 2016'!$AD$3:$AD$84,'DUN 2016'!O18)+COUNTIF('PRN 2016'!$AH$3:$AH$84,'DUN 2016'!O18)</f>
        <v>0</v>
      </c>
      <c r="R18" s="29">
        <f t="shared" si="5"/>
        <v>0</v>
      </c>
      <c r="S18" s="34" t="e">
        <f t="shared" si="6"/>
        <v>#DIV/0!</v>
      </c>
      <c r="T18" s="33">
        <f>COUNTIFS('PRN 2016'!$Y$3:$Y$84,"&lt;12.50%",'PRN 2016'!$V$3:$V$84,"="&amp;O18)+COUNTIFS('PRN 2016'!$AC$3:$AC$84,"&lt;12.50%",'PRN 2016'!$Z$3:$Z$84,"="&amp;O18)+COUNTIFS('PRN 2016'!$AG$3:$AG$84,"&lt;12.50%",'PRN 2016'!$AD$3:$AD$84,"="&amp;O18)+COUNTIFS('PRN 2016'!$AK$3:$AK$84,"&lt;12.50%",'PRN 2016'!$AH$3:$AH$84,"="&amp;O18)</f>
        <v>0</v>
      </c>
      <c r="U18" s="34" t="e">
        <f t="shared" si="7"/>
        <v>#DIV/0!</v>
      </c>
      <c r="V18" s="29">
        <f>COUNTIF('PRN 2016'!$V$3:$V$84,"="&amp;'DUN 2016'!O18)</f>
        <v>0</v>
      </c>
      <c r="W18" s="34">
        <f t="shared" si="8"/>
        <v>0</v>
      </c>
    </row>
    <row r="19" spans="1:35">
      <c r="A19" s="13" t="s">
        <v>46</v>
      </c>
      <c r="B19" s="14" t="s">
        <v>49</v>
      </c>
      <c r="C19" s="29" t="str">
        <f>IF('PRN 2016'!Q19&lt;&gt;"",'PRN 2016'!Q19,"")</f>
        <v>PBB</v>
      </c>
      <c r="D19" s="29" t="str">
        <f t="shared" si="1"/>
        <v>GPS</v>
      </c>
      <c r="E19" s="29" t="str">
        <f t="shared" si="2"/>
        <v>KERAJAAN</v>
      </c>
      <c r="I19" s="29" t="s">
        <v>251</v>
      </c>
      <c r="J19" s="29" t="s">
        <v>251</v>
      </c>
      <c r="K19" s="29" t="str">
        <f t="shared" si="3"/>
        <v>BEBAS</v>
      </c>
      <c r="O19" s="29" t="str">
        <f t="shared" si="4"/>
        <v>BEBAS</v>
      </c>
      <c r="P19" s="29" t="str">
        <f t="shared" si="4"/>
        <v>BEBAS</v>
      </c>
      <c r="Q19" s="15">
        <f>COUNTIF('PRN 2016'!$Q$3:$Q$84,'DUN 2016'!O19)+COUNTIF('PRN 2016'!$V$3:$V$84,'DUN 2016'!O19)+COUNTIF('PRN 2016'!$Z$3:$Z$84,'DUN 2016'!O19)+COUNTIF('PRN 2016'!$AD$3:$AD$84,'DUN 2016'!O19)+COUNTIF('PRN 2016'!$AH$3:$AH$84,'DUN 2016'!O19)</f>
        <v>37</v>
      </c>
      <c r="R19" s="29">
        <f t="shared" si="5"/>
        <v>0</v>
      </c>
      <c r="S19" s="34">
        <f t="shared" si="6"/>
        <v>0</v>
      </c>
      <c r="T19" s="33">
        <f>COUNTIFS('PRN 2016'!$Y$3:$Y$84,"&lt;12.50%",'PRN 2016'!$V$3:$V$84,"="&amp;O19)+COUNTIFS('PRN 2016'!$AC$3:$AC$84,"&lt;12.50%",'PRN 2016'!$Z$3:$Z$84,"="&amp;O19)+COUNTIFS('PRN 2016'!$AG$3:$AG$84,"&lt;12.50%",'PRN 2016'!$AD$3:$AD$84,"="&amp;O19)+COUNTIFS('PRN 2016'!$AK$3:$AK$84,"&lt;12.50%",'PRN 2016'!$AH$3:$AH$84,"="&amp;O19)</f>
        <v>21</v>
      </c>
      <c r="U19" s="34">
        <f t="shared" si="7"/>
        <v>0.56756756756756754</v>
      </c>
      <c r="V19" s="29">
        <f>COUNTIF('PRN 2016'!$V$3:$V$84,"="&amp;'DUN 2016'!O19)</f>
        <v>12</v>
      </c>
      <c r="W19" s="34">
        <f t="shared" si="8"/>
        <v>0.14634146341463414</v>
      </c>
    </row>
    <row r="20" spans="1:35">
      <c r="A20" s="13" t="s">
        <v>52</v>
      </c>
      <c r="B20" s="14" t="s">
        <v>55</v>
      </c>
      <c r="C20" s="29" t="str">
        <f>IF('PRN 2016'!Q20&lt;&gt;"",'PRN 2016'!Q20,"")</f>
        <v>PBB</v>
      </c>
      <c r="D20" s="29" t="str">
        <f t="shared" si="1"/>
        <v>GPS</v>
      </c>
      <c r="E20" s="29" t="str">
        <f t="shared" si="2"/>
        <v>KERAJAAN</v>
      </c>
      <c r="I20" s="29"/>
      <c r="J20" s="29"/>
      <c r="K20" s="29"/>
    </row>
    <row r="21" spans="1:35">
      <c r="A21" s="13" t="s">
        <v>53</v>
      </c>
      <c r="B21" s="14" t="s">
        <v>56</v>
      </c>
      <c r="C21" s="29" t="str">
        <f>IF('PRN 2016'!Q21&lt;&gt;"",'PRN 2016'!Q21,"")</f>
        <v>PBB</v>
      </c>
      <c r="D21" s="29" t="str">
        <f t="shared" si="1"/>
        <v>GPS</v>
      </c>
      <c r="E21" s="29" t="str">
        <f t="shared" si="2"/>
        <v>KERAJAAN</v>
      </c>
      <c r="I21" s="29"/>
      <c r="J21" s="29"/>
      <c r="K21" s="29"/>
    </row>
    <row r="22" spans="1:35">
      <c r="A22" s="13" t="s">
        <v>54</v>
      </c>
      <c r="B22" s="14" t="s">
        <v>57</v>
      </c>
      <c r="C22" s="29" t="str">
        <f>IF('PRN 2016'!Q22&lt;&gt;"",'PRN 2016'!Q22,"")</f>
        <v>PBB</v>
      </c>
      <c r="D22" s="29" t="str">
        <f t="shared" si="1"/>
        <v>GPS</v>
      </c>
      <c r="E22" s="29" t="str">
        <f t="shared" si="2"/>
        <v>KERAJAAN</v>
      </c>
      <c r="I22" s="29"/>
      <c r="J22" s="29"/>
      <c r="K22" s="29"/>
      <c r="O22" s="75" t="s">
        <v>365</v>
      </c>
      <c r="V22" s="29">
        <f>COUNTIF('PRN 2016'!$V$3:$V$84,"="&amp;"")</f>
        <v>2</v>
      </c>
      <c r="AA22" s="75" t="s">
        <v>365</v>
      </c>
      <c r="AG22" s="29">
        <f>COUNTIF('PRN 2016'!$V$3:$V$84,"="&amp;"")</f>
        <v>2</v>
      </c>
    </row>
    <row r="23" spans="1:35">
      <c r="A23" s="13" t="s">
        <v>60</v>
      </c>
      <c r="B23" s="14" t="s">
        <v>63</v>
      </c>
      <c r="C23" s="29" t="str">
        <f>IF('PRN 2016'!Q23&lt;&gt;"",'PRN 2016'!Q23,"")</f>
        <v>PBB</v>
      </c>
      <c r="D23" s="29" t="str">
        <f t="shared" si="1"/>
        <v>GPS</v>
      </c>
      <c r="E23" s="29" t="str">
        <f t="shared" si="2"/>
        <v>KERAJAAN</v>
      </c>
      <c r="I23" s="29"/>
      <c r="J23" s="29"/>
      <c r="K23" s="29"/>
    </row>
    <row r="24" spans="1:35">
      <c r="A24" s="13" t="s">
        <v>61</v>
      </c>
      <c r="B24" s="14" t="s">
        <v>64</v>
      </c>
      <c r="C24" s="29" t="str">
        <f>IF('PRN 2016'!Q24&lt;&gt;"",'PRN 2016'!Q24,"")</f>
        <v>PBB</v>
      </c>
      <c r="D24" s="29" t="str">
        <f t="shared" si="1"/>
        <v>GPS</v>
      </c>
      <c r="E24" s="29" t="str">
        <f t="shared" si="2"/>
        <v>KERAJAAN</v>
      </c>
    </row>
    <row r="25" spans="1:35" ht="15">
      <c r="A25" s="13" t="s">
        <v>62</v>
      </c>
      <c r="B25" s="14" t="s">
        <v>65</v>
      </c>
      <c r="C25" s="29" t="str">
        <f>IF('PRN 2016'!Q25&lt;&gt;"",'PRN 2016'!Q25,"")</f>
        <v>PBB</v>
      </c>
      <c r="D25" s="29" t="str">
        <f t="shared" si="1"/>
        <v>GPS</v>
      </c>
      <c r="E25" s="29" t="str">
        <f t="shared" si="2"/>
        <v>KERAJAAN</v>
      </c>
      <c r="O25" s="57"/>
      <c r="P25" s="36" t="s">
        <v>235</v>
      </c>
      <c r="Q25" s="58">
        <f>SUM(Q3:Q19)+Q22</f>
        <v>214</v>
      </c>
      <c r="R25" s="58">
        <f>SUM(R3:R19)+R22</f>
        <v>82</v>
      </c>
      <c r="S25" s="32">
        <f t="shared" ref="S25" si="16">R25/Q25</f>
        <v>0.38317757009345793</v>
      </c>
      <c r="T25" s="58">
        <f>SUM(T3:T19)+T22</f>
        <v>54</v>
      </c>
      <c r="U25" s="32">
        <f t="shared" ref="U25" si="17">T25/Q25</f>
        <v>0.25233644859813081</v>
      </c>
      <c r="V25" s="58">
        <f>SUM(V3:V19)+V22</f>
        <v>82</v>
      </c>
      <c r="Z25" s="57"/>
      <c r="AA25" s="36" t="s">
        <v>235</v>
      </c>
      <c r="AB25" s="58">
        <f>SUM(AB3:AB10)+AB22</f>
        <v>214</v>
      </c>
      <c r="AC25" s="58">
        <f>SUM(AC3:AC10)+AC22</f>
        <v>82</v>
      </c>
      <c r="AD25" s="32">
        <f t="shared" ref="AD25" si="18">AC25/AB25</f>
        <v>0.38317757009345793</v>
      </c>
      <c r="AE25" s="58">
        <f>SUM(AE3:AE10)+AE22</f>
        <v>54</v>
      </c>
      <c r="AF25" s="32">
        <f t="shared" ref="AF25" si="19">AE25/AB25</f>
        <v>0.25233644859813081</v>
      </c>
      <c r="AG25" s="58">
        <f>SUM(AG3:AG10)+AG22</f>
        <v>82</v>
      </c>
      <c r="AI25" s="58">
        <f>SUM(AI3:AI10)+AI22</f>
        <v>746137</v>
      </c>
    </row>
    <row r="26" spans="1:35">
      <c r="A26" s="13" t="s">
        <v>68</v>
      </c>
      <c r="B26" s="14" t="s">
        <v>71</v>
      </c>
      <c r="C26" s="29" t="str">
        <f>IF('PRN 2016'!Q26&lt;&gt;"",'PRN 2016'!Q26,"")</f>
        <v>PBB</v>
      </c>
      <c r="D26" s="29" t="str">
        <f t="shared" si="1"/>
        <v>GPS</v>
      </c>
      <c r="E26" s="29" t="str">
        <f t="shared" si="2"/>
        <v>KERAJAAN</v>
      </c>
    </row>
    <row r="27" spans="1:35">
      <c r="A27" s="13" t="s">
        <v>69</v>
      </c>
      <c r="B27" s="14" t="s">
        <v>72</v>
      </c>
      <c r="C27" s="29" t="str">
        <f>IF('PRN 2016'!Q27&lt;&gt;"",'PRN 2016'!Q27,"")</f>
        <v>PBB</v>
      </c>
      <c r="D27" s="29" t="str">
        <f t="shared" si="1"/>
        <v>GPS</v>
      </c>
      <c r="E27" s="29" t="str">
        <f t="shared" si="2"/>
        <v>KERAJAAN</v>
      </c>
    </row>
    <row r="28" spans="1:35">
      <c r="A28" s="13" t="s">
        <v>70</v>
      </c>
      <c r="B28" s="14" t="s">
        <v>73</v>
      </c>
      <c r="C28" s="29" t="str">
        <f>IF('PRN 2016'!Q28&lt;&gt;"",'PRN 2016'!Q28,"")</f>
        <v>PBB</v>
      </c>
      <c r="D28" s="29" t="str">
        <f t="shared" si="1"/>
        <v>GPS</v>
      </c>
      <c r="E28" s="29" t="str">
        <f t="shared" si="2"/>
        <v>KERAJAAN</v>
      </c>
    </row>
    <row r="29" spans="1:35">
      <c r="A29" s="13" t="s">
        <v>76</v>
      </c>
      <c r="B29" s="14" t="s">
        <v>79</v>
      </c>
      <c r="C29" s="29" t="str">
        <f>IF('PRN 2016'!Q29&lt;&gt;"",'PRN 2016'!Q29,"")</f>
        <v>PBB</v>
      </c>
      <c r="D29" s="29" t="str">
        <f t="shared" si="1"/>
        <v>GPS</v>
      </c>
      <c r="E29" s="29" t="str">
        <f t="shared" si="2"/>
        <v>KERAJAAN</v>
      </c>
    </row>
    <row r="30" spans="1:35">
      <c r="A30" s="13" t="s">
        <v>77</v>
      </c>
      <c r="B30" s="14" t="s">
        <v>80</v>
      </c>
      <c r="C30" s="29" t="str">
        <f>IF('PRN 2016'!Q30&lt;&gt;"",'PRN 2016'!Q30,"")</f>
        <v>PBB</v>
      </c>
      <c r="D30" s="29" t="str">
        <f t="shared" si="1"/>
        <v>GPS</v>
      </c>
      <c r="E30" s="29" t="str">
        <f t="shared" si="2"/>
        <v>KERAJAAN</v>
      </c>
    </row>
    <row r="31" spans="1:35">
      <c r="A31" s="13" t="s">
        <v>78</v>
      </c>
      <c r="B31" s="14" t="s">
        <v>81</v>
      </c>
      <c r="C31" s="29" t="str">
        <f>IF('PRN 2016'!Q31&lt;&gt;"",'PRN 2016'!Q31,"")</f>
        <v>PBB</v>
      </c>
      <c r="D31" s="29" t="str">
        <f t="shared" si="1"/>
        <v>GPS</v>
      </c>
      <c r="E31" s="29" t="str">
        <f t="shared" si="2"/>
        <v>KERAJAAN</v>
      </c>
    </row>
    <row r="32" spans="1:35">
      <c r="A32" s="13" t="s">
        <v>84</v>
      </c>
      <c r="B32" s="14" t="s">
        <v>87</v>
      </c>
      <c r="C32" s="29" t="str">
        <f>IF('PRN 2016'!Q32&lt;&gt;"",'PRN 2016'!Q32,"")</f>
        <v>PRS</v>
      </c>
      <c r="D32" s="29" t="str">
        <f t="shared" si="1"/>
        <v>GPS</v>
      </c>
      <c r="E32" s="29" t="str">
        <f t="shared" si="2"/>
        <v>KERAJAAN</v>
      </c>
    </row>
    <row r="33" spans="1:16">
      <c r="A33" s="13" t="s">
        <v>85</v>
      </c>
      <c r="B33" s="14" t="s">
        <v>88</v>
      </c>
      <c r="C33" s="29" t="str">
        <f>IF('PRN 2016'!Q33&lt;&gt;"",'PRN 2016'!Q33,"")</f>
        <v>PRS</v>
      </c>
      <c r="D33" s="29" t="str">
        <f t="shared" si="1"/>
        <v>GPS</v>
      </c>
      <c r="E33" s="29" t="str">
        <f t="shared" si="2"/>
        <v>KERAJAAN</v>
      </c>
    </row>
    <row r="34" spans="1:16" ht="15">
      <c r="A34" s="13" t="s">
        <v>86</v>
      </c>
      <c r="B34" s="14" t="s">
        <v>89</v>
      </c>
      <c r="C34" s="29" t="str">
        <f>IF('PRN 2016'!Q34&lt;&gt;"",'PRN 2016'!Q34,"")</f>
        <v>SUPP</v>
      </c>
      <c r="D34" s="29" t="str">
        <f t="shared" si="1"/>
        <v>GPS</v>
      </c>
      <c r="E34" s="29" t="str">
        <f t="shared" si="2"/>
        <v>KERAJAAN</v>
      </c>
      <c r="I34" s="61"/>
      <c r="J34" s="61"/>
      <c r="K34" s="72"/>
    </row>
    <row r="35" spans="1:16" ht="15">
      <c r="A35" s="13" t="s">
        <v>92</v>
      </c>
      <c r="B35" s="14" t="s">
        <v>94</v>
      </c>
      <c r="C35" s="29" t="str">
        <f>IF('PRN 2016'!Q35&lt;&gt;"",'PRN 2016'!Q35,"")</f>
        <v>PSB</v>
      </c>
      <c r="D35" s="29" t="str">
        <f t="shared" si="1"/>
        <v>PSB</v>
      </c>
      <c r="E35" s="29" t="str">
        <f t="shared" si="2"/>
        <v>PEMBANGKANG</v>
      </c>
      <c r="I35" s="60"/>
      <c r="J35" s="60"/>
      <c r="K35" s="73"/>
      <c r="O35" s="55" t="s">
        <v>309</v>
      </c>
      <c r="P35" s="29">
        <f>TRUNC(ROUNDUP((1/2)*COUNTA($B$3:$B$84),0))</f>
        <v>41</v>
      </c>
    </row>
    <row r="36" spans="1:16" ht="15">
      <c r="A36" s="13" t="s">
        <v>93</v>
      </c>
      <c r="B36" s="14" t="s">
        <v>95</v>
      </c>
      <c r="C36" s="29" t="str">
        <f>IF('PRN 2016'!Q36&lt;&gt;"",'PRN 2016'!Q36,"")</f>
        <v>PRS</v>
      </c>
      <c r="D36" s="29" t="str">
        <f t="shared" si="1"/>
        <v>GPS</v>
      </c>
      <c r="E36" s="29" t="str">
        <f t="shared" si="2"/>
        <v>KERAJAAN</v>
      </c>
      <c r="I36" s="60"/>
      <c r="J36" s="60"/>
      <c r="K36" s="73"/>
      <c r="O36" s="28" t="s">
        <v>310</v>
      </c>
      <c r="P36" s="29">
        <f>TRUNC((2/3)*COUNTA($B$3:$B$84),0)</f>
        <v>54</v>
      </c>
    </row>
    <row r="37" spans="1:16">
      <c r="A37" s="13" t="s">
        <v>98</v>
      </c>
      <c r="B37" s="14" t="s">
        <v>101</v>
      </c>
      <c r="C37" s="29" t="str">
        <f>IF('PRN 2016'!Q37&lt;&gt;"",'PRN 2016'!Q37,"")</f>
        <v>PBB</v>
      </c>
      <c r="D37" s="29" t="str">
        <f t="shared" si="1"/>
        <v>GPS</v>
      </c>
      <c r="E37" s="29" t="str">
        <f t="shared" si="2"/>
        <v>KERAJAAN</v>
      </c>
      <c r="I37" s="60"/>
      <c r="J37" s="60"/>
      <c r="K37" s="73"/>
    </row>
    <row r="38" spans="1:16" ht="15">
      <c r="A38" s="13" t="s">
        <v>99</v>
      </c>
      <c r="B38" s="14" t="s">
        <v>102</v>
      </c>
      <c r="C38" s="29" t="str">
        <f>IF('PRN 2016'!Q38&lt;&gt;"",'PRN 2016'!Q38,"")</f>
        <v>PBB</v>
      </c>
      <c r="D38" s="29" t="str">
        <f t="shared" si="1"/>
        <v>GPS</v>
      </c>
      <c r="E38" s="29" t="str">
        <f t="shared" si="2"/>
        <v>KERAJAAN</v>
      </c>
      <c r="I38" s="60"/>
      <c r="J38" s="60"/>
      <c r="K38" s="73"/>
      <c r="O38" s="28" t="s">
        <v>307</v>
      </c>
      <c r="P38" s="29">
        <f>IF(ISODD(P35)=P35,P35,P35+1)</f>
        <v>42</v>
      </c>
    </row>
    <row r="39" spans="1:16" ht="15">
      <c r="A39" s="13" t="s">
        <v>100</v>
      </c>
      <c r="B39" s="14" t="s">
        <v>103</v>
      </c>
      <c r="C39" s="29" t="str">
        <f>IF('PRN 2016'!Q39&lt;&gt;"",'PRN 2016'!Q39,"")</f>
        <v>PBB</v>
      </c>
      <c r="D39" s="29" t="str">
        <f t="shared" si="1"/>
        <v>GPS</v>
      </c>
      <c r="E39" s="29" t="str">
        <f t="shared" si="2"/>
        <v>KERAJAAN</v>
      </c>
      <c r="I39" s="60"/>
      <c r="J39" s="60"/>
      <c r="K39" s="73"/>
      <c r="O39" s="28" t="s">
        <v>308</v>
      </c>
      <c r="P39" s="29">
        <f>IF(ISODD(P36)=P36,P36,P36+1)</f>
        <v>55</v>
      </c>
    </row>
    <row r="40" spans="1:16">
      <c r="A40" s="13" t="s">
        <v>106</v>
      </c>
      <c r="B40" s="14" t="s">
        <v>109</v>
      </c>
      <c r="C40" s="29" t="str">
        <f>IF('PRN 2016'!Q40&lt;&gt;"",'PRN 2016'!Q40,"")</f>
        <v>PBB</v>
      </c>
      <c r="D40" s="29" t="str">
        <f t="shared" si="1"/>
        <v>GPS</v>
      </c>
      <c r="E40" s="29" t="str">
        <f t="shared" si="2"/>
        <v>KERAJAAN</v>
      </c>
      <c r="I40" s="60"/>
      <c r="J40" s="60"/>
      <c r="K40" s="73"/>
    </row>
    <row r="41" spans="1:16">
      <c r="A41" s="13" t="s">
        <v>107</v>
      </c>
      <c r="B41" s="14" t="s">
        <v>110</v>
      </c>
      <c r="C41" s="29" t="str">
        <f>IF('PRN 2016'!Q41&lt;&gt;"",'PRN 2016'!Q41,"")</f>
        <v>BERSATU</v>
      </c>
      <c r="D41" s="29" t="str">
        <f t="shared" si="1"/>
        <v>PN</v>
      </c>
      <c r="E41" s="29" t="str">
        <f t="shared" si="2"/>
        <v>KERAJAAN</v>
      </c>
      <c r="I41" s="60"/>
      <c r="J41" s="60"/>
      <c r="K41" s="73"/>
    </row>
    <row r="42" spans="1:16">
      <c r="A42" s="13" t="s">
        <v>108</v>
      </c>
      <c r="B42" s="14" t="s">
        <v>111</v>
      </c>
      <c r="C42" s="29" t="str">
        <f>IF('PRN 2016'!Q42&lt;&gt;"",'PRN 2016'!Q42,"")</f>
        <v>PBB</v>
      </c>
      <c r="D42" s="29" t="str">
        <f t="shared" si="1"/>
        <v>GPS</v>
      </c>
      <c r="E42" s="29" t="str">
        <f t="shared" si="2"/>
        <v>KERAJAAN</v>
      </c>
      <c r="I42" s="60"/>
      <c r="J42" s="60"/>
      <c r="K42" s="73"/>
    </row>
    <row r="43" spans="1:16">
      <c r="A43" s="13" t="s">
        <v>114</v>
      </c>
      <c r="B43" s="14" t="s">
        <v>116</v>
      </c>
      <c r="C43" s="29" t="str">
        <f>IF('PRN 2016'!Q43&lt;&gt;"",'PRN 2016'!Q43,"")</f>
        <v>PBB</v>
      </c>
      <c r="D43" s="29" t="str">
        <f t="shared" si="1"/>
        <v>GPS</v>
      </c>
      <c r="E43" s="29" t="str">
        <f t="shared" si="2"/>
        <v>KERAJAAN</v>
      </c>
      <c r="I43" s="60"/>
      <c r="J43" s="60"/>
      <c r="K43" s="56"/>
    </row>
    <row r="44" spans="1:16" ht="15">
      <c r="A44" s="13" t="s">
        <v>115</v>
      </c>
      <c r="B44" s="14" t="s">
        <v>117</v>
      </c>
      <c r="C44" s="29" t="str">
        <f>IF('PRN 2016'!Q44&lt;&gt;"",'PRN 2016'!Q44,"")</f>
        <v>PBB</v>
      </c>
      <c r="D44" s="29" t="str">
        <f t="shared" si="1"/>
        <v>GPS</v>
      </c>
      <c r="E44" s="29" t="str">
        <f t="shared" si="2"/>
        <v>KERAJAAN</v>
      </c>
      <c r="I44" s="74"/>
      <c r="J44" s="61"/>
      <c r="K44" s="56"/>
      <c r="O44" s="31" t="s">
        <v>242</v>
      </c>
      <c r="P44" s="29">
        <f>COUNTIF(E3:E84,"*"&amp;O44&amp;"*")</f>
        <v>69</v>
      </c>
    </row>
    <row r="45" spans="1:16" ht="15">
      <c r="A45" s="13" t="s">
        <v>120</v>
      </c>
      <c r="B45" s="14" t="s">
        <v>122</v>
      </c>
      <c r="C45" s="29" t="str">
        <f>IF('PRN 2016'!Q45&lt;&gt;"",'PRN 2016'!Q45,"")</f>
        <v>PBB</v>
      </c>
      <c r="D45" s="29" t="str">
        <f t="shared" si="1"/>
        <v>GPS</v>
      </c>
      <c r="E45" s="29" t="str">
        <f t="shared" si="2"/>
        <v>KERAJAAN</v>
      </c>
      <c r="I45" s="60"/>
      <c r="J45" s="60"/>
      <c r="K45" s="56"/>
      <c r="O45" s="59" t="s">
        <v>247</v>
      </c>
      <c r="P45" s="29">
        <f t="shared" ref="P45:P46" si="20">COUNTIF(E4:E85,"*"&amp;O45&amp;"*")</f>
        <v>12</v>
      </c>
    </row>
    <row r="46" spans="1:16" ht="15">
      <c r="A46" s="13" t="s">
        <v>121</v>
      </c>
      <c r="B46" s="14" t="s">
        <v>123</v>
      </c>
      <c r="C46" s="29" t="str">
        <f>IF('PRN 2016'!Q46&lt;&gt;"",'PRN 2016'!Q46,"")</f>
        <v>PBB</v>
      </c>
      <c r="D46" s="29" t="str">
        <f t="shared" si="1"/>
        <v>GPS</v>
      </c>
      <c r="E46" s="29" t="str">
        <f t="shared" si="2"/>
        <v>KERAJAAN</v>
      </c>
      <c r="O46" s="28" t="s">
        <v>251</v>
      </c>
      <c r="P46" s="29">
        <f t="shared" si="20"/>
        <v>0</v>
      </c>
    </row>
    <row r="47" spans="1:16">
      <c r="A47" s="13" t="s">
        <v>126</v>
      </c>
      <c r="B47" s="14" t="s">
        <v>128</v>
      </c>
      <c r="C47" s="29" t="str">
        <f>IF('PRN 2016'!Q47&lt;&gt;"",'PRN 2016'!Q47,"")</f>
        <v>SUPP</v>
      </c>
      <c r="D47" s="29" t="str">
        <f t="shared" si="1"/>
        <v>GPS</v>
      </c>
      <c r="E47" s="29" t="str">
        <f t="shared" si="2"/>
        <v>KERAJAAN</v>
      </c>
    </row>
    <row r="48" spans="1:16">
      <c r="A48" s="13" t="s">
        <v>127</v>
      </c>
      <c r="B48" s="14" t="s">
        <v>129</v>
      </c>
      <c r="C48" s="29" t="str">
        <f>IF('PRN 2016'!Q48&lt;&gt;"",'PRN 2016'!Q48,"")</f>
        <v>SUPP</v>
      </c>
      <c r="D48" s="29" t="str">
        <f t="shared" si="1"/>
        <v>GPS</v>
      </c>
      <c r="E48" s="29" t="str">
        <f t="shared" si="2"/>
        <v>KERAJAAN</v>
      </c>
    </row>
    <row r="49" spans="1:17">
      <c r="A49" s="13" t="s">
        <v>132</v>
      </c>
      <c r="B49" s="14" t="s">
        <v>134</v>
      </c>
      <c r="C49" s="29" t="str">
        <f>IF('PRN 2016'!Q49&lt;&gt;"",'PRN 2016'!Q49,"")</f>
        <v>PBB</v>
      </c>
      <c r="D49" s="29" t="str">
        <f t="shared" si="1"/>
        <v>GPS</v>
      </c>
      <c r="E49" s="29" t="str">
        <f t="shared" si="2"/>
        <v>KERAJAAN</v>
      </c>
    </row>
    <row r="50" spans="1:17">
      <c r="A50" s="13" t="s">
        <v>133</v>
      </c>
      <c r="B50" s="14" t="s">
        <v>135</v>
      </c>
      <c r="C50" s="29" t="str">
        <f>IF('PRN 2016'!Q50&lt;&gt;"",'PRN 2016'!Q50,"")</f>
        <v>PDP</v>
      </c>
      <c r="D50" s="29" t="str">
        <f t="shared" si="1"/>
        <v>GPS</v>
      </c>
      <c r="E50" s="29" t="str">
        <f t="shared" si="2"/>
        <v>KERAJAAN</v>
      </c>
      <c r="I50" s="60"/>
      <c r="J50" s="60"/>
      <c r="K50" s="56"/>
      <c r="L50" s="56"/>
    </row>
    <row r="51" spans="1:17" ht="15">
      <c r="A51" s="13" t="s">
        <v>138</v>
      </c>
      <c r="B51" s="14" t="s">
        <v>140</v>
      </c>
      <c r="C51" s="29" t="str">
        <f>IF('PRN 2016'!Q51&lt;&gt;"",'PRN 2016'!Q51,"")</f>
        <v>PRS</v>
      </c>
      <c r="D51" s="29" t="str">
        <f t="shared" si="1"/>
        <v>GPS</v>
      </c>
      <c r="E51" s="29" t="str">
        <f t="shared" si="2"/>
        <v>KERAJAAN</v>
      </c>
      <c r="I51" s="61"/>
      <c r="J51" s="61"/>
      <c r="K51" s="56"/>
      <c r="L51" s="56"/>
      <c r="O51" s="26" t="s">
        <v>261</v>
      </c>
      <c r="P51" s="26" t="s">
        <v>255</v>
      </c>
    </row>
    <row r="52" spans="1:17">
      <c r="A52" s="13" t="s">
        <v>139</v>
      </c>
      <c r="B52" s="14" t="s">
        <v>141</v>
      </c>
      <c r="C52" s="29" t="str">
        <f>IF('PRN 2016'!Q52&lt;&gt;"",'PRN 2016'!Q52,"")</f>
        <v>PBB</v>
      </c>
      <c r="D52" s="29" t="str">
        <f t="shared" si="1"/>
        <v>GPS</v>
      </c>
      <c r="E52" s="29" t="str">
        <f t="shared" si="2"/>
        <v>KERAJAAN</v>
      </c>
      <c r="I52" s="60"/>
      <c r="J52" s="60"/>
      <c r="K52" s="73"/>
      <c r="L52" s="56"/>
      <c r="O52" s="29" t="s">
        <v>322</v>
      </c>
      <c r="P52" s="29">
        <f>COUNTIFS('PRN 2016'!$J$3:$J$84,"&lt;100")</f>
        <v>0</v>
      </c>
      <c r="Q52" s="34">
        <f>P52/$P$61</f>
        <v>0</v>
      </c>
    </row>
    <row r="53" spans="1:17">
      <c r="A53" s="13" t="s">
        <v>144</v>
      </c>
      <c r="B53" s="14" t="s">
        <v>146</v>
      </c>
      <c r="C53" s="29" t="str">
        <f>IF('PRN 2016'!Q53&lt;&gt;"",'PRN 2016'!Q53,"")</f>
        <v>DAP</v>
      </c>
      <c r="D53" s="29" t="str">
        <f t="shared" si="1"/>
        <v>PH</v>
      </c>
      <c r="E53" s="29" t="str">
        <f t="shared" si="2"/>
        <v>PEMBANGKANG</v>
      </c>
      <c r="I53" s="60"/>
      <c r="J53" s="60"/>
      <c r="K53" s="73"/>
      <c r="L53" s="56"/>
      <c r="O53" s="29" t="s">
        <v>323</v>
      </c>
      <c r="P53" s="29">
        <f>COUNTIFS('PRN 2016'!$J$3:$J$84,"&gt;=100",'PRN 2016'!$J$3:$J$84,"&lt;300")</f>
        <v>2</v>
      </c>
      <c r="Q53" s="34">
        <f t="shared" ref="Q53:Q57" si="21">P53/$P$61</f>
        <v>2.4390243902439025E-2</v>
      </c>
    </row>
    <row r="54" spans="1:17">
      <c r="A54" s="13" t="s">
        <v>145</v>
      </c>
      <c r="B54" s="14" t="s">
        <v>147</v>
      </c>
      <c r="C54" s="29" t="str">
        <f>IF('PRN 2016'!Q54&lt;&gt;"",'PRN 2016'!Q54,"")</f>
        <v>PSB</v>
      </c>
      <c r="D54" s="29" t="str">
        <f t="shared" si="1"/>
        <v>PSB</v>
      </c>
      <c r="E54" s="29" t="str">
        <f t="shared" si="2"/>
        <v>PEMBANGKANG</v>
      </c>
      <c r="I54" s="60"/>
      <c r="J54" s="60"/>
      <c r="K54" s="73"/>
      <c r="L54" s="56"/>
      <c r="O54" s="29" t="s">
        <v>324</v>
      </c>
      <c r="P54" s="29">
        <f>COUNTIFS('PRN 2016'!$J$3:$J$84,"&gt;=300",'PRN 2016'!$J$3:$J$84,"&lt;500")</f>
        <v>1</v>
      </c>
      <c r="Q54" s="34">
        <f t="shared" si="21"/>
        <v>1.2195121951219513E-2</v>
      </c>
    </row>
    <row r="55" spans="1:17">
      <c r="A55" s="13" t="s">
        <v>150</v>
      </c>
      <c r="B55" s="14" t="s">
        <v>153</v>
      </c>
      <c r="C55" s="29" t="str">
        <f>IF('PRN 2016'!Q55&lt;&gt;"",'PRN 2016'!Q55,"")</f>
        <v>PSB</v>
      </c>
      <c r="D55" s="29" t="str">
        <f t="shared" si="1"/>
        <v>PSB</v>
      </c>
      <c r="E55" s="29" t="str">
        <f t="shared" si="2"/>
        <v>PEMBANGKANG</v>
      </c>
      <c r="I55" s="60"/>
      <c r="J55" s="60"/>
      <c r="K55" s="73"/>
      <c r="L55" s="56"/>
      <c r="O55" s="29" t="s">
        <v>325</v>
      </c>
      <c r="P55" s="29">
        <f>COUNTIFS('PRN 2016'!$J$3:$J$84,"&gt;=500",'PRN 2016'!$J$3:$J$84,"&lt;1000")</f>
        <v>3</v>
      </c>
      <c r="Q55" s="34">
        <f t="shared" si="21"/>
        <v>3.6585365853658534E-2</v>
      </c>
    </row>
    <row r="56" spans="1:17">
      <c r="A56" s="13" t="s">
        <v>151</v>
      </c>
      <c r="B56" s="14" t="s">
        <v>154</v>
      </c>
      <c r="C56" s="29" t="str">
        <f>IF('PRN 2016'!Q56&lt;&gt;"",'PRN 2016'!Q56,"")</f>
        <v>DAP</v>
      </c>
      <c r="D56" s="29" t="str">
        <f t="shared" si="1"/>
        <v>PH</v>
      </c>
      <c r="E56" s="29" t="str">
        <f t="shared" si="2"/>
        <v>PEMBANGKANG</v>
      </c>
      <c r="I56" s="60"/>
      <c r="J56" s="60"/>
      <c r="K56" s="73"/>
      <c r="L56" s="56"/>
      <c r="O56" s="29" t="s">
        <v>326</v>
      </c>
      <c r="P56" s="29">
        <f>COUNTIFS('PRN 2016'!$J$3:$J$84,"&gt;=1000",'PRN 2016'!$J$3:$J$84,"&lt;3000")</f>
        <v>29</v>
      </c>
      <c r="Q56" s="34">
        <f t="shared" si="21"/>
        <v>0.35365853658536583</v>
      </c>
    </row>
    <row r="57" spans="1:17">
      <c r="A57" s="13" t="s">
        <v>152</v>
      </c>
      <c r="B57" s="14" t="s">
        <v>155</v>
      </c>
      <c r="C57" s="29" t="str">
        <f>IF('PRN 2016'!Q57&lt;&gt;"",'PRN 2016'!Q57,"")</f>
        <v>PBB</v>
      </c>
      <c r="D57" s="29" t="str">
        <f t="shared" si="1"/>
        <v>GPS</v>
      </c>
      <c r="E57" s="29" t="str">
        <f t="shared" si="2"/>
        <v>KERAJAAN</v>
      </c>
      <c r="I57" s="60"/>
      <c r="J57" s="60"/>
      <c r="K57" s="73"/>
      <c r="L57" s="56"/>
      <c r="O57" s="29" t="s">
        <v>327</v>
      </c>
      <c r="P57" s="29">
        <f>COUNTIFS('PRN 2016'!$J$3:$J$84,"&gt;=3000")</f>
        <v>45</v>
      </c>
      <c r="Q57" s="34">
        <f t="shared" si="21"/>
        <v>0.54878048780487809</v>
      </c>
    </row>
    <row r="58" spans="1:17">
      <c r="A58" s="13" t="s">
        <v>158</v>
      </c>
      <c r="B58" s="14" t="s">
        <v>161</v>
      </c>
      <c r="C58" s="29" t="str">
        <f>IF('PRN 2016'!Q58&lt;&gt;"",'PRN 2016'!Q58,"")</f>
        <v>PBB</v>
      </c>
      <c r="D58" s="29" t="str">
        <f t="shared" si="1"/>
        <v>GPS</v>
      </c>
      <c r="E58" s="29" t="str">
        <f t="shared" si="2"/>
        <v>KERAJAAN</v>
      </c>
      <c r="I58" s="60"/>
      <c r="J58" s="60"/>
      <c r="K58" s="56"/>
      <c r="L58" s="56"/>
      <c r="O58" s="60"/>
      <c r="P58" s="60"/>
    </row>
    <row r="59" spans="1:17" ht="15">
      <c r="A59" s="13" t="s">
        <v>159</v>
      </c>
      <c r="B59" s="14" t="s">
        <v>162</v>
      </c>
      <c r="C59" s="29" t="str">
        <f>IF('PRN 2016'!Q59&lt;&gt;"",'PRN 2016'!Q59,"")</f>
        <v>PBB</v>
      </c>
      <c r="D59" s="29" t="str">
        <f t="shared" si="1"/>
        <v>GPS</v>
      </c>
      <c r="E59" s="29" t="str">
        <f t="shared" si="2"/>
        <v>KERAJAAN</v>
      </c>
      <c r="I59" s="74"/>
      <c r="J59" s="61"/>
      <c r="K59" s="56"/>
      <c r="L59" s="56"/>
      <c r="O59" s="24" t="s">
        <v>274</v>
      </c>
      <c r="P59" s="29">
        <f>COUNTIFS('PRN 2016'!$J$3:$J$84,"="&amp;"N/A")</f>
        <v>2</v>
      </c>
    </row>
    <row r="60" spans="1:17">
      <c r="A60" s="13" t="s">
        <v>160</v>
      </c>
      <c r="B60" s="14" t="s">
        <v>163</v>
      </c>
      <c r="C60" s="29" t="str">
        <f>IF('PRN 2016'!Q60&lt;&gt;"",'PRN 2016'!Q60,"")</f>
        <v>PBB</v>
      </c>
      <c r="D60" s="29" t="str">
        <f t="shared" si="1"/>
        <v>GPS</v>
      </c>
      <c r="E60" s="29" t="str">
        <f t="shared" si="2"/>
        <v>KERAJAAN</v>
      </c>
      <c r="I60" s="60"/>
      <c r="J60" s="60"/>
      <c r="K60" s="56"/>
      <c r="L60" s="56"/>
    </row>
    <row r="61" spans="1:17" ht="15">
      <c r="A61" s="13" t="s">
        <v>166</v>
      </c>
      <c r="B61" s="14" t="s">
        <v>168</v>
      </c>
      <c r="C61" s="29" t="str">
        <f>IF('PRN 2016'!Q61&lt;&gt;"",'PRN 2016'!Q61,"")</f>
        <v>PRS</v>
      </c>
      <c r="D61" s="29" t="str">
        <f t="shared" si="1"/>
        <v>GPS</v>
      </c>
      <c r="E61" s="29" t="str">
        <f t="shared" si="2"/>
        <v>KERAJAAN</v>
      </c>
      <c r="I61" s="60"/>
      <c r="J61" s="60"/>
      <c r="K61" s="56"/>
      <c r="L61" s="56"/>
      <c r="O61" s="30" t="s">
        <v>235</v>
      </c>
      <c r="P61" s="26">
        <f>SUM(P52:P57)+P59</f>
        <v>82</v>
      </c>
    </row>
    <row r="62" spans="1:17">
      <c r="A62" s="13" t="s">
        <v>167</v>
      </c>
      <c r="B62" s="14" t="s">
        <v>169</v>
      </c>
      <c r="C62" s="29" t="str">
        <f>IF('PRN 2016'!Q62&lt;&gt;"",'PRN 2016'!Q62,"")</f>
        <v>PRS</v>
      </c>
      <c r="D62" s="29" t="str">
        <f t="shared" si="1"/>
        <v>GPS</v>
      </c>
      <c r="E62" s="29" t="str">
        <f t="shared" si="2"/>
        <v>KERAJAAN</v>
      </c>
    </row>
    <row r="63" spans="1:17">
      <c r="A63" s="13" t="s">
        <v>172</v>
      </c>
      <c r="B63" s="14" t="s">
        <v>175</v>
      </c>
      <c r="C63" s="29" t="str">
        <f>IF('PRN 2016'!Q63&lt;&gt;"",'PRN 2016'!Q63,"")</f>
        <v>PRS</v>
      </c>
      <c r="D63" s="29" t="str">
        <f t="shared" si="1"/>
        <v>GPS</v>
      </c>
      <c r="E63" s="29" t="str">
        <f t="shared" si="2"/>
        <v>KERAJAAN</v>
      </c>
    </row>
    <row r="64" spans="1:17" ht="15">
      <c r="A64" s="13" t="s">
        <v>173</v>
      </c>
      <c r="B64" s="14" t="s">
        <v>176</v>
      </c>
      <c r="C64" s="29" t="str">
        <f>IF('PRN 2016'!Q64&lt;&gt;"",'PRN 2016'!Q64,"")</f>
        <v>PBB</v>
      </c>
      <c r="D64" s="29" t="str">
        <f t="shared" si="1"/>
        <v>GPS</v>
      </c>
      <c r="E64" s="29" t="str">
        <f t="shared" si="2"/>
        <v>KERAJAAN</v>
      </c>
      <c r="I64" s="26" t="s">
        <v>328</v>
      </c>
      <c r="J64" s="26" t="s">
        <v>255</v>
      </c>
      <c r="O64" s="26" t="s">
        <v>333</v>
      </c>
      <c r="P64" s="26" t="s">
        <v>255</v>
      </c>
    </row>
    <row r="65" spans="1:17">
      <c r="A65" s="13" t="s">
        <v>174</v>
      </c>
      <c r="B65" s="14" t="s">
        <v>177</v>
      </c>
      <c r="C65" s="29" t="str">
        <f>IF('PRN 2016'!Q65&lt;&gt;"",'PRN 2016'!Q65,"")</f>
        <v>PBB</v>
      </c>
      <c r="D65" s="29" t="str">
        <f t="shared" si="1"/>
        <v>GPS</v>
      </c>
      <c r="E65" s="29" t="str">
        <f t="shared" si="2"/>
        <v>KERAJAAN</v>
      </c>
      <c r="I65" s="29" t="s">
        <v>329</v>
      </c>
      <c r="J65" s="29">
        <f>COUNTIFS('PRN 2016'!$L$3:$L$84,"&lt;30.00%")</f>
        <v>0</v>
      </c>
      <c r="K65" s="34">
        <f>J65/$J$74</f>
        <v>0</v>
      </c>
      <c r="O65" s="29" t="s">
        <v>329</v>
      </c>
      <c r="P65" s="29">
        <f>COUNTIFS('PRN 2016'!$U$3:$U$84,"&lt;30.00%")</f>
        <v>0</v>
      </c>
      <c r="Q65" s="34">
        <f>P65/$P$74</f>
        <v>0</v>
      </c>
    </row>
    <row r="66" spans="1:17">
      <c r="A66" s="13" t="s">
        <v>180</v>
      </c>
      <c r="B66" s="14" t="s">
        <v>183</v>
      </c>
      <c r="C66" s="29" t="str">
        <f>IF('PRN 2016'!Q66&lt;&gt;"",'PRN 2016'!Q66,"")</f>
        <v>PRS</v>
      </c>
      <c r="D66" s="29" t="str">
        <f t="shared" si="1"/>
        <v>GPS</v>
      </c>
      <c r="E66" s="29" t="str">
        <f t="shared" si="2"/>
        <v>KERAJAAN</v>
      </c>
      <c r="I66" s="29" t="s">
        <v>319</v>
      </c>
      <c r="J66" s="29">
        <f>COUNTIFS('UMUR 2021'!$X$3:$X$84,"&gt;=30.00%",'UMUR 2021'!$X$3:$X$84,"&lt;40.00%")</f>
        <v>0</v>
      </c>
      <c r="K66" s="34">
        <f t="shared" ref="K66:K70" si="22">J66/$J$74</f>
        <v>0</v>
      </c>
      <c r="O66" s="29" t="s">
        <v>319</v>
      </c>
      <c r="P66" s="29">
        <f>COUNTIFS('PRN 2016'!$U$3:$U$84,"&gt;=30.00%",'PRN 2016'!$U$3:$U$84,"&lt;40.00%")</f>
        <v>1</v>
      </c>
      <c r="Q66" s="34">
        <f t="shared" ref="Q66:Q70" si="23">P66/$P$74</f>
        <v>1.2195121951219513E-2</v>
      </c>
    </row>
    <row r="67" spans="1:17">
      <c r="A67" s="13" t="s">
        <v>181</v>
      </c>
      <c r="B67" s="14" t="s">
        <v>184</v>
      </c>
      <c r="C67" s="29" t="str">
        <f>IF('PRN 2016'!Q67&lt;&gt;"",'PRN 2016'!Q67,"")</f>
        <v>PRS</v>
      </c>
      <c r="D67" s="29" t="str">
        <f t="shared" si="1"/>
        <v>GPS</v>
      </c>
      <c r="E67" s="29" t="str">
        <f t="shared" si="2"/>
        <v>KERAJAAN</v>
      </c>
      <c r="I67" s="29" t="s">
        <v>320</v>
      </c>
      <c r="J67" s="29">
        <f>COUNTIFS('PRN 2016'!$L$3:$L$84,"&gt;=40.00%",'PRN 2016'!$L$3:$L$84,"&lt;50.00%")</f>
        <v>0</v>
      </c>
      <c r="K67" s="34">
        <f t="shared" si="22"/>
        <v>0</v>
      </c>
      <c r="O67" s="29" t="s">
        <v>320</v>
      </c>
      <c r="P67" s="29">
        <f>COUNTIFS('PRN 2016'!$U$3:$U$84,"&gt;=40.00%",'PRN 2016'!$U$3:$U$84,"&lt;50.00%")</f>
        <v>2</v>
      </c>
      <c r="Q67" s="34">
        <f t="shared" si="23"/>
        <v>2.4390243902439025E-2</v>
      </c>
    </row>
    <row r="68" spans="1:17">
      <c r="A68" s="13" t="s">
        <v>182</v>
      </c>
      <c r="B68" s="14" t="s">
        <v>185</v>
      </c>
      <c r="C68" s="29" t="str">
        <f>IF('PRN 2016'!Q68&lt;&gt;"",'PRN 2016'!Q68,"")</f>
        <v>PRS</v>
      </c>
      <c r="D68" s="29" t="str">
        <f t="shared" ref="D68:D84" si="24">IF(C68&lt;&gt;"",INDEX($J$3:$J$23,MATCH(C68,$I$3:$I$23,0),1),"")</f>
        <v>GPS</v>
      </c>
      <c r="E68" s="29" t="str">
        <f t="shared" ref="E68:E84" si="25">IF(D68&lt;&gt;"",INDEX($K$3:$K$23,MATCH(D68,$J$3:$J$23,0),1),"")</f>
        <v>KERAJAAN</v>
      </c>
      <c r="I68" s="29" t="s">
        <v>330</v>
      </c>
      <c r="J68" s="29">
        <f>COUNTIFS('PRN 2016'!$L$3:$L$84,"&gt;=50.00%",'PRN 2016'!$L$3:$L$84,"&lt;60.00%")</f>
        <v>1</v>
      </c>
      <c r="K68" s="34">
        <f t="shared" si="22"/>
        <v>1.2195121951219513E-2</v>
      </c>
      <c r="O68" s="29" t="s">
        <v>330</v>
      </c>
      <c r="P68" s="29">
        <f>COUNTIFS('PRN 2016'!$U$3:$U$84,"&gt;=50.00%",'PRN 2016'!$U$3:$U$84,"&lt;60.00%")</f>
        <v>24</v>
      </c>
      <c r="Q68" s="34">
        <f t="shared" si="23"/>
        <v>0.29268292682926828</v>
      </c>
    </row>
    <row r="69" spans="1:17">
      <c r="A69" s="13" t="s">
        <v>188</v>
      </c>
      <c r="B69" s="14" t="s">
        <v>192</v>
      </c>
      <c r="C69" s="29" t="str">
        <f>IF('PRN 2016'!Q69&lt;&gt;"",'PRN 2016'!Q69,"")</f>
        <v>PBB</v>
      </c>
      <c r="D69" s="29" t="str">
        <f t="shared" si="24"/>
        <v>GPS</v>
      </c>
      <c r="E69" s="29" t="str">
        <f t="shared" si="25"/>
        <v>KERAJAAN</v>
      </c>
      <c r="I69" s="29" t="s">
        <v>331</v>
      </c>
      <c r="J69" s="29">
        <f>COUNTIFS('PRN 2016'!$L$3:$L$84,"&gt;=60.00%",'PRN 2016'!$L$3:$L$84,"&lt;70.00%")</f>
        <v>33</v>
      </c>
      <c r="K69" s="34">
        <f t="shared" si="22"/>
        <v>0.40243902439024393</v>
      </c>
      <c r="O69" s="29" t="s">
        <v>331</v>
      </c>
      <c r="P69" s="29">
        <f>COUNTIFS('PRN 2016'!$U$3:$U$84,"&gt;=60.00%",'PRN 2016'!$U$3:$U$84,"&lt;70.00%")</f>
        <v>15</v>
      </c>
      <c r="Q69" s="34">
        <f t="shared" si="23"/>
        <v>0.18292682926829268</v>
      </c>
    </row>
    <row r="70" spans="1:17">
      <c r="A70" s="13" t="s">
        <v>189</v>
      </c>
      <c r="B70" s="14" t="s">
        <v>193</v>
      </c>
      <c r="C70" s="29" t="str">
        <f>IF('PRN 2016'!Q70&lt;&gt;"",'PRN 2016'!Q70,"")</f>
        <v>DAP</v>
      </c>
      <c r="D70" s="29" t="str">
        <f t="shared" si="24"/>
        <v>PH</v>
      </c>
      <c r="E70" s="29" t="str">
        <f t="shared" si="25"/>
        <v>PEMBANGKANG</v>
      </c>
      <c r="I70" s="29" t="s">
        <v>332</v>
      </c>
      <c r="J70" s="29">
        <f>COUNTIFS('PRN 2016'!$L$3:$L$84,"&gt;=70.00%")</f>
        <v>46</v>
      </c>
      <c r="K70" s="34">
        <f t="shared" si="22"/>
        <v>0.56097560975609762</v>
      </c>
      <c r="O70" s="29" t="s">
        <v>332</v>
      </c>
      <c r="P70" s="29">
        <f>COUNTIFS('PRN 2016'!$U$3:$U$84,"&gt;=70.00%")</f>
        <v>38</v>
      </c>
      <c r="Q70" s="34">
        <f t="shared" si="23"/>
        <v>0.46341463414634149</v>
      </c>
    </row>
    <row r="71" spans="1:17">
      <c r="A71" s="13" t="s">
        <v>190</v>
      </c>
      <c r="B71" s="14" t="s">
        <v>194</v>
      </c>
      <c r="C71" s="29" t="str">
        <f>IF('PRN 2016'!Q71&lt;&gt;"",'PRN 2016'!Q71,"")</f>
        <v>PBB</v>
      </c>
      <c r="D71" s="29" t="str">
        <f t="shared" si="24"/>
        <v>GPS</v>
      </c>
      <c r="E71" s="29" t="str">
        <f t="shared" si="25"/>
        <v>KERAJAAN</v>
      </c>
      <c r="I71" s="60"/>
      <c r="J71" s="60"/>
      <c r="O71" s="60"/>
      <c r="P71" s="60"/>
    </row>
    <row r="72" spans="1:17">
      <c r="A72" s="13" t="s">
        <v>191</v>
      </c>
      <c r="B72" s="14" t="s">
        <v>195</v>
      </c>
      <c r="C72" s="29" t="str">
        <f>IF('PRN 2016'!Q72&lt;&gt;"",'PRN 2016'!Q72,"")</f>
        <v>PRS</v>
      </c>
      <c r="D72" s="29" t="str">
        <f t="shared" si="24"/>
        <v>GPS</v>
      </c>
      <c r="E72" s="29" t="str">
        <f t="shared" si="25"/>
        <v>KERAJAAN</v>
      </c>
      <c r="I72" s="24" t="s">
        <v>274</v>
      </c>
      <c r="J72" s="29">
        <f>COUNTIFS('PRN 2016'!$U$3:$U$84,"="&amp;"N/A")</f>
        <v>2</v>
      </c>
      <c r="O72" s="24" t="s">
        <v>274</v>
      </c>
      <c r="P72" s="29">
        <f>COUNTIFS('PRN 2016'!$U$3:$U$84,"="&amp;"N/A")</f>
        <v>2</v>
      </c>
    </row>
    <row r="73" spans="1:17">
      <c r="A73" s="13" t="s">
        <v>198</v>
      </c>
      <c r="B73" s="14" t="s">
        <v>200</v>
      </c>
      <c r="C73" s="29" t="str">
        <f>IF('PRN 2016'!Q73&lt;&gt;"",'PRN 2016'!Q73,"")</f>
        <v>PBB</v>
      </c>
      <c r="D73" s="29" t="str">
        <f t="shared" si="24"/>
        <v>GPS</v>
      </c>
      <c r="E73" s="29" t="str">
        <f t="shared" si="25"/>
        <v>KERAJAAN</v>
      </c>
    </row>
    <row r="74" spans="1:17" ht="15">
      <c r="A74" s="13" t="s">
        <v>199</v>
      </c>
      <c r="B74" s="14" t="s">
        <v>201</v>
      </c>
      <c r="C74" s="29" t="str">
        <f>IF('PRN 2016'!Q74&lt;&gt;"",'PRN 2016'!Q74,"")</f>
        <v>PBB</v>
      </c>
      <c r="D74" s="29" t="str">
        <f t="shared" si="24"/>
        <v>GPS</v>
      </c>
      <c r="E74" s="29" t="str">
        <f t="shared" si="25"/>
        <v>KERAJAAN</v>
      </c>
      <c r="I74" s="30" t="s">
        <v>235</v>
      </c>
      <c r="J74" s="26">
        <f>SUM(J65:J70)+J72</f>
        <v>82</v>
      </c>
      <c r="O74" s="30" t="s">
        <v>235</v>
      </c>
      <c r="P74" s="26">
        <f>SUM(P65:P70)+P72</f>
        <v>82</v>
      </c>
    </row>
    <row r="75" spans="1:17">
      <c r="A75" s="13" t="s">
        <v>204</v>
      </c>
      <c r="B75" s="14" t="s">
        <v>207</v>
      </c>
      <c r="C75" s="29" t="str">
        <f>IF('PRN 2016'!Q75&lt;&gt;"",'PRN 2016'!Q75,"")</f>
        <v>SUPP</v>
      </c>
      <c r="D75" s="29" t="str">
        <f t="shared" si="24"/>
        <v>GPS</v>
      </c>
      <c r="E75" s="29" t="str">
        <f t="shared" si="25"/>
        <v>KERAJAAN</v>
      </c>
    </row>
    <row r="76" spans="1:17">
      <c r="A76" s="13" t="s">
        <v>205</v>
      </c>
      <c r="B76" s="14" t="s">
        <v>208</v>
      </c>
      <c r="C76" s="29" t="str">
        <f>IF('PRN 2016'!Q76&lt;&gt;"",'PRN 2016'!Q76,"")</f>
        <v>DAP</v>
      </c>
      <c r="D76" s="29" t="str">
        <f t="shared" si="24"/>
        <v>PH</v>
      </c>
      <c r="E76" s="29" t="str">
        <f t="shared" si="25"/>
        <v>PEMBANGKANG</v>
      </c>
    </row>
    <row r="77" spans="1:17">
      <c r="A77" s="13" t="s">
        <v>206</v>
      </c>
      <c r="B77" s="14" t="s">
        <v>209</v>
      </c>
      <c r="C77" s="29" t="str">
        <f>IF('PRN 2016'!Q77&lt;&gt;"",'PRN 2016'!Q77,"")</f>
        <v>SUPP</v>
      </c>
      <c r="D77" s="29" t="str">
        <f t="shared" si="24"/>
        <v>GPS</v>
      </c>
      <c r="E77" s="29" t="str">
        <f t="shared" si="25"/>
        <v>KERAJAAN</v>
      </c>
    </row>
    <row r="78" spans="1:17" ht="15">
      <c r="A78" s="13" t="s">
        <v>212</v>
      </c>
      <c r="B78" s="14" t="s">
        <v>215</v>
      </c>
      <c r="C78" s="29" t="str">
        <f>IF('PRN 2016'!Q78&lt;&gt;"",'PRN 2016'!Q78,"")</f>
        <v>PDP</v>
      </c>
      <c r="D78" s="29" t="str">
        <f t="shared" si="24"/>
        <v>GPS</v>
      </c>
      <c r="E78" s="29" t="str">
        <f t="shared" si="25"/>
        <v>KERAJAAN</v>
      </c>
      <c r="I78" s="26" t="s">
        <v>344</v>
      </c>
      <c r="J78" s="26" t="s">
        <v>255</v>
      </c>
    </row>
    <row r="79" spans="1:17">
      <c r="A79" s="13" t="s">
        <v>213</v>
      </c>
      <c r="B79" s="14" t="s">
        <v>216</v>
      </c>
      <c r="C79" s="29" t="str">
        <f>IF('PRN 2016'!Q79&lt;&gt;"",'PRN 2016'!Q79,"")</f>
        <v>PBB</v>
      </c>
      <c r="D79" s="29" t="str">
        <f t="shared" si="24"/>
        <v>GPS</v>
      </c>
      <c r="E79" s="29" t="str">
        <f t="shared" si="25"/>
        <v>KERAJAAN</v>
      </c>
      <c r="I79" s="29" t="s">
        <v>275</v>
      </c>
      <c r="J79" s="29">
        <f>COUNTIFS('PRN 2016'!$I$3:$I$84,"*"&amp;I79&amp;"*")</f>
        <v>29</v>
      </c>
      <c r="K79" s="34">
        <f>J79/$J$87</f>
        <v>0.35365853658536583</v>
      </c>
    </row>
    <row r="80" spans="1:17">
      <c r="A80" s="13" t="s">
        <v>214</v>
      </c>
      <c r="B80" s="14" t="s">
        <v>217</v>
      </c>
      <c r="C80" s="29" t="str">
        <f>IF('PRN 2016'!Q80&lt;&gt;"",'PRN 2016'!Q80,"")</f>
        <v>PBB</v>
      </c>
      <c r="D80" s="29" t="str">
        <f t="shared" si="24"/>
        <v>GPS</v>
      </c>
      <c r="E80" s="29" t="str">
        <f t="shared" si="25"/>
        <v>KERAJAAN</v>
      </c>
      <c r="I80" s="29" t="s">
        <v>276</v>
      </c>
      <c r="J80" s="29">
        <f>COUNTIFS('PRN 2016'!$I$3:$I$84,"*"&amp;I80&amp;"*")</f>
        <v>15</v>
      </c>
      <c r="K80" s="34">
        <f t="shared" ref="K80:K85" si="26">J80/$J$87</f>
        <v>0.18292682926829268</v>
      </c>
    </row>
    <row r="81" spans="1:11">
      <c r="A81" s="13" t="s">
        <v>221</v>
      </c>
      <c r="B81" s="14" t="s">
        <v>223</v>
      </c>
      <c r="C81" s="29" t="str">
        <f>IF('PRN 2016'!Q81&lt;&gt;"",'PRN 2016'!Q81,"")</f>
        <v>PBB</v>
      </c>
      <c r="D81" s="29" t="str">
        <f t="shared" si="24"/>
        <v>GPS</v>
      </c>
      <c r="E81" s="29" t="str">
        <f t="shared" si="25"/>
        <v>KERAJAAN</v>
      </c>
      <c r="I81" s="29" t="s">
        <v>277</v>
      </c>
      <c r="J81" s="29">
        <f>COUNTIFS('PRN 2016'!$I$3:$I$84,"*"&amp;I81&amp;"*")</f>
        <v>22</v>
      </c>
      <c r="K81" s="34">
        <f t="shared" si="26"/>
        <v>0.26829268292682928</v>
      </c>
    </row>
    <row r="82" spans="1:11">
      <c r="A82" s="13" t="s">
        <v>222</v>
      </c>
      <c r="B82" s="14" t="s">
        <v>224</v>
      </c>
      <c r="C82" s="29" t="str">
        <f>IF('PRN 2016'!Q82&lt;&gt;"",'PRN 2016'!Q82,"")</f>
        <v>PBB</v>
      </c>
      <c r="D82" s="29" t="str">
        <f t="shared" si="24"/>
        <v>GPS</v>
      </c>
      <c r="E82" s="29" t="str">
        <f t="shared" si="25"/>
        <v>KERAJAAN</v>
      </c>
      <c r="I82" s="29" t="s">
        <v>278</v>
      </c>
      <c r="J82" s="29">
        <f>COUNTIFS('PRN 2016'!$I$3:$I$84,"*"&amp;I82&amp;"*")</f>
        <v>6</v>
      </c>
      <c r="K82" s="34">
        <f t="shared" si="26"/>
        <v>7.3170731707317069E-2</v>
      </c>
    </row>
    <row r="83" spans="1:11">
      <c r="A83" s="13" t="s">
        <v>226</v>
      </c>
      <c r="B83" s="14" t="s">
        <v>228</v>
      </c>
      <c r="C83" s="29" t="str">
        <f>IF('PRN 2016'!Q83&lt;&gt;"",'PRN 2016'!Q83,"")</f>
        <v>PSB</v>
      </c>
      <c r="D83" s="29" t="str">
        <f t="shared" si="24"/>
        <v>PSB</v>
      </c>
      <c r="E83" s="29" t="str">
        <f t="shared" si="25"/>
        <v>PEMBANGKANG</v>
      </c>
      <c r="I83" s="29" t="s">
        <v>281</v>
      </c>
      <c r="J83" s="29">
        <f>COUNTIFS('PRN 2016'!$I$3:$I$84,"*"&amp;I83&amp;"*")</f>
        <v>5</v>
      </c>
      <c r="K83" s="34">
        <f t="shared" si="26"/>
        <v>6.097560975609756E-2</v>
      </c>
    </row>
    <row r="84" spans="1:11">
      <c r="A84" s="13" t="s">
        <v>227</v>
      </c>
      <c r="B84" s="14" t="s">
        <v>229</v>
      </c>
      <c r="C84" s="29" t="str">
        <f>IF('PRN 2016'!Q84&lt;&gt;"",'PRN 2016'!Q84,"")</f>
        <v>PBB</v>
      </c>
      <c r="D84" s="29" t="str">
        <f t="shared" si="24"/>
        <v>GPS</v>
      </c>
      <c r="E84" s="29" t="str">
        <f t="shared" si="25"/>
        <v>KERAJAAN</v>
      </c>
      <c r="I84" s="29" t="s">
        <v>279</v>
      </c>
      <c r="J84" s="29">
        <f>COUNTIFS('PRN 2016'!$I$3:$I$84,"*"&amp;I84&amp;"*")</f>
        <v>0</v>
      </c>
      <c r="K84" s="34">
        <f t="shared" si="26"/>
        <v>0</v>
      </c>
    </row>
    <row r="85" spans="1:11">
      <c r="I85" s="29" t="s">
        <v>345</v>
      </c>
      <c r="J85" s="29">
        <f>COUNTIFS('PRN 2016'!$I$3:$I$84,"*"&amp;I85&amp;"*")</f>
        <v>5</v>
      </c>
      <c r="K85" s="34">
        <f t="shared" si="26"/>
        <v>6.097560975609756E-2</v>
      </c>
    </row>
    <row r="87" spans="1:11" ht="15">
      <c r="I87" s="30" t="s">
        <v>235</v>
      </c>
      <c r="J87" s="26">
        <f>SUM(J79:J85)</f>
        <v>82</v>
      </c>
    </row>
  </sheetData>
  <mergeCells count="3">
    <mergeCell ref="A1:A2"/>
    <mergeCell ref="B1:B2"/>
    <mergeCell ref="C1:E1"/>
  </mergeCells>
  <conditionalFormatting sqref="D3:D84">
    <cfRule type="cellIs" dxfId="252" priority="4" operator="equal">
      <formula>"PN"</formula>
    </cfRule>
    <cfRule type="cellIs" dxfId="251" priority="5" operator="equal">
      <formula>"SEDAR"</formula>
    </cfRule>
    <cfRule type="cellIs" dxfId="250" priority="6" operator="equal">
      <formula>"PBDSB"</formula>
    </cfRule>
    <cfRule type="cellIs" dxfId="249" priority="7" operator="equal">
      <formula>"ASPIRASI"</formula>
    </cfRule>
    <cfRule type="cellIs" dxfId="248" priority="8" operator="equal">
      <formula>"PBK"</formula>
    </cfRule>
    <cfRule type="cellIs" dxfId="247" priority="9" operator="equal">
      <formula>"PSB"</formula>
    </cfRule>
    <cfRule type="containsText" dxfId="246" priority="10" operator="containsText" text="BEBAS">
      <formula>NOT(ISERROR(SEARCH("BEBAS",D3)))</formula>
    </cfRule>
    <cfRule type="cellIs" dxfId="245" priority="11" operator="equal">
      <formula>"PH"</formula>
    </cfRule>
    <cfRule type="cellIs" dxfId="244" priority="12" operator="equal">
      <formula>"GPS"</formula>
    </cfRule>
  </conditionalFormatting>
  <conditionalFormatting sqref="E3:E84">
    <cfRule type="cellIs" priority="1" operator="equal">
      <formula>"BEBAS"</formula>
    </cfRule>
    <cfRule type="cellIs" dxfId="243" priority="2" operator="equal">
      <formula>"PEMBANGKANG"</formula>
    </cfRule>
    <cfRule type="cellIs" dxfId="242" priority="3" operator="equal">
      <formula>"KERAJAAN"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6666-ACBF-4700-B0FF-5DDD95C3FD06}">
  <dimension ref="A1:AK133"/>
  <sheetViews>
    <sheetView topLeftCell="K64" workbookViewId="0">
      <selection activeCell="W49" sqref="W49"/>
    </sheetView>
  </sheetViews>
  <sheetFormatPr defaultRowHeight="14.25"/>
  <cols>
    <col min="1" max="1" width="5.75" style="24" customWidth="1"/>
    <col min="2" max="2" width="19.375" style="23" customWidth="1"/>
    <col min="3" max="3" width="11" style="24" customWidth="1"/>
    <col min="4" max="5" width="7.875" style="24" customWidth="1"/>
    <col min="6" max="6" width="10.625" style="24" customWidth="1"/>
    <col min="7" max="7" width="8.875" style="24" customWidth="1"/>
    <col min="8" max="8" width="11.25" style="24" customWidth="1"/>
    <col min="9" max="9" width="12.25" style="4" customWidth="1"/>
    <col min="10" max="10" width="11" style="24" customWidth="1"/>
    <col min="11" max="11" width="14" style="24" customWidth="1"/>
    <col min="12" max="12" width="13.25" style="24" customWidth="1"/>
    <col min="13" max="13" width="14" style="24" customWidth="1"/>
    <col min="14" max="14" width="16.75" style="24" customWidth="1"/>
    <col min="15" max="15" width="9" style="24" customWidth="1"/>
    <col min="16" max="16" width="12" style="24" customWidth="1"/>
    <col min="17" max="18" width="10.75" style="24" customWidth="1"/>
    <col min="19" max="19" width="16.875" style="24" customWidth="1"/>
    <col min="20" max="20" width="7.25" style="24" customWidth="1"/>
    <col min="21" max="21" width="8" style="24" customWidth="1"/>
    <col min="22" max="22" width="9.5" style="24" customWidth="1"/>
    <col min="23" max="23" width="10.75" style="24" customWidth="1"/>
    <col min="24" max="24" width="6.25" style="24" customWidth="1"/>
    <col min="25" max="25" width="8" style="24" customWidth="1"/>
    <col min="26" max="26" width="13.25" style="24" customWidth="1"/>
    <col min="27" max="27" width="10.875" style="24" customWidth="1"/>
    <col min="28" max="28" width="6.25" style="24" customWidth="1"/>
    <col min="29" max="29" width="8" style="24" customWidth="1"/>
    <col min="30" max="30" width="13.25" style="24" customWidth="1"/>
    <col min="31" max="31" width="10.75" style="24" customWidth="1"/>
    <col min="32" max="32" width="6.25" style="24" customWidth="1"/>
    <col min="33" max="33" width="8" style="24" customWidth="1"/>
    <col min="34" max="34" width="9.5" style="23" customWidth="1"/>
    <col min="35" max="35" width="10.75" style="23" customWidth="1"/>
    <col min="36" max="16384" width="9" style="23"/>
  </cols>
  <sheetData>
    <row r="1" spans="1:37" ht="15">
      <c r="A1" s="84" t="s">
        <v>0</v>
      </c>
      <c r="B1" s="84" t="s">
        <v>1</v>
      </c>
      <c r="C1" s="85" t="s">
        <v>275</v>
      </c>
      <c r="D1" s="85" t="s">
        <v>276</v>
      </c>
      <c r="E1" s="85" t="s">
        <v>277</v>
      </c>
      <c r="F1" s="85" t="s">
        <v>278</v>
      </c>
      <c r="G1" s="85" t="s">
        <v>281</v>
      </c>
      <c r="H1" s="85" t="s">
        <v>279</v>
      </c>
      <c r="I1" s="85" t="s">
        <v>280</v>
      </c>
      <c r="J1" s="85" t="s">
        <v>261</v>
      </c>
      <c r="K1" s="85" t="s">
        <v>264</v>
      </c>
      <c r="L1" s="85" t="s">
        <v>262</v>
      </c>
      <c r="M1" s="85" t="s">
        <v>265</v>
      </c>
      <c r="N1" s="85" t="s">
        <v>268</v>
      </c>
      <c r="O1" s="85" t="s">
        <v>263</v>
      </c>
      <c r="P1" s="85" t="s">
        <v>257</v>
      </c>
      <c r="Q1" s="84" t="s">
        <v>260</v>
      </c>
      <c r="R1" s="84"/>
      <c r="S1" s="84"/>
      <c r="T1" s="84"/>
      <c r="U1" s="84"/>
      <c r="V1" s="84" t="s">
        <v>259</v>
      </c>
      <c r="W1" s="84"/>
      <c r="X1" s="84"/>
      <c r="Y1" s="84"/>
      <c r="Z1" s="84" t="s">
        <v>266</v>
      </c>
      <c r="AA1" s="84"/>
      <c r="AB1" s="84"/>
      <c r="AC1" s="84"/>
      <c r="AD1" s="84" t="s">
        <v>267</v>
      </c>
      <c r="AE1" s="84"/>
      <c r="AF1" s="84"/>
      <c r="AG1" s="84"/>
      <c r="AH1" s="84" t="s">
        <v>273</v>
      </c>
      <c r="AI1" s="84"/>
      <c r="AJ1" s="84"/>
      <c r="AK1" s="84"/>
    </row>
    <row r="2" spans="1:37" s="25" customFormat="1" ht="30">
      <c r="A2" s="84"/>
      <c r="B2" s="84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9" t="s">
        <v>236</v>
      </c>
      <c r="R2" s="9" t="s">
        <v>237</v>
      </c>
      <c r="S2" s="9" t="s">
        <v>238</v>
      </c>
      <c r="T2" s="9" t="s">
        <v>256</v>
      </c>
      <c r="U2" s="9" t="s">
        <v>258</v>
      </c>
      <c r="V2" s="9" t="s">
        <v>236</v>
      </c>
      <c r="W2" s="9" t="s">
        <v>237</v>
      </c>
      <c r="X2" s="9" t="s">
        <v>256</v>
      </c>
      <c r="Y2" s="9" t="s">
        <v>258</v>
      </c>
      <c r="Z2" s="9" t="s">
        <v>236</v>
      </c>
      <c r="AA2" s="9" t="s">
        <v>237</v>
      </c>
      <c r="AB2" s="9" t="s">
        <v>256</v>
      </c>
      <c r="AC2" s="9" t="s">
        <v>258</v>
      </c>
      <c r="AD2" s="9" t="s">
        <v>236</v>
      </c>
      <c r="AE2" s="9" t="s">
        <v>237</v>
      </c>
      <c r="AF2" s="9" t="s">
        <v>256</v>
      </c>
      <c r="AG2" s="9" t="s">
        <v>258</v>
      </c>
      <c r="AH2" s="9" t="s">
        <v>236</v>
      </c>
      <c r="AI2" s="9" t="s">
        <v>237</v>
      </c>
      <c r="AJ2" s="9" t="s">
        <v>256</v>
      </c>
      <c r="AK2" s="9" t="s">
        <v>258</v>
      </c>
    </row>
    <row r="3" spans="1:37">
      <c r="A3" s="13" t="s">
        <v>5</v>
      </c>
      <c r="B3" s="14" t="s">
        <v>6</v>
      </c>
      <c r="C3" s="37">
        <v>3.6999999999999998E-2</v>
      </c>
      <c r="D3" s="37">
        <v>7.0999999999999994E-2</v>
      </c>
      <c r="E3" s="37">
        <v>8.2000000000000003E-2</v>
      </c>
      <c r="F3" s="37">
        <v>0.80200000000000005</v>
      </c>
      <c r="G3" s="37"/>
      <c r="H3" s="37">
        <f>1-C3-D3-E3-F3-G3</f>
        <v>8.0000000000000071E-3</v>
      </c>
      <c r="I3" s="13" t="str">
        <f>IF(C3&gt;0.5,"MELAYU / MELANAU",IF(D3&gt;0.5,"CINA",IF(E3&gt;0.5,"IBAN",IF(F3&gt;0.5,"BIDAYUH",IF(G3&gt;0.5,"ORANG ULU",IF(H3&gt;0.5,"LAIN-LAIN","MIXED"))))))</f>
        <v>BIDAYUH</v>
      </c>
      <c r="J3" s="15">
        <f>T3-X3</f>
        <v>2082</v>
      </c>
      <c r="K3" s="15">
        <v>9714</v>
      </c>
      <c r="L3" s="16">
        <f>M3/K3</f>
        <v>0.76374305126621367</v>
      </c>
      <c r="M3" s="15">
        <v>7419</v>
      </c>
      <c r="N3" s="15">
        <v>41</v>
      </c>
      <c r="O3" s="15">
        <v>57</v>
      </c>
      <c r="P3" s="33">
        <f>M3-N3-O3</f>
        <v>7321</v>
      </c>
      <c r="Q3" s="29" t="s">
        <v>252</v>
      </c>
      <c r="R3" s="29" t="s">
        <v>251</v>
      </c>
      <c r="S3" s="29" t="s">
        <v>247</v>
      </c>
      <c r="T3" s="33">
        <v>3665</v>
      </c>
      <c r="U3" s="34">
        <f>T3/P3</f>
        <v>0.50061467012703187</v>
      </c>
      <c r="V3" s="29" t="s">
        <v>251</v>
      </c>
      <c r="W3" s="29" t="s">
        <v>251</v>
      </c>
      <c r="X3" s="33">
        <v>1583</v>
      </c>
      <c r="Y3" s="34">
        <f>X3/P3</f>
        <v>0.21622729135364022</v>
      </c>
      <c r="Z3" s="29" t="s">
        <v>253</v>
      </c>
      <c r="AA3" s="29" t="s">
        <v>245</v>
      </c>
      <c r="AB3" s="33">
        <v>1549</v>
      </c>
      <c r="AC3" s="34">
        <f>AB3/P3</f>
        <v>0.21158311706051086</v>
      </c>
      <c r="AD3" s="29" t="s">
        <v>269</v>
      </c>
      <c r="AE3" s="29" t="s">
        <v>270</v>
      </c>
      <c r="AF3" s="33">
        <v>524</v>
      </c>
      <c r="AG3" s="34">
        <f>AF3/P3</f>
        <v>7.1574921458817095E-2</v>
      </c>
      <c r="AH3" s="29"/>
      <c r="AI3" s="29"/>
      <c r="AJ3" s="33"/>
      <c r="AK3" s="34">
        <f>AJ3/P3</f>
        <v>0</v>
      </c>
    </row>
    <row r="4" spans="1:37">
      <c r="A4" s="13" t="s">
        <v>8</v>
      </c>
      <c r="B4" s="14" t="s">
        <v>7</v>
      </c>
      <c r="C4" s="37">
        <v>5.8999999999999997E-2</v>
      </c>
      <c r="D4" s="37">
        <v>0.26200000000000001</v>
      </c>
      <c r="E4" s="37">
        <v>0.02</v>
      </c>
      <c r="F4" s="37">
        <v>0.65300000000000002</v>
      </c>
      <c r="G4" s="37"/>
      <c r="H4" s="37">
        <f t="shared" ref="H4:H67" si="0">1-C4-D4-E4-F4-G4</f>
        <v>6.0000000000000053E-3</v>
      </c>
      <c r="I4" s="13" t="str">
        <f t="shared" ref="I4:I67" si="1">IF(C4&gt;0.5,"MELAYU / MELANAU",IF(D4&gt;0.5,"CINA",IF(E4&gt;0.5,"IBAN",IF(F4&gt;0.5,"BIDAYUH",IF(G4&gt;0.5,"ORANG ULU",IF(H4&gt;0.5,"LAIN-LAIN","MIXED"))))))</f>
        <v>BIDAYUH</v>
      </c>
      <c r="J4" s="15">
        <f t="shared" ref="J4:J67" si="2">T4-X4</f>
        <v>1288</v>
      </c>
      <c r="K4" s="15">
        <v>17041</v>
      </c>
      <c r="L4" s="16">
        <f t="shared" ref="L4:L67" si="3">M4/K4</f>
        <v>0.75095358253623612</v>
      </c>
      <c r="M4" s="15">
        <v>12797</v>
      </c>
      <c r="N4" s="15">
        <v>44</v>
      </c>
      <c r="O4" s="15">
        <v>197</v>
      </c>
      <c r="P4" s="33">
        <f t="shared" ref="P4:P67" si="4">M4-N4-O4</f>
        <v>12556</v>
      </c>
      <c r="Q4" s="29" t="s">
        <v>240</v>
      </c>
      <c r="R4" s="29" t="s">
        <v>241</v>
      </c>
      <c r="S4" s="29" t="s">
        <v>242</v>
      </c>
      <c r="T4" s="33">
        <v>6922</v>
      </c>
      <c r="U4" s="34">
        <f t="shared" ref="U4:U67" si="5">T4/P4</f>
        <v>0.55129021981522774</v>
      </c>
      <c r="V4" s="29" t="s">
        <v>244</v>
      </c>
      <c r="W4" s="29" t="s">
        <v>245</v>
      </c>
      <c r="X4" s="33">
        <v>5634</v>
      </c>
      <c r="Y4" s="34">
        <f t="shared" ref="Y4:Y67" si="6">X4/P4</f>
        <v>0.4487097801847722</v>
      </c>
      <c r="Z4" s="29"/>
      <c r="AA4" s="29"/>
      <c r="AB4" s="33"/>
      <c r="AC4" s="34">
        <f t="shared" ref="AC4:AC67" si="7">AB4/P4</f>
        <v>0</v>
      </c>
      <c r="AD4" s="29"/>
      <c r="AE4" s="29"/>
      <c r="AF4" s="33"/>
      <c r="AG4" s="34">
        <f t="shared" ref="AG4:AG67" si="8">AF4/P4</f>
        <v>0</v>
      </c>
      <c r="AH4" s="29"/>
      <c r="AI4" s="29"/>
      <c r="AJ4" s="33"/>
      <c r="AK4" s="34">
        <f t="shared" ref="AK4:AK67" si="9">AJ4/P4</f>
        <v>0</v>
      </c>
    </row>
    <row r="5" spans="1:37" ht="28.5">
      <c r="A5" s="13" t="s">
        <v>12</v>
      </c>
      <c r="B5" s="14" t="s">
        <v>15</v>
      </c>
      <c r="C5" s="37">
        <v>0.52400000000000002</v>
      </c>
      <c r="D5" s="37">
        <v>0.185</v>
      </c>
      <c r="E5" s="37">
        <v>0.16200000000000001</v>
      </c>
      <c r="F5" s="37">
        <v>0.125</v>
      </c>
      <c r="G5" s="37"/>
      <c r="H5" s="37">
        <f t="shared" si="0"/>
        <v>3.9999999999999758E-3</v>
      </c>
      <c r="I5" s="13" t="str">
        <f t="shared" si="1"/>
        <v>MELAYU / MELANAU</v>
      </c>
      <c r="J5" s="15">
        <f t="shared" si="2"/>
        <v>5892</v>
      </c>
      <c r="K5" s="15">
        <v>9899</v>
      </c>
      <c r="L5" s="16">
        <f t="shared" si="3"/>
        <v>0.70067683604404485</v>
      </c>
      <c r="M5" s="15">
        <v>6936</v>
      </c>
      <c r="N5" s="15">
        <v>31</v>
      </c>
      <c r="O5" s="15">
        <v>77</v>
      </c>
      <c r="P5" s="33">
        <f t="shared" si="4"/>
        <v>6828</v>
      </c>
      <c r="Q5" s="29" t="s">
        <v>243</v>
      </c>
      <c r="R5" s="29" t="s">
        <v>241</v>
      </c>
      <c r="S5" s="29" t="s">
        <v>242</v>
      </c>
      <c r="T5" s="33">
        <v>6360</v>
      </c>
      <c r="U5" s="34">
        <f t="shared" si="5"/>
        <v>0.93145869947275928</v>
      </c>
      <c r="V5" s="29" t="s">
        <v>253</v>
      </c>
      <c r="W5" s="29" t="s">
        <v>245</v>
      </c>
      <c r="X5" s="33">
        <v>468</v>
      </c>
      <c r="Y5" s="34">
        <f t="shared" si="6"/>
        <v>6.8541300527240778E-2</v>
      </c>
      <c r="Z5" s="29"/>
      <c r="AA5" s="29"/>
      <c r="AB5" s="33"/>
      <c r="AC5" s="34">
        <f t="shared" si="7"/>
        <v>0</v>
      </c>
      <c r="AD5" s="29"/>
      <c r="AE5" s="29"/>
      <c r="AF5" s="33"/>
      <c r="AG5" s="34">
        <f t="shared" si="8"/>
        <v>0</v>
      </c>
      <c r="AH5" s="29"/>
      <c r="AI5" s="29"/>
      <c r="AJ5" s="33"/>
      <c r="AK5" s="34">
        <f t="shared" si="9"/>
        <v>0</v>
      </c>
    </row>
    <row r="6" spans="1:37" ht="28.5">
      <c r="A6" s="13" t="s">
        <v>13</v>
      </c>
      <c r="B6" s="14" t="s">
        <v>16</v>
      </c>
      <c r="C6" s="37">
        <v>0.93100000000000005</v>
      </c>
      <c r="D6" s="37">
        <v>2.9000000000000001E-2</v>
      </c>
      <c r="E6" s="37">
        <v>2.7E-2</v>
      </c>
      <c r="F6" s="37"/>
      <c r="G6" s="37"/>
      <c r="H6" s="37">
        <f t="shared" si="0"/>
        <v>1.2999999999999953E-2</v>
      </c>
      <c r="I6" s="13" t="str">
        <f t="shared" si="1"/>
        <v>MELAYU / MELANAU</v>
      </c>
      <c r="J6" s="15">
        <f t="shared" si="2"/>
        <v>5071</v>
      </c>
      <c r="K6" s="15">
        <v>14104</v>
      </c>
      <c r="L6" s="16">
        <f t="shared" si="3"/>
        <v>0.71171298922291548</v>
      </c>
      <c r="M6" s="15">
        <v>10038</v>
      </c>
      <c r="N6" s="15">
        <v>43</v>
      </c>
      <c r="O6" s="15">
        <v>105</v>
      </c>
      <c r="P6" s="33">
        <f t="shared" si="4"/>
        <v>9890</v>
      </c>
      <c r="Q6" s="29" t="s">
        <v>243</v>
      </c>
      <c r="R6" s="29" t="s">
        <v>241</v>
      </c>
      <c r="S6" s="29" t="s">
        <v>242</v>
      </c>
      <c r="T6" s="33">
        <v>7425</v>
      </c>
      <c r="U6" s="34">
        <f t="shared" si="5"/>
        <v>0.75075834175935285</v>
      </c>
      <c r="V6" s="29" t="s">
        <v>253</v>
      </c>
      <c r="W6" s="29" t="s">
        <v>245</v>
      </c>
      <c r="X6" s="33">
        <v>2354</v>
      </c>
      <c r="Y6" s="34">
        <f t="shared" si="6"/>
        <v>0.23801820020222447</v>
      </c>
      <c r="Z6" s="29" t="s">
        <v>251</v>
      </c>
      <c r="AA6" s="29" t="s">
        <v>251</v>
      </c>
      <c r="AB6" s="33">
        <v>111</v>
      </c>
      <c r="AC6" s="34">
        <f t="shared" si="7"/>
        <v>1.1223458038422649E-2</v>
      </c>
      <c r="AD6" s="29"/>
      <c r="AE6" s="29"/>
      <c r="AF6" s="33"/>
      <c r="AG6" s="34">
        <f t="shared" si="8"/>
        <v>0</v>
      </c>
      <c r="AH6" s="29"/>
      <c r="AI6" s="29"/>
      <c r="AJ6" s="33"/>
      <c r="AK6" s="34">
        <f t="shared" si="9"/>
        <v>0</v>
      </c>
    </row>
    <row r="7" spans="1:37" ht="28.5">
      <c r="A7" s="13" t="s">
        <v>14</v>
      </c>
      <c r="B7" s="14" t="s">
        <v>17</v>
      </c>
      <c r="C7" s="37">
        <v>0.89300000000000002</v>
      </c>
      <c r="D7" s="37">
        <v>7.3999999999999996E-2</v>
      </c>
      <c r="E7" s="37">
        <v>1.9E-2</v>
      </c>
      <c r="F7" s="37">
        <v>1.2E-2</v>
      </c>
      <c r="G7" s="37"/>
      <c r="H7" s="37">
        <f t="shared" si="0"/>
        <v>1.9999999999999879E-3</v>
      </c>
      <c r="I7" s="13" t="str">
        <f t="shared" si="1"/>
        <v>MELAYU / MELANAU</v>
      </c>
      <c r="J7" s="15">
        <f t="shared" si="2"/>
        <v>7382</v>
      </c>
      <c r="K7" s="15">
        <v>13830</v>
      </c>
      <c r="L7" s="16">
        <f t="shared" si="3"/>
        <v>0.71431670281995663</v>
      </c>
      <c r="M7" s="15">
        <v>9879</v>
      </c>
      <c r="N7" s="15">
        <v>44</v>
      </c>
      <c r="O7" s="15">
        <v>139</v>
      </c>
      <c r="P7" s="33">
        <f t="shared" si="4"/>
        <v>9696</v>
      </c>
      <c r="Q7" s="29" t="s">
        <v>243</v>
      </c>
      <c r="R7" s="29" t="s">
        <v>241</v>
      </c>
      <c r="S7" s="29" t="s">
        <v>242</v>
      </c>
      <c r="T7" s="33">
        <v>8539</v>
      </c>
      <c r="U7" s="34">
        <f t="shared" si="5"/>
        <v>0.88067244224422447</v>
      </c>
      <c r="V7" s="29" t="s">
        <v>254</v>
      </c>
      <c r="W7" s="29" t="s">
        <v>245</v>
      </c>
      <c r="X7" s="33">
        <v>1157</v>
      </c>
      <c r="Y7" s="34">
        <f t="shared" si="6"/>
        <v>0.11932755775577558</v>
      </c>
      <c r="Z7" s="29"/>
      <c r="AA7" s="29"/>
      <c r="AB7" s="33"/>
      <c r="AC7" s="34">
        <f t="shared" si="7"/>
        <v>0</v>
      </c>
      <c r="AD7" s="29"/>
      <c r="AE7" s="29"/>
      <c r="AF7" s="33"/>
      <c r="AG7" s="34">
        <f t="shared" si="8"/>
        <v>0</v>
      </c>
      <c r="AH7" s="29"/>
      <c r="AI7" s="29"/>
      <c r="AJ7" s="33"/>
      <c r="AK7" s="34">
        <f t="shared" si="9"/>
        <v>0</v>
      </c>
    </row>
    <row r="8" spans="1:37" ht="28.5">
      <c r="A8" s="13" t="s">
        <v>20</v>
      </c>
      <c r="B8" s="14" t="s">
        <v>23</v>
      </c>
      <c r="C8" s="37">
        <v>0.71899999999999997</v>
      </c>
      <c r="D8" s="37">
        <v>0.16900000000000001</v>
      </c>
      <c r="E8" s="37">
        <v>0.06</v>
      </c>
      <c r="F8" s="37">
        <v>3.9E-2</v>
      </c>
      <c r="G8" s="37"/>
      <c r="H8" s="37">
        <f t="shared" si="0"/>
        <v>1.3000000000000018E-2</v>
      </c>
      <c r="I8" s="13" t="str">
        <f t="shared" si="1"/>
        <v>MELAYU / MELANAU</v>
      </c>
      <c r="J8" s="15">
        <f t="shared" si="2"/>
        <v>8055</v>
      </c>
      <c r="K8" s="15">
        <v>21499</v>
      </c>
      <c r="L8" s="16">
        <f t="shared" si="3"/>
        <v>0.65403042001953582</v>
      </c>
      <c r="M8" s="15">
        <v>14061</v>
      </c>
      <c r="N8" s="15">
        <v>79</v>
      </c>
      <c r="O8" s="15">
        <v>153</v>
      </c>
      <c r="P8" s="33">
        <f t="shared" si="4"/>
        <v>13829</v>
      </c>
      <c r="Q8" s="29" t="s">
        <v>243</v>
      </c>
      <c r="R8" s="29" t="s">
        <v>241</v>
      </c>
      <c r="S8" s="29" t="s">
        <v>242</v>
      </c>
      <c r="T8" s="33">
        <v>10942</v>
      </c>
      <c r="U8" s="34">
        <f t="shared" si="5"/>
        <v>0.79123580880757827</v>
      </c>
      <c r="V8" s="29" t="s">
        <v>253</v>
      </c>
      <c r="W8" s="29" t="s">
        <v>245</v>
      </c>
      <c r="X8" s="33">
        <v>2887</v>
      </c>
      <c r="Y8" s="34">
        <f t="shared" si="6"/>
        <v>0.20876419119242173</v>
      </c>
      <c r="Z8" s="29"/>
      <c r="AA8" s="29"/>
      <c r="AB8" s="33"/>
      <c r="AC8" s="34">
        <f t="shared" si="7"/>
        <v>0</v>
      </c>
      <c r="AD8" s="29"/>
      <c r="AE8" s="29"/>
      <c r="AF8" s="33"/>
      <c r="AG8" s="34">
        <f t="shared" si="8"/>
        <v>0</v>
      </c>
      <c r="AH8" s="29"/>
      <c r="AI8" s="29"/>
      <c r="AJ8" s="33"/>
      <c r="AK8" s="34">
        <f t="shared" si="9"/>
        <v>0</v>
      </c>
    </row>
    <row r="9" spans="1:37" ht="28.5">
      <c r="A9" s="13" t="s">
        <v>21</v>
      </c>
      <c r="B9" s="14" t="s">
        <v>24</v>
      </c>
      <c r="C9" s="37">
        <v>0.90400000000000003</v>
      </c>
      <c r="D9" s="37">
        <v>1.6E-2</v>
      </c>
      <c r="E9" s="37">
        <v>0.06</v>
      </c>
      <c r="F9" s="37">
        <v>1.6E-2</v>
      </c>
      <c r="G9" s="37"/>
      <c r="H9" s="37">
        <f t="shared" si="0"/>
        <v>3.9999999999999758E-3</v>
      </c>
      <c r="I9" s="13" t="str">
        <f t="shared" si="1"/>
        <v>MELAYU / MELANAU</v>
      </c>
      <c r="J9" s="15">
        <f t="shared" si="2"/>
        <v>7760</v>
      </c>
      <c r="K9" s="15">
        <v>18250</v>
      </c>
      <c r="L9" s="16">
        <f t="shared" si="3"/>
        <v>0.6792876712328767</v>
      </c>
      <c r="M9" s="15">
        <v>12397</v>
      </c>
      <c r="N9" s="15">
        <v>70</v>
      </c>
      <c r="O9" s="15">
        <v>108</v>
      </c>
      <c r="P9" s="33">
        <f t="shared" si="4"/>
        <v>12219</v>
      </c>
      <c r="Q9" s="29" t="s">
        <v>243</v>
      </c>
      <c r="R9" s="29" t="s">
        <v>241</v>
      </c>
      <c r="S9" s="29" t="s">
        <v>242</v>
      </c>
      <c r="T9" s="33">
        <v>9795</v>
      </c>
      <c r="U9" s="34">
        <f t="shared" si="5"/>
        <v>0.80162042720353544</v>
      </c>
      <c r="V9" s="29" t="s">
        <v>250</v>
      </c>
      <c r="W9" s="29" t="s">
        <v>246</v>
      </c>
      <c r="X9" s="33">
        <v>2035</v>
      </c>
      <c r="Y9" s="34">
        <f t="shared" si="6"/>
        <v>0.16654390703003519</v>
      </c>
      <c r="Z9" s="29" t="s">
        <v>254</v>
      </c>
      <c r="AA9" s="29" t="s">
        <v>245</v>
      </c>
      <c r="AB9" s="33">
        <v>389</v>
      </c>
      <c r="AC9" s="34">
        <f t="shared" si="7"/>
        <v>3.1835665766429329E-2</v>
      </c>
      <c r="AD9" s="29"/>
      <c r="AE9" s="29"/>
      <c r="AF9" s="33"/>
      <c r="AG9" s="34">
        <f t="shared" si="8"/>
        <v>0</v>
      </c>
      <c r="AH9" s="29"/>
      <c r="AI9" s="29"/>
      <c r="AJ9" s="33"/>
      <c r="AK9" s="34">
        <f t="shared" si="9"/>
        <v>0</v>
      </c>
    </row>
    <row r="10" spans="1:37" ht="28.5">
      <c r="A10" s="13" t="s">
        <v>22</v>
      </c>
      <c r="B10" s="14" t="s">
        <v>25</v>
      </c>
      <c r="C10" s="37">
        <v>0.69499999999999995</v>
      </c>
      <c r="D10" s="37">
        <v>0.23</v>
      </c>
      <c r="E10" s="37">
        <v>3.9E-2</v>
      </c>
      <c r="F10" s="37">
        <v>1.7000000000000001E-2</v>
      </c>
      <c r="G10" s="37"/>
      <c r="H10" s="37">
        <f t="shared" si="0"/>
        <v>1.9000000000000038E-2</v>
      </c>
      <c r="I10" s="13" t="str">
        <f t="shared" si="1"/>
        <v>MELAYU / MELANAU</v>
      </c>
      <c r="J10" s="15">
        <f t="shared" si="2"/>
        <v>5045</v>
      </c>
      <c r="K10" s="15">
        <v>13550</v>
      </c>
      <c r="L10" s="16">
        <f t="shared" si="3"/>
        <v>0.64966789667896674</v>
      </c>
      <c r="M10" s="15">
        <v>8803</v>
      </c>
      <c r="N10" s="15">
        <v>44</v>
      </c>
      <c r="O10" s="15">
        <v>96</v>
      </c>
      <c r="P10" s="33">
        <f t="shared" si="4"/>
        <v>8663</v>
      </c>
      <c r="Q10" s="29" t="s">
        <v>243</v>
      </c>
      <c r="R10" s="29" t="s">
        <v>241</v>
      </c>
      <c r="S10" s="29" t="s">
        <v>242</v>
      </c>
      <c r="T10" s="33">
        <v>6854</v>
      </c>
      <c r="U10" s="34">
        <f t="shared" si="5"/>
        <v>0.79118088422024702</v>
      </c>
      <c r="V10" s="29" t="s">
        <v>253</v>
      </c>
      <c r="W10" s="29" t="s">
        <v>245</v>
      </c>
      <c r="X10" s="33">
        <v>1809</v>
      </c>
      <c r="Y10" s="34">
        <f t="shared" si="6"/>
        <v>0.20881911577975298</v>
      </c>
      <c r="Z10" s="29"/>
      <c r="AA10" s="29"/>
      <c r="AB10" s="33"/>
      <c r="AC10" s="34">
        <f t="shared" si="7"/>
        <v>0</v>
      </c>
      <c r="AD10" s="29"/>
      <c r="AE10" s="29"/>
      <c r="AF10" s="33"/>
      <c r="AG10" s="34">
        <f t="shared" si="8"/>
        <v>0</v>
      </c>
      <c r="AH10" s="29"/>
      <c r="AI10" s="29"/>
      <c r="AJ10" s="33"/>
      <c r="AK10" s="34">
        <f t="shared" si="9"/>
        <v>0</v>
      </c>
    </row>
    <row r="11" spans="1:37">
      <c r="A11" s="13" t="s">
        <v>28</v>
      </c>
      <c r="B11" s="14" t="s">
        <v>31</v>
      </c>
      <c r="C11" s="37">
        <v>4.1000000000000002E-2</v>
      </c>
      <c r="D11" s="37">
        <v>0.92800000000000005</v>
      </c>
      <c r="E11" s="37">
        <v>1.2E-2</v>
      </c>
      <c r="F11" s="37">
        <v>8.9999999999999993E-3</v>
      </c>
      <c r="G11" s="37"/>
      <c r="H11" s="37">
        <f t="shared" si="0"/>
        <v>9.9999999999999169E-3</v>
      </c>
      <c r="I11" s="13" t="str">
        <f t="shared" si="1"/>
        <v>CINA</v>
      </c>
      <c r="J11" s="15">
        <f t="shared" si="2"/>
        <v>4270</v>
      </c>
      <c r="K11" s="15">
        <v>22301</v>
      </c>
      <c r="L11" s="16">
        <f t="shared" si="3"/>
        <v>0.65476884444643735</v>
      </c>
      <c r="M11" s="15">
        <v>14602</v>
      </c>
      <c r="N11" s="15">
        <v>14</v>
      </c>
      <c r="O11" s="15">
        <v>78</v>
      </c>
      <c r="P11" s="33">
        <f t="shared" si="4"/>
        <v>14510</v>
      </c>
      <c r="Q11" s="29" t="s">
        <v>244</v>
      </c>
      <c r="R11" s="29" t="s">
        <v>245</v>
      </c>
      <c r="S11" s="29" t="s">
        <v>247</v>
      </c>
      <c r="T11" s="33">
        <v>9332</v>
      </c>
      <c r="U11" s="34">
        <f t="shared" si="5"/>
        <v>0.64314266023432121</v>
      </c>
      <c r="V11" s="29" t="s">
        <v>239</v>
      </c>
      <c r="W11" s="29" t="s">
        <v>241</v>
      </c>
      <c r="X11" s="33">
        <v>5062</v>
      </c>
      <c r="Y11" s="34">
        <f t="shared" si="6"/>
        <v>0.34886285320468641</v>
      </c>
      <c r="Z11" s="29" t="s">
        <v>272</v>
      </c>
      <c r="AA11" s="29" t="s">
        <v>270</v>
      </c>
      <c r="AB11" s="33">
        <v>116</v>
      </c>
      <c r="AC11" s="34">
        <f t="shared" si="7"/>
        <v>7.9944865609924195E-3</v>
      </c>
      <c r="AD11" s="29"/>
      <c r="AE11" s="29"/>
      <c r="AF11" s="33"/>
      <c r="AG11" s="34">
        <f t="shared" si="8"/>
        <v>0</v>
      </c>
      <c r="AH11" s="29"/>
      <c r="AI11" s="29"/>
      <c r="AJ11" s="33"/>
      <c r="AK11" s="34">
        <f t="shared" si="9"/>
        <v>0</v>
      </c>
    </row>
    <row r="12" spans="1:37">
      <c r="A12" s="13" t="s">
        <v>29</v>
      </c>
      <c r="B12" s="14" t="s">
        <v>32</v>
      </c>
      <c r="C12" s="37">
        <v>0.05</v>
      </c>
      <c r="D12" s="37">
        <v>0.9</v>
      </c>
      <c r="E12" s="37">
        <v>3.1E-2</v>
      </c>
      <c r="F12" s="37">
        <v>1.4E-2</v>
      </c>
      <c r="G12" s="37">
        <v>3.0000000000000001E-3</v>
      </c>
      <c r="H12" s="37">
        <f t="shared" si="0"/>
        <v>1.9999999999999333E-3</v>
      </c>
      <c r="I12" s="13" t="str">
        <f t="shared" si="1"/>
        <v>CINA</v>
      </c>
      <c r="J12" s="15">
        <f t="shared" si="2"/>
        <v>5012</v>
      </c>
      <c r="K12" s="15">
        <v>30488</v>
      </c>
      <c r="L12" s="16">
        <f t="shared" si="3"/>
        <v>0.65724219364996062</v>
      </c>
      <c r="M12" s="15">
        <v>20038</v>
      </c>
      <c r="N12" s="15">
        <v>17</v>
      </c>
      <c r="O12" s="15">
        <v>125</v>
      </c>
      <c r="P12" s="33">
        <f t="shared" si="4"/>
        <v>19896</v>
      </c>
      <c r="Q12" s="29" t="s">
        <v>244</v>
      </c>
      <c r="R12" s="29" t="s">
        <v>245</v>
      </c>
      <c r="S12" s="29" t="s">
        <v>247</v>
      </c>
      <c r="T12" s="33">
        <v>12454</v>
      </c>
      <c r="U12" s="34">
        <f t="shared" si="5"/>
        <v>0.62595496582227583</v>
      </c>
      <c r="V12" s="29" t="s">
        <v>239</v>
      </c>
      <c r="W12" s="29" t="s">
        <v>241</v>
      </c>
      <c r="X12" s="33">
        <v>7442</v>
      </c>
      <c r="Y12" s="34">
        <f t="shared" si="6"/>
        <v>0.37404503417772417</v>
      </c>
      <c r="Z12" s="29"/>
      <c r="AA12" s="29"/>
      <c r="AB12" s="33"/>
      <c r="AC12" s="34">
        <f t="shared" si="7"/>
        <v>0</v>
      </c>
      <c r="AD12" s="29"/>
      <c r="AE12" s="29"/>
      <c r="AF12" s="33"/>
      <c r="AG12" s="34">
        <f t="shared" si="8"/>
        <v>0</v>
      </c>
      <c r="AH12" s="29"/>
      <c r="AI12" s="29"/>
      <c r="AJ12" s="33"/>
      <c r="AK12" s="34">
        <f t="shared" si="9"/>
        <v>0</v>
      </c>
    </row>
    <row r="13" spans="1:37">
      <c r="A13" s="13" t="s">
        <v>30</v>
      </c>
      <c r="B13" s="14" t="s">
        <v>33</v>
      </c>
      <c r="C13" s="37">
        <v>3.3000000000000002E-2</v>
      </c>
      <c r="D13" s="37">
        <v>0.85899999999999999</v>
      </c>
      <c r="E13" s="37">
        <v>6.7000000000000004E-2</v>
      </c>
      <c r="F13" s="37">
        <v>2.3E-2</v>
      </c>
      <c r="G13" s="37">
        <v>3.0000000000000001E-3</v>
      </c>
      <c r="H13" s="37">
        <f t="shared" si="0"/>
        <v>1.4999999999999982E-2</v>
      </c>
      <c r="I13" s="13" t="str">
        <f t="shared" si="1"/>
        <v>CINA</v>
      </c>
      <c r="J13" s="15">
        <f t="shared" si="2"/>
        <v>4385</v>
      </c>
      <c r="K13" s="15">
        <v>28105</v>
      </c>
      <c r="L13" s="16">
        <f t="shared" si="3"/>
        <v>0.62668564312399933</v>
      </c>
      <c r="M13" s="15">
        <v>17613</v>
      </c>
      <c r="N13" s="15">
        <v>41</v>
      </c>
      <c r="O13" s="15">
        <v>110</v>
      </c>
      <c r="P13" s="33">
        <f t="shared" si="4"/>
        <v>17462</v>
      </c>
      <c r="Q13" s="29" t="s">
        <v>252</v>
      </c>
      <c r="R13" s="29" t="s">
        <v>251</v>
      </c>
      <c r="S13" s="29" t="s">
        <v>247</v>
      </c>
      <c r="T13" s="33">
        <v>10758</v>
      </c>
      <c r="U13" s="34">
        <f t="shared" si="5"/>
        <v>0.6160806322299851</v>
      </c>
      <c r="V13" s="29" t="s">
        <v>239</v>
      </c>
      <c r="W13" s="29" t="s">
        <v>241</v>
      </c>
      <c r="X13" s="33">
        <v>6373</v>
      </c>
      <c r="Y13" s="34">
        <f t="shared" si="6"/>
        <v>0.36496392165845837</v>
      </c>
      <c r="Z13" s="29" t="s">
        <v>272</v>
      </c>
      <c r="AA13" s="29" t="s">
        <v>270</v>
      </c>
      <c r="AB13" s="33">
        <v>331</v>
      </c>
      <c r="AC13" s="34">
        <f t="shared" si="7"/>
        <v>1.8955446111556522E-2</v>
      </c>
      <c r="AD13" s="29"/>
      <c r="AE13" s="29"/>
      <c r="AF13" s="33"/>
      <c r="AG13" s="34">
        <f t="shared" si="8"/>
        <v>0</v>
      </c>
      <c r="AH13" s="29"/>
      <c r="AI13" s="29"/>
      <c r="AJ13" s="33"/>
      <c r="AK13" s="34">
        <f t="shared" si="9"/>
        <v>0</v>
      </c>
    </row>
    <row r="14" spans="1:37">
      <c r="A14" s="13" t="s">
        <v>36</v>
      </c>
      <c r="B14" s="14" t="s">
        <v>39</v>
      </c>
      <c r="C14" s="37">
        <v>0.123</v>
      </c>
      <c r="D14" s="37">
        <v>0.73499999999999999</v>
      </c>
      <c r="E14" s="37">
        <v>9.6000000000000002E-2</v>
      </c>
      <c r="F14" s="37">
        <v>3.2000000000000001E-2</v>
      </c>
      <c r="G14" s="37">
        <v>3.0000000000000001E-3</v>
      </c>
      <c r="H14" s="37">
        <f t="shared" si="0"/>
        <v>1.1000000000000013E-2</v>
      </c>
      <c r="I14" s="13" t="str">
        <f t="shared" si="1"/>
        <v>CINA</v>
      </c>
      <c r="J14" s="15">
        <f t="shared" si="2"/>
        <v>2819</v>
      </c>
      <c r="K14" s="15">
        <v>25761</v>
      </c>
      <c r="L14" s="16">
        <f t="shared" si="3"/>
        <v>0.67912736306820387</v>
      </c>
      <c r="M14" s="15">
        <v>17495</v>
      </c>
      <c r="N14" s="15">
        <v>24</v>
      </c>
      <c r="O14" s="15">
        <v>196</v>
      </c>
      <c r="P14" s="33">
        <f t="shared" si="4"/>
        <v>17275</v>
      </c>
      <c r="Q14" s="29" t="s">
        <v>244</v>
      </c>
      <c r="R14" s="29" t="s">
        <v>245</v>
      </c>
      <c r="S14" s="29" t="s">
        <v>247</v>
      </c>
      <c r="T14" s="33">
        <v>10047</v>
      </c>
      <c r="U14" s="34">
        <f t="shared" si="5"/>
        <v>0.58159189580318382</v>
      </c>
      <c r="V14" s="29" t="s">
        <v>239</v>
      </c>
      <c r="W14" s="29" t="s">
        <v>241</v>
      </c>
      <c r="X14" s="33">
        <v>7228</v>
      </c>
      <c r="Y14" s="34">
        <f t="shared" si="6"/>
        <v>0.41840810419681623</v>
      </c>
      <c r="Z14" s="29"/>
      <c r="AA14" s="29"/>
      <c r="AB14" s="33"/>
      <c r="AC14" s="34">
        <f t="shared" si="7"/>
        <v>0</v>
      </c>
      <c r="AD14" s="29"/>
      <c r="AE14" s="29"/>
      <c r="AF14" s="33"/>
      <c r="AG14" s="34">
        <f t="shared" si="8"/>
        <v>0</v>
      </c>
      <c r="AH14" s="29"/>
      <c r="AI14" s="29"/>
      <c r="AJ14" s="33"/>
      <c r="AK14" s="34">
        <f t="shared" si="9"/>
        <v>0</v>
      </c>
    </row>
    <row r="15" spans="1:37">
      <c r="A15" s="13" t="s">
        <v>37</v>
      </c>
      <c r="B15" s="14" t="s">
        <v>40</v>
      </c>
      <c r="C15" s="37">
        <v>0.20100000000000001</v>
      </c>
      <c r="D15" s="37">
        <v>0.54800000000000004</v>
      </c>
      <c r="E15" s="37">
        <v>5.8000000000000003E-2</v>
      </c>
      <c r="F15" s="37">
        <v>0.14499999999999999</v>
      </c>
      <c r="G15" s="37">
        <v>4.0000000000000001E-3</v>
      </c>
      <c r="H15" s="37">
        <f t="shared" si="0"/>
        <v>4.39999999999999E-2</v>
      </c>
      <c r="I15" s="13" t="str">
        <f t="shared" si="1"/>
        <v>CINA</v>
      </c>
      <c r="J15" s="15">
        <f t="shared" si="2"/>
        <v>1840</v>
      </c>
      <c r="K15" s="15">
        <v>17494</v>
      </c>
      <c r="L15" s="16">
        <f t="shared" si="3"/>
        <v>0.70058305704813084</v>
      </c>
      <c r="M15" s="15">
        <v>12256</v>
      </c>
      <c r="N15" s="15">
        <v>31</v>
      </c>
      <c r="O15" s="15">
        <v>135</v>
      </c>
      <c r="P15" s="33">
        <f t="shared" si="4"/>
        <v>12090</v>
      </c>
      <c r="Q15" s="29" t="s">
        <v>239</v>
      </c>
      <c r="R15" s="29" t="s">
        <v>241</v>
      </c>
      <c r="S15" s="29" t="s">
        <v>242</v>
      </c>
      <c r="T15" s="33">
        <v>6466</v>
      </c>
      <c r="U15" s="34">
        <f t="shared" si="5"/>
        <v>0.53482216708023156</v>
      </c>
      <c r="V15" s="29" t="s">
        <v>244</v>
      </c>
      <c r="W15" s="29" t="s">
        <v>245</v>
      </c>
      <c r="X15" s="33">
        <v>4626</v>
      </c>
      <c r="Y15" s="34">
        <f t="shared" si="6"/>
        <v>0.38263027295285362</v>
      </c>
      <c r="Z15" s="29" t="s">
        <v>253</v>
      </c>
      <c r="AA15" s="29" t="s">
        <v>245</v>
      </c>
      <c r="AB15" s="33">
        <v>883</v>
      </c>
      <c r="AC15" s="34">
        <f t="shared" si="7"/>
        <v>7.3035566583953687E-2</v>
      </c>
      <c r="AD15" s="29" t="s">
        <v>251</v>
      </c>
      <c r="AE15" s="29" t="s">
        <v>251</v>
      </c>
      <c r="AF15" s="33">
        <v>61</v>
      </c>
      <c r="AG15" s="34">
        <f t="shared" si="8"/>
        <v>5.0454921422663362E-3</v>
      </c>
      <c r="AH15" s="29" t="s">
        <v>251</v>
      </c>
      <c r="AI15" s="29" t="s">
        <v>251</v>
      </c>
      <c r="AJ15" s="33">
        <v>54</v>
      </c>
      <c r="AK15" s="34">
        <f t="shared" si="9"/>
        <v>4.4665012406947891E-3</v>
      </c>
    </row>
    <row r="16" spans="1:37">
      <c r="A16" s="13" t="s">
        <v>38</v>
      </c>
      <c r="B16" s="14" t="s">
        <v>41</v>
      </c>
      <c r="C16" s="37">
        <v>0.17699999999999999</v>
      </c>
      <c r="D16" s="37">
        <v>0.623</v>
      </c>
      <c r="E16" s="37">
        <v>9.7000000000000003E-2</v>
      </c>
      <c r="F16" s="37">
        <v>8.3000000000000004E-2</v>
      </c>
      <c r="G16" s="37">
        <v>5.0000000000000001E-3</v>
      </c>
      <c r="H16" s="37">
        <f t="shared" si="0"/>
        <v>1.4999999999999947E-2</v>
      </c>
      <c r="I16" s="13" t="str">
        <f t="shared" si="1"/>
        <v>CINA</v>
      </c>
      <c r="J16" s="15">
        <f t="shared" si="2"/>
        <v>2085</v>
      </c>
      <c r="K16" s="15">
        <v>16991</v>
      </c>
      <c r="L16" s="16">
        <f t="shared" si="3"/>
        <v>0.70872815019716318</v>
      </c>
      <c r="M16" s="15">
        <v>12042</v>
      </c>
      <c r="N16" s="15">
        <v>55</v>
      </c>
      <c r="O16" s="15">
        <v>135</v>
      </c>
      <c r="P16" s="33">
        <f t="shared" si="4"/>
        <v>11852</v>
      </c>
      <c r="Q16" s="29" t="s">
        <v>239</v>
      </c>
      <c r="R16" s="29" t="s">
        <v>241</v>
      </c>
      <c r="S16" s="29" t="s">
        <v>242</v>
      </c>
      <c r="T16" s="33">
        <v>6414</v>
      </c>
      <c r="U16" s="34">
        <f t="shared" si="5"/>
        <v>0.54117448531893353</v>
      </c>
      <c r="V16" s="29" t="s">
        <v>244</v>
      </c>
      <c r="W16" s="29" t="s">
        <v>245</v>
      </c>
      <c r="X16" s="33">
        <v>4329</v>
      </c>
      <c r="Y16" s="34">
        <f t="shared" si="6"/>
        <v>0.36525480931488358</v>
      </c>
      <c r="Z16" s="29" t="s">
        <v>251</v>
      </c>
      <c r="AA16" s="29" t="s">
        <v>251</v>
      </c>
      <c r="AB16" s="33">
        <v>1109</v>
      </c>
      <c r="AC16" s="34">
        <f t="shared" si="7"/>
        <v>9.3570705366182921E-2</v>
      </c>
      <c r="AD16" s="29"/>
      <c r="AE16" s="29"/>
      <c r="AF16" s="33"/>
      <c r="AG16" s="34">
        <f t="shared" si="8"/>
        <v>0</v>
      </c>
      <c r="AH16" s="29"/>
      <c r="AI16" s="29"/>
      <c r="AJ16" s="33"/>
      <c r="AK16" s="34">
        <f t="shared" si="9"/>
        <v>0</v>
      </c>
    </row>
    <row r="17" spans="1:37" ht="28.5">
      <c r="A17" s="13" t="s">
        <v>44</v>
      </c>
      <c r="B17" s="14" t="s">
        <v>47</v>
      </c>
      <c r="C17" s="37">
        <v>0.78600000000000003</v>
      </c>
      <c r="D17" s="37">
        <v>0.11600000000000001</v>
      </c>
      <c r="E17" s="37">
        <v>9.1999999999999998E-2</v>
      </c>
      <c r="F17" s="37"/>
      <c r="G17" s="37"/>
      <c r="H17" s="37">
        <f t="shared" si="0"/>
        <v>5.9999999999999637E-3</v>
      </c>
      <c r="I17" s="13" t="str">
        <f t="shared" si="1"/>
        <v>MELAYU / MELANAU</v>
      </c>
      <c r="J17" s="15">
        <f t="shared" si="2"/>
        <v>4078</v>
      </c>
      <c r="K17" s="15">
        <v>10967</v>
      </c>
      <c r="L17" s="16">
        <f t="shared" si="3"/>
        <v>0.7632898696088265</v>
      </c>
      <c r="M17" s="15">
        <v>8371</v>
      </c>
      <c r="N17" s="15">
        <v>16</v>
      </c>
      <c r="O17" s="15">
        <v>107</v>
      </c>
      <c r="P17" s="33">
        <f t="shared" si="4"/>
        <v>8248</v>
      </c>
      <c r="Q17" s="29" t="s">
        <v>243</v>
      </c>
      <c r="R17" s="29" t="s">
        <v>241</v>
      </c>
      <c r="S17" s="29" t="s">
        <v>242</v>
      </c>
      <c r="T17" s="33">
        <v>6163</v>
      </c>
      <c r="U17" s="34">
        <f t="shared" si="5"/>
        <v>0.74721144519883609</v>
      </c>
      <c r="V17" s="29" t="s">
        <v>253</v>
      </c>
      <c r="W17" s="29" t="s">
        <v>245</v>
      </c>
      <c r="X17" s="33">
        <v>2085</v>
      </c>
      <c r="Y17" s="34">
        <f t="shared" si="6"/>
        <v>0.25278855480116391</v>
      </c>
      <c r="Z17" s="29"/>
      <c r="AA17" s="29"/>
      <c r="AB17" s="33"/>
      <c r="AC17" s="34">
        <f t="shared" si="7"/>
        <v>0</v>
      </c>
      <c r="AD17" s="29"/>
      <c r="AE17" s="29"/>
      <c r="AF17" s="33"/>
      <c r="AG17" s="34">
        <f t="shared" si="8"/>
        <v>0</v>
      </c>
      <c r="AH17" s="29"/>
      <c r="AI17" s="29"/>
      <c r="AJ17" s="33"/>
      <c r="AK17" s="34">
        <f t="shared" si="9"/>
        <v>0</v>
      </c>
    </row>
    <row r="18" spans="1:37" ht="28.5">
      <c r="A18" s="13" t="s">
        <v>45</v>
      </c>
      <c r="B18" s="14" t="s">
        <v>48</v>
      </c>
      <c r="C18" s="37">
        <v>0.67700000000000005</v>
      </c>
      <c r="D18" s="37">
        <v>6.6000000000000003E-2</v>
      </c>
      <c r="E18" s="37">
        <v>0.19600000000000001</v>
      </c>
      <c r="F18" s="37">
        <v>5.6000000000000001E-2</v>
      </c>
      <c r="G18" s="37">
        <v>5.0000000000000001E-3</v>
      </c>
      <c r="H18" s="37">
        <f t="shared" si="0"/>
        <v>-5.8113236445223038E-17</v>
      </c>
      <c r="I18" s="13" t="str">
        <f t="shared" si="1"/>
        <v>MELAYU / MELANAU</v>
      </c>
      <c r="J18" s="15">
        <f t="shared" si="2"/>
        <v>8578</v>
      </c>
      <c r="K18" s="15">
        <v>16186</v>
      </c>
      <c r="L18" s="16">
        <f t="shared" si="3"/>
        <v>0.78388731002100576</v>
      </c>
      <c r="M18" s="15">
        <v>12688</v>
      </c>
      <c r="N18" s="15">
        <v>60</v>
      </c>
      <c r="O18" s="15">
        <v>269</v>
      </c>
      <c r="P18" s="33">
        <f t="shared" si="4"/>
        <v>12359</v>
      </c>
      <c r="Q18" s="29" t="s">
        <v>243</v>
      </c>
      <c r="R18" s="29" t="s">
        <v>241</v>
      </c>
      <c r="S18" s="29" t="s">
        <v>242</v>
      </c>
      <c r="T18" s="33">
        <v>10086</v>
      </c>
      <c r="U18" s="34">
        <f t="shared" si="5"/>
        <v>0.81608544380613324</v>
      </c>
      <c r="V18" s="29" t="s">
        <v>250</v>
      </c>
      <c r="W18" s="29" t="s">
        <v>246</v>
      </c>
      <c r="X18" s="33">
        <v>1508</v>
      </c>
      <c r="Y18" s="34">
        <f t="shared" si="6"/>
        <v>0.12201634436443078</v>
      </c>
      <c r="Z18" s="29" t="s">
        <v>254</v>
      </c>
      <c r="AA18" s="29" t="s">
        <v>245</v>
      </c>
      <c r="AB18" s="33">
        <v>765</v>
      </c>
      <c r="AC18" s="34">
        <f t="shared" si="7"/>
        <v>6.1898211829436035E-2</v>
      </c>
      <c r="AD18" s="29"/>
      <c r="AE18" s="29"/>
      <c r="AF18" s="33"/>
      <c r="AG18" s="34">
        <f t="shared" si="8"/>
        <v>0</v>
      </c>
      <c r="AH18" s="29"/>
      <c r="AI18" s="29"/>
      <c r="AJ18" s="33"/>
      <c r="AK18" s="34">
        <f t="shared" si="9"/>
        <v>0</v>
      </c>
    </row>
    <row r="19" spans="1:37">
      <c r="A19" s="13" t="s">
        <v>46</v>
      </c>
      <c r="B19" s="14" t="s">
        <v>49</v>
      </c>
      <c r="C19" s="37">
        <v>0.41899999999999998</v>
      </c>
      <c r="D19" s="37">
        <v>0.18</v>
      </c>
      <c r="E19" s="37">
        <v>0.219</v>
      </c>
      <c r="F19" s="37">
        <v>0.14099999999999999</v>
      </c>
      <c r="G19" s="37">
        <v>0.01</v>
      </c>
      <c r="H19" s="37">
        <f t="shared" si="0"/>
        <v>3.0999999999999979E-2</v>
      </c>
      <c r="I19" s="13" t="str">
        <f t="shared" si="1"/>
        <v>MIXED</v>
      </c>
      <c r="J19" s="15">
        <f t="shared" si="2"/>
        <v>7042</v>
      </c>
      <c r="K19" s="15">
        <v>14846</v>
      </c>
      <c r="L19" s="16">
        <f t="shared" si="3"/>
        <v>0.73009564865957155</v>
      </c>
      <c r="M19" s="15">
        <v>10839</v>
      </c>
      <c r="N19" s="15">
        <v>55</v>
      </c>
      <c r="O19" s="15">
        <v>186</v>
      </c>
      <c r="P19" s="33">
        <f t="shared" si="4"/>
        <v>10598</v>
      </c>
      <c r="Q19" s="29" t="s">
        <v>243</v>
      </c>
      <c r="R19" s="29" t="s">
        <v>241</v>
      </c>
      <c r="S19" s="29" t="s">
        <v>242</v>
      </c>
      <c r="T19" s="33">
        <v>8820</v>
      </c>
      <c r="U19" s="34">
        <f t="shared" si="5"/>
        <v>0.83223249669749011</v>
      </c>
      <c r="V19" s="29" t="s">
        <v>244</v>
      </c>
      <c r="W19" s="29" t="s">
        <v>245</v>
      </c>
      <c r="X19" s="33">
        <v>1778</v>
      </c>
      <c r="Y19" s="34">
        <f t="shared" si="6"/>
        <v>0.16776750330250992</v>
      </c>
      <c r="Z19" s="29"/>
      <c r="AA19" s="29"/>
      <c r="AB19" s="33"/>
      <c r="AC19" s="34">
        <f t="shared" si="7"/>
        <v>0</v>
      </c>
      <c r="AD19" s="29"/>
      <c r="AE19" s="29"/>
      <c r="AF19" s="33"/>
      <c r="AG19" s="34">
        <f t="shared" si="8"/>
        <v>0</v>
      </c>
      <c r="AH19" s="29"/>
      <c r="AI19" s="29"/>
      <c r="AJ19" s="33"/>
      <c r="AK19" s="34">
        <f t="shared" si="9"/>
        <v>0</v>
      </c>
    </row>
    <row r="20" spans="1:37" ht="28.5">
      <c r="A20" s="13" t="s">
        <v>52</v>
      </c>
      <c r="B20" s="14" t="s">
        <v>55</v>
      </c>
      <c r="C20" s="37">
        <v>0.56499999999999995</v>
      </c>
      <c r="D20" s="37">
        <v>0.28100000000000003</v>
      </c>
      <c r="E20" s="37">
        <v>0.10299999999999999</v>
      </c>
      <c r="F20" s="37"/>
      <c r="G20" s="37">
        <v>0.04</v>
      </c>
      <c r="H20" s="37">
        <f t="shared" si="0"/>
        <v>1.1000000000000031E-2</v>
      </c>
      <c r="I20" s="13" t="str">
        <f t="shared" si="1"/>
        <v>MELAYU / MELANAU</v>
      </c>
      <c r="J20" s="15">
        <f t="shared" si="2"/>
        <v>1397</v>
      </c>
      <c r="K20" s="15">
        <v>9065</v>
      </c>
      <c r="L20" s="16">
        <f t="shared" si="3"/>
        <v>0.77242140099282952</v>
      </c>
      <c r="M20" s="15">
        <v>7002</v>
      </c>
      <c r="N20" s="15">
        <v>19</v>
      </c>
      <c r="O20" s="15">
        <v>138</v>
      </c>
      <c r="P20" s="33">
        <f t="shared" si="4"/>
        <v>6845</v>
      </c>
      <c r="Q20" s="29" t="s">
        <v>243</v>
      </c>
      <c r="R20" s="29" t="s">
        <v>241</v>
      </c>
      <c r="S20" s="29" t="s">
        <v>242</v>
      </c>
      <c r="T20" s="33">
        <v>3452</v>
      </c>
      <c r="U20" s="34">
        <f t="shared" si="5"/>
        <v>0.50430971512052591</v>
      </c>
      <c r="V20" s="29" t="s">
        <v>251</v>
      </c>
      <c r="W20" s="29" t="s">
        <v>251</v>
      </c>
      <c r="X20" s="33">
        <v>2055</v>
      </c>
      <c r="Y20" s="34">
        <f t="shared" si="6"/>
        <v>0.30021913805697592</v>
      </c>
      <c r="Z20" s="29" t="s">
        <v>253</v>
      </c>
      <c r="AA20" s="29" t="s">
        <v>245</v>
      </c>
      <c r="AB20" s="33">
        <v>1218</v>
      </c>
      <c r="AC20" s="34">
        <f t="shared" si="7"/>
        <v>0.17794010226442658</v>
      </c>
      <c r="AD20" s="29" t="s">
        <v>272</v>
      </c>
      <c r="AE20" s="29" t="s">
        <v>270</v>
      </c>
      <c r="AF20" s="33">
        <v>120</v>
      </c>
      <c r="AG20" s="34">
        <f t="shared" si="8"/>
        <v>1.7531044558071585E-2</v>
      </c>
      <c r="AH20" s="29"/>
      <c r="AI20" s="29"/>
      <c r="AJ20" s="33"/>
      <c r="AK20" s="34">
        <f t="shared" si="9"/>
        <v>0</v>
      </c>
    </row>
    <row r="21" spans="1:37">
      <c r="A21" s="13" t="s">
        <v>53</v>
      </c>
      <c r="B21" s="14" t="s">
        <v>56</v>
      </c>
      <c r="C21" s="37">
        <v>4.3999999999999997E-2</v>
      </c>
      <c r="D21" s="37">
        <v>0.26600000000000001</v>
      </c>
      <c r="E21" s="37">
        <v>0.06</v>
      </c>
      <c r="F21" s="37">
        <v>0.56899999999999995</v>
      </c>
      <c r="G21" s="37">
        <v>3.1E-2</v>
      </c>
      <c r="H21" s="37">
        <f t="shared" si="0"/>
        <v>2.9999999999999943E-2</v>
      </c>
      <c r="I21" s="13" t="str">
        <f t="shared" si="1"/>
        <v>BIDAYUH</v>
      </c>
      <c r="J21" s="15">
        <f t="shared" si="2"/>
        <v>3333</v>
      </c>
      <c r="K21" s="15">
        <v>17467</v>
      </c>
      <c r="L21" s="16">
        <f t="shared" si="3"/>
        <v>0.68151371157038987</v>
      </c>
      <c r="M21" s="15">
        <v>11904</v>
      </c>
      <c r="N21" s="15">
        <v>70</v>
      </c>
      <c r="O21" s="15">
        <v>200</v>
      </c>
      <c r="P21" s="33">
        <f t="shared" si="4"/>
        <v>11634</v>
      </c>
      <c r="Q21" s="29" t="s">
        <v>243</v>
      </c>
      <c r="R21" s="29" t="s">
        <v>241</v>
      </c>
      <c r="S21" s="29" t="s">
        <v>242</v>
      </c>
      <c r="T21" s="33">
        <v>6161</v>
      </c>
      <c r="U21" s="34">
        <f t="shared" si="5"/>
        <v>0.52956850610280215</v>
      </c>
      <c r="V21" s="29" t="s">
        <v>244</v>
      </c>
      <c r="W21" s="29" t="s">
        <v>245</v>
      </c>
      <c r="X21" s="33">
        <v>2828</v>
      </c>
      <c r="Y21" s="34">
        <f t="shared" si="6"/>
        <v>0.2430806257521059</v>
      </c>
      <c r="Z21" s="29" t="s">
        <v>253</v>
      </c>
      <c r="AA21" s="29" t="s">
        <v>245</v>
      </c>
      <c r="AB21" s="33">
        <v>2645</v>
      </c>
      <c r="AC21" s="34">
        <f t="shared" si="7"/>
        <v>0.22735086814509198</v>
      </c>
      <c r="AD21" s="29"/>
      <c r="AE21" s="29"/>
      <c r="AF21" s="33"/>
      <c r="AG21" s="34">
        <f t="shared" si="8"/>
        <v>0</v>
      </c>
      <c r="AH21" s="29"/>
      <c r="AI21" s="29"/>
      <c r="AJ21" s="33"/>
      <c r="AK21" s="34">
        <f t="shared" si="9"/>
        <v>0</v>
      </c>
    </row>
    <row r="22" spans="1:37">
      <c r="A22" s="13" t="s">
        <v>54</v>
      </c>
      <c r="B22" s="14" t="s">
        <v>57</v>
      </c>
      <c r="C22" s="37">
        <v>4.9000000000000002E-2</v>
      </c>
      <c r="D22" s="37">
        <v>0.312</v>
      </c>
      <c r="E22" s="37">
        <v>2.9000000000000001E-2</v>
      </c>
      <c r="F22" s="37">
        <v>0.60499999999999998</v>
      </c>
      <c r="G22" s="37">
        <v>4.0000000000000001E-3</v>
      </c>
      <c r="H22" s="37">
        <f t="shared" si="0"/>
        <v>1.0000000000000044E-3</v>
      </c>
      <c r="I22" s="13" t="str">
        <f t="shared" si="1"/>
        <v>BIDAYUH</v>
      </c>
      <c r="J22" s="15">
        <f t="shared" si="2"/>
        <v>5421</v>
      </c>
      <c r="K22" s="15">
        <v>16391</v>
      </c>
      <c r="L22" s="16">
        <f t="shared" si="3"/>
        <v>0.71673479348422919</v>
      </c>
      <c r="M22" s="15">
        <v>11748</v>
      </c>
      <c r="N22" s="15">
        <v>55</v>
      </c>
      <c r="O22" s="15">
        <v>214</v>
      </c>
      <c r="P22" s="33">
        <f t="shared" si="4"/>
        <v>11479</v>
      </c>
      <c r="Q22" s="29" t="s">
        <v>243</v>
      </c>
      <c r="R22" s="29" t="s">
        <v>241</v>
      </c>
      <c r="S22" s="29" t="s">
        <v>242</v>
      </c>
      <c r="T22" s="33">
        <v>8450</v>
      </c>
      <c r="U22" s="34">
        <f t="shared" si="5"/>
        <v>0.73612684031710074</v>
      </c>
      <c r="V22" s="29" t="s">
        <v>253</v>
      </c>
      <c r="W22" s="29" t="s">
        <v>245</v>
      </c>
      <c r="X22" s="33">
        <v>3029</v>
      </c>
      <c r="Y22" s="34">
        <f t="shared" si="6"/>
        <v>0.26387315968289921</v>
      </c>
      <c r="Z22" s="29"/>
      <c r="AA22" s="29"/>
      <c r="AB22" s="33"/>
      <c r="AC22" s="34">
        <f t="shared" si="7"/>
        <v>0</v>
      </c>
      <c r="AD22" s="29"/>
      <c r="AE22" s="29"/>
      <c r="AF22" s="33"/>
      <c r="AG22" s="34">
        <f t="shared" si="8"/>
        <v>0</v>
      </c>
      <c r="AH22" s="29"/>
      <c r="AI22" s="29"/>
      <c r="AJ22" s="33"/>
      <c r="AK22" s="34">
        <f t="shared" si="9"/>
        <v>0</v>
      </c>
    </row>
    <row r="23" spans="1:37">
      <c r="A23" s="13" t="s">
        <v>60</v>
      </c>
      <c r="B23" s="14" t="s">
        <v>63</v>
      </c>
      <c r="C23" s="37">
        <v>1.2E-2</v>
      </c>
      <c r="D23" s="37">
        <v>1.4E-2</v>
      </c>
      <c r="E23" s="37">
        <v>1.7000000000000001E-2</v>
      </c>
      <c r="F23" s="37">
        <v>0.95199999999999996</v>
      </c>
      <c r="G23" s="37"/>
      <c r="H23" s="37">
        <f t="shared" si="0"/>
        <v>5.0000000000000044E-3</v>
      </c>
      <c r="I23" s="13" t="str">
        <f t="shared" si="1"/>
        <v>BIDAYUH</v>
      </c>
      <c r="J23" s="15">
        <f t="shared" si="2"/>
        <v>6193</v>
      </c>
      <c r="K23" s="15">
        <v>11521</v>
      </c>
      <c r="L23" s="16">
        <f t="shared" si="3"/>
        <v>0.75522958076555857</v>
      </c>
      <c r="M23" s="15">
        <v>8701</v>
      </c>
      <c r="N23" s="15">
        <v>36</v>
      </c>
      <c r="O23" s="15">
        <v>144</v>
      </c>
      <c r="P23" s="33">
        <f t="shared" si="4"/>
        <v>8521</v>
      </c>
      <c r="Q23" s="29" t="s">
        <v>243</v>
      </c>
      <c r="R23" s="29" t="s">
        <v>241</v>
      </c>
      <c r="S23" s="29" t="s">
        <v>242</v>
      </c>
      <c r="T23" s="33">
        <v>7357</v>
      </c>
      <c r="U23" s="34">
        <f t="shared" si="5"/>
        <v>0.86339631498650393</v>
      </c>
      <c r="V23" s="29" t="s">
        <v>253</v>
      </c>
      <c r="W23" s="29" t="s">
        <v>245</v>
      </c>
      <c r="X23" s="33">
        <v>1164</v>
      </c>
      <c r="Y23" s="34">
        <f t="shared" si="6"/>
        <v>0.13660368501349607</v>
      </c>
      <c r="Z23" s="29"/>
      <c r="AA23" s="29"/>
      <c r="AB23" s="33"/>
      <c r="AC23" s="34">
        <f t="shared" si="7"/>
        <v>0</v>
      </c>
      <c r="AD23" s="29"/>
      <c r="AE23" s="29"/>
      <c r="AF23" s="33"/>
      <c r="AG23" s="34">
        <f t="shared" si="8"/>
        <v>0</v>
      </c>
      <c r="AH23" s="29"/>
      <c r="AI23" s="29"/>
      <c r="AJ23" s="33"/>
      <c r="AK23" s="34">
        <f t="shared" si="9"/>
        <v>0</v>
      </c>
    </row>
    <row r="24" spans="1:37">
      <c r="A24" s="13" t="s">
        <v>61</v>
      </c>
      <c r="B24" s="14" t="s">
        <v>64</v>
      </c>
      <c r="C24" s="37">
        <v>8.9999999999999993E-3</v>
      </c>
      <c r="D24" s="37">
        <v>7.0999999999999994E-2</v>
      </c>
      <c r="E24" s="37">
        <v>0.14299999999999999</v>
      </c>
      <c r="F24" s="37">
        <v>0.77100000000000002</v>
      </c>
      <c r="G24" s="37"/>
      <c r="H24" s="37">
        <f t="shared" si="0"/>
        <v>6.0000000000000053E-3</v>
      </c>
      <c r="I24" s="13" t="str">
        <f t="shared" si="1"/>
        <v>BIDAYUH</v>
      </c>
      <c r="J24" s="15">
        <f t="shared" si="2"/>
        <v>3828</v>
      </c>
      <c r="K24" s="15">
        <v>10370</v>
      </c>
      <c r="L24" s="16">
        <f t="shared" si="3"/>
        <v>0.77145612343297976</v>
      </c>
      <c r="M24" s="15">
        <v>8000</v>
      </c>
      <c r="N24" s="15">
        <v>17</v>
      </c>
      <c r="O24" s="15">
        <v>105</v>
      </c>
      <c r="P24" s="33">
        <f t="shared" si="4"/>
        <v>7878</v>
      </c>
      <c r="Q24" s="29" t="s">
        <v>243</v>
      </c>
      <c r="R24" s="29" t="s">
        <v>241</v>
      </c>
      <c r="S24" s="29" t="s">
        <v>242</v>
      </c>
      <c r="T24" s="33">
        <v>5769</v>
      </c>
      <c r="U24" s="34">
        <f t="shared" si="5"/>
        <v>0.73229246001523229</v>
      </c>
      <c r="V24" s="29" t="s">
        <v>244</v>
      </c>
      <c r="W24" s="29" t="s">
        <v>245</v>
      </c>
      <c r="X24" s="33">
        <v>1941</v>
      </c>
      <c r="Y24" s="34">
        <f t="shared" si="6"/>
        <v>0.24638233054074637</v>
      </c>
      <c r="Z24" s="29" t="s">
        <v>269</v>
      </c>
      <c r="AA24" s="29" t="s">
        <v>270</v>
      </c>
      <c r="AB24" s="33">
        <v>168</v>
      </c>
      <c r="AC24" s="34">
        <f t="shared" si="7"/>
        <v>2.1325209444021324E-2</v>
      </c>
      <c r="AD24" s="29"/>
      <c r="AE24" s="29"/>
      <c r="AF24" s="33"/>
      <c r="AG24" s="34">
        <f t="shared" si="8"/>
        <v>0</v>
      </c>
      <c r="AH24" s="29"/>
      <c r="AI24" s="29"/>
      <c r="AJ24" s="33"/>
      <c r="AK24" s="34">
        <f t="shared" si="9"/>
        <v>0</v>
      </c>
    </row>
    <row r="25" spans="1:37">
      <c r="A25" s="13" t="s">
        <v>62</v>
      </c>
      <c r="B25" s="14" t="s">
        <v>65</v>
      </c>
      <c r="C25" s="37">
        <v>0.17199999999999999</v>
      </c>
      <c r="D25" s="37">
        <v>0.217</v>
      </c>
      <c r="E25" s="37">
        <v>0.126</v>
      </c>
      <c r="F25" s="37">
        <v>0.47799999999999998</v>
      </c>
      <c r="G25" s="37">
        <v>7.0000000000000001E-3</v>
      </c>
      <c r="H25" s="37">
        <f t="shared" si="0"/>
        <v>1.1709383462843448E-16</v>
      </c>
      <c r="I25" s="13" t="str">
        <f t="shared" si="1"/>
        <v>MIXED</v>
      </c>
      <c r="J25" s="15">
        <f t="shared" si="2"/>
        <v>3144</v>
      </c>
      <c r="K25" s="15">
        <v>13365</v>
      </c>
      <c r="L25" s="16">
        <f t="shared" si="3"/>
        <v>0.70722035166479613</v>
      </c>
      <c r="M25" s="15">
        <v>9452</v>
      </c>
      <c r="N25" s="15">
        <v>195</v>
      </c>
      <c r="O25" s="15">
        <v>117</v>
      </c>
      <c r="P25" s="33">
        <f t="shared" si="4"/>
        <v>9140</v>
      </c>
      <c r="Q25" s="29" t="s">
        <v>243</v>
      </c>
      <c r="R25" s="29" t="s">
        <v>241</v>
      </c>
      <c r="S25" s="29" t="s">
        <v>242</v>
      </c>
      <c r="T25" s="33">
        <v>5451</v>
      </c>
      <c r="U25" s="34">
        <f t="shared" si="5"/>
        <v>0.59638949671772434</v>
      </c>
      <c r="V25" s="29" t="s">
        <v>244</v>
      </c>
      <c r="W25" s="29" t="s">
        <v>245</v>
      </c>
      <c r="X25" s="33">
        <v>2307</v>
      </c>
      <c r="Y25" s="34">
        <f t="shared" si="6"/>
        <v>0.25240700218818379</v>
      </c>
      <c r="Z25" s="29" t="s">
        <v>251</v>
      </c>
      <c r="AA25" s="29" t="s">
        <v>251</v>
      </c>
      <c r="AB25" s="33">
        <v>1196</v>
      </c>
      <c r="AC25" s="34">
        <f t="shared" si="7"/>
        <v>0.13085339168490154</v>
      </c>
      <c r="AD25" s="29" t="s">
        <v>269</v>
      </c>
      <c r="AE25" s="29" t="s">
        <v>270</v>
      </c>
      <c r="AF25" s="33">
        <v>133</v>
      </c>
      <c r="AG25" s="34">
        <f t="shared" si="8"/>
        <v>1.4551422319474835E-2</v>
      </c>
      <c r="AH25" s="29" t="s">
        <v>272</v>
      </c>
      <c r="AI25" s="29" t="s">
        <v>270</v>
      </c>
      <c r="AJ25" s="33">
        <v>53</v>
      </c>
      <c r="AK25" s="34">
        <f t="shared" si="9"/>
        <v>5.7986870897155365E-3</v>
      </c>
    </row>
    <row r="26" spans="1:37" ht="28.5">
      <c r="A26" s="13" t="s">
        <v>68</v>
      </c>
      <c r="B26" s="14" t="s">
        <v>71</v>
      </c>
      <c r="C26" s="37">
        <v>0.90200000000000002</v>
      </c>
      <c r="D26" s="37">
        <v>8.6999999999999994E-2</v>
      </c>
      <c r="E26" s="37">
        <v>6.0000000000000001E-3</v>
      </c>
      <c r="F26" s="37"/>
      <c r="G26" s="37"/>
      <c r="H26" s="37">
        <f t="shared" si="0"/>
        <v>4.9999999999999819E-3</v>
      </c>
      <c r="I26" s="13" t="str">
        <f t="shared" si="1"/>
        <v>MELAYU / MELANAU</v>
      </c>
      <c r="J26" s="15">
        <f t="shared" si="2"/>
        <v>3467</v>
      </c>
      <c r="K26" s="15">
        <v>6749</v>
      </c>
      <c r="L26" s="16">
        <f t="shared" si="3"/>
        <v>0.72218106386131276</v>
      </c>
      <c r="M26" s="15">
        <v>4874</v>
      </c>
      <c r="N26" s="15">
        <v>20</v>
      </c>
      <c r="O26" s="15">
        <v>80</v>
      </c>
      <c r="P26" s="33">
        <f t="shared" si="4"/>
        <v>4774</v>
      </c>
      <c r="Q26" s="29" t="s">
        <v>243</v>
      </c>
      <c r="R26" s="29" t="s">
        <v>241</v>
      </c>
      <c r="S26" s="29" t="s">
        <v>242</v>
      </c>
      <c r="T26" s="33">
        <v>3925</v>
      </c>
      <c r="U26" s="34">
        <f t="shared" si="5"/>
        <v>0.82216170925848342</v>
      </c>
      <c r="V26" s="29" t="s">
        <v>250</v>
      </c>
      <c r="W26" s="29" t="s">
        <v>246</v>
      </c>
      <c r="X26" s="33">
        <v>458</v>
      </c>
      <c r="Y26" s="34">
        <f t="shared" si="6"/>
        <v>9.5936321742773362E-2</v>
      </c>
      <c r="Z26" s="29" t="s">
        <v>251</v>
      </c>
      <c r="AA26" s="29" t="s">
        <v>251</v>
      </c>
      <c r="AB26" s="33">
        <v>234</v>
      </c>
      <c r="AC26" s="34">
        <f t="shared" si="7"/>
        <v>4.9015500628403853E-2</v>
      </c>
      <c r="AD26" s="29" t="s">
        <v>254</v>
      </c>
      <c r="AE26" s="29" t="s">
        <v>245</v>
      </c>
      <c r="AF26" s="33">
        <v>157</v>
      </c>
      <c r="AG26" s="34">
        <f t="shared" si="8"/>
        <v>3.2886468370339338E-2</v>
      </c>
      <c r="AH26" s="29"/>
      <c r="AI26" s="29"/>
      <c r="AJ26" s="33"/>
      <c r="AK26" s="34">
        <f t="shared" si="9"/>
        <v>0</v>
      </c>
    </row>
    <row r="27" spans="1:37" ht="28.5">
      <c r="A27" s="13" t="s">
        <v>69</v>
      </c>
      <c r="B27" s="14" t="s">
        <v>72</v>
      </c>
      <c r="C27" s="37">
        <v>0.65700000000000003</v>
      </c>
      <c r="D27" s="37">
        <v>6.5000000000000002E-2</v>
      </c>
      <c r="E27" s="37">
        <v>0.26900000000000002</v>
      </c>
      <c r="F27" s="37"/>
      <c r="G27" s="37"/>
      <c r="H27" s="37">
        <f t="shared" si="0"/>
        <v>8.9999999999999525E-3</v>
      </c>
      <c r="I27" s="13" t="str">
        <f t="shared" si="1"/>
        <v>MELAYU / MELANAU</v>
      </c>
      <c r="J27" s="15">
        <f t="shared" si="2"/>
        <v>2712</v>
      </c>
      <c r="K27" s="15">
        <v>7774</v>
      </c>
      <c r="L27" s="16">
        <f t="shared" si="3"/>
        <v>0.76086956521739135</v>
      </c>
      <c r="M27" s="15">
        <v>5915</v>
      </c>
      <c r="N27" s="15">
        <v>27</v>
      </c>
      <c r="O27" s="15">
        <v>123</v>
      </c>
      <c r="P27" s="33">
        <f t="shared" si="4"/>
        <v>5765</v>
      </c>
      <c r="Q27" s="29" t="s">
        <v>243</v>
      </c>
      <c r="R27" s="29" t="s">
        <v>241</v>
      </c>
      <c r="S27" s="29" t="s">
        <v>242</v>
      </c>
      <c r="T27" s="33">
        <v>4101</v>
      </c>
      <c r="U27" s="34">
        <f t="shared" si="5"/>
        <v>0.71136166522116218</v>
      </c>
      <c r="V27" s="29" t="s">
        <v>253</v>
      </c>
      <c r="W27" s="29" t="s">
        <v>245</v>
      </c>
      <c r="X27" s="33">
        <v>1389</v>
      </c>
      <c r="Y27" s="34">
        <f t="shared" si="6"/>
        <v>0.24093668690372941</v>
      </c>
      <c r="Z27" s="29" t="s">
        <v>251</v>
      </c>
      <c r="AA27" s="29" t="s">
        <v>251</v>
      </c>
      <c r="AB27" s="33">
        <v>275</v>
      </c>
      <c r="AC27" s="34">
        <f t="shared" si="7"/>
        <v>4.7701647875108416E-2</v>
      </c>
      <c r="AD27" s="29"/>
      <c r="AE27" s="29"/>
      <c r="AF27" s="33"/>
      <c r="AG27" s="34">
        <f t="shared" si="8"/>
        <v>0</v>
      </c>
      <c r="AH27" s="29"/>
      <c r="AI27" s="29"/>
      <c r="AJ27" s="33"/>
      <c r="AK27" s="34">
        <f t="shared" si="9"/>
        <v>0</v>
      </c>
    </row>
    <row r="28" spans="1:37" ht="28.5">
      <c r="A28" s="13" t="s">
        <v>70</v>
      </c>
      <c r="B28" s="14" t="s">
        <v>73</v>
      </c>
      <c r="C28" s="37">
        <v>0.623</v>
      </c>
      <c r="D28" s="37">
        <v>1.2E-2</v>
      </c>
      <c r="E28" s="37">
        <v>0.35</v>
      </c>
      <c r="F28" s="37"/>
      <c r="G28" s="37"/>
      <c r="H28" s="37">
        <f t="shared" si="0"/>
        <v>1.5000000000000013E-2</v>
      </c>
      <c r="I28" s="13" t="str">
        <f t="shared" si="1"/>
        <v>MELAYU / MELANAU</v>
      </c>
      <c r="J28" s="15">
        <f t="shared" si="2"/>
        <v>3365</v>
      </c>
      <c r="K28" s="15">
        <v>7087</v>
      </c>
      <c r="L28" s="16">
        <f t="shared" si="3"/>
        <v>0.74742486242415695</v>
      </c>
      <c r="M28" s="15">
        <v>5297</v>
      </c>
      <c r="N28" s="15">
        <v>26</v>
      </c>
      <c r="O28" s="15">
        <v>112</v>
      </c>
      <c r="P28" s="33">
        <f t="shared" si="4"/>
        <v>5159</v>
      </c>
      <c r="Q28" s="29" t="s">
        <v>243</v>
      </c>
      <c r="R28" s="29" t="s">
        <v>241</v>
      </c>
      <c r="S28" s="29" t="s">
        <v>242</v>
      </c>
      <c r="T28" s="33">
        <v>4064</v>
      </c>
      <c r="U28" s="34">
        <f t="shared" si="5"/>
        <v>0.78774956386896688</v>
      </c>
      <c r="V28" s="29" t="s">
        <v>254</v>
      </c>
      <c r="W28" s="29" t="s">
        <v>245</v>
      </c>
      <c r="X28" s="33">
        <v>699</v>
      </c>
      <c r="Y28" s="34">
        <f t="shared" si="6"/>
        <v>0.13549137429734445</v>
      </c>
      <c r="Z28" s="29" t="s">
        <v>251</v>
      </c>
      <c r="AA28" s="29" t="s">
        <v>251</v>
      </c>
      <c r="AB28" s="33">
        <v>396</v>
      </c>
      <c r="AC28" s="34">
        <f t="shared" si="7"/>
        <v>7.6759061833688705E-2</v>
      </c>
      <c r="AD28" s="29"/>
      <c r="AE28" s="29"/>
      <c r="AF28" s="33"/>
      <c r="AG28" s="34">
        <f t="shared" si="8"/>
        <v>0</v>
      </c>
      <c r="AH28" s="29"/>
      <c r="AI28" s="29"/>
      <c r="AJ28" s="33"/>
      <c r="AK28" s="34">
        <f t="shared" si="9"/>
        <v>0</v>
      </c>
    </row>
    <row r="29" spans="1:37" ht="28.5">
      <c r="A29" s="13" t="s">
        <v>76</v>
      </c>
      <c r="B29" s="14" t="s">
        <v>79</v>
      </c>
      <c r="C29" s="37">
        <v>0.63700000000000001</v>
      </c>
      <c r="D29" s="37">
        <v>3.4000000000000002E-2</v>
      </c>
      <c r="E29" s="37">
        <v>0.32300000000000001</v>
      </c>
      <c r="F29" s="37"/>
      <c r="G29" s="37"/>
      <c r="H29" s="37">
        <f t="shared" si="0"/>
        <v>5.9999999999999498E-3</v>
      </c>
      <c r="I29" s="13" t="str">
        <f t="shared" si="1"/>
        <v>MELAYU / MELANAU</v>
      </c>
      <c r="J29" s="15">
        <f t="shared" si="2"/>
        <v>2742</v>
      </c>
      <c r="K29" s="15">
        <v>9041</v>
      </c>
      <c r="L29" s="16">
        <f t="shared" si="3"/>
        <v>0.73221988718062159</v>
      </c>
      <c r="M29" s="15">
        <v>6620</v>
      </c>
      <c r="N29" s="15">
        <v>18</v>
      </c>
      <c r="O29" s="15">
        <v>118</v>
      </c>
      <c r="P29" s="33">
        <f t="shared" si="4"/>
        <v>6484</v>
      </c>
      <c r="Q29" s="29" t="s">
        <v>243</v>
      </c>
      <c r="R29" s="29" t="s">
        <v>241</v>
      </c>
      <c r="S29" s="29" t="s">
        <v>242</v>
      </c>
      <c r="T29" s="33">
        <v>4531</v>
      </c>
      <c r="U29" s="34">
        <f t="shared" si="5"/>
        <v>0.69879703886489819</v>
      </c>
      <c r="V29" s="29" t="s">
        <v>250</v>
      </c>
      <c r="W29" s="29" t="s">
        <v>246</v>
      </c>
      <c r="X29" s="33">
        <v>1789</v>
      </c>
      <c r="Y29" s="34">
        <f t="shared" si="6"/>
        <v>0.2759099321406539</v>
      </c>
      <c r="Z29" s="29" t="s">
        <v>254</v>
      </c>
      <c r="AA29" s="29" t="s">
        <v>245</v>
      </c>
      <c r="AB29" s="33">
        <v>164</v>
      </c>
      <c r="AC29" s="34">
        <f t="shared" si="7"/>
        <v>2.5293028994447873E-2</v>
      </c>
      <c r="AD29" s="29"/>
      <c r="AE29" s="29"/>
      <c r="AF29" s="33"/>
      <c r="AG29" s="34">
        <f t="shared" si="8"/>
        <v>0</v>
      </c>
      <c r="AH29" s="29"/>
      <c r="AI29" s="29"/>
      <c r="AJ29" s="33"/>
      <c r="AK29" s="34">
        <f t="shared" si="9"/>
        <v>0</v>
      </c>
    </row>
    <row r="30" spans="1:37" ht="28.5">
      <c r="A30" s="13" t="s">
        <v>77</v>
      </c>
      <c r="B30" s="14" t="s">
        <v>80</v>
      </c>
      <c r="C30" s="37">
        <v>0.63400000000000001</v>
      </c>
      <c r="D30" s="37">
        <v>0.05</v>
      </c>
      <c r="E30" s="37">
        <v>0.31</v>
      </c>
      <c r="F30" s="37"/>
      <c r="G30" s="37"/>
      <c r="H30" s="37">
        <f t="shared" si="0"/>
        <v>6.0000000000000053E-3</v>
      </c>
      <c r="I30" s="13" t="str">
        <f t="shared" si="1"/>
        <v>MELAYU / MELANAU</v>
      </c>
      <c r="J30" s="15">
        <f t="shared" si="2"/>
        <v>2943</v>
      </c>
      <c r="K30" s="15">
        <v>8988</v>
      </c>
      <c r="L30" s="16">
        <f t="shared" si="3"/>
        <v>0.70649755229194477</v>
      </c>
      <c r="M30" s="15">
        <v>6350</v>
      </c>
      <c r="N30" s="15">
        <v>0</v>
      </c>
      <c r="O30" s="15">
        <v>113</v>
      </c>
      <c r="P30" s="33">
        <f t="shared" si="4"/>
        <v>6237</v>
      </c>
      <c r="Q30" s="29" t="s">
        <v>243</v>
      </c>
      <c r="R30" s="29" t="s">
        <v>241</v>
      </c>
      <c r="S30" s="29" t="s">
        <v>242</v>
      </c>
      <c r="T30" s="33">
        <v>4169</v>
      </c>
      <c r="U30" s="34">
        <f t="shared" si="5"/>
        <v>0.66843033509700178</v>
      </c>
      <c r="V30" s="29" t="s">
        <v>253</v>
      </c>
      <c r="W30" s="29" t="s">
        <v>245</v>
      </c>
      <c r="X30" s="33">
        <v>1226</v>
      </c>
      <c r="Y30" s="34">
        <f t="shared" si="6"/>
        <v>0.19656886323552991</v>
      </c>
      <c r="Z30" s="29" t="s">
        <v>251</v>
      </c>
      <c r="AA30" s="29" t="s">
        <v>251</v>
      </c>
      <c r="AB30" s="33">
        <v>842</v>
      </c>
      <c r="AC30" s="34">
        <f t="shared" si="7"/>
        <v>0.13500080166746833</v>
      </c>
      <c r="AD30" s="29"/>
      <c r="AE30" s="29"/>
      <c r="AF30" s="33"/>
      <c r="AG30" s="34">
        <f t="shared" si="8"/>
        <v>0</v>
      </c>
      <c r="AH30" s="29"/>
      <c r="AI30" s="29"/>
      <c r="AJ30" s="33"/>
      <c r="AK30" s="34">
        <f t="shared" si="9"/>
        <v>0</v>
      </c>
    </row>
    <row r="31" spans="1:37" ht="28.5">
      <c r="A31" s="13" t="s">
        <v>78</v>
      </c>
      <c r="B31" s="14" t="s">
        <v>81</v>
      </c>
      <c r="C31" s="37">
        <v>0.89100000000000001</v>
      </c>
      <c r="D31" s="37">
        <v>1.9E-2</v>
      </c>
      <c r="E31" s="37">
        <v>8.6999999999999994E-2</v>
      </c>
      <c r="F31" s="37"/>
      <c r="G31" s="37"/>
      <c r="H31" s="37">
        <f t="shared" si="0"/>
        <v>2.9999999999999888E-3</v>
      </c>
      <c r="I31" s="13" t="str">
        <f t="shared" si="1"/>
        <v>MELAYU / MELANAU</v>
      </c>
      <c r="J31" s="15">
        <f t="shared" si="2"/>
        <v>1707</v>
      </c>
      <c r="K31" s="15">
        <v>10474</v>
      </c>
      <c r="L31" s="16">
        <f t="shared" si="3"/>
        <v>0.76713767424097767</v>
      </c>
      <c r="M31" s="15">
        <v>8035</v>
      </c>
      <c r="N31" s="15">
        <v>19</v>
      </c>
      <c r="O31" s="15">
        <v>104</v>
      </c>
      <c r="P31" s="33">
        <f t="shared" si="4"/>
        <v>7912</v>
      </c>
      <c r="Q31" s="29" t="s">
        <v>243</v>
      </c>
      <c r="R31" s="29" t="s">
        <v>241</v>
      </c>
      <c r="S31" s="29" t="s">
        <v>242</v>
      </c>
      <c r="T31" s="33">
        <v>4758</v>
      </c>
      <c r="U31" s="34">
        <f t="shared" si="5"/>
        <v>0.60136501516683516</v>
      </c>
      <c r="V31" s="29" t="s">
        <v>250</v>
      </c>
      <c r="W31" s="29" t="s">
        <v>246</v>
      </c>
      <c r="X31" s="33">
        <v>3051</v>
      </c>
      <c r="Y31" s="34">
        <f t="shared" si="6"/>
        <v>0.38561678463094035</v>
      </c>
      <c r="Z31" s="29" t="s">
        <v>254</v>
      </c>
      <c r="AA31" s="29" t="s">
        <v>245</v>
      </c>
      <c r="AB31" s="33">
        <v>103</v>
      </c>
      <c r="AC31" s="34">
        <f t="shared" si="7"/>
        <v>1.3018200202224469E-2</v>
      </c>
      <c r="AD31" s="29"/>
      <c r="AE31" s="29"/>
      <c r="AF31" s="33"/>
      <c r="AG31" s="34">
        <f t="shared" si="8"/>
        <v>0</v>
      </c>
      <c r="AH31" s="29"/>
      <c r="AI31" s="29"/>
      <c r="AJ31" s="33"/>
      <c r="AK31" s="34">
        <f t="shared" si="9"/>
        <v>0</v>
      </c>
    </row>
    <row r="32" spans="1:37">
      <c r="A32" s="13" t="s">
        <v>84</v>
      </c>
      <c r="B32" s="14" t="s">
        <v>87</v>
      </c>
      <c r="C32" s="37">
        <v>4.2000000000000003E-2</v>
      </c>
      <c r="D32" s="37">
        <v>7.2999999999999995E-2</v>
      </c>
      <c r="E32" s="37">
        <v>0.86</v>
      </c>
      <c r="F32" s="37">
        <v>1.9E-2</v>
      </c>
      <c r="G32" s="37"/>
      <c r="H32" s="37">
        <f t="shared" si="0"/>
        <v>6.0000000000000227E-3</v>
      </c>
      <c r="I32" s="13" t="str">
        <f t="shared" si="1"/>
        <v>IBAN</v>
      </c>
      <c r="J32" s="15">
        <f t="shared" si="2"/>
        <v>2039</v>
      </c>
      <c r="K32" s="15">
        <v>9945</v>
      </c>
      <c r="L32" s="16">
        <f t="shared" si="3"/>
        <v>0.783710407239819</v>
      </c>
      <c r="M32" s="15">
        <v>7794</v>
      </c>
      <c r="N32" s="15">
        <v>87</v>
      </c>
      <c r="O32" s="15">
        <v>0</v>
      </c>
      <c r="P32" s="33">
        <f t="shared" si="4"/>
        <v>7707</v>
      </c>
      <c r="Q32" s="29" t="s">
        <v>249</v>
      </c>
      <c r="R32" s="29" t="s">
        <v>241</v>
      </c>
      <c r="S32" s="29" t="s">
        <v>242</v>
      </c>
      <c r="T32" s="33">
        <v>4478</v>
      </c>
      <c r="U32" s="34">
        <f t="shared" si="5"/>
        <v>0.58103023225639028</v>
      </c>
      <c r="V32" s="29" t="s">
        <v>251</v>
      </c>
      <c r="W32" s="29" t="s">
        <v>251</v>
      </c>
      <c r="X32" s="33">
        <v>2439</v>
      </c>
      <c r="Y32" s="34">
        <f t="shared" si="6"/>
        <v>0.31646555079797589</v>
      </c>
      <c r="Z32" s="29" t="s">
        <v>253</v>
      </c>
      <c r="AA32" s="29" t="s">
        <v>245</v>
      </c>
      <c r="AB32" s="33">
        <v>700</v>
      </c>
      <c r="AC32" s="34">
        <f t="shared" si="7"/>
        <v>9.0826521344232511E-2</v>
      </c>
      <c r="AD32" s="29" t="s">
        <v>269</v>
      </c>
      <c r="AE32" s="29" t="s">
        <v>270</v>
      </c>
      <c r="AF32" s="33">
        <v>90</v>
      </c>
      <c r="AG32" s="34">
        <f t="shared" si="8"/>
        <v>1.1677695601401323E-2</v>
      </c>
      <c r="AH32" s="29"/>
      <c r="AI32" s="29"/>
      <c r="AJ32" s="33"/>
      <c r="AK32" s="34">
        <f t="shared" si="9"/>
        <v>0</v>
      </c>
    </row>
    <row r="33" spans="1:37">
      <c r="A33" s="13" t="s">
        <v>85</v>
      </c>
      <c r="B33" s="14" t="s">
        <v>88</v>
      </c>
      <c r="C33" s="37">
        <v>0.16600000000000001</v>
      </c>
      <c r="D33" s="37">
        <v>5.5E-2</v>
      </c>
      <c r="E33" s="37">
        <v>0.76500000000000001</v>
      </c>
      <c r="F33" s="37"/>
      <c r="G33" s="37"/>
      <c r="H33" s="37">
        <f t="shared" si="0"/>
        <v>1.3999999999999901E-2</v>
      </c>
      <c r="I33" s="13" t="str">
        <f t="shared" si="1"/>
        <v>IBAN</v>
      </c>
      <c r="J33" s="15">
        <f t="shared" si="2"/>
        <v>4695</v>
      </c>
      <c r="K33" s="15">
        <v>9389</v>
      </c>
      <c r="L33" s="16">
        <f t="shared" si="3"/>
        <v>0.69730535733304932</v>
      </c>
      <c r="M33" s="15">
        <v>6547</v>
      </c>
      <c r="N33" s="15">
        <v>17</v>
      </c>
      <c r="O33" s="15">
        <v>125</v>
      </c>
      <c r="P33" s="33">
        <f t="shared" si="4"/>
        <v>6405</v>
      </c>
      <c r="Q33" s="29" t="s">
        <v>249</v>
      </c>
      <c r="R33" s="29" t="s">
        <v>241</v>
      </c>
      <c r="S33" s="29" t="s">
        <v>242</v>
      </c>
      <c r="T33" s="33">
        <v>5550</v>
      </c>
      <c r="U33" s="34">
        <f t="shared" si="5"/>
        <v>0.86651053864168615</v>
      </c>
      <c r="V33" s="29" t="s">
        <v>253</v>
      </c>
      <c r="W33" s="29" t="s">
        <v>245</v>
      </c>
      <c r="X33" s="33">
        <v>855</v>
      </c>
      <c r="Y33" s="34">
        <f t="shared" si="6"/>
        <v>0.13348946135831383</v>
      </c>
      <c r="Z33" s="29"/>
      <c r="AA33" s="29"/>
      <c r="AB33" s="33"/>
      <c r="AC33" s="34">
        <f t="shared" si="7"/>
        <v>0</v>
      </c>
      <c r="AD33" s="29"/>
      <c r="AE33" s="29"/>
      <c r="AF33" s="33"/>
      <c r="AG33" s="34">
        <f t="shared" si="8"/>
        <v>0</v>
      </c>
      <c r="AH33" s="29"/>
      <c r="AI33" s="29"/>
      <c r="AJ33" s="33"/>
      <c r="AK33" s="34">
        <f t="shared" si="9"/>
        <v>0</v>
      </c>
    </row>
    <row r="34" spans="1:37">
      <c r="A34" s="13" t="s">
        <v>86</v>
      </c>
      <c r="B34" s="14" t="s">
        <v>89</v>
      </c>
      <c r="C34" s="37">
        <v>8.7999999999999995E-2</v>
      </c>
      <c r="D34" s="37">
        <v>0.35499999999999998</v>
      </c>
      <c r="E34" s="37">
        <v>0.54200000000000004</v>
      </c>
      <c r="F34" s="37"/>
      <c r="G34" s="37"/>
      <c r="H34" s="37">
        <f t="shared" si="0"/>
        <v>1.5000000000000013E-2</v>
      </c>
      <c r="I34" s="13" t="str">
        <f t="shared" si="1"/>
        <v>IBAN</v>
      </c>
      <c r="J34" s="15">
        <f t="shared" si="2"/>
        <v>1388</v>
      </c>
      <c r="K34" s="15">
        <v>11472</v>
      </c>
      <c r="L34" s="16">
        <f t="shared" si="3"/>
        <v>0.71521966527196656</v>
      </c>
      <c r="M34" s="15">
        <v>8205</v>
      </c>
      <c r="N34" s="15">
        <v>47</v>
      </c>
      <c r="O34" s="15">
        <v>83</v>
      </c>
      <c r="P34" s="33">
        <f t="shared" si="4"/>
        <v>8075</v>
      </c>
      <c r="Q34" s="29" t="s">
        <v>239</v>
      </c>
      <c r="R34" s="29" t="s">
        <v>241</v>
      </c>
      <c r="S34" s="29" t="s">
        <v>242</v>
      </c>
      <c r="T34" s="33">
        <v>4094</v>
      </c>
      <c r="U34" s="34">
        <f t="shared" si="5"/>
        <v>0.50699690402476782</v>
      </c>
      <c r="V34" s="29" t="s">
        <v>251</v>
      </c>
      <c r="W34" s="29" t="s">
        <v>251</v>
      </c>
      <c r="X34" s="33">
        <v>2706</v>
      </c>
      <c r="Y34" s="34">
        <f t="shared" si="6"/>
        <v>0.33510835913312692</v>
      </c>
      <c r="Z34" s="29" t="s">
        <v>244</v>
      </c>
      <c r="AA34" s="29" t="s">
        <v>245</v>
      </c>
      <c r="AB34" s="33">
        <v>695</v>
      </c>
      <c r="AC34" s="34">
        <f t="shared" si="7"/>
        <v>8.6068111455108356E-2</v>
      </c>
      <c r="AD34" s="29" t="s">
        <v>253</v>
      </c>
      <c r="AE34" s="29" t="s">
        <v>245</v>
      </c>
      <c r="AF34" s="33">
        <v>580</v>
      </c>
      <c r="AG34" s="34">
        <f t="shared" si="8"/>
        <v>7.1826625386996898E-2</v>
      </c>
      <c r="AH34" s="29"/>
      <c r="AI34" s="29"/>
      <c r="AJ34" s="33"/>
      <c r="AK34" s="34">
        <f t="shared" si="9"/>
        <v>0</v>
      </c>
    </row>
    <row r="35" spans="1:37">
      <c r="A35" s="13" t="s">
        <v>92</v>
      </c>
      <c r="B35" s="14" t="s">
        <v>94</v>
      </c>
      <c r="C35" s="37">
        <v>1.7000000000000001E-2</v>
      </c>
      <c r="D35" s="37">
        <v>0.123</v>
      </c>
      <c r="E35" s="37">
        <v>0.85</v>
      </c>
      <c r="F35" s="37"/>
      <c r="G35" s="37"/>
      <c r="H35" s="37">
        <f t="shared" si="0"/>
        <v>1.0000000000000009E-2</v>
      </c>
      <c r="I35" s="13" t="str">
        <f t="shared" si="1"/>
        <v>IBAN</v>
      </c>
      <c r="J35" s="15">
        <f t="shared" si="2"/>
        <v>3857</v>
      </c>
      <c r="K35" s="15">
        <v>10682</v>
      </c>
      <c r="L35" s="16">
        <f t="shared" si="3"/>
        <v>0.73843849466392064</v>
      </c>
      <c r="M35" s="15">
        <v>7888</v>
      </c>
      <c r="N35" s="15">
        <v>23</v>
      </c>
      <c r="O35" s="15">
        <v>73</v>
      </c>
      <c r="P35" s="33">
        <f t="shared" si="4"/>
        <v>7792</v>
      </c>
      <c r="Q35" s="29" t="s">
        <v>252</v>
      </c>
      <c r="R35" s="29" t="s">
        <v>251</v>
      </c>
      <c r="S35" s="29" t="s">
        <v>247</v>
      </c>
      <c r="T35" s="33">
        <v>5513</v>
      </c>
      <c r="U35" s="34">
        <f t="shared" si="5"/>
        <v>0.70752053388090352</v>
      </c>
      <c r="V35" s="29" t="s">
        <v>251</v>
      </c>
      <c r="W35" s="29" t="s">
        <v>251</v>
      </c>
      <c r="X35" s="33">
        <v>1656</v>
      </c>
      <c r="Y35" s="34">
        <f t="shared" si="6"/>
        <v>0.21252566735112938</v>
      </c>
      <c r="Z35" s="29" t="s">
        <v>253</v>
      </c>
      <c r="AA35" s="29" t="s">
        <v>245</v>
      </c>
      <c r="AB35" s="33">
        <v>532</v>
      </c>
      <c r="AC35" s="34">
        <f t="shared" si="7"/>
        <v>6.8275154004106775E-2</v>
      </c>
      <c r="AD35" s="29" t="s">
        <v>251</v>
      </c>
      <c r="AE35" s="29" t="s">
        <v>251</v>
      </c>
      <c r="AF35" s="33">
        <v>91</v>
      </c>
      <c r="AG35" s="34">
        <f t="shared" si="8"/>
        <v>1.1678644763860369E-2</v>
      </c>
      <c r="AH35" s="29"/>
      <c r="AI35" s="29"/>
      <c r="AJ35" s="33"/>
      <c r="AK35" s="34">
        <f t="shared" si="9"/>
        <v>0</v>
      </c>
    </row>
    <row r="36" spans="1:37">
      <c r="A36" s="13" t="s">
        <v>93</v>
      </c>
      <c r="B36" s="14" t="s">
        <v>95</v>
      </c>
      <c r="C36" s="37">
        <v>1.4999999999999999E-2</v>
      </c>
      <c r="D36" s="37">
        <v>3.6999999999999998E-2</v>
      </c>
      <c r="E36" s="37">
        <v>0.94099999999999995</v>
      </c>
      <c r="F36" s="37"/>
      <c r="G36" s="37"/>
      <c r="H36" s="37">
        <f t="shared" si="0"/>
        <v>7.0000000000000062E-3</v>
      </c>
      <c r="I36" s="13" t="str">
        <f t="shared" si="1"/>
        <v>IBAN</v>
      </c>
      <c r="J36" s="15">
        <f t="shared" si="2"/>
        <v>3186</v>
      </c>
      <c r="K36" s="15">
        <v>9492</v>
      </c>
      <c r="L36" s="16">
        <f t="shared" si="3"/>
        <v>0.70754319426885803</v>
      </c>
      <c r="M36" s="15">
        <v>6716</v>
      </c>
      <c r="N36" s="15">
        <v>18</v>
      </c>
      <c r="O36" s="15">
        <v>116</v>
      </c>
      <c r="P36" s="33">
        <f t="shared" si="4"/>
        <v>6582</v>
      </c>
      <c r="Q36" s="29" t="s">
        <v>249</v>
      </c>
      <c r="R36" s="29" t="s">
        <v>241</v>
      </c>
      <c r="S36" s="29" t="s">
        <v>242</v>
      </c>
      <c r="T36" s="33">
        <v>4884</v>
      </c>
      <c r="U36" s="34">
        <f t="shared" si="5"/>
        <v>0.74202370100273474</v>
      </c>
      <c r="V36" s="29" t="s">
        <v>253</v>
      </c>
      <c r="W36" s="29" t="s">
        <v>253</v>
      </c>
      <c r="X36" s="33">
        <v>1698</v>
      </c>
      <c r="Y36" s="34">
        <f t="shared" si="6"/>
        <v>0.25797629899726526</v>
      </c>
      <c r="Z36" s="29"/>
      <c r="AA36" s="29"/>
      <c r="AB36" s="33"/>
      <c r="AC36" s="34">
        <f t="shared" si="7"/>
        <v>0</v>
      </c>
      <c r="AD36" s="29"/>
      <c r="AE36" s="29"/>
      <c r="AF36" s="33"/>
      <c r="AG36" s="34">
        <f t="shared" si="8"/>
        <v>0</v>
      </c>
      <c r="AH36" s="29"/>
      <c r="AI36" s="29"/>
      <c r="AJ36" s="33"/>
      <c r="AK36" s="34">
        <f t="shared" si="9"/>
        <v>0</v>
      </c>
    </row>
    <row r="37" spans="1:37" ht="28.5">
      <c r="A37" s="13" t="s">
        <v>98</v>
      </c>
      <c r="B37" s="14" t="s">
        <v>101</v>
      </c>
      <c r="C37" s="37">
        <v>0.80400000000000005</v>
      </c>
      <c r="D37" s="37">
        <v>3.7999999999999999E-2</v>
      </c>
      <c r="E37" s="37">
        <v>0.14199999999999999</v>
      </c>
      <c r="F37" s="37"/>
      <c r="G37" s="37"/>
      <c r="H37" s="37">
        <f t="shared" si="0"/>
        <v>1.5999999999999959E-2</v>
      </c>
      <c r="I37" s="13" t="str">
        <f t="shared" si="1"/>
        <v>MELAYU / MELANAU</v>
      </c>
      <c r="J37" s="15">
        <f t="shared" si="2"/>
        <v>4432</v>
      </c>
      <c r="K37" s="15">
        <v>9879</v>
      </c>
      <c r="L37" s="16">
        <f t="shared" si="3"/>
        <v>0.79795525862941596</v>
      </c>
      <c r="M37" s="15">
        <v>7883</v>
      </c>
      <c r="N37" s="15">
        <v>277</v>
      </c>
      <c r="O37" s="15">
        <v>112</v>
      </c>
      <c r="P37" s="33">
        <f t="shared" si="4"/>
        <v>7494</v>
      </c>
      <c r="Q37" s="29" t="s">
        <v>243</v>
      </c>
      <c r="R37" s="29" t="s">
        <v>241</v>
      </c>
      <c r="S37" s="29" t="s">
        <v>242</v>
      </c>
      <c r="T37" s="33">
        <v>5963</v>
      </c>
      <c r="U37" s="34">
        <f t="shared" si="5"/>
        <v>0.79570322925006676</v>
      </c>
      <c r="V37" s="29" t="s">
        <v>253</v>
      </c>
      <c r="W37" s="29" t="s">
        <v>245</v>
      </c>
      <c r="X37" s="33">
        <v>1531</v>
      </c>
      <c r="Y37" s="34">
        <f t="shared" si="6"/>
        <v>0.20429677074993327</v>
      </c>
      <c r="Z37" s="29"/>
      <c r="AA37" s="29"/>
      <c r="AB37" s="33"/>
      <c r="AC37" s="34">
        <f t="shared" si="7"/>
        <v>0</v>
      </c>
      <c r="AD37" s="29"/>
      <c r="AE37" s="29"/>
      <c r="AF37" s="33"/>
      <c r="AG37" s="34">
        <f t="shared" si="8"/>
        <v>0</v>
      </c>
      <c r="AH37" s="29"/>
      <c r="AI37" s="29"/>
      <c r="AJ37" s="33"/>
      <c r="AK37" s="34">
        <f t="shared" si="9"/>
        <v>0</v>
      </c>
    </row>
    <row r="38" spans="1:37">
      <c r="A38" s="13" t="s">
        <v>99</v>
      </c>
      <c r="B38" s="14" t="s">
        <v>102</v>
      </c>
      <c r="C38" s="37">
        <v>0.13900000000000001</v>
      </c>
      <c r="D38" s="37">
        <v>0.13400000000000001</v>
      </c>
      <c r="E38" s="37">
        <v>0.71499999999999997</v>
      </c>
      <c r="F38" s="37"/>
      <c r="G38" s="37"/>
      <c r="H38" s="37">
        <f t="shared" si="0"/>
        <v>1.2000000000000011E-2</v>
      </c>
      <c r="I38" s="13" t="str">
        <f t="shared" si="1"/>
        <v>IBAN</v>
      </c>
      <c r="J38" s="15">
        <f t="shared" si="2"/>
        <v>1428</v>
      </c>
      <c r="K38" s="15">
        <v>9094</v>
      </c>
      <c r="L38" s="16">
        <f t="shared" si="3"/>
        <v>0.72377391686826476</v>
      </c>
      <c r="M38" s="15">
        <v>6582</v>
      </c>
      <c r="N38" s="15">
        <v>34</v>
      </c>
      <c r="O38" s="15">
        <v>114</v>
      </c>
      <c r="P38" s="33">
        <f t="shared" si="4"/>
        <v>6434</v>
      </c>
      <c r="Q38" s="29" t="s">
        <v>243</v>
      </c>
      <c r="R38" s="29" t="s">
        <v>241</v>
      </c>
      <c r="S38" s="29" t="s">
        <v>242</v>
      </c>
      <c r="T38" s="33">
        <v>3931</v>
      </c>
      <c r="U38" s="34">
        <f t="shared" si="5"/>
        <v>0.61097295617034508</v>
      </c>
      <c r="V38" s="29" t="s">
        <v>253</v>
      </c>
      <c r="W38" s="29" t="s">
        <v>245</v>
      </c>
      <c r="X38" s="33">
        <v>2503</v>
      </c>
      <c r="Y38" s="34">
        <f t="shared" si="6"/>
        <v>0.38902704382965497</v>
      </c>
      <c r="Z38" s="29"/>
      <c r="AA38" s="29"/>
      <c r="AB38" s="33"/>
      <c r="AC38" s="34">
        <f t="shared" si="7"/>
        <v>0</v>
      </c>
      <c r="AD38" s="29"/>
      <c r="AE38" s="29"/>
      <c r="AF38" s="33"/>
      <c r="AG38" s="34">
        <f t="shared" si="8"/>
        <v>0</v>
      </c>
      <c r="AH38" s="29"/>
      <c r="AI38" s="29"/>
      <c r="AJ38" s="33"/>
      <c r="AK38" s="34">
        <f t="shared" si="9"/>
        <v>0</v>
      </c>
    </row>
    <row r="39" spans="1:37">
      <c r="A39" s="13" t="s">
        <v>100</v>
      </c>
      <c r="B39" s="14" t="s">
        <v>103</v>
      </c>
      <c r="C39" s="37">
        <v>0.26600000000000001</v>
      </c>
      <c r="D39" s="37">
        <v>4.7E-2</v>
      </c>
      <c r="E39" s="37">
        <v>0.68</v>
      </c>
      <c r="F39" s="37"/>
      <c r="G39" s="37"/>
      <c r="H39" s="37">
        <f t="shared" si="0"/>
        <v>6.9999999999998952E-3</v>
      </c>
      <c r="I39" s="13" t="str">
        <f t="shared" si="1"/>
        <v>IBAN</v>
      </c>
      <c r="J39" s="15">
        <f t="shared" si="2"/>
        <v>4599</v>
      </c>
      <c r="K39" s="15">
        <v>8897</v>
      </c>
      <c r="L39" s="16">
        <f t="shared" si="3"/>
        <v>0.7400247274362145</v>
      </c>
      <c r="M39" s="15">
        <v>6584</v>
      </c>
      <c r="N39" s="15">
        <v>27</v>
      </c>
      <c r="O39" s="15">
        <v>108</v>
      </c>
      <c r="P39" s="33">
        <f t="shared" si="4"/>
        <v>6449</v>
      </c>
      <c r="Q39" s="29" t="s">
        <v>243</v>
      </c>
      <c r="R39" s="29" t="s">
        <v>241</v>
      </c>
      <c r="S39" s="29" t="s">
        <v>242</v>
      </c>
      <c r="T39" s="33">
        <v>5524</v>
      </c>
      <c r="U39" s="34">
        <f t="shared" si="5"/>
        <v>0.85656690959838733</v>
      </c>
      <c r="V39" s="29" t="s">
        <v>253</v>
      </c>
      <c r="W39" s="29" t="s">
        <v>245</v>
      </c>
      <c r="X39" s="33">
        <v>925</v>
      </c>
      <c r="Y39" s="34">
        <f t="shared" si="6"/>
        <v>0.14343309040161265</v>
      </c>
      <c r="Z39" s="29"/>
      <c r="AA39" s="29"/>
      <c r="AB39" s="33"/>
      <c r="AC39" s="34">
        <f t="shared" si="7"/>
        <v>0</v>
      </c>
      <c r="AD39" s="29"/>
      <c r="AE39" s="29"/>
      <c r="AF39" s="33"/>
      <c r="AG39" s="34">
        <f t="shared" si="8"/>
        <v>0</v>
      </c>
      <c r="AH39" s="29"/>
      <c r="AI39" s="29"/>
      <c r="AJ39" s="33"/>
      <c r="AK39" s="34">
        <f t="shared" si="9"/>
        <v>0</v>
      </c>
    </row>
    <row r="40" spans="1:37" ht="28.5">
      <c r="A40" s="13" t="s">
        <v>106</v>
      </c>
      <c r="B40" s="14" t="s">
        <v>109</v>
      </c>
      <c r="C40" s="37">
        <v>0.57999999999999996</v>
      </c>
      <c r="D40" s="37">
        <v>0.13</v>
      </c>
      <c r="E40" s="37">
        <v>0.28499999999999998</v>
      </c>
      <c r="F40" s="37"/>
      <c r="G40" s="37"/>
      <c r="H40" s="37">
        <f t="shared" si="0"/>
        <v>5.00000000000006E-3</v>
      </c>
      <c r="I40" s="13" t="str">
        <f t="shared" si="1"/>
        <v>MELAYU / MELANAU</v>
      </c>
      <c r="J40" s="15">
        <f t="shared" si="2"/>
        <v>2835</v>
      </c>
      <c r="K40" s="15">
        <v>7327</v>
      </c>
      <c r="L40" s="16">
        <f t="shared" si="3"/>
        <v>0.7161184659478641</v>
      </c>
      <c r="M40" s="15">
        <v>5247</v>
      </c>
      <c r="N40" s="15">
        <v>24</v>
      </c>
      <c r="O40" s="15">
        <v>82</v>
      </c>
      <c r="P40" s="33">
        <f t="shared" si="4"/>
        <v>5141</v>
      </c>
      <c r="Q40" s="29" t="s">
        <v>243</v>
      </c>
      <c r="R40" s="29" t="s">
        <v>241</v>
      </c>
      <c r="S40" s="29" t="s">
        <v>242</v>
      </c>
      <c r="T40" s="33">
        <v>3988</v>
      </c>
      <c r="U40" s="34">
        <f t="shared" si="5"/>
        <v>0.77572456720482397</v>
      </c>
      <c r="V40" s="29" t="s">
        <v>253</v>
      </c>
      <c r="W40" s="29" t="s">
        <v>245</v>
      </c>
      <c r="X40" s="33">
        <v>1153</v>
      </c>
      <c r="Y40" s="34">
        <f t="shared" si="6"/>
        <v>0.22427543279517603</v>
      </c>
      <c r="Z40" s="29"/>
      <c r="AA40" s="29"/>
      <c r="AB40" s="33"/>
      <c r="AC40" s="34">
        <f t="shared" si="7"/>
        <v>0</v>
      </c>
      <c r="AD40" s="29"/>
      <c r="AE40" s="29"/>
      <c r="AF40" s="33"/>
      <c r="AG40" s="34">
        <f t="shared" si="8"/>
        <v>0</v>
      </c>
      <c r="AH40" s="29"/>
      <c r="AI40" s="29"/>
      <c r="AJ40" s="33"/>
      <c r="AK40" s="34">
        <f t="shared" si="9"/>
        <v>0</v>
      </c>
    </row>
    <row r="41" spans="1:37">
      <c r="A41" s="13" t="s">
        <v>107</v>
      </c>
      <c r="B41" s="14" t="s">
        <v>110</v>
      </c>
      <c r="C41" s="37"/>
      <c r="D41" s="37">
        <v>3.5999999999999997E-2</v>
      </c>
      <c r="E41" s="37">
        <v>0.95</v>
      </c>
      <c r="F41" s="37"/>
      <c r="G41" s="37"/>
      <c r="H41" s="37">
        <f t="shared" si="0"/>
        <v>1.4000000000000012E-2</v>
      </c>
      <c r="I41" s="13" t="str">
        <f t="shared" si="1"/>
        <v>IBAN</v>
      </c>
      <c r="J41" s="15">
        <f t="shared" si="2"/>
        <v>1640</v>
      </c>
      <c r="K41" s="15">
        <v>11959</v>
      </c>
      <c r="L41" s="16">
        <f t="shared" si="3"/>
        <v>0.77322518605234547</v>
      </c>
      <c r="M41" s="15">
        <v>9247</v>
      </c>
      <c r="N41" s="15">
        <v>53</v>
      </c>
      <c r="O41" s="15">
        <v>58</v>
      </c>
      <c r="P41" s="33">
        <f t="shared" si="4"/>
        <v>9136</v>
      </c>
      <c r="Q41" s="29" t="s">
        <v>248</v>
      </c>
      <c r="R41" s="29" t="s">
        <v>246</v>
      </c>
      <c r="S41" s="29" t="s">
        <v>247</v>
      </c>
      <c r="T41" s="33">
        <v>5388</v>
      </c>
      <c r="U41" s="34">
        <f t="shared" si="5"/>
        <v>0.58975481611208402</v>
      </c>
      <c r="V41" s="29" t="s">
        <v>240</v>
      </c>
      <c r="W41" s="29" t="s">
        <v>241</v>
      </c>
      <c r="X41" s="33">
        <v>3748</v>
      </c>
      <c r="Y41" s="34">
        <f t="shared" si="6"/>
        <v>0.41024518388791592</v>
      </c>
      <c r="Z41" s="29"/>
      <c r="AA41" s="29"/>
      <c r="AB41" s="33"/>
      <c r="AC41" s="34">
        <f t="shared" si="7"/>
        <v>0</v>
      </c>
      <c r="AD41" s="29"/>
      <c r="AE41" s="29"/>
      <c r="AF41" s="33"/>
      <c r="AG41" s="34">
        <f t="shared" si="8"/>
        <v>0</v>
      </c>
      <c r="AH41" s="29"/>
      <c r="AI41" s="29"/>
      <c r="AJ41" s="33"/>
      <c r="AK41" s="34">
        <f t="shared" si="9"/>
        <v>0</v>
      </c>
    </row>
    <row r="42" spans="1:37" ht="28.5">
      <c r="A42" s="13" t="s">
        <v>108</v>
      </c>
      <c r="B42" s="14" t="s">
        <v>111</v>
      </c>
      <c r="C42" s="37">
        <v>0.64700000000000002</v>
      </c>
      <c r="D42" s="37">
        <v>6.6000000000000003E-2</v>
      </c>
      <c r="E42" s="37">
        <v>0.28299999999999997</v>
      </c>
      <c r="F42" s="37"/>
      <c r="G42" s="37"/>
      <c r="H42" s="37">
        <f t="shared" si="0"/>
        <v>4.0000000000000036E-3</v>
      </c>
      <c r="I42" s="13" t="str">
        <f t="shared" si="1"/>
        <v>MELAYU / MELANAU</v>
      </c>
      <c r="J42" s="15">
        <f t="shared" si="2"/>
        <v>3585</v>
      </c>
      <c r="K42" s="15">
        <v>9287</v>
      </c>
      <c r="L42" s="16">
        <f t="shared" si="3"/>
        <v>0.72229998923226013</v>
      </c>
      <c r="M42" s="15">
        <v>6708</v>
      </c>
      <c r="N42" s="15">
        <v>34</v>
      </c>
      <c r="O42" s="15">
        <v>121</v>
      </c>
      <c r="P42" s="33">
        <f t="shared" si="4"/>
        <v>6553</v>
      </c>
      <c r="Q42" s="29" t="s">
        <v>243</v>
      </c>
      <c r="R42" s="29" t="s">
        <v>241</v>
      </c>
      <c r="S42" s="29" t="s">
        <v>242</v>
      </c>
      <c r="T42" s="33">
        <v>5069</v>
      </c>
      <c r="U42" s="34">
        <f t="shared" si="5"/>
        <v>0.77353883717381355</v>
      </c>
      <c r="V42" s="29" t="s">
        <v>254</v>
      </c>
      <c r="W42" s="29" t="s">
        <v>245</v>
      </c>
      <c r="X42" s="33">
        <v>1484</v>
      </c>
      <c r="Y42" s="34">
        <f t="shared" si="6"/>
        <v>0.22646116282618647</v>
      </c>
      <c r="Z42" s="29"/>
      <c r="AA42" s="29"/>
      <c r="AB42" s="33"/>
      <c r="AC42" s="34">
        <f t="shared" si="7"/>
        <v>0</v>
      </c>
      <c r="AD42" s="29"/>
      <c r="AE42" s="29"/>
      <c r="AF42" s="33"/>
      <c r="AG42" s="34">
        <f t="shared" si="8"/>
        <v>0</v>
      </c>
      <c r="AH42" s="29"/>
      <c r="AI42" s="29"/>
      <c r="AJ42" s="33"/>
      <c r="AK42" s="34">
        <f t="shared" si="9"/>
        <v>0</v>
      </c>
    </row>
    <row r="43" spans="1:37" ht="28.5">
      <c r="A43" s="13" t="s">
        <v>114</v>
      </c>
      <c r="B43" s="14" t="s">
        <v>116</v>
      </c>
      <c r="C43" s="37">
        <v>0.70399999999999996</v>
      </c>
      <c r="D43" s="37">
        <v>5.3999999999999999E-2</v>
      </c>
      <c r="E43" s="37">
        <v>0.23400000000000001</v>
      </c>
      <c r="F43" s="37"/>
      <c r="G43" s="37"/>
      <c r="H43" s="37">
        <f t="shared" si="0"/>
        <v>8.0000000000000349E-3</v>
      </c>
      <c r="I43" s="13" t="str">
        <f t="shared" si="1"/>
        <v>MELAYU / MELANAU</v>
      </c>
      <c r="J43" s="15">
        <f t="shared" si="2"/>
        <v>5586</v>
      </c>
      <c r="K43" s="15">
        <v>10259</v>
      </c>
      <c r="L43" s="16">
        <f t="shared" si="3"/>
        <v>0.7044546252071352</v>
      </c>
      <c r="M43" s="15">
        <v>7227</v>
      </c>
      <c r="N43" s="15">
        <v>37</v>
      </c>
      <c r="O43" s="15">
        <v>153</v>
      </c>
      <c r="P43" s="33">
        <f t="shared" si="4"/>
        <v>7037</v>
      </c>
      <c r="Q43" s="29" t="s">
        <v>243</v>
      </c>
      <c r="R43" s="29" t="s">
        <v>241</v>
      </c>
      <c r="S43" s="29" t="s">
        <v>242</v>
      </c>
      <c r="T43" s="33">
        <v>6235</v>
      </c>
      <c r="U43" s="34">
        <f t="shared" si="5"/>
        <v>0.88603097911041639</v>
      </c>
      <c r="V43" s="29" t="s">
        <v>254</v>
      </c>
      <c r="W43" s="29" t="s">
        <v>245</v>
      </c>
      <c r="X43" s="33">
        <v>649</v>
      </c>
      <c r="Y43" s="34">
        <f t="shared" si="6"/>
        <v>9.2226801193690491E-2</v>
      </c>
      <c r="Z43" s="29" t="s">
        <v>251</v>
      </c>
      <c r="AA43" s="29" t="s">
        <v>251</v>
      </c>
      <c r="AB43" s="33">
        <v>153</v>
      </c>
      <c r="AC43" s="34">
        <f t="shared" si="7"/>
        <v>2.1742219695893135E-2</v>
      </c>
      <c r="AD43" s="29"/>
      <c r="AE43" s="29"/>
      <c r="AF43" s="33"/>
      <c r="AG43" s="34">
        <f t="shared" si="8"/>
        <v>0</v>
      </c>
      <c r="AH43" s="29"/>
      <c r="AI43" s="29"/>
      <c r="AJ43" s="33"/>
      <c r="AK43" s="34">
        <f t="shared" si="9"/>
        <v>0</v>
      </c>
    </row>
    <row r="44" spans="1:37" ht="28.5">
      <c r="A44" s="13" t="s">
        <v>115</v>
      </c>
      <c r="B44" s="14" t="s">
        <v>117</v>
      </c>
      <c r="C44" s="37">
        <v>0.70599999999999996</v>
      </c>
      <c r="D44" s="37">
        <v>5.0999999999999997E-2</v>
      </c>
      <c r="E44" s="37">
        <v>0.23799999999999999</v>
      </c>
      <c r="F44" s="37"/>
      <c r="G44" s="37"/>
      <c r="H44" s="37">
        <f t="shared" si="0"/>
        <v>5.00000000000006E-3</v>
      </c>
      <c r="I44" s="13" t="str">
        <f t="shared" si="1"/>
        <v>MELAYU / MELANAU</v>
      </c>
      <c r="J44" s="15">
        <f t="shared" si="2"/>
        <v>4412</v>
      </c>
      <c r="K44" s="15">
        <v>9617</v>
      </c>
      <c r="L44" s="16">
        <f t="shared" si="3"/>
        <v>0.65831340334823751</v>
      </c>
      <c r="M44" s="15">
        <v>6331</v>
      </c>
      <c r="N44" s="15">
        <v>24</v>
      </c>
      <c r="O44" s="15">
        <v>139</v>
      </c>
      <c r="P44" s="33">
        <f t="shared" si="4"/>
        <v>6168</v>
      </c>
      <c r="Q44" s="29" t="s">
        <v>243</v>
      </c>
      <c r="R44" s="29" t="s">
        <v>241</v>
      </c>
      <c r="S44" s="29" t="s">
        <v>242</v>
      </c>
      <c r="T44" s="33">
        <v>5290</v>
      </c>
      <c r="U44" s="34">
        <f t="shared" si="5"/>
        <v>0.85765239948119321</v>
      </c>
      <c r="V44" s="29" t="s">
        <v>254</v>
      </c>
      <c r="W44" s="29" t="s">
        <v>245</v>
      </c>
      <c r="X44" s="33">
        <v>878</v>
      </c>
      <c r="Y44" s="34">
        <f t="shared" si="6"/>
        <v>0.14234760051880674</v>
      </c>
      <c r="Z44" s="29"/>
      <c r="AA44" s="29"/>
      <c r="AB44" s="33"/>
      <c r="AC44" s="34">
        <f t="shared" si="7"/>
        <v>0</v>
      </c>
      <c r="AD44" s="29"/>
      <c r="AE44" s="29"/>
      <c r="AF44" s="33"/>
      <c r="AG44" s="34">
        <f t="shared" si="8"/>
        <v>0</v>
      </c>
      <c r="AH44" s="29"/>
      <c r="AI44" s="29"/>
      <c r="AJ44" s="33"/>
      <c r="AK44" s="34">
        <f t="shared" si="9"/>
        <v>0</v>
      </c>
    </row>
    <row r="45" spans="1:37" ht="28.5">
      <c r="A45" s="13" t="s">
        <v>120</v>
      </c>
      <c r="B45" s="14" t="s">
        <v>122</v>
      </c>
      <c r="C45" s="37">
        <v>0.59</v>
      </c>
      <c r="D45" s="37">
        <v>3.5999999999999997E-2</v>
      </c>
      <c r="E45" s="37">
        <v>0.36799999999999999</v>
      </c>
      <c r="F45" s="37"/>
      <c r="G45" s="37"/>
      <c r="H45" s="37">
        <f t="shared" si="0"/>
        <v>6.0000000000000608E-3</v>
      </c>
      <c r="I45" s="13" t="str">
        <f t="shared" si="1"/>
        <v>MELAYU / MELANAU</v>
      </c>
      <c r="J45" s="15">
        <f t="shared" si="2"/>
        <v>4432</v>
      </c>
      <c r="K45" s="15">
        <v>8491</v>
      </c>
      <c r="L45" s="16">
        <f t="shared" si="3"/>
        <v>0.67530326227770576</v>
      </c>
      <c r="M45" s="15">
        <v>5734</v>
      </c>
      <c r="N45" s="15">
        <v>17</v>
      </c>
      <c r="O45" s="15">
        <v>147</v>
      </c>
      <c r="P45" s="33">
        <f t="shared" si="4"/>
        <v>5570</v>
      </c>
      <c r="Q45" s="29" t="s">
        <v>243</v>
      </c>
      <c r="R45" s="29" t="s">
        <v>241</v>
      </c>
      <c r="S45" s="29" t="s">
        <v>242</v>
      </c>
      <c r="T45" s="33">
        <v>5001</v>
      </c>
      <c r="U45" s="34">
        <f t="shared" si="5"/>
        <v>0.89784560143626568</v>
      </c>
      <c r="V45" s="29" t="s">
        <v>254</v>
      </c>
      <c r="W45" s="29" t="s">
        <v>245</v>
      </c>
      <c r="X45" s="33">
        <v>569</v>
      </c>
      <c r="Y45" s="34">
        <f t="shared" si="6"/>
        <v>0.10215439856373429</v>
      </c>
      <c r="Z45" s="29"/>
      <c r="AA45" s="29"/>
      <c r="AB45" s="33"/>
      <c r="AC45" s="34">
        <f t="shared" si="7"/>
        <v>0</v>
      </c>
      <c r="AD45" s="29"/>
      <c r="AE45" s="29"/>
      <c r="AF45" s="33"/>
      <c r="AG45" s="34">
        <f t="shared" si="8"/>
        <v>0</v>
      </c>
      <c r="AH45" s="29"/>
      <c r="AI45" s="29"/>
      <c r="AJ45" s="33"/>
      <c r="AK45" s="34">
        <f t="shared" si="9"/>
        <v>0</v>
      </c>
    </row>
    <row r="46" spans="1:37" ht="28.5">
      <c r="A46" s="13" t="s">
        <v>121</v>
      </c>
      <c r="B46" s="14" t="s">
        <v>123</v>
      </c>
      <c r="C46" s="37">
        <v>0.91300000000000003</v>
      </c>
      <c r="D46" s="37">
        <v>0.04</v>
      </c>
      <c r="E46" s="37">
        <v>4.2000000000000003E-2</v>
      </c>
      <c r="F46" s="37"/>
      <c r="G46" s="37"/>
      <c r="H46" s="37">
        <f t="shared" si="0"/>
        <v>4.9999999999999628E-3</v>
      </c>
      <c r="I46" s="13" t="str">
        <f t="shared" si="1"/>
        <v>MELAYU / MELANAU</v>
      </c>
      <c r="J46" s="15">
        <f t="shared" si="2"/>
        <v>3789</v>
      </c>
      <c r="K46" s="15">
        <v>9699</v>
      </c>
      <c r="L46" s="16">
        <f t="shared" si="3"/>
        <v>0.69378286421280544</v>
      </c>
      <c r="M46" s="15">
        <v>6729</v>
      </c>
      <c r="N46" s="15">
        <v>30</v>
      </c>
      <c r="O46" s="15">
        <v>133</v>
      </c>
      <c r="P46" s="33">
        <f t="shared" si="4"/>
        <v>6566</v>
      </c>
      <c r="Q46" s="29" t="s">
        <v>243</v>
      </c>
      <c r="R46" s="29" t="s">
        <v>241</v>
      </c>
      <c r="S46" s="29" t="s">
        <v>242</v>
      </c>
      <c r="T46" s="33">
        <v>5084</v>
      </c>
      <c r="U46" s="34">
        <f t="shared" si="5"/>
        <v>0.7742918062747487</v>
      </c>
      <c r="V46" s="29" t="s">
        <v>251</v>
      </c>
      <c r="W46" s="29" t="s">
        <v>251</v>
      </c>
      <c r="X46" s="33">
        <v>1295</v>
      </c>
      <c r="Y46" s="34">
        <f t="shared" si="6"/>
        <v>0.19722814498933902</v>
      </c>
      <c r="Z46" s="29" t="s">
        <v>254</v>
      </c>
      <c r="AA46" s="29" t="s">
        <v>245</v>
      </c>
      <c r="AB46" s="33">
        <v>187</v>
      </c>
      <c r="AC46" s="34">
        <f t="shared" si="7"/>
        <v>2.8480048735912276E-2</v>
      </c>
      <c r="AD46" s="29"/>
      <c r="AE46" s="29"/>
      <c r="AF46" s="33"/>
      <c r="AG46" s="34">
        <f t="shared" si="8"/>
        <v>0</v>
      </c>
      <c r="AH46" s="29"/>
      <c r="AI46" s="29"/>
      <c r="AJ46" s="33"/>
      <c r="AK46" s="34">
        <f t="shared" si="9"/>
        <v>0</v>
      </c>
    </row>
    <row r="47" spans="1:37">
      <c r="A47" s="13" t="s">
        <v>126</v>
      </c>
      <c r="B47" s="14" t="s">
        <v>128</v>
      </c>
      <c r="C47" s="37">
        <v>6.3E-2</v>
      </c>
      <c r="D47" s="37">
        <v>0.75</v>
      </c>
      <c r="E47" s="37">
        <v>0.17799999999999999</v>
      </c>
      <c r="F47" s="37"/>
      <c r="G47" s="37"/>
      <c r="H47" s="37">
        <f t="shared" si="0"/>
        <v>9.0000000000000635E-3</v>
      </c>
      <c r="I47" s="13" t="str">
        <f t="shared" si="1"/>
        <v>CINA</v>
      </c>
      <c r="J47" s="15">
        <f t="shared" si="2"/>
        <v>943</v>
      </c>
      <c r="K47" s="15">
        <v>20263</v>
      </c>
      <c r="L47" s="16">
        <f t="shared" si="3"/>
        <v>0.71573804471203673</v>
      </c>
      <c r="M47" s="15">
        <v>14503</v>
      </c>
      <c r="N47" s="15">
        <v>28</v>
      </c>
      <c r="O47" s="15">
        <v>145</v>
      </c>
      <c r="P47" s="33">
        <f t="shared" si="4"/>
        <v>14330</v>
      </c>
      <c r="Q47" s="29" t="s">
        <v>239</v>
      </c>
      <c r="R47" s="29" t="s">
        <v>241</v>
      </c>
      <c r="S47" s="29" t="s">
        <v>242</v>
      </c>
      <c r="T47" s="33">
        <v>7446</v>
      </c>
      <c r="U47" s="34">
        <f t="shared" si="5"/>
        <v>0.51960921144452199</v>
      </c>
      <c r="V47" s="29" t="s">
        <v>244</v>
      </c>
      <c r="W47" s="29" t="s">
        <v>245</v>
      </c>
      <c r="X47" s="33">
        <v>6503</v>
      </c>
      <c r="Y47" s="34">
        <f t="shared" si="6"/>
        <v>0.45380321004884855</v>
      </c>
      <c r="Z47" s="29" t="s">
        <v>251</v>
      </c>
      <c r="AA47" s="29" t="s">
        <v>251</v>
      </c>
      <c r="AB47" s="33">
        <v>381</v>
      </c>
      <c r="AC47" s="34">
        <f t="shared" si="7"/>
        <v>2.6587578506629447E-2</v>
      </c>
      <c r="AD47" s="29"/>
      <c r="AE47" s="29"/>
      <c r="AF47" s="33"/>
      <c r="AG47" s="34">
        <f t="shared" si="8"/>
        <v>0</v>
      </c>
      <c r="AH47" s="29"/>
      <c r="AI47" s="29"/>
      <c r="AJ47" s="33"/>
      <c r="AK47" s="34">
        <f t="shared" si="9"/>
        <v>0</v>
      </c>
    </row>
    <row r="48" spans="1:37">
      <c r="A48" s="13" t="s">
        <v>127</v>
      </c>
      <c r="B48" s="14" t="s">
        <v>129</v>
      </c>
      <c r="C48" s="37">
        <v>3.2000000000000001E-2</v>
      </c>
      <c r="D48" s="37">
        <v>0.55000000000000004</v>
      </c>
      <c r="E48" s="37">
        <v>0.41</v>
      </c>
      <c r="F48" s="37"/>
      <c r="G48" s="37"/>
      <c r="H48" s="37">
        <f t="shared" si="0"/>
        <v>7.9999999999999516E-3</v>
      </c>
      <c r="I48" s="13" t="str">
        <f t="shared" si="1"/>
        <v>CINA</v>
      </c>
      <c r="J48" s="15">
        <f t="shared" si="2"/>
        <v>1516</v>
      </c>
      <c r="K48" s="15">
        <v>16882</v>
      </c>
      <c r="L48" s="16">
        <f t="shared" si="3"/>
        <v>0.73528018007345097</v>
      </c>
      <c r="M48" s="15">
        <v>12413</v>
      </c>
      <c r="N48" s="15">
        <v>34</v>
      </c>
      <c r="O48" s="15">
        <v>165</v>
      </c>
      <c r="P48" s="33">
        <f t="shared" si="4"/>
        <v>12214</v>
      </c>
      <c r="Q48" s="29" t="s">
        <v>239</v>
      </c>
      <c r="R48" s="29" t="s">
        <v>241</v>
      </c>
      <c r="S48" s="29" t="s">
        <v>242</v>
      </c>
      <c r="T48" s="33">
        <v>6865</v>
      </c>
      <c r="U48" s="34">
        <f t="shared" si="5"/>
        <v>0.56205993122646147</v>
      </c>
      <c r="V48" s="29" t="s">
        <v>244</v>
      </c>
      <c r="W48" s="29" t="s">
        <v>245</v>
      </c>
      <c r="X48" s="33">
        <v>5349</v>
      </c>
      <c r="Y48" s="34">
        <f t="shared" si="6"/>
        <v>0.43794006877353858</v>
      </c>
      <c r="Z48" s="29"/>
      <c r="AA48" s="29"/>
      <c r="AB48" s="33"/>
      <c r="AC48" s="34">
        <f t="shared" si="7"/>
        <v>0</v>
      </c>
      <c r="AD48" s="29"/>
      <c r="AE48" s="29"/>
      <c r="AF48" s="33"/>
      <c r="AG48" s="34">
        <f t="shared" si="8"/>
        <v>0</v>
      </c>
      <c r="AH48" s="29"/>
      <c r="AI48" s="29"/>
      <c r="AJ48" s="33"/>
      <c r="AK48" s="34">
        <f t="shared" si="9"/>
        <v>0</v>
      </c>
    </row>
    <row r="49" spans="1:37">
      <c r="A49" s="13" t="s">
        <v>132</v>
      </c>
      <c r="B49" s="14" t="s">
        <v>134</v>
      </c>
      <c r="C49" s="37">
        <v>1.0999999999999999E-2</v>
      </c>
      <c r="D49" s="37">
        <v>6.5000000000000002E-2</v>
      </c>
      <c r="E49" s="37">
        <v>0.91500000000000004</v>
      </c>
      <c r="F49" s="37"/>
      <c r="G49" s="37"/>
      <c r="H49" s="37">
        <f t="shared" si="0"/>
        <v>8.999999999999897E-3</v>
      </c>
      <c r="I49" s="13" t="str">
        <f t="shared" si="1"/>
        <v>IBAN</v>
      </c>
      <c r="J49" s="15">
        <f t="shared" si="2"/>
        <v>426</v>
      </c>
      <c r="K49" s="15">
        <v>10322</v>
      </c>
      <c r="L49" s="16">
        <f t="shared" si="3"/>
        <v>0.77436543305560934</v>
      </c>
      <c r="M49" s="15">
        <v>7993</v>
      </c>
      <c r="N49" s="15">
        <v>8</v>
      </c>
      <c r="O49" s="15">
        <v>128</v>
      </c>
      <c r="P49" s="33">
        <f t="shared" si="4"/>
        <v>7857</v>
      </c>
      <c r="Q49" s="29" t="s">
        <v>243</v>
      </c>
      <c r="R49" s="29" t="s">
        <v>241</v>
      </c>
      <c r="S49" s="29" t="s">
        <v>242</v>
      </c>
      <c r="T49" s="33">
        <v>3999</v>
      </c>
      <c r="U49" s="34">
        <f t="shared" si="5"/>
        <v>0.50897289041618943</v>
      </c>
      <c r="V49" s="29" t="s">
        <v>251</v>
      </c>
      <c r="W49" s="29" t="s">
        <v>251</v>
      </c>
      <c r="X49" s="33">
        <v>3573</v>
      </c>
      <c r="Y49" s="34">
        <f t="shared" si="6"/>
        <v>0.4547537227949599</v>
      </c>
      <c r="Z49" s="29" t="s">
        <v>244</v>
      </c>
      <c r="AA49" s="29" t="s">
        <v>245</v>
      </c>
      <c r="AB49" s="33">
        <v>285</v>
      </c>
      <c r="AC49" s="34">
        <f t="shared" si="7"/>
        <v>3.6273386788850705E-2</v>
      </c>
      <c r="AD49" s="29"/>
      <c r="AE49" s="29"/>
      <c r="AF49" s="33"/>
      <c r="AG49" s="34">
        <f t="shared" si="8"/>
        <v>0</v>
      </c>
      <c r="AH49" s="29"/>
      <c r="AI49" s="29"/>
      <c r="AJ49" s="33"/>
      <c r="AK49" s="34">
        <f t="shared" si="9"/>
        <v>0</v>
      </c>
    </row>
    <row r="50" spans="1:37">
      <c r="A50" s="13" t="s">
        <v>133</v>
      </c>
      <c r="B50" s="14" t="s">
        <v>135</v>
      </c>
      <c r="C50" s="37"/>
      <c r="D50" s="37">
        <v>3.7999999999999999E-2</v>
      </c>
      <c r="E50" s="37">
        <v>0.94699999999999995</v>
      </c>
      <c r="F50" s="37"/>
      <c r="G50" s="37"/>
      <c r="H50" s="37">
        <f t="shared" si="0"/>
        <v>1.5000000000000013E-2</v>
      </c>
      <c r="I50" s="13" t="str">
        <f t="shared" si="1"/>
        <v>IBAN</v>
      </c>
      <c r="J50" s="15">
        <f t="shared" si="2"/>
        <v>677</v>
      </c>
      <c r="K50" s="15">
        <v>13103</v>
      </c>
      <c r="L50" s="16">
        <f t="shared" si="3"/>
        <v>0.69755017934824082</v>
      </c>
      <c r="M50" s="15">
        <v>9140</v>
      </c>
      <c r="N50" s="15">
        <v>22</v>
      </c>
      <c r="O50" s="15">
        <v>127</v>
      </c>
      <c r="P50" s="33">
        <f t="shared" si="4"/>
        <v>8991</v>
      </c>
      <c r="Q50" s="29" t="s">
        <v>240</v>
      </c>
      <c r="R50" s="29" t="s">
        <v>241</v>
      </c>
      <c r="S50" s="29" t="s">
        <v>242</v>
      </c>
      <c r="T50" s="33">
        <v>3363</v>
      </c>
      <c r="U50" s="34">
        <f t="shared" si="5"/>
        <v>0.37404070737404072</v>
      </c>
      <c r="V50" s="29" t="s">
        <v>251</v>
      </c>
      <c r="W50" s="29" t="s">
        <v>251</v>
      </c>
      <c r="X50" s="33">
        <v>2686</v>
      </c>
      <c r="Y50" s="34">
        <f t="shared" si="6"/>
        <v>0.29874318763207652</v>
      </c>
      <c r="Z50" s="29" t="s">
        <v>253</v>
      </c>
      <c r="AA50" s="29" t="s">
        <v>245</v>
      </c>
      <c r="AB50" s="33">
        <v>2008</v>
      </c>
      <c r="AC50" s="34">
        <f t="shared" si="7"/>
        <v>0.22333444555666779</v>
      </c>
      <c r="AD50" s="29" t="s">
        <v>251</v>
      </c>
      <c r="AE50" s="29" t="s">
        <v>251</v>
      </c>
      <c r="AF50" s="33">
        <v>934</v>
      </c>
      <c r="AG50" s="34">
        <f t="shared" si="8"/>
        <v>0.10388165943721499</v>
      </c>
      <c r="AH50" s="29"/>
      <c r="AI50" s="29"/>
      <c r="AJ50" s="33"/>
      <c r="AK50" s="34">
        <f t="shared" si="9"/>
        <v>0</v>
      </c>
    </row>
    <row r="51" spans="1:37">
      <c r="A51" s="13" t="s">
        <v>138</v>
      </c>
      <c r="B51" s="14" t="s">
        <v>140</v>
      </c>
      <c r="C51" s="37"/>
      <c r="D51" s="37">
        <v>6.9000000000000006E-2</v>
      </c>
      <c r="E51" s="37">
        <v>0.91900000000000004</v>
      </c>
      <c r="F51" s="37"/>
      <c r="G51" s="37"/>
      <c r="H51" s="37">
        <f t="shared" si="0"/>
        <v>1.2000000000000011E-2</v>
      </c>
      <c r="I51" s="13" t="str">
        <f t="shared" si="1"/>
        <v>IBAN</v>
      </c>
      <c r="J51" s="15">
        <f t="shared" si="2"/>
        <v>154</v>
      </c>
      <c r="K51" s="15">
        <v>8899</v>
      </c>
      <c r="L51" s="16">
        <f t="shared" si="3"/>
        <v>0.7187324418473986</v>
      </c>
      <c r="M51" s="15">
        <v>6396</v>
      </c>
      <c r="N51" s="15">
        <v>21</v>
      </c>
      <c r="O51" s="15">
        <v>114</v>
      </c>
      <c r="P51" s="33">
        <f t="shared" si="4"/>
        <v>6261</v>
      </c>
      <c r="Q51" s="29" t="s">
        <v>249</v>
      </c>
      <c r="R51" s="29" t="s">
        <v>241</v>
      </c>
      <c r="S51" s="29" t="s">
        <v>242</v>
      </c>
      <c r="T51" s="33">
        <v>2888</v>
      </c>
      <c r="U51" s="34">
        <f t="shared" si="5"/>
        <v>0.46126816802427728</v>
      </c>
      <c r="V51" s="29" t="s">
        <v>251</v>
      </c>
      <c r="W51" s="29" t="s">
        <v>251</v>
      </c>
      <c r="X51" s="33">
        <v>2734</v>
      </c>
      <c r="Y51" s="34">
        <f t="shared" si="6"/>
        <v>0.436671458233509</v>
      </c>
      <c r="Z51" s="29" t="s">
        <v>253</v>
      </c>
      <c r="AA51" s="29" t="s">
        <v>245</v>
      </c>
      <c r="AB51" s="33">
        <v>396</v>
      </c>
      <c r="AC51" s="34">
        <f t="shared" si="7"/>
        <v>6.3248682319118357E-2</v>
      </c>
      <c r="AD51" s="29" t="s">
        <v>244</v>
      </c>
      <c r="AE51" s="29" t="s">
        <v>245</v>
      </c>
      <c r="AF51" s="33">
        <v>243</v>
      </c>
      <c r="AG51" s="34">
        <f t="shared" si="8"/>
        <v>3.8811691423095353E-2</v>
      </c>
      <c r="AH51" s="29"/>
      <c r="AI51" s="29"/>
      <c r="AJ51" s="33"/>
      <c r="AK51" s="34">
        <f t="shared" si="9"/>
        <v>0</v>
      </c>
    </row>
    <row r="52" spans="1:37">
      <c r="A52" s="13" t="s">
        <v>139</v>
      </c>
      <c r="B52" s="14" t="s">
        <v>141</v>
      </c>
      <c r="C52" s="37">
        <v>4.2999999999999997E-2</v>
      </c>
      <c r="D52" s="37">
        <v>0.17100000000000001</v>
      </c>
      <c r="E52" s="37">
        <v>0.77500000000000002</v>
      </c>
      <c r="F52" s="37"/>
      <c r="G52" s="37"/>
      <c r="H52" s="37">
        <f t="shared" si="0"/>
        <v>1.0999999999999899E-2</v>
      </c>
      <c r="I52" s="13" t="str">
        <f t="shared" si="1"/>
        <v>IBAN</v>
      </c>
      <c r="J52" s="15">
        <f t="shared" si="2"/>
        <v>2952</v>
      </c>
      <c r="K52" s="15">
        <v>10947</v>
      </c>
      <c r="L52" s="16">
        <f t="shared" si="3"/>
        <v>0.70375445327486985</v>
      </c>
      <c r="M52" s="15">
        <v>7704</v>
      </c>
      <c r="N52" s="15">
        <v>20</v>
      </c>
      <c r="O52" s="15">
        <v>155</v>
      </c>
      <c r="P52" s="33">
        <f t="shared" si="4"/>
        <v>7529</v>
      </c>
      <c r="Q52" s="29" t="s">
        <v>243</v>
      </c>
      <c r="R52" s="29" t="s">
        <v>241</v>
      </c>
      <c r="S52" s="29" t="s">
        <v>242</v>
      </c>
      <c r="T52" s="33">
        <v>4550</v>
      </c>
      <c r="U52" s="34">
        <f t="shared" si="5"/>
        <v>0.6043299242927348</v>
      </c>
      <c r="V52" s="29" t="s">
        <v>251</v>
      </c>
      <c r="W52" s="29" t="s">
        <v>251</v>
      </c>
      <c r="X52" s="33">
        <v>1598</v>
      </c>
      <c r="Y52" s="34">
        <f t="shared" si="6"/>
        <v>0.21224598220215168</v>
      </c>
      <c r="Z52" s="29" t="s">
        <v>253</v>
      </c>
      <c r="AA52" s="29" t="s">
        <v>245</v>
      </c>
      <c r="AB52" s="33">
        <v>1381</v>
      </c>
      <c r="AC52" s="34">
        <f t="shared" si="7"/>
        <v>0.18342409350511357</v>
      </c>
      <c r="AD52" s="29"/>
      <c r="AE52" s="29"/>
      <c r="AF52" s="33"/>
      <c r="AG52" s="34">
        <f t="shared" si="8"/>
        <v>0</v>
      </c>
      <c r="AH52" s="29"/>
      <c r="AI52" s="29"/>
      <c r="AJ52" s="33"/>
      <c r="AK52" s="34">
        <f t="shared" si="9"/>
        <v>0</v>
      </c>
    </row>
    <row r="53" spans="1:37">
      <c r="A53" s="13" t="s">
        <v>144</v>
      </c>
      <c r="B53" s="14" t="s">
        <v>146</v>
      </c>
      <c r="C53" s="37">
        <v>0.04</v>
      </c>
      <c r="D53" s="37">
        <v>0.89800000000000002</v>
      </c>
      <c r="E53" s="37">
        <v>5.6000000000000001E-2</v>
      </c>
      <c r="F53" s="37"/>
      <c r="G53" s="37"/>
      <c r="H53" s="37">
        <f t="shared" si="0"/>
        <v>5.9999999999999429E-3</v>
      </c>
      <c r="I53" s="13" t="str">
        <f t="shared" si="1"/>
        <v>CINA</v>
      </c>
      <c r="J53" s="15">
        <f t="shared" si="2"/>
        <v>4497</v>
      </c>
      <c r="K53" s="15">
        <v>28341</v>
      </c>
      <c r="L53" s="16">
        <f t="shared" si="3"/>
        <v>0.66620796725591902</v>
      </c>
      <c r="M53" s="15">
        <v>18881</v>
      </c>
      <c r="N53" s="15">
        <v>40</v>
      </c>
      <c r="O53" s="15">
        <v>180</v>
      </c>
      <c r="P53" s="33">
        <f t="shared" si="4"/>
        <v>18661</v>
      </c>
      <c r="Q53" s="29" t="s">
        <v>244</v>
      </c>
      <c r="R53" s="29" t="s">
        <v>245</v>
      </c>
      <c r="S53" s="29" t="s">
        <v>247</v>
      </c>
      <c r="T53" s="33">
        <v>11392</v>
      </c>
      <c r="U53" s="34">
        <f t="shared" si="5"/>
        <v>0.61047103585016882</v>
      </c>
      <c r="V53" s="29" t="s">
        <v>239</v>
      </c>
      <c r="W53" s="29" t="s">
        <v>241</v>
      </c>
      <c r="X53" s="33">
        <v>6895</v>
      </c>
      <c r="Y53" s="34">
        <f t="shared" si="6"/>
        <v>0.36948716574674456</v>
      </c>
      <c r="Z53" s="29" t="s">
        <v>272</v>
      </c>
      <c r="AA53" s="29" t="s">
        <v>270</v>
      </c>
      <c r="AB53" s="33">
        <v>374</v>
      </c>
      <c r="AC53" s="34">
        <f t="shared" si="7"/>
        <v>2.004179840308665E-2</v>
      </c>
      <c r="AD53" s="29"/>
      <c r="AE53" s="29"/>
      <c r="AF53" s="33"/>
      <c r="AG53" s="34">
        <f t="shared" si="8"/>
        <v>0</v>
      </c>
      <c r="AH53" s="29"/>
      <c r="AI53" s="29"/>
      <c r="AJ53" s="33"/>
      <c r="AK53" s="34">
        <f t="shared" si="9"/>
        <v>0</v>
      </c>
    </row>
    <row r="54" spans="1:37">
      <c r="A54" s="13" t="s">
        <v>145</v>
      </c>
      <c r="B54" s="14" t="s">
        <v>147</v>
      </c>
      <c r="C54" s="37">
        <v>7.6999999999999999E-2</v>
      </c>
      <c r="D54" s="37">
        <v>0.54200000000000004</v>
      </c>
      <c r="E54" s="37">
        <v>0.36799999999999999</v>
      </c>
      <c r="F54" s="37"/>
      <c r="G54" s="37"/>
      <c r="H54" s="37">
        <f t="shared" si="0"/>
        <v>1.3000000000000012E-2</v>
      </c>
      <c r="I54" s="13" t="str">
        <f t="shared" si="1"/>
        <v>CINA</v>
      </c>
      <c r="J54" s="15">
        <f t="shared" si="2"/>
        <v>2146</v>
      </c>
      <c r="K54" s="15">
        <v>29028</v>
      </c>
      <c r="L54" s="16">
        <f t="shared" si="3"/>
        <v>0.72974369574204212</v>
      </c>
      <c r="M54" s="15">
        <v>21183</v>
      </c>
      <c r="N54" s="15">
        <v>42</v>
      </c>
      <c r="O54" s="15">
        <v>219</v>
      </c>
      <c r="P54" s="33">
        <f t="shared" si="4"/>
        <v>20922</v>
      </c>
      <c r="Q54" s="29" t="s">
        <v>252</v>
      </c>
      <c r="R54" s="29" t="s">
        <v>251</v>
      </c>
      <c r="S54" s="29" t="s">
        <v>247</v>
      </c>
      <c r="T54" s="33">
        <v>9700</v>
      </c>
      <c r="U54" s="34">
        <f t="shared" si="5"/>
        <v>0.4636268043208106</v>
      </c>
      <c r="V54" s="29" t="s">
        <v>244</v>
      </c>
      <c r="W54" s="29" t="s">
        <v>245</v>
      </c>
      <c r="X54" s="33">
        <v>7554</v>
      </c>
      <c r="Y54" s="34">
        <f t="shared" si="6"/>
        <v>0.36105534843705189</v>
      </c>
      <c r="Z54" s="29" t="s">
        <v>251</v>
      </c>
      <c r="AA54" s="29" t="s">
        <v>251</v>
      </c>
      <c r="AB54" s="33">
        <v>3288</v>
      </c>
      <c r="AC54" s="34">
        <f t="shared" si="7"/>
        <v>0.1571551476914253</v>
      </c>
      <c r="AD54" s="29" t="s">
        <v>251</v>
      </c>
      <c r="AE54" s="29" t="s">
        <v>251</v>
      </c>
      <c r="AF54" s="33">
        <v>228</v>
      </c>
      <c r="AG54" s="34">
        <f t="shared" si="8"/>
        <v>1.0897619730427301E-2</v>
      </c>
      <c r="AH54" s="29" t="s">
        <v>272</v>
      </c>
      <c r="AI54" s="29" t="s">
        <v>270</v>
      </c>
      <c r="AJ54" s="33">
        <v>152</v>
      </c>
      <c r="AK54" s="34">
        <f t="shared" si="9"/>
        <v>7.2650798202848676E-3</v>
      </c>
    </row>
    <row r="55" spans="1:37">
      <c r="A55" s="13" t="s">
        <v>150</v>
      </c>
      <c r="B55" s="14" t="s">
        <v>153</v>
      </c>
      <c r="C55" s="37">
        <v>5.2999999999999999E-2</v>
      </c>
      <c r="D55" s="37">
        <v>0.55100000000000005</v>
      </c>
      <c r="E55" s="37">
        <v>0.38800000000000001</v>
      </c>
      <c r="F55" s="37"/>
      <c r="G55" s="37"/>
      <c r="H55" s="37">
        <f t="shared" si="0"/>
        <v>7.9999999999998961E-3</v>
      </c>
      <c r="I55" s="13" t="str">
        <f t="shared" si="1"/>
        <v>CINA</v>
      </c>
      <c r="J55" s="15">
        <f t="shared" si="2"/>
        <v>4131</v>
      </c>
      <c r="K55" s="15">
        <v>18340</v>
      </c>
      <c r="L55" s="16">
        <f t="shared" si="3"/>
        <v>0.80703380588876772</v>
      </c>
      <c r="M55" s="15">
        <v>14801</v>
      </c>
      <c r="N55" s="15">
        <v>21</v>
      </c>
      <c r="O55" s="15">
        <v>149</v>
      </c>
      <c r="P55" s="33">
        <f t="shared" si="4"/>
        <v>14631</v>
      </c>
      <c r="Q55" s="29" t="s">
        <v>252</v>
      </c>
      <c r="R55" s="29" t="s">
        <v>251</v>
      </c>
      <c r="S55" s="29" t="s">
        <v>247</v>
      </c>
      <c r="T55" s="33">
        <v>9015</v>
      </c>
      <c r="U55" s="34">
        <f t="shared" si="5"/>
        <v>0.61615747385687925</v>
      </c>
      <c r="V55" s="29" t="s">
        <v>244</v>
      </c>
      <c r="W55" s="29" t="s">
        <v>245</v>
      </c>
      <c r="X55" s="33">
        <v>4884</v>
      </c>
      <c r="Y55" s="34">
        <f t="shared" si="6"/>
        <v>0.33381176953044905</v>
      </c>
      <c r="Z55" s="29" t="s">
        <v>251</v>
      </c>
      <c r="AA55" s="29" t="s">
        <v>251</v>
      </c>
      <c r="AB55" s="33">
        <v>569</v>
      </c>
      <c r="AC55" s="34">
        <f t="shared" si="7"/>
        <v>3.8890028022691543E-2</v>
      </c>
      <c r="AD55" s="29" t="s">
        <v>272</v>
      </c>
      <c r="AE55" s="29" t="s">
        <v>270</v>
      </c>
      <c r="AF55" s="33">
        <v>100</v>
      </c>
      <c r="AG55" s="34">
        <f t="shared" si="8"/>
        <v>6.8348028159387602E-3</v>
      </c>
      <c r="AH55" s="29" t="s">
        <v>251</v>
      </c>
      <c r="AI55" s="29" t="s">
        <v>251</v>
      </c>
      <c r="AJ55" s="33">
        <v>63</v>
      </c>
      <c r="AK55" s="34">
        <f t="shared" si="9"/>
        <v>4.305925774041419E-3</v>
      </c>
    </row>
    <row r="56" spans="1:37">
      <c r="A56" s="13" t="s">
        <v>151</v>
      </c>
      <c r="B56" s="14" t="s">
        <v>154</v>
      </c>
      <c r="C56" s="37">
        <v>4.9000000000000002E-2</v>
      </c>
      <c r="D56" s="37">
        <v>0.91200000000000003</v>
      </c>
      <c r="E56" s="37">
        <v>3.1E-2</v>
      </c>
      <c r="F56" s="37"/>
      <c r="G56" s="37"/>
      <c r="H56" s="37">
        <f t="shared" si="0"/>
        <v>7.9999999999999238E-3</v>
      </c>
      <c r="I56" s="13" t="str">
        <f t="shared" si="1"/>
        <v>CINA</v>
      </c>
      <c r="J56" s="15">
        <f t="shared" si="2"/>
        <v>4314</v>
      </c>
      <c r="K56" s="15">
        <v>32233</v>
      </c>
      <c r="L56" s="16">
        <f t="shared" si="3"/>
        <v>0.70201346446188684</v>
      </c>
      <c r="M56" s="15">
        <v>22628</v>
      </c>
      <c r="N56" s="15">
        <v>59</v>
      </c>
      <c r="O56" s="15">
        <v>174</v>
      </c>
      <c r="P56" s="33">
        <f t="shared" si="4"/>
        <v>22395</v>
      </c>
      <c r="Q56" s="29" t="s">
        <v>244</v>
      </c>
      <c r="R56" s="29" t="s">
        <v>245</v>
      </c>
      <c r="S56" s="29" t="s">
        <v>247</v>
      </c>
      <c r="T56" s="33">
        <v>13056</v>
      </c>
      <c r="U56" s="34">
        <f t="shared" si="5"/>
        <v>0.58298727394507699</v>
      </c>
      <c r="V56" s="29" t="s">
        <v>239</v>
      </c>
      <c r="W56" s="29" t="s">
        <v>241</v>
      </c>
      <c r="X56" s="33">
        <v>8742</v>
      </c>
      <c r="Y56" s="34">
        <f t="shared" si="6"/>
        <v>0.39035498995311452</v>
      </c>
      <c r="Z56" s="29" t="s">
        <v>272</v>
      </c>
      <c r="AA56" s="29" t="s">
        <v>270</v>
      </c>
      <c r="AB56" s="33">
        <v>597</v>
      </c>
      <c r="AC56" s="34">
        <f t="shared" si="7"/>
        <v>2.6657736101808438E-2</v>
      </c>
      <c r="AD56" s="29"/>
      <c r="AE56" s="29"/>
      <c r="AF56" s="33"/>
      <c r="AG56" s="34">
        <f t="shared" si="8"/>
        <v>0</v>
      </c>
      <c r="AH56" s="29"/>
      <c r="AI56" s="29"/>
      <c r="AJ56" s="33"/>
      <c r="AK56" s="34">
        <f t="shared" si="9"/>
        <v>0</v>
      </c>
    </row>
    <row r="57" spans="1:37" ht="28.5">
      <c r="A57" s="13" t="s">
        <v>152</v>
      </c>
      <c r="B57" s="14" t="s">
        <v>155</v>
      </c>
      <c r="C57" s="37">
        <v>0.50700000000000001</v>
      </c>
      <c r="D57" s="37">
        <v>0.27100000000000002</v>
      </c>
      <c r="E57" s="37">
        <v>0.186</v>
      </c>
      <c r="F57" s="37">
        <v>1.0999999999999999E-2</v>
      </c>
      <c r="G57" s="37">
        <v>8.0000000000000002E-3</v>
      </c>
      <c r="H57" s="37">
        <f t="shared" si="0"/>
        <v>1.6999999999999977E-2</v>
      </c>
      <c r="I57" s="13" t="str">
        <f t="shared" si="1"/>
        <v>MELAYU / MELANAU</v>
      </c>
      <c r="J57" s="15">
        <f t="shared" si="2"/>
        <v>7617</v>
      </c>
      <c r="K57" s="15">
        <v>18605</v>
      </c>
      <c r="L57" s="16">
        <f t="shared" si="3"/>
        <v>0.67793603869927443</v>
      </c>
      <c r="M57" s="15">
        <v>12613</v>
      </c>
      <c r="N57" s="15">
        <v>37</v>
      </c>
      <c r="O57" s="15">
        <v>186</v>
      </c>
      <c r="P57" s="33">
        <f t="shared" si="4"/>
        <v>12390</v>
      </c>
      <c r="Q57" s="29" t="s">
        <v>243</v>
      </c>
      <c r="R57" s="29" t="s">
        <v>241</v>
      </c>
      <c r="S57" s="29" t="s">
        <v>242</v>
      </c>
      <c r="T57" s="33">
        <v>9617</v>
      </c>
      <c r="U57" s="34">
        <f t="shared" si="5"/>
        <v>0.77619047619047621</v>
      </c>
      <c r="V57" s="29" t="s">
        <v>253</v>
      </c>
      <c r="W57" s="29" t="s">
        <v>245</v>
      </c>
      <c r="X57" s="33">
        <v>2000</v>
      </c>
      <c r="Y57" s="34">
        <f t="shared" si="6"/>
        <v>0.16142050040355124</v>
      </c>
      <c r="Z57" s="29" t="s">
        <v>272</v>
      </c>
      <c r="AA57" s="29" t="s">
        <v>270</v>
      </c>
      <c r="AB57" s="33">
        <v>773</v>
      </c>
      <c r="AC57" s="34">
        <f t="shared" si="7"/>
        <v>6.2389023405972556E-2</v>
      </c>
      <c r="AD57" s="29"/>
      <c r="AE57" s="29"/>
      <c r="AF57" s="33"/>
      <c r="AG57" s="34">
        <f t="shared" si="8"/>
        <v>0</v>
      </c>
      <c r="AH57" s="29"/>
      <c r="AI57" s="29"/>
      <c r="AJ57" s="33"/>
      <c r="AK57" s="34">
        <f t="shared" si="9"/>
        <v>0</v>
      </c>
    </row>
    <row r="58" spans="1:37" ht="28.5">
      <c r="A58" s="13" t="s">
        <v>158</v>
      </c>
      <c r="B58" s="14" t="s">
        <v>161</v>
      </c>
      <c r="C58" s="37">
        <v>0.89500000000000002</v>
      </c>
      <c r="D58" s="37">
        <v>8.5999999999999993E-2</v>
      </c>
      <c r="E58" s="37">
        <v>1.0999999999999999E-2</v>
      </c>
      <c r="F58" s="37"/>
      <c r="G58" s="37"/>
      <c r="H58" s="37">
        <f t="shared" si="0"/>
        <v>7.9999999999999898E-3</v>
      </c>
      <c r="I58" s="13" t="str">
        <f t="shared" si="1"/>
        <v>MELAYU / MELANAU</v>
      </c>
      <c r="J58" s="15">
        <f t="shared" si="2"/>
        <v>6330</v>
      </c>
      <c r="K58" s="15">
        <v>11440</v>
      </c>
      <c r="L58" s="16">
        <f t="shared" si="3"/>
        <v>0.70629370629370625</v>
      </c>
      <c r="M58" s="15">
        <v>8080</v>
      </c>
      <c r="N58" s="15">
        <v>46</v>
      </c>
      <c r="O58" s="15">
        <v>150</v>
      </c>
      <c r="P58" s="33">
        <f t="shared" si="4"/>
        <v>7884</v>
      </c>
      <c r="Q58" s="29" t="s">
        <v>243</v>
      </c>
      <c r="R58" s="29" t="s">
        <v>241</v>
      </c>
      <c r="S58" s="29" t="s">
        <v>242</v>
      </c>
      <c r="T58" s="33">
        <v>7107</v>
      </c>
      <c r="U58" s="34">
        <f t="shared" si="5"/>
        <v>0.90144596651445963</v>
      </c>
      <c r="V58" s="29" t="s">
        <v>253</v>
      </c>
      <c r="W58" s="29" t="s">
        <v>245</v>
      </c>
      <c r="X58" s="33">
        <v>777</v>
      </c>
      <c r="Y58" s="34">
        <f t="shared" si="6"/>
        <v>9.8554033485540329E-2</v>
      </c>
      <c r="Z58" s="29"/>
      <c r="AA58" s="29"/>
      <c r="AB58" s="33"/>
      <c r="AC58" s="34">
        <f t="shared" si="7"/>
        <v>0</v>
      </c>
      <c r="AD58" s="29"/>
      <c r="AE58" s="29"/>
      <c r="AF58" s="33"/>
      <c r="AG58" s="34">
        <f t="shared" si="8"/>
        <v>0</v>
      </c>
      <c r="AH58" s="29"/>
      <c r="AI58" s="29"/>
      <c r="AJ58" s="33"/>
      <c r="AK58" s="34">
        <f t="shared" si="9"/>
        <v>0</v>
      </c>
    </row>
    <row r="59" spans="1:37" ht="28.5">
      <c r="A59" s="13" t="s">
        <v>159</v>
      </c>
      <c r="B59" s="14" t="s">
        <v>162</v>
      </c>
      <c r="C59" s="37">
        <v>0.55500000000000005</v>
      </c>
      <c r="D59" s="37">
        <v>0.14399999999999999</v>
      </c>
      <c r="E59" s="37">
        <v>0.29199999999999998</v>
      </c>
      <c r="F59" s="37"/>
      <c r="G59" s="37"/>
      <c r="H59" s="37">
        <f t="shared" si="0"/>
        <v>8.9999999999999525E-3</v>
      </c>
      <c r="I59" s="13" t="str">
        <f t="shared" si="1"/>
        <v>MELAYU / MELANAU</v>
      </c>
      <c r="J59" s="15">
        <f t="shared" si="2"/>
        <v>4421</v>
      </c>
      <c r="K59" s="15">
        <v>8914</v>
      </c>
      <c r="L59" s="16">
        <f t="shared" si="3"/>
        <v>0.65716849899035223</v>
      </c>
      <c r="M59" s="15">
        <v>5858</v>
      </c>
      <c r="N59" s="15">
        <v>22</v>
      </c>
      <c r="O59" s="15">
        <v>83</v>
      </c>
      <c r="P59" s="33">
        <f t="shared" si="4"/>
        <v>5753</v>
      </c>
      <c r="Q59" s="29" t="s">
        <v>243</v>
      </c>
      <c r="R59" s="29" t="s">
        <v>241</v>
      </c>
      <c r="S59" s="29" t="s">
        <v>242</v>
      </c>
      <c r="T59" s="33">
        <v>5087</v>
      </c>
      <c r="U59" s="34">
        <f t="shared" si="5"/>
        <v>0.88423431253259166</v>
      </c>
      <c r="V59" s="29" t="s">
        <v>253</v>
      </c>
      <c r="W59" s="29" t="s">
        <v>245</v>
      </c>
      <c r="X59" s="33">
        <v>666</v>
      </c>
      <c r="Y59" s="34">
        <f t="shared" si="6"/>
        <v>0.11576568746740831</v>
      </c>
      <c r="Z59" s="29"/>
      <c r="AA59" s="29"/>
      <c r="AB59" s="33"/>
      <c r="AC59" s="34">
        <f t="shared" si="7"/>
        <v>0</v>
      </c>
      <c r="AD59" s="29"/>
      <c r="AE59" s="29"/>
      <c r="AF59" s="33"/>
      <c r="AG59" s="34">
        <f t="shared" si="8"/>
        <v>0</v>
      </c>
      <c r="AH59" s="29"/>
      <c r="AI59" s="29"/>
      <c r="AJ59" s="33"/>
      <c r="AK59" s="34">
        <f t="shared" si="9"/>
        <v>0</v>
      </c>
    </row>
    <row r="60" spans="1:37" ht="28.5">
      <c r="A60" s="13" t="s">
        <v>160</v>
      </c>
      <c r="B60" s="14" t="s">
        <v>163</v>
      </c>
      <c r="C60" s="37">
        <v>0.61</v>
      </c>
      <c r="D60" s="37">
        <v>6.5000000000000002E-2</v>
      </c>
      <c r="E60" s="37">
        <v>0.316</v>
      </c>
      <c r="F60" s="37"/>
      <c r="G60" s="37"/>
      <c r="H60" s="37">
        <f t="shared" si="0"/>
        <v>9.000000000000008E-3</v>
      </c>
      <c r="I60" s="13" t="str">
        <f t="shared" si="1"/>
        <v>MELAYU / MELANAU</v>
      </c>
      <c r="J60" s="15">
        <f t="shared" si="2"/>
        <v>2964</v>
      </c>
      <c r="K60" s="15">
        <v>7967</v>
      </c>
      <c r="L60" s="16">
        <f t="shared" si="3"/>
        <v>0.69687460775699761</v>
      </c>
      <c r="M60" s="15">
        <v>5552</v>
      </c>
      <c r="N60" s="15">
        <v>10</v>
      </c>
      <c r="O60" s="15">
        <v>90</v>
      </c>
      <c r="P60" s="33">
        <f t="shared" si="4"/>
        <v>5452</v>
      </c>
      <c r="Q60" s="29" t="s">
        <v>243</v>
      </c>
      <c r="R60" s="29" t="s">
        <v>241</v>
      </c>
      <c r="S60" s="29" t="s">
        <v>242</v>
      </c>
      <c r="T60" s="33">
        <v>4208</v>
      </c>
      <c r="U60" s="34">
        <f t="shared" si="5"/>
        <v>0.77182685253118122</v>
      </c>
      <c r="V60" s="29" t="s">
        <v>254</v>
      </c>
      <c r="W60" s="29" t="s">
        <v>245</v>
      </c>
      <c r="X60" s="33">
        <v>1244</v>
      </c>
      <c r="Y60" s="34">
        <f t="shared" si="6"/>
        <v>0.22817314746881878</v>
      </c>
      <c r="Z60" s="29"/>
      <c r="AA60" s="29"/>
      <c r="AB60" s="33"/>
      <c r="AC60" s="34">
        <f t="shared" si="7"/>
        <v>0</v>
      </c>
      <c r="AD60" s="29"/>
      <c r="AE60" s="29"/>
      <c r="AF60" s="33"/>
      <c r="AG60" s="34">
        <f t="shared" si="8"/>
        <v>0</v>
      </c>
      <c r="AH60" s="29"/>
      <c r="AI60" s="29"/>
      <c r="AJ60" s="33"/>
      <c r="AK60" s="34">
        <f t="shared" si="9"/>
        <v>0</v>
      </c>
    </row>
    <row r="61" spans="1:37">
      <c r="A61" s="13" t="s">
        <v>166</v>
      </c>
      <c r="B61" s="14" t="s">
        <v>168</v>
      </c>
      <c r="C61" s="37">
        <v>8.9999999999999993E-3</v>
      </c>
      <c r="D61" s="37">
        <v>2.8000000000000001E-2</v>
      </c>
      <c r="E61" s="37">
        <v>0.95499999999999996</v>
      </c>
      <c r="F61" s="37"/>
      <c r="G61" s="37"/>
      <c r="H61" s="37">
        <f t="shared" si="0"/>
        <v>8.0000000000000071E-3</v>
      </c>
      <c r="I61" s="13" t="str">
        <f t="shared" si="1"/>
        <v>IBAN</v>
      </c>
      <c r="J61" s="15">
        <f t="shared" si="2"/>
        <v>2085</v>
      </c>
      <c r="K61" s="15">
        <v>14948</v>
      </c>
      <c r="L61" s="16">
        <f t="shared" si="3"/>
        <v>0.76986887877976984</v>
      </c>
      <c r="M61" s="15">
        <v>11508</v>
      </c>
      <c r="N61" s="15">
        <v>10</v>
      </c>
      <c r="O61" s="15">
        <v>169</v>
      </c>
      <c r="P61" s="33">
        <f t="shared" si="4"/>
        <v>11329</v>
      </c>
      <c r="Q61" s="29" t="s">
        <v>249</v>
      </c>
      <c r="R61" s="29" t="s">
        <v>241</v>
      </c>
      <c r="S61" s="29" t="s">
        <v>242</v>
      </c>
      <c r="T61" s="33">
        <v>6230</v>
      </c>
      <c r="U61" s="34">
        <f t="shared" si="5"/>
        <v>0.54991614440815606</v>
      </c>
      <c r="V61" s="29" t="s">
        <v>251</v>
      </c>
      <c r="W61" s="29" t="s">
        <v>251</v>
      </c>
      <c r="X61" s="33">
        <v>4145</v>
      </c>
      <c r="Y61" s="34">
        <f t="shared" si="6"/>
        <v>0.36587518757171861</v>
      </c>
      <c r="Z61" s="29" t="s">
        <v>253</v>
      </c>
      <c r="AA61" s="29" t="s">
        <v>245</v>
      </c>
      <c r="AB61" s="33">
        <v>954</v>
      </c>
      <c r="AC61" s="34">
        <f t="shared" si="7"/>
        <v>8.4208668020125346E-2</v>
      </c>
      <c r="AD61" s="29"/>
      <c r="AE61" s="29"/>
      <c r="AF61" s="33"/>
      <c r="AG61" s="34">
        <f t="shared" si="8"/>
        <v>0</v>
      </c>
      <c r="AH61" s="29"/>
      <c r="AI61" s="29"/>
      <c r="AJ61" s="33"/>
      <c r="AK61" s="34">
        <f t="shared" si="9"/>
        <v>0</v>
      </c>
    </row>
    <row r="62" spans="1:37">
      <c r="A62" s="13" t="s">
        <v>167</v>
      </c>
      <c r="B62" s="14" t="s">
        <v>169</v>
      </c>
      <c r="C62" s="37">
        <v>4.2000000000000003E-2</v>
      </c>
      <c r="D62" s="37">
        <v>6.5000000000000002E-2</v>
      </c>
      <c r="E62" s="37">
        <v>0.85399999999999998</v>
      </c>
      <c r="F62" s="37"/>
      <c r="G62" s="37">
        <v>2.1000000000000001E-2</v>
      </c>
      <c r="H62" s="37">
        <f t="shared" si="0"/>
        <v>1.8000000000000033E-2</v>
      </c>
      <c r="I62" s="13" t="str">
        <f t="shared" si="1"/>
        <v>IBAN</v>
      </c>
      <c r="J62" s="15">
        <f t="shared" si="2"/>
        <v>5211</v>
      </c>
      <c r="K62" s="15">
        <v>12953</v>
      </c>
      <c r="L62" s="16">
        <f t="shared" si="3"/>
        <v>0.74029182428780982</v>
      </c>
      <c r="M62" s="15">
        <v>9589</v>
      </c>
      <c r="N62" s="15">
        <v>7</v>
      </c>
      <c r="O62" s="15">
        <v>203</v>
      </c>
      <c r="P62" s="33">
        <f t="shared" si="4"/>
        <v>9379</v>
      </c>
      <c r="Q62" s="29" t="s">
        <v>249</v>
      </c>
      <c r="R62" s="29" t="s">
        <v>241</v>
      </c>
      <c r="S62" s="29" t="s">
        <v>242</v>
      </c>
      <c r="T62" s="33">
        <v>7054</v>
      </c>
      <c r="U62" s="34">
        <f t="shared" si="5"/>
        <v>0.75210576820556563</v>
      </c>
      <c r="V62" s="29" t="s">
        <v>253</v>
      </c>
      <c r="W62" s="29" t="s">
        <v>245</v>
      </c>
      <c r="X62" s="33">
        <v>1843</v>
      </c>
      <c r="Y62" s="34">
        <f t="shared" si="6"/>
        <v>0.19650282546113659</v>
      </c>
      <c r="Z62" s="29" t="s">
        <v>250</v>
      </c>
      <c r="AA62" s="29" t="s">
        <v>246</v>
      </c>
      <c r="AB62" s="33">
        <v>482</v>
      </c>
      <c r="AC62" s="34">
        <f t="shared" si="7"/>
        <v>5.1391406333297793E-2</v>
      </c>
      <c r="AD62" s="29"/>
      <c r="AE62" s="29"/>
      <c r="AF62" s="33"/>
      <c r="AG62" s="34">
        <f t="shared" si="8"/>
        <v>0</v>
      </c>
      <c r="AH62" s="29"/>
      <c r="AI62" s="29"/>
      <c r="AJ62" s="33"/>
      <c r="AK62" s="34">
        <f t="shared" si="9"/>
        <v>0</v>
      </c>
    </row>
    <row r="63" spans="1:37">
      <c r="A63" s="13" t="s">
        <v>172</v>
      </c>
      <c r="B63" s="14" t="s">
        <v>175</v>
      </c>
      <c r="C63" s="37">
        <v>5.0000000000000001E-3</v>
      </c>
      <c r="D63" s="37">
        <v>5.0000000000000001E-3</v>
      </c>
      <c r="E63" s="37">
        <v>0.98</v>
      </c>
      <c r="F63" s="37"/>
      <c r="G63" s="37"/>
      <c r="H63" s="37">
        <f t="shared" si="0"/>
        <v>1.0000000000000009E-2</v>
      </c>
      <c r="I63" s="13" t="str">
        <f t="shared" si="1"/>
        <v>IBAN</v>
      </c>
      <c r="J63" s="15">
        <f t="shared" si="2"/>
        <v>3284</v>
      </c>
      <c r="K63" s="15">
        <v>7186</v>
      </c>
      <c r="L63" s="16">
        <f t="shared" si="3"/>
        <v>0.64917895908711387</v>
      </c>
      <c r="M63" s="15">
        <v>4665</v>
      </c>
      <c r="N63" s="15">
        <v>12</v>
      </c>
      <c r="O63" s="15">
        <v>60</v>
      </c>
      <c r="P63" s="33">
        <f t="shared" si="4"/>
        <v>4593</v>
      </c>
      <c r="Q63" s="29" t="s">
        <v>249</v>
      </c>
      <c r="R63" s="29" t="s">
        <v>241</v>
      </c>
      <c r="S63" s="29" t="s">
        <v>242</v>
      </c>
      <c r="T63" s="33">
        <v>3778</v>
      </c>
      <c r="U63" s="34">
        <f t="shared" si="5"/>
        <v>0.82255606357500544</v>
      </c>
      <c r="V63" s="29" t="s">
        <v>244</v>
      </c>
      <c r="W63" s="29" t="s">
        <v>245</v>
      </c>
      <c r="X63" s="33">
        <v>494</v>
      </c>
      <c r="Y63" s="34">
        <f t="shared" si="6"/>
        <v>0.10755497496189854</v>
      </c>
      <c r="Z63" s="29" t="s">
        <v>251</v>
      </c>
      <c r="AA63" s="29" t="s">
        <v>251</v>
      </c>
      <c r="AB63" s="33">
        <v>321</v>
      </c>
      <c r="AC63" s="34">
        <f t="shared" si="7"/>
        <v>6.9888961463096019E-2</v>
      </c>
      <c r="AD63" s="29"/>
      <c r="AE63" s="29"/>
      <c r="AF63" s="33"/>
      <c r="AG63" s="34">
        <f t="shared" si="8"/>
        <v>0</v>
      </c>
      <c r="AH63" s="29"/>
      <c r="AI63" s="29"/>
      <c r="AJ63" s="33"/>
      <c r="AK63" s="34">
        <f t="shared" si="9"/>
        <v>0</v>
      </c>
    </row>
    <row r="64" spans="1:37">
      <c r="A64" s="13" t="s">
        <v>173</v>
      </c>
      <c r="B64" s="14" t="s">
        <v>176</v>
      </c>
      <c r="C64" s="37">
        <v>3.4000000000000002E-2</v>
      </c>
      <c r="D64" s="37">
        <v>0.05</v>
      </c>
      <c r="E64" s="37">
        <v>0.90500000000000003</v>
      </c>
      <c r="F64" s="37"/>
      <c r="G64" s="37"/>
      <c r="H64" s="37">
        <f t="shared" si="0"/>
        <v>1.0999999999999899E-2</v>
      </c>
      <c r="I64" s="13" t="str">
        <f t="shared" si="1"/>
        <v>IBAN</v>
      </c>
      <c r="J64" s="15">
        <f t="shared" si="2"/>
        <v>3053</v>
      </c>
      <c r="K64" s="15">
        <v>9666</v>
      </c>
      <c r="L64" s="16">
        <f t="shared" si="3"/>
        <v>0.66770122077384653</v>
      </c>
      <c r="M64" s="15">
        <v>6454</v>
      </c>
      <c r="N64" s="15">
        <v>14</v>
      </c>
      <c r="O64" s="15">
        <v>131</v>
      </c>
      <c r="P64" s="33">
        <f t="shared" si="4"/>
        <v>6309</v>
      </c>
      <c r="Q64" s="29" t="s">
        <v>243</v>
      </c>
      <c r="R64" s="29" t="s">
        <v>241</v>
      </c>
      <c r="S64" s="29" t="s">
        <v>242</v>
      </c>
      <c r="T64" s="33">
        <v>4681</v>
      </c>
      <c r="U64" s="34">
        <f t="shared" si="5"/>
        <v>0.74195593596449516</v>
      </c>
      <c r="V64" s="29" t="s">
        <v>244</v>
      </c>
      <c r="W64" s="29" t="s">
        <v>245</v>
      </c>
      <c r="X64" s="33">
        <v>1628</v>
      </c>
      <c r="Y64" s="34">
        <f t="shared" si="6"/>
        <v>0.25804406403550484</v>
      </c>
      <c r="Z64" s="29"/>
      <c r="AA64" s="29"/>
      <c r="AB64" s="33"/>
      <c r="AC64" s="34">
        <f t="shared" si="7"/>
        <v>0</v>
      </c>
      <c r="AD64" s="29"/>
      <c r="AE64" s="29"/>
      <c r="AF64" s="33"/>
      <c r="AG64" s="34">
        <f t="shared" si="8"/>
        <v>0</v>
      </c>
      <c r="AH64" s="29"/>
      <c r="AI64" s="29"/>
      <c r="AJ64" s="33"/>
      <c r="AK64" s="34">
        <f t="shared" si="9"/>
        <v>0</v>
      </c>
    </row>
    <row r="65" spans="1:37">
      <c r="A65" s="13" t="s">
        <v>174</v>
      </c>
      <c r="B65" s="14" t="s">
        <v>177</v>
      </c>
      <c r="C65" s="37">
        <v>5.6000000000000001E-2</v>
      </c>
      <c r="D65" s="37">
        <v>0.19700000000000001</v>
      </c>
      <c r="E65" s="37">
        <v>0.72799999999999998</v>
      </c>
      <c r="F65" s="37"/>
      <c r="G65" s="37"/>
      <c r="H65" s="37">
        <f t="shared" si="0"/>
        <v>1.8999999999999906E-2</v>
      </c>
      <c r="I65" s="13" t="str">
        <f t="shared" si="1"/>
        <v>IBAN</v>
      </c>
      <c r="J65" s="15">
        <f t="shared" si="2"/>
        <v>2586</v>
      </c>
      <c r="K65" s="15">
        <v>11510</v>
      </c>
      <c r="L65" s="16">
        <f t="shared" si="3"/>
        <v>0.5874891398783666</v>
      </c>
      <c r="M65" s="15">
        <v>6762</v>
      </c>
      <c r="N65" s="15">
        <v>46</v>
      </c>
      <c r="O65" s="15">
        <v>110</v>
      </c>
      <c r="P65" s="33">
        <f t="shared" si="4"/>
        <v>6606</v>
      </c>
      <c r="Q65" s="29" t="s">
        <v>243</v>
      </c>
      <c r="R65" s="29" t="s">
        <v>241</v>
      </c>
      <c r="S65" s="29" t="s">
        <v>242</v>
      </c>
      <c r="T65" s="33">
        <v>4596</v>
      </c>
      <c r="U65" s="34">
        <f t="shared" si="5"/>
        <v>0.69573115349682102</v>
      </c>
      <c r="V65" s="29" t="s">
        <v>244</v>
      </c>
      <c r="W65" s="29" t="s">
        <v>245</v>
      </c>
      <c r="X65" s="33">
        <v>2010</v>
      </c>
      <c r="Y65" s="34">
        <f t="shared" si="6"/>
        <v>0.30426884650317892</v>
      </c>
      <c r="Z65" s="29"/>
      <c r="AA65" s="29"/>
      <c r="AB65" s="33"/>
      <c r="AC65" s="34">
        <f t="shared" si="7"/>
        <v>0</v>
      </c>
      <c r="AD65" s="29"/>
      <c r="AE65" s="29"/>
      <c r="AF65" s="33"/>
      <c r="AG65" s="34">
        <f t="shared" si="8"/>
        <v>0</v>
      </c>
      <c r="AH65" s="29"/>
      <c r="AI65" s="29"/>
      <c r="AJ65" s="33"/>
      <c r="AK65" s="34">
        <f t="shared" si="9"/>
        <v>0</v>
      </c>
    </row>
    <row r="66" spans="1:37">
      <c r="A66" s="13" t="s">
        <v>180</v>
      </c>
      <c r="B66" s="14" t="s">
        <v>183</v>
      </c>
      <c r="C66" s="37"/>
      <c r="D66" s="37"/>
      <c r="E66" s="37">
        <v>0.98599999999999999</v>
      </c>
      <c r="F66" s="37"/>
      <c r="G66" s="37"/>
      <c r="H66" s="37">
        <f t="shared" si="0"/>
        <v>1.4000000000000012E-2</v>
      </c>
      <c r="I66" s="13" t="str">
        <f t="shared" si="1"/>
        <v>IBAN</v>
      </c>
      <c r="J66" s="15">
        <f t="shared" si="2"/>
        <v>4793</v>
      </c>
      <c r="K66" s="15">
        <v>9624</v>
      </c>
      <c r="L66" s="16">
        <f t="shared" si="3"/>
        <v>0.60473815461346636</v>
      </c>
      <c r="M66" s="15">
        <v>5820</v>
      </c>
      <c r="N66" s="15">
        <v>14</v>
      </c>
      <c r="O66" s="15">
        <v>55</v>
      </c>
      <c r="P66" s="33">
        <f t="shared" si="4"/>
        <v>5751</v>
      </c>
      <c r="Q66" s="29" t="s">
        <v>249</v>
      </c>
      <c r="R66" s="29" t="s">
        <v>241</v>
      </c>
      <c r="S66" s="29" t="s">
        <v>242</v>
      </c>
      <c r="T66" s="33">
        <v>5272</v>
      </c>
      <c r="U66" s="34">
        <f t="shared" si="5"/>
        <v>0.91671013736741436</v>
      </c>
      <c r="V66" s="29" t="s">
        <v>244</v>
      </c>
      <c r="W66" s="29" t="s">
        <v>245</v>
      </c>
      <c r="X66" s="33">
        <v>479</v>
      </c>
      <c r="Y66" s="34">
        <f t="shared" si="6"/>
        <v>8.3289862632585643E-2</v>
      </c>
      <c r="Z66" s="29"/>
      <c r="AA66" s="29"/>
      <c r="AB66" s="33"/>
      <c r="AC66" s="34">
        <f t="shared" si="7"/>
        <v>0</v>
      </c>
      <c r="AD66" s="29"/>
      <c r="AE66" s="29"/>
      <c r="AF66" s="33"/>
      <c r="AG66" s="34">
        <f t="shared" si="8"/>
        <v>0</v>
      </c>
      <c r="AH66" s="29"/>
      <c r="AI66" s="29"/>
      <c r="AJ66" s="33"/>
      <c r="AK66" s="34">
        <f t="shared" si="9"/>
        <v>0</v>
      </c>
    </row>
    <row r="67" spans="1:37">
      <c r="A67" s="13" t="s">
        <v>181</v>
      </c>
      <c r="B67" s="14" t="s">
        <v>184</v>
      </c>
      <c r="C67" s="37">
        <v>3.9E-2</v>
      </c>
      <c r="D67" s="37">
        <v>3.5000000000000003E-2</v>
      </c>
      <c r="E67" s="37">
        <v>0.217</v>
      </c>
      <c r="F67" s="37"/>
      <c r="G67" s="37">
        <v>0.67800000000000005</v>
      </c>
      <c r="H67" s="37">
        <f t="shared" si="0"/>
        <v>3.0999999999999917E-2</v>
      </c>
      <c r="I67" s="13" t="str">
        <f t="shared" si="1"/>
        <v>ORANG ULU</v>
      </c>
      <c r="J67" s="15">
        <f t="shared" si="2"/>
        <v>3686</v>
      </c>
      <c r="K67" s="15">
        <v>7096</v>
      </c>
      <c r="L67" s="16">
        <f t="shared" si="3"/>
        <v>0.65868094701240132</v>
      </c>
      <c r="M67" s="15">
        <v>4674</v>
      </c>
      <c r="N67" s="15">
        <v>11</v>
      </c>
      <c r="O67" s="15">
        <v>51</v>
      </c>
      <c r="P67" s="33">
        <f t="shared" si="4"/>
        <v>4612</v>
      </c>
      <c r="Q67" s="29" t="s">
        <v>249</v>
      </c>
      <c r="R67" s="29" t="s">
        <v>241</v>
      </c>
      <c r="S67" s="29" t="s">
        <v>242</v>
      </c>
      <c r="T67" s="33">
        <v>4149</v>
      </c>
      <c r="U67" s="34">
        <f t="shared" si="5"/>
        <v>0.89960971379011279</v>
      </c>
      <c r="V67" s="29" t="s">
        <v>253</v>
      </c>
      <c r="W67" s="29" t="s">
        <v>245</v>
      </c>
      <c r="X67" s="33">
        <v>463</v>
      </c>
      <c r="Y67" s="34">
        <f t="shared" si="6"/>
        <v>0.10039028620988726</v>
      </c>
      <c r="Z67" s="29"/>
      <c r="AA67" s="29"/>
      <c r="AB67" s="33"/>
      <c r="AC67" s="34">
        <f t="shared" si="7"/>
        <v>0</v>
      </c>
      <c r="AD67" s="29"/>
      <c r="AE67" s="29"/>
      <c r="AF67" s="33"/>
      <c r="AG67" s="34">
        <f t="shared" si="8"/>
        <v>0</v>
      </c>
      <c r="AH67" s="29"/>
      <c r="AI67" s="29"/>
      <c r="AJ67" s="33"/>
      <c r="AK67" s="34">
        <f t="shared" si="9"/>
        <v>0</v>
      </c>
    </row>
    <row r="68" spans="1:37">
      <c r="A68" s="13" t="s">
        <v>182</v>
      </c>
      <c r="B68" s="14" t="s">
        <v>185</v>
      </c>
      <c r="C68" s="37">
        <v>7.0000000000000001E-3</v>
      </c>
      <c r="D68" s="37">
        <v>1.4999999999999999E-2</v>
      </c>
      <c r="E68" s="37">
        <v>0.20200000000000001</v>
      </c>
      <c r="F68" s="37"/>
      <c r="G68" s="37">
        <v>0.76500000000000001</v>
      </c>
      <c r="H68" s="37">
        <f t="shared" ref="H68:H84" si="10">1-C68-D68-E68-F68-G68</f>
        <v>1.100000000000001E-2</v>
      </c>
      <c r="I68" s="13" t="str">
        <f t="shared" ref="I68:I84" si="11">IF(C68&gt;0.5,"MELAYU / MELANAU",IF(D68&gt;0.5,"CINA",IF(E68&gt;0.5,"IBAN",IF(F68&gt;0.5,"BIDAYUH",IF(G68&gt;0.5,"ORANG ULU",IF(H68&gt;0.5,"LAIN-LAIN","MIXED"))))))</f>
        <v>ORANG ULU</v>
      </c>
      <c r="J68" s="15">
        <f t="shared" ref="J68:J83" si="12">T68-X68</f>
        <v>2200</v>
      </c>
      <c r="K68" s="15">
        <v>8242</v>
      </c>
      <c r="L68" s="16">
        <f t="shared" ref="L68:L86" si="13">M68/K68</f>
        <v>0.7545498665372482</v>
      </c>
      <c r="M68" s="15">
        <v>6219</v>
      </c>
      <c r="N68" s="15">
        <v>20</v>
      </c>
      <c r="O68" s="15">
        <v>153</v>
      </c>
      <c r="P68" s="33">
        <f t="shared" ref="P68:P83" si="14">M68-N68-O68</f>
        <v>6046</v>
      </c>
      <c r="Q68" s="29" t="s">
        <v>249</v>
      </c>
      <c r="R68" s="29" t="s">
        <v>241</v>
      </c>
      <c r="S68" s="29" t="s">
        <v>242</v>
      </c>
      <c r="T68" s="33">
        <v>3265</v>
      </c>
      <c r="U68" s="34">
        <f t="shared" ref="U68:U83" si="15">T68/P68</f>
        <v>0.54002646377770425</v>
      </c>
      <c r="V68" s="29" t="s">
        <v>253</v>
      </c>
      <c r="W68" s="29" t="s">
        <v>245</v>
      </c>
      <c r="X68" s="33">
        <v>1065</v>
      </c>
      <c r="Y68" s="34">
        <f t="shared" ref="Y68:Y82" si="16">X68/P68</f>
        <v>0.17614952034402911</v>
      </c>
      <c r="Z68" s="29" t="s">
        <v>251</v>
      </c>
      <c r="AA68" s="29" t="s">
        <v>251</v>
      </c>
      <c r="AB68" s="33">
        <v>1029</v>
      </c>
      <c r="AC68" s="34">
        <f t="shared" ref="AC68:AC83" si="17">AB68/P68</f>
        <v>0.17019517036056897</v>
      </c>
      <c r="AD68" s="29" t="s">
        <v>244</v>
      </c>
      <c r="AE68" s="29" t="s">
        <v>245</v>
      </c>
      <c r="AF68" s="33">
        <v>687</v>
      </c>
      <c r="AG68" s="34">
        <f t="shared" ref="AG68:AG83" si="18">AF68/P68</f>
        <v>0.11362884551769765</v>
      </c>
      <c r="AH68" s="29"/>
      <c r="AI68" s="29"/>
      <c r="AJ68" s="33"/>
      <c r="AK68" s="34">
        <f t="shared" ref="AK68:AK83" si="19">AJ68/P68</f>
        <v>0</v>
      </c>
    </row>
    <row r="69" spans="1:37" ht="28.5">
      <c r="A69" s="13" t="s">
        <v>188</v>
      </c>
      <c r="B69" s="14" t="s">
        <v>192</v>
      </c>
      <c r="C69" s="37">
        <v>0.55200000000000005</v>
      </c>
      <c r="D69" s="37">
        <v>7.1999999999999995E-2</v>
      </c>
      <c r="E69" s="37">
        <v>0.36</v>
      </c>
      <c r="F69" s="37">
        <v>5.0000000000000001E-3</v>
      </c>
      <c r="G69" s="37">
        <v>4.0000000000000001E-3</v>
      </c>
      <c r="H69" s="37">
        <f t="shared" si="10"/>
        <v>6.9999999999999576E-3</v>
      </c>
      <c r="I69" s="13" t="str">
        <f t="shared" si="11"/>
        <v>MELAYU / MELANAU</v>
      </c>
      <c r="J69" s="15">
        <f t="shared" si="12"/>
        <v>4201</v>
      </c>
      <c r="K69" s="15">
        <v>13789</v>
      </c>
      <c r="L69" s="16">
        <f t="shared" si="13"/>
        <v>0.67945463775473203</v>
      </c>
      <c r="M69" s="15">
        <v>9369</v>
      </c>
      <c r="N69" s="15">
        <v>14</v>
      </c>
      <c r="O69" s="15">
        <v>140</v>
      </c>
      <c r="P69" s="33">
        <f t="shared" si="14"/>
        <v>9215</v>
      </c>
      <c r="Q69" s="29" t="s">
        <v>243</v>
      </c>
      <c r="R69" s="29" t="s">
        <v>241</v>
      </c>
      <c r="S69" s="29" t="s">
        <v>242</v>
      </c>
      <c r="T69" s="33">
        <v>6342</v>
      </c>
      <c r="U69" s="34">
        <f t="shared" si="15"/>
        <v>0.68822571893651652</v>
      </c>
      <c r="V69" s="29" t="s">
        <v>253</v>
      </c>
      <c r="W69" s="29" t="s">
        <v>245</v>
      </c>
      <c r="X69" s="33">
        <v>2141</v>
      </c>
      <c r="Y69" s="34">
        <f t="shared" si="16"/>
        <v>0.23233857840477481</v>
      </c>
      <c r="Z69" s="29" t="s">
        <v>250</v>
      </c>
      <c r="AA69" s="29" t="s">
        <v>246</v>
      </c>
      <c r="AB69" s="33">
        <v>406</v>
      </c>
      <c r="AC69" s="34">
        <f t="shared" si="17"/>
        <v>4.4058600108518718E-2</v>
      </c>
      <c r="AD69" s="29" t="s">
        <v>251</v>
      </c>
      <c r="AE69" s="29" t="s">
        <v>251</v>
      </c>
      <c r="AF69" s="33">
        <v>190</v>
      </c>
      <c r="AG69" s="34">
        <f t="shared" si="18"/>
        <v>2.0618556701030927E-2</v>
      </c>
      <c r="AH69" s="29" t="s">
        <v>272</v>
      </c>
      <c r="AI69" s="29" t="s">
        <v>270</v>
      </c>
      <c r="AJ69" s="33">
        <v>136</v>
      </c>
      <c r="AK69" s="34">
        <f t="shared" si="19"/>
        <v>1.4758545849158981E-2</v>
      </c>
    </row>
    <row r="70" spans="1:37">
      <c r="A70" s="13" t="s">
        <v>189</v>
      </c>
      <c r="B70" s="14" t="s">
        <v>193</v>
      </c>
      <c r="C70" s="37">
        <v>0.10100000000000001</v>
      </c>
      <c r="D70" s="37">
        <v>0.73699999999999999</v>
      </c>
      <c r="E70" s="37">
        <v>0.127</v>
      </c>
      <c r="F70" s="37">
        <v>8.0000000000000002E-3</v>
      </c>
      <c r="G70" s="37">
        <v>1.4E-2</v>
      </c>
      <c r="H70" s="37">
        <f t="shared" si="10"/>
        <v>1.3000000000000031E-2</v>
      </c>
      <c r="I70" s="13" t="str">
        <f t="shared" si="11"/>
        <v>CINA</v>
      </c>
      <c r="J70" s="15">
        <f t="shared" si="12"/>
        <v>2548</v>
      </c>
      <c r="K70" s="15">
        <v>19674</v>
      </c>
      <c r="L70" s="16">
        <f t="shared" si="13"/>
        <v>0.69223340449323978</v>
      </c>
      <c r="M70" s="15">
        <v>13619</v>
      </c>
      <c r="N70" s="15">
        <v>14</v>
      </c>
      <c r="O70" s="15">
        <v>96</v>
      </c>
      <c r="P70" s="33">
        <f t="shared" si="14"/>
        <v>13509</v>
      </c>
      <c r="Q70" s="29" t="s">
        <v>244</v>
      </c>
      <c r="R70" s="29" t="s">
        <v>245</v>
      </c>
      <c r="S70" s="29" t="s">
        <v>247</v>
      </c>
      <c r="T70" s="33">
        <v>7984</v>
      </c>
      <c r="U70" s="34">
        <f t="shared" si="15"/>
        <v>0.59101339847509071</v>
      </c>
      <c r="V70" s="29" t="s">
        <v>239</v>
      </c>
      <c r="W70" s="29" t="s">
        <v>241</v>
      </c>
      <c r="X70" s="33">
        <v>5436</v>
      </c>
      <c r="Y70" s="34">
        <f t="shared" si="16"/>
        <v>0.40239840106595604</v>
      </c>
      <c r="Z70" s="29" t="s">
        <v>272</v>
      </c>
      <c r="AA70" s="29" t="s">
        <v>270</v>
      </c>
      <c r="AB70" s="33">
        <v>89</v>
      </c>
      <c r="AC70" s="34">
        <f t="shared" si="17"/>
        <v>6.5882004589532901E-3</v>
      </c>
      <c r="AD70" s="29"/>
      <c r="AE70" s="29"/>
      <c r="AF70" s="33"/>
      <c r="AG70" s="34">
        <f t="shared" si="18"/>
        <v>0</v>
      </c>
      <c r="AH70" s="29"/>
      <c r="AI70" s="29"/>
      <c r="AJ70" s="33"/>
      <c r="AK70" s="34">
        <f t="shared" si="19"/>
        <v>0</v>
      </c>
    </row>
    <row r="71" spans="1:37">
      <c r="A71" s="13" t="s">
        <v>190</v>
      </c>
      <c r="B71" s="14" t="s">
        <v>194</v>
      </c>
      <c r="C71" s="37">
        <v>6.8000000000000005E-2</v>
      </c>
      <c r="D71" s="37">
        <v>0.04</v>
      </c>
      <c r="E71" s="37">
        <v>0.86</v>
      </c>
      <c r="F71" s="37"/>
      <c r="G71" s="37">
        <v>2.7E-2</v>
      </c>
      <c r="H71" s="37">
        <f t="shared" si="10"/>
        <v>4.9999999999999177E-3</v>
      </c>
      <c r="I71" s="13" t="str">
        <f t="shared" si="11"/>
        <v>IBAN</v>
      </c>
      <c r="J71" s="15">
        <f t="shared" si="12"/>
        <v>4868</v>
      </c>
      <c r="K71" s="15">
        <v>12991</v>
      </c>
      <c r="L71" s="16">
        <f t="shared" si="13"/>
        <v>0.7462089138634439</v>
      </c>
      <c r="M71" s="15">
        <v>9694</v>
      </c>
      <c r="N71" s="15">
        <v>3</v>
      </c>
      <c r="O71" s="15">
        <v>175</v>
      </c>
      <c r="P71" s="33">
        <f t="shared" si="14"/>
        <v>9516</v>
      </c>
      <c r="Q71" s="29" t="s">
        <v>243</v>
      </c>
      <c r="R71" s="29" t="s">
        <v>241</v>
      </c>
      <c r="S71" s="29" t="s">
        <v>242</v>
      </c>
      <c r="T71" s="33">
        <v>7192</v>
      </c>
      <c r="U71" s="34">
        <f t="shared" si="15"/>
        <v>0.75577973938629672</v>
      </c>
      <c r="V71" s="29" t="s">
        <v>244</v>
      </c>
      <c r="W71" s="29" t="s">
        <v>245</v>
      </c>
      <c r="X71" s="33">
        <v>2324</v>
      </c>
      <c r="Y71" s="34">
        <f t="shared" si="16"/>
        <v>0.24422026061370325</v>
      </c>
      <c r="Z71" s="29"/>
      <c r="AA71" s="29"/>
      <c r="AB71" s="33"/>
      <c r="AC71" s="34">
        <f t="shared" si="17"/>
        <v>0</v>
      </c>
      <c r="AD71" s="29"/>
      <c r="AE71" s="29"/>
      <c r="AF71" s="33"/>
      <c r="AG71" s="34">
        <f t="shared" si="18"/>
        <v>0</v>
      </c>
      <c r="AH71" s="29"/>
      <c r="AI71" s="29"/>
      <c r="AJ71" s="33"/>
      <c r="AK71" s="34">
        <f t="shared" si="19"/>
        <v>0</v>
      </c>
    </row>
    <row r="72" spans="1:37">
      <c r="A72" s="13" t="s">
        <v>191</v>
      </c>
      <c r="B72" s="14" t="s">
        <v>195</v>
      </c>
      <c r="C72" s="37">
        <v>0.20300000000000001</v>
      </c>
      <c r="D72" s="37">
        <v>0.15</v>
      </c>
      <c r="E72" s="37">
        <v>0.60499999999999998</v>
      </c>
      <c r="F72" s="37">
        <v>1.7999999999999999E-2</v>
      </c>
      <c r="G72" s="37">
        <v>0.02</v>
      </c>
      <c r="H72" s="37">
        <f t="shared" si="10"/>
        <v>3.9999999999999272E-3</v>
      </c>
      <c r="I72" s="13" t="str">
        <f t="shared" si="11"/>
        <v>IBAN</v>
      </c>
      <c r="J72" s="15">
        <f t="shared" si="12"/>
        <v>2464</v>
      </c>
      <c r="K72" s="15">
        <v>13251</v>
      </c>
      <c r="L72" s="16">
        <f t="shared" si="13"/>
        <v>0.68115613915930873</v>
      </c>
      <c r="M72" s="15">
        <v>9026</v>
      </c>
      <c r="N72" s="15">
        <v>11</v>
      </c>
      <c r="O72" s="15">
        <v>120</v>
      </c>
      <c r="P72" s="33">
        <f t="shared" si="14"/>
        <v>8895</v>
      </c>
      <c r="Q72" s="29" t="s">
        <v>249</v>
      </c>
      <c r="R72" s="29" t="s">
        <v>241</v>
      </c>
      <c r="S72" s="29" t="s">
        <v>242</v>
      </c>
      <c r="T72" s="33">
        <v>5456</v>
      </c>
      <c r="U72" s="34">
        <f t="shared" si="15"/>
        <v>0.61337830241708824</v>
      </c>
      <c r="V72" s="29" t="s">
        <v>244</v>
      </c>
      <c r="W72" s="29" t="s">
        <v>245</v>
      </c>
      <c r="X72" s="33">
        <v>2992</v>
      </c>
      <c r="Y72" s="34">
        <f t="shared" si="16"/>
        <v>0.33636874648679033</v>
      </c>
      <c r="Z72" s="29" t="s">
        <v>250</v>
      </c>
      <c r="AA72" s="29" t="s">
        <v>246</v>
      </c>
      <c r="AB72" s="33">
        <v>447</v>
      </c>
      <c r="AC72" s="34">
        <f t="shared" si="17"/>
        <v>5.0252951096121413E-2</v>
      </c>
      <c r="AD72" s="29"/>
      <c r="AE72" s="29"/>
      <c r="AF72" s="33"/>
      <c r="AG72" s="34">
        <f t="shared" si="18"/>
        <v>0</v>
      </c>
      <c r="AH72" s="29"/>
      <c r="AI72" s="29"/>
      <c r="AJ72" s="33"/>
      <c r="AK72" s="34">
        <f t="shared" si="19"/>
        <v>0</v>
      </c>
    </row>
    <row r="73" spans="1:37">
      <c r="A73" s="13" t="s">
        <v>198</v>
      </c>
      <c r="B73" s="14" t="s">
        <v>200</v>
      </c>
      <c r="C73" s="37">
        <v>0.48699999999999999</v>
      </c>
      <c r="D73" s="37">
        <v>0.13600000000000001</v>
      </c>
      <c r="E73" s="37">
        <v>0.35499999999999998</v>
      </c>
      <c r="F73" s="37"/>
      <c r="G73" s="37">
        <v>0.01</v>
      </c>
      <c r="H73" s="37">
        <f t="shared" si="10"/>
        <v>1.2000000000000019E-2</v>
      </c>
      <c r="I73" s="13" t="str">
        <f t="shared" si="11"/>
        <v>MIXED</v>
      </c>
      <c r="J73" s="15">
        <f t="shared" si="12"/>
        <v>4789</v>
      </c>
      <c r="K73" s="15">
        <v>12250</v>
      </c>
      <c r="L73" s="16">
        <f t="shared" si="13"/>
        <v>0.69714285714285718</v>
      </c>
      <c r="M73" s="15">
        <v>8540</v>
      </c>
      <c r="N73" s="15">
        <v>32</v>
      </c>
      <c r="O73" s="15">
        <v>125</v>
      </c>
      <c r="P73" s="33">
        <f t="shared" si="14"/>
        <v>8383</v>
      </c>
      <c r="Q73" s="29" t="s">
        <v>243</v>
      </c>
      <c r="R73" s="29" t="s">
        <v>241</v>
      </c>
      <c r="S73" s="29" t="s">
        <v>242</v>
      </c>
      <c r="T73" s="33">
        <v>6009</v>
      </c>
      <c r="U73" s="34">
        <f t="shared" si="15"/>
        <v>0.7168078253608493</v>
      </c>
      <c r="V73" s="29" t="s">
        <v>253</v>
      </c>
      <c r="W73" s="29" t="s">
        <v>245</v>
      </c>
      <c r="X73" s="33">
        <v>1220</v>
      </c>
      <c r="Y73" s="34">
        <f t="shared" si="16"/>
        <v>0.14553262555171179</v>
      </c>
      <c r="Z73" s="29" t="s">
        <v>251</v>
      </c>
      <c r="AA73" s="29" t="s">
        <v>251</v>
      </c>
      <c r="AB73" s="33">
        <v>589</v>
      </c>
      <c r="AC73" s="34">
        <f t="shared" si="17"/>
        <v>7.0261242991769057E-2</v>
      </c>
      <c r="AD73" s="29" t="s">
        <v>251</v>
      </c>
      <c r="AE73" s="29" t="s">
        <v>251</v>
      </c>
      <c r="AF73" s="33">
        <v>565</v>
      </c>
      <c r="AG73" s="34">
        <f t="shared" si="18"/>
        <v>6.739830609566981E-2</v>
      </c>
      <c r="AH73" s="29"/>
      <c r="AI73" s="29"/>
      <c r="AJ73" s="33"/>
      <c r="AK73" s="34">
        <f t="shared" si="19"/>
        <v>0</v>
      </c>
    </row>
    <row r="74" spans="1:37">
      <c r="A74" s="13" t="s">
        <v>199</v>
      </c>
      <c r="B74" s="14" t="s">
        <v>201</v>
      </c>
      <c r="C74" s="37">
        <v>0.34899999999999998</v>
      </c>
      <c r="D74" s="37">
        <v>0.26500000000000001</v>
      </c>
      <c r="E74" s="37">
        <v>0.32800000000000001</v>
      </c>
      <c r="F74" s="37">
        <v>1.4999999999999999E-2</v>
      </c>
      <c r="G74" s="37">
        <v>3.6999999999999998E-2</v>
      </c>
      <c r="H74" s="37">
        <f t="shared" si="10"/>
        <v>5.9999999999999984E-3</v>
      </c>
      <c r="I74" s="13" t="str">
        <f t="shared" si="11"/>
        <v>MIXED</v>
      </c>
      <c r="J74" s="15">
        <f t="shared" si="12"/>
        <v>4907</v>
      </c>
      <c r="K74" s="15">
        <v>17533</v>
      </c>
      <c r="L74" s="16">
        <f t="shared" si="13"/>
        <v>0.63582957850909716</v>
      </c>
      <c r="M74" s="15">
        <v>11148</v>
      </c>
      <c r="N74" s="15">
        <v>15</v>
      </c>
      <c r="O74" s="15">
        <v>205</v>
      </c>
      <c r="P74" s="33">
        <f t="shared" si="14"/>
        <v>10928</v>
      </c>
      <c r="Q74" s="29" t="s">
        <v>243</v>
      </c>
      <c r="R74" s="29" t="s">
        <v>241</v>
      </c>
      <c r="S74" s="29" t="s">
        <v>242</v>
      </c>
      <c r="T74" s="33">
        <v>7503</v>
      </c>
      <c r="U74" s="34">
        <f t="shared" si="15"/>
        <v>0.68658491947291367</v>
      </c>
      <c r="V74" s="29" t="s">
        <v>253</v>
      </c>
      <c r="W74" s="29" t="s">
        <v>245</v>
      </c>
      <c r="X74" s="33">
        <v>2596</v>
      </c>
      <c r="Y74" s="34">
        <f t="shared" si="16"/>
        <v>0.2375549048316252</v>
      </c>
      <c r="Z74" s="29" t="s">
        <v>250</v>
      </c>
      <c r="AA74" s="29" t="s">
        <v>246</v>
      </c>
      <c r="AB74" s="33">
        <v>829</v>
      </c>
      <c r="AC74" s="34">
        <f t="shared" si="17"/>
        <v>7.5860175695461204E-2</v>
      </c>
      <c r="AD74" s="29"/>
      <c r="AE74" s="29"/>
      <c r="AF74" s="33"/>
      <c r="AG74" s="34">
        <f t="shared" si="18"/>
        <v>0</v>
      </c>
      <c r="AH74" s="29"/>
      <c r="AI74" s="29"/>
      <c r="AJ74" s="33"/>
      <c r="AK74" s="34">
        <f t="shared" si="19"/>
        <v>0</v>
      </c>
    </row>
    <row r="75" spans="1:37">
      <c r="A75" s="13" t="s">
        <v>204</v>
      </c>
      <c r="B75" s="14" t="s">
        <v>207</v>
      </c>
      <c r="C75" s="37">
        <v>0.21299999999999999</v>
      </c>
      <c r="D75" s="37">
        <v>0.61099999999999999</v>
      </c>
      <c r="E75" s="37">
        <v>0.13700000000000001</v>
      </c>
      <c r="F75" s="37">
        <v>8.9999999999999993E-3</v>
      </c>
      <c r="G75" s="37">
        <v>1.4E-2</v>
      </c>
      <c r="H75" s="37">
        <f t="shared" si="10"/>
        <v>1.6000000000000035E-2</v>
      </c>
      <c r="I75" s="13" t="str">
        <f t="shared" si="11"/>
        <v>CINA</v>
      </c>
      <c r="J75" s="15">
        <f t="shared" si="12"/>
        <v>2112</v>
      </c>
      <c r="K75" s="15">
        <v>21120</v>
      </c>
      <c r="L75" s="16">
        <f t="shared" si="13"/>
        <v>0.64554924242424239</v>
      </c>
      <c r="M75" s="15">
        <v>13634</v>
      </c>
      <c r="N75" s="15">
        <v>25</v>
      </c>
      <c r="O75" s="15">
        <v>123</v>
      </c>
      <c r="P75" s="33">
        <f t="shared" si="14"/>
        <v>13486</v>
      </c>
      <c r="Q75" s="29" t="s">
        <v>239</v>
      </c>
      <c r="R75" s="29" t="s">
        <v>241</v>
      </c>
      <c r="S75" s="29" t="s">
        <v>242</v>
      </c>
      <c r="T75" s="33">
        <v>7799</v>
      </c>
      <c r="U75" s="34">
        <f t="shared" si="15"/>
        <v>0.5783034257748777</v>
      </c>
      <c r="V75" s="29" t="s">
        <v>244</v>
      </c>
      <c r="W75" s="29" t="s">
        <v>245</v>
      </c>
      <c r="X75" s="33">
        <v>5687</v>
      </c>
      <c r="Y75" s="34">
        <f t="shared" si="16"/>
        <v>0.42169657422512236</v>
      </c>
      <c r="Z75" s="29"/>
      <c r="AA75" s="29"/>
      <c r="AB75" s="33"/>
      <c r="AC75" s="34">
        <f t="shared" si="17"/>
        <v>0</v>
      </c>
      <c r="AD75" s="29"/>
      <c r="AE75" s="29"/>
      <c r="AF75" s="33"/>
      <c r="AG75" s="34">
        <f t="shared" si="18"/>
        <v>0</v>
      </c>
      <c r="AH75" s="29"/>
      <c r="AI75" s="29"/>
      <c r="AJ75" s="33"/>
      <c r="AK75" s="34">
        <f t="shared" si="19"/>
        <v>0</v>
      </c>
    </row>
    <row r="76" spans="1:37">
      <c r="A76" s="13" t="s">
        <v>205</v>
      </c>
      <c r="B76" s="14" t="s">
        <v>208</v>
      </c>
      <c r="C76" s="37">
        <v>0.17899999999999999</v>
      </c>
      <c r="D76" s="37">
        <v>0.70399999999999996</v>
      </c>
      <c r="E76" s="37">
        <v>7.4999999999999997E-2</v>
      </c>
      <c r="F76" s="37">
        <v>6.0000000000000001E-3</v>
      </c>
      <c r="G76" s="37">
        <v>1.7999999999999999E-2</v>
      </c>
      <c r="H76" s="37">
        <f t="shared" si="10"/>
        <v>1.7999999999999999E-2</v>
      </c>
      <c r="I76" s="13" t="str">
        <f t="shared" si="11"/>
        <v>CINA</v>
      </c>
      <c r="J76" s="15">
        <f t="shared" si="12"/>
        <v>1759</v>
      </c>
      <c r="K76" s="15">
        <v>26202</v>
      </c>
      <c r="L76" s="16">
        <f t="shared" si="13"/>
        <v>0.65254560720555688</v>
      </c>
      <c r="M76" s="15">
        <v>17098</v>
      </c>
      <c r="N76" s="15">
        <v>32</v>
      </c>
      <c r="O76" s="15">
        <v>139</v>
      </c>
      <c r="P76" s="33">
        <f t="shared" si="14"/>
        <v>16927</v>
      </c>
      <c r="Q76" s="29" t="s">
        <v>244</v>
      </c>
      <c r="R76" s="29" t="s">
        <v>245</v>
      </c>
      <c r="S76" s="29" t="s">
        <v>247</v>
      </c>
      <c r="T76" s="33">
        <v>8899</v>
      </c>
      <c r="U76" s="34">
        <f t="shared" si="15"/>
        <v>0.52572812666154667</v>
      </c>
      <c r="V76" s="29" t="s">
        <v>239</v>
      </c>
      <c r="W76" s="29" t="s">
        <v>241</v>
      </c>
      <c r="X76" s="33">
        <v>7140</v>
      </c>
      <c r="Y76" s="34">
        <f t="shared" si="16"/>
        <v>0.421811307378744</v>
      </c>
      <c r="Z76" s="29" t="s">
        <v>250</v>
      </c>
      <c r="AA76" s="29" t="s">
        <v>246</v>
      </c>
      <c r="AB76" s="33">
        <v>513</v>
      </c>
      <c r="AC76" s="34">
        <f t="shared" si="17"/>
        <v>3.0306610740237491E-2</v>
      </c>
      <c r="AD76" s="29" t="s">
        <v>251</v>
      </c>
      <c r="AE76" s="29" t="s">
        <v>251</v>
      </c>
      <c r="AF76" s="33">
        <v>375</v>
      </c>
      <c r="AG76" s="34">
        <f t="shared" si="18"/>
        <v>2.215395521947185E-2</v>
      </c>
      <c r="AH76" s="29"/>
      <c r="AI76" s="29"/>
      <c r="AJ76" s="33"/>
      <c r="AK76" s="34">
        <f t="shared" si="19"/>
        <v>0</v>
      </c>
    </row>
    <row r="77" spans="1:37">
      <c r="A77" s="13" t="s">
        <v>206</v>
      </c>
      <c r="B77" s="14" t="s">
        <v>209</v>
      </c>
      <c r="C77" s="37">
        <v>0.217</v>
      </c>
      <c r="D77" s="37">
        <v>0.497</v>
      </c>
      <c r="E77" s="37">
        <v>0.217</v>
      </c>
      <c r="F77" s="37">
        <v>1.0999999999999999E-2</v>
      </c>
      <c r="G77" s="37">
        <v>4.5999999999999999E-2</v>
      </c>
      <c r="H77" s="37">
        <f t="shared" si="10"/>
        <v>1.2000000000000038E-2</v>
      </c>
      <c r="I77" s="13" t="str">
        <f t="shared" si="11"/>
        <v>MIXED</v>
      </c>
      <c r="J77" s="15">
        <f t="shared" si="12"/>
        <v>3538</v>
      </c>
      <c r="K77" s="15">
        <v>27874</v>
      </c>
      <c r="L77" s="16">
        <f t="shared" si="13"/>
        <v>0.65860658678338235</v>
      </c>
      <c r="M77" s="15">
        <v>18358</v>
      </c>
      <c r="N77" s="15">
        <v>34</v>
      </c>
      <c r="O77" s="15">
        <v>167</v>
      </c>
      <c r="P77" s="33">
        <f t="shared" si="14"/>
        <v>18157</v>
      </c>
      <c r="Q77" s="29" t="s">
        <v>239</v>
      </c>
      <c r="R77" s="29" t="s">
        <v>241</v>
      </c>
      <c r="S77" s="29" t="s">
        <v>242</v>
      </c>
      <c r="T77" s="33">
        <v>10683</v>
      </c>
      <c r="U77" s="34">
        <f t="shared" si="15"/>
        <v>0.58836812248719506</v>
      </c>
      <c r="V77" s="29" t="s">
        <v>244</v>
      </c>
      <c r="W77" s="29" t="s">
        <v>245</v>
      </c>
      <c r="X77" s="33">
        <v>7145</v>
      </c>
      <c r="Y77" s="34">
        <f t="shared" si="16"/>
        <v>0.39351214407666463</v>
      </c>
      <c r="Z77" s="29" t="s">
        <v>269</v>
      </c>
      <c r="AA77" s="29" t="s">
        <v>270</v>
      </c>
      <c r="AB77" s="33">
        <v>329</v>
      </c>
      <c r="AC77" s="34">
        <f t="shared" si="17"/>
        <v>1.8119733436140331E-2</v>
      </c>
      <c r="AD77" s="29"/>
      <c r="AE77" s="29"/>
      <c r="AF77" s="33"/>
      <c r="AG77" s="34">
        <f t="shared" si="18"/>
        <v>0</v>
      </c>
      <c r="AH77" s="29"/>
      <c r="AI77" s="29"/>
      <c r="AJ77" s="33"/>
      <c r="AK77" s="34">
        <f t="shared" si="19"/>
        <v>0</v>
      </c>
    </row>
    <row r="78" spans="1:37">
      <c r="A78" s="13" t="s">
        <v>212</v>
      </c>
      <c r="B78" s="14" t="s">
        <v>215</v>
      </c>
      <c r="C78" s="37">
        <v>0.11</v>
      </c>
      <c r="D78" s="37">
        <v>0.151</v>
      </c>
      <c r="E78" s="37">
        <v>0.60599999999999998</v>
      </c>
      <c r="F78" s="37"/>
      <c r="G78" s="37">
        <v>0.126</v>
      </c>
      <c r="H78" s="37">
        <f t="shared" si="10"/>
        <v>7.0000000000000062E-3</v>
      </c>
      <c r="I78" s="13" t="str">
        <f t="shared" si="11"/>
        <v>IBAN</v>
      </c>
      <c r="J78" s="15">
        <f t="shared" si="12"/>
        <v>1387</v>
      </c>
      <c r="K78" s="15">
        <v>14858</v>
      </c>
      <c r="L78" s="16">
        <f t="shared" si="13"/>
        <v>0.66004845874276485</v>
      </c>
      <c r="M78" s="15">
        <v>9807</v>
      </c>
      <c r="N78" s="15">
        <v>21</v>
      </c>
      <c r="O78" s="15">
        <v>131</v>
      </c>
      <c r="P78" s="33">
        <f t="shared" si="14"/>
        <v>9655</v>
      </c>
      <c r="Q78" s="29" t="s">
        <v>240</v>
      </c>
      <c r="R78" s="29" t="s">
        <v>241</v>
      </c>
      <c r="S78" s="29" t="s">
        <v>242</v>
      </c>
      <c r="T78" s="33">
        <v>5493</v>
      </c>
      <c r="U78" s="34">
        <f t="shared" si="15"/>
        <v>0.56892801657172454</v>
      </c>
      <c r="V78" s="29" t="s">
        <v>253</v>
      </c>
      <c r="W78" s="29" t="s">
        <v>245</v>
      </c>
      <c r="X78" s="33">
        <v>4106</v>
      </c>
      <c r="Y78" s="34">
        <f t="shared" si="16"/>
        <v>0.42527187985499743</v>
      </c>
      <c r="Z78" s="29" t="s">
        <v>251</v>
      </c>
      <c r="AA78" s="29" t="s">
        <v>251</v>
      </c>
      <c r="AB78" s="33">
        <v>56</v>
      </c>
      <c r="AC78" s="34">
        <f t="shared" si="17"/>
        <v>5.8001035732780943E-3</v>
      </c>
      <c r="AD78" s="29"/>
      <c r="AE78" s="29"/>
      <c r="AF78" s="33"/>
      <c r="AG78" s="34">
        <f t="shared" si="18"/>
        <v>0</v>
      </c>
      <c r="AH78" s="29"/>
      <c r="AI78" s="29"/>
      <c r="AJ78" s="33"/>
      <c r="AK78" s="34">
        <f t="shared" si="19"/>
        <v>0</v>
      </c>
    </row>
    <row r="79" spans="1:37">
      <c r="A79" s="13" t="s">
        <v>213</v>
      </c>
      <c r="B79" s="14" t="s">
        <v>216</v>
      </c>
      <c r="C79" s="37">
        <v>5.0000000000000001E-3</v>
      </c>
      <c r="D79" s="37">
        <v>3.6999999999999998E-2</v>
      </c>
      <c r="E79" s="37">
        <v>1.4999999999999999E-2</v>
      </c>
      <c r="F79" s="37"/>
      <c r="G79" s="37">
        <v>0.93200000000000005</v>
      </c>
      <c r="H79" s="37">
        <f t="shared" si="10"/>
        <v>1.0999999999999899E-2</v>
      </c>
      <c r="I79" s="13" t="str">
        <f t="shared" si="11"/>
        <v>ORANG ULU</v>
      </c>
      <c r="J79" s="15">
        <f t="shared" si="12"/>
        <v>167</v>
      </c>
      <c r="K79" s="15">
        <v>10000</v>
      </c>
      <c r="L79" s="16">
        <f t="shared" si="13"/>
        <v>0.63880000000000003</v>
      </c>
      <c r="M79" s="15">
        <v>6388</v>
      </c>
      <c r="N79" s="15">
        <v>11</v>
      </c>
      <c r="O79" s="15">
        <v>82</v>
      </c>
      <c r="P79" s="33">
        <f t="shared" si="14"/>
        <v>6295</v>
      </c>
      <c r="Q79" s="29" t="s">
        <v>243</v>
      </c>
      <c r="R79" s="29" t="s">
        <v>241</v>
      </c>
      <c r="S79" s="29" t="s">
        <v>242</v>
      </c>
      <c r="T79" s="33">
        <v>3231</v>
      </c>
      <c r="U79" s="34">
        <f t="shared" si="15"/>
        <v>0.51326449563145349</v>
      </c>
      <c r="V79" s="29" t="s">
        <v>253</v>
      </c>
      <c r="W79" s="29" t="s">
        <v>245</v>
      </c>
      <c r="X79" s="33">
        <v>3064</v>
      </c>
      <c r="Y79" s="34">
        <f t="shared" si="16"/>
        <v>0.48673550436854646</v>
      </c>
      <c r="Z79" s="29"/>
      <c r="AA79" s="29"/>
      <c r="AB79" s="33"/>
      <c r="AC79" s="34">
        <f t="shared" si="17"/>
        <v>0</v>
      </c>
      <c r="AD79" s="29"/>
      <c r="AE79" s="29"/>
      <c r="AF79" s="33"/>
      <c r="AG79" s="34">
        <f t="shared" si="18"/>
        <v>0</v>
      </c>
      <c r="AH79" s="29"/>
      <c r="AI79" s="29"/>
      <c r="AJ79" s="33"/>
      <c r="AK79" s="34">
        <f t="shared" si="19"/>
        <v>0</v>
      </c>
    </row>
    <row r="80" spans="1:37">
      <c r="A80" s="13" t="s">
        <v>214</v>
      </c>
      <c r="B80" s="14" t="s">
        <v>217</v>
      </c>
      <c r="C80" s="37">
        <v>0.01</v>
      </c>
      <c r="D80" s="37">
        <v>3.6999999999999998E-2</v>
      </c>
      <c r="E80" s="37">
        <v>0.22500000000000001</v>
      </c>
      <c r="F80" s="37"/>
      <c r="G80" s="37">
        <v>0.70399999999999996</v>
      </c>
      <c r="H80" s="37">
        <f t="shared" si="10"/>
        <v>2.4000000000000021E-2</v>
      </c>
      <c r="I80" s="13" t="str">
        <f t="shared" si="11"/>
        <v>ORANG ULU</v>
      </c>
      <c r="J80" s="15">
        <f t="shared" si="12"/>
        <v>1708</v>
      </c>
      <c r="K80" s="15">
        <v>8600</v>
      </c>
      <c r="L80" s="16">
        <f t="shared" si="13"/>
        <v>0.62279069767441864</v>
      </c>
      <c r="M80" s="15">
        <v>5356</v>
      </c>
      <c r="N80" s="15">
        <v>9</v>
      </c>
      <c r="O80" s="15">
        <v>111</v>
      </c>
      <c r="P80" s="33">
        <f t="shared" si="14"/>
        <v>5236</v>
      </c>
      <c r="Q80" s="29" t="s">
        <v>243</v>
      </c>
      <c r="R80" s="29" t="s">
        <v>241</v>
      </c>
      <c r="S80" s="29" t="s">
        <v>242</v>
      </c>
      <c r="T80" s="33">
        <v>3198</v>
      </c>
      <c r="U80" s="34">
        <f t="shared" si="15"/>
        <v>0.61077158135981668</v>
      </c>
      <c r="V80" s="29" t="s">
        <v>253</v>
      </c>
      <c r="W80" s="29" t="s">
        <v>245</v>
      </c>
      <c r="X80" s="33">
        <v>1490</v>
      </c>
      <c r="Y80" s="34">
        <f t="shared" si="16"/>
        <v>0.28456837280366692</v>
      </c>
      <c r="Z80" s="29" t="s">
        <v>244</v>
      </c>
      <c r="AA80" s="29" t="s">
        <v>245</v>
      </c>
      <c r="AB80" s="33">
        <v>309</v>
      </c>
      <c r="AC80" s="34">
        <f t="shared" si="17"/>
        <v>5.9014514896867841E-2</v>
      </c>
      <c r="AD80" s="29" t="s">
        <v>251</v>
      </c>
      <c r="AE80" s="29" t="s">
        <v>251</v>
      </c>
      <c r="AF80" s="33">
        <v>239</v>
      </c>
      <c r="AG80" s="34">
        <f t="shared" si="18"/>
        <v>4.5645530939648585E-2</v>
      </c>
      <c r="AH80" s="29"/>
      <c r="AI80" s="29"/>
      <c r="AJ80" s="33"/>
      <c r="AK80" s="34">
        <f t="shared" si="19"/>
        <v>0</v>
      </c>
    </row>
    <row r="81" spans="1:37" ht="28.5">
      <c r="A81" s="13" t="s">
        <v>221</v>
      </c>
      <c r="B81" s="14" t="s">
        <v>223</v>
      </c>
      <c r="C81" s="37">
        <v>0.56499999999999995</v>
      </c>
      <c r="D81" s="37">
        <v>0.28100000000000003</v>
      </c>
      <c r="E81" s="37">
        <v>0.10299999999999999</v>
      </c>
      <c r="F81" s="37"/>
      <c r="G81" s="37">
        <v>0.04</v>
      </c>
      <c r="H81" s="37">
        <f t="shared" si="10"/>
        <v>1.1000000000000031E-2</v>
      </c>
      <c r="I81" s="13" t="str">
        <f t="shared" si="11"/>
        <v>MELAYU / MELANAU</v>
      </c>
      <c r="J81" s="52" t="s">
        <v>274</v>
      </c>
      <c r="K81" s="15">
        <v>16437</v>
      </c>
      <c r="L81" s="16" t="s">
        <v>274</v>
      </c>
      <c r="M81" s="15" t="s">
        <v>274</v>
      </c>
      <c r="N81" s="15" t="s">
        <v>274</v>
      </c>
      <c r="O81" s="15" t="s">
        <v>274</v>
      </c>
      <c r="P81" s="33" t="s">
        <v>274</v>
      </c>
      <c r="Q81" s="29" t="s">
        <v>243</v>
      </c>
      <c r="R81" s="29" t="s">
        <v>241</v>
      </c>
      <c r="S81" s="29" t="s">
        <v>242</v>
      </c>
      <c r="T81" s="33"/>
      <c r="U81" s="34" t="s">
        <v>274</v>
      </c>
      <c r="V81" s="29"/>
      <c r="W81" s="29"/>
      <c r="X81" s="33"/>
      <c r="Y81" s="34" t="s">
        <v>274</v>
      </c>
      <c r="Z81" s="29"/>
      <c r="AA81" s="29"/>
      <c r="AB81" s="33"/>
      <c r="AC81" s="34" t="s">
        <v>274</v>
      </c>
      <c r="AD81" s="29"/>
      <c r="AE81" s="29"/>
      <c r="AF81" s="33"/>
      <c r="AG81" s="34" t="s">
        <v>274</v>
      </c>
      <c r="AH81" s="29"/>
      <c r="AI81" s="29"/>
      <c r="AJ81" s="33"/>
      <c r="AK81" s="34" t="s">
        <v>274</v>
      </c>
    </row>
    <row r="82" spans="1:37">
      <c r="A82" s="13" t="s">
        <v>222</v>
      </c>
      <c r="B82" s="14" t="s">
        <v>224</v>
      </c>
      <c r="C82" s="37">
        <v>4.2000000000000003E-2</v>
      </c>
      <c r="D82" s="37">
        <v>3.2000000000000001E-2</v>
      </c>
      <c r="E82" s="37">
        <v>0.54400000000000004</v>
      </c>
      <c r="F82" s="37"/>
      <c r="G82" s="37">
        <v>0.35299999999999998</v>
      </c>
      <c r="H82" s="37">
        <f t="shared" si="10"/>
        <v>2.8999999999999915E-2</v>
      </c>
      <c r="I82" s="13" t="str">
        <f t="shared" si="11"/>
        <v>IBAN</v>
      </c>
      <c r="J82" s="15">
        <f t="shared" si="12"/>
        <v>2939</v>
      </c>
      <c r="K82" s="15">
        <v>8657</v>
      </c>
      <c r="L82" s="16">
        <f t="shared" si="13"/>
        <v>0.68256901929074743</v>
      </c>
      <c r="M82" s="15">
        <v>5909</v>
      </c>
      <c r="N82" s="15">
        <v>13</v>
      </c>
      <c r="O82" s="15">
        <v>103</v>
      </c>
      <c r="P82" s="33">
        <f t="shared" si="14"/>
        <v>5793</v>
      </c>
      <c r="Q82" s="29" t="s">
        <v>243</v>
      </c>
      <c r="R82" s="29" t="s">
        <v>241</v>
      </c>
      <c r="S82" s="29" t="s">
        <v>242</v>
      </c>
      <c r="T82" s="33">
        <v>4366</v>
      </c>
      <c r="U82" s="34">
        <f t="shared" si="15"/>
        <v>0.75366822026583813</v>
      </c>
      <c r="V82" s="29" t="s">
        <v>251</v>
      </c>
      <c r="W82" s="29" t="s">
        <v>251</v>
      </c>
      <c r="X82" s="33">
        <v>1427</v>
      </c>
      <c r="Y82" s="34">
        <f t="shared" si="16"/>
        <v>0.24633177973416193</v>
      </c>
      <c r="Z82" s="29"/>
      <c r="AA82" s="29"/>
      <c r="AB82" s="33"/>
      <c r="AC82" s="34">
        <f t="shared" si="17"/>
        <v>0</v>
      </c>
      <c r="AD82" s="29"/>
      <c r="AE82" s="29"/>
      <c r="AF82" s="33"/>
      <c r="AG82" s="34">
        <f t="shared" si="18"/>
        <v>0</v>
      </c>
      <c r="AH82" s="29"/>
      <c r="AI82" s="29"/>
      <c r="AJ82" s="33"/>
      <c r="AK82" s="34">
        <f t="shared" si="19"/>
        <v>0</v>
      </c>
    </row>
    <row r="83" spans="1:37">
      <c r="A83" s="13" t="s">
        <v>226</v>
      </c>
      <c r="B83" s="14" t="s">
        <v>228</v>
      </c>
      <c r="C83" s="37">
        <v>3.9E-2</v>
      </c>
      <c r="D83" s="37">
        <v>4.3999999999999997E-2</v>
      </c>
      <c r="E83" s="37">
        <v>2.5999999999999999E-2</v>
      </c>
      <c r="F83" s="37"/>
      <c r="G83" s="37">
        <v>0.878</v>
      </c>
      <c r="H83" s="37">
        <f t="shared" si="10"/>
        <v>1.2999999999999901E-2</v>
      </c>
      <c r="I83" s="13" t="str">
        <f t="shared" si="11"/>
        <v>ORANG ULU</v>
      </c>
      <c r="J83" s="15">
        <f t="shared" si="12"/>
        <v>538</v>
      </c>
      <c r="K83" s="15">
        <v>7375</v>
      </c>
      <c r="L83" s="16">
        <f t="shared" si="13"/>
        <v>0.70901694915254232</v>
      </c>
      <c r="M83" s="15">
        <v>5229</v>
      </c>
      <c r="N83" s="15">
        <v>16</v>
      </c>
      <c r="O83" s="15">
        <v>35</v>
      </c>
      <c r="P83" s="33">
        <f t="shared" si="14"/>
        <v>5178</v>
      </c>
      <c r="Q83" s="29" t="s">
        <v>252</v>
      </c>
      <c r="R83" s="29" t="s">
        <v>251</v>
      </c>
      <c r="S83" s="29" t="s">
        <v>247</v>
      </c>
      <c r="T83" s="33">
        <v>2858</v>
      </c>
      <c r="U83" s="34">
        <f t="shared" si="15"/>
        <v>0.55195056006179988</v>
      </c>
      <c r="V83" s="29" t="s">
        <v>240</v>
      </c>
      <c r="W83" s="29" t="s">
        <v>241</v>
      </c>
      <c r="X83" s="33">
        <v>2320</v>
      </c>
      <c r="Y83" s="34">
        <f>X83/P83</f>
        <v>0.44804943993820007</v>
      </c>
      <c r="Z83" s="29"/>
      <c r="AA83" s="29"/>
      <c r="AB83" s="33"/>
      <c r="AC83" s="34">
        <f t="shared" si="17"/>
        <v>0</v>
      </c>
      <c r="AD83" s="29"/>
      <c r="AE83" s="29"/>
      <c r="AF83" s="33"/>
      <c r="AG83" s="34">
        <f t="shared" si="18"/>
        <v>0</v>
      </c>
      <c r="AH83" s="29"/>
      <c r="AI83" s="29"/>
      <c r="AJ83" s="33"/>
      <c r="AK83" s="34">
        <f t="shared" si="19"/>
        <v>0</v>
      </c>
    </row>
    <row r="84" spans="1:37" ht="28.5">
      <c r="A84" s="13" t="s">
        <v>227</v>
      </c>
      <c r="B84" s="14" t="s">
        <v>229</v>
      </c>
      <c r="C84" s="37">
        <v>0.73799999999999999</v>
      </c>
      <c r="D84" s="37">
        <v>0.14199999999999999</v>
      </c>
      <c r="E84" s="37">
        <v>1.6E-2</v>
      </c>
      <c r="F84" s="37"/>
      <c r="G84" s="37">
        <v>9.7000000000000003E-2</v>
      </c>
      <c r="H84" s="37">
        <f t="shared" si="10"/>
        <v>7.0000000000000201E-3</v>
      </c>
      <c r="I84" s="13" t="str">
        <f t="shared" si="11"/>
        <v>MELAYU / MELANAU</v>
      </c>
      <c r="J84" s="52" t="s">
        <v>274</v>
      </c>
      <c r="K84" s="15">
        <v>12418</v>
      </c>
      <c r="L84" s="15" t="s">
        <v>274</v>
      </c>
      <c r="M84" s="15" t="s">
        <v>274</v>
      </c>
      <c r="N84" s="15" t="s">
        <v>274</v>
      </c>
      <c r="O84" s="15" t="s">
        <v>274</v>
      </c>
      <c r="P84" s="15" t="s">
        <v>274</v>
      </c>
      <c r="Q84" s="29" t="s">
        <v>243</v>
      </c>
      <c r="R84" s="29" t="s">
        <v>241</v>
      </c>
      <c r="S84" s="29" t="s">
        <v>242</v>
      </c>
      <c r="T84" s="33"/>
      <c r="U84" s="15" t="s">
        <v>274</v>
      </c>
      <c r="V84" s="29"/>
      <c r="W84" s="29"/>
      <c r="X84" s="33"/>
      <c r="Y84" s="15" t="s">
        <v>274</v>
      </c>
      <c r="Z84" s="29"/>
      <c r="AA84" s="29"/>
      <c r="AB84" s="33"/>
      <c r="AC84" s="15" t="s">
        <v>274</v>
      </c>
      <c r="AD84" s="29"/>
      <c r="AE84" s="29"/>
      <c r="AF84" s="33"/>
      <c r="AG84" s="15" t="s">
        <v>274</v>
      </c>
      <c r="AH84" s="29"/>
      <c r="AI84" s="29"/>
      <c r="AJ84" s="33"/>
      <c r="AK84" s="15" t="s">
        <v>274</v>
      </c>
    </row>
    <row r="86" spans="1:37" ht="15">
      <c r="A86" s="87" t="s">
        <v>271</v>
      </c>
      <c r="B86" s="88"/>
      <c r="C86" s="16">
        <f>(C3*$K$3+C4*$K$4+C5*$K$5+C6*$K$6+C7*$K$7+C8*$K$8+C9*$K$9+C10*$K$10+C11*$K$11+C12*$K$12+C13*$K$13+C14*$K$14+C15*$K$15+C16*$K$16+C17*$K$17+C18*$K$18+C19*$K$19+C20*$K$20+C21*$K$21+C22*$K$22+C23*$K$23+C24*$K$24+C25*$K$25+C26*$K$26+C27*$K$27+C28*$K$28+C29*$K$29+C30*$K$30+C31*$K$31+C32*$K$32+C33*$K$33+C34*$K$34+C35*$K$35+C36*$K$36+C37*$K$37+C38*$K$38+C39*$K$39+C40*$K$40+C41*$K$41+C42*$K$42+C43*$K$43+C44*$K$44+C45*$K$45+C46*$K$46+C47*$K$47+C48*$K$48+C49*$K$49+C50*$K$50+C51*$K$51+C52*$K$52+C53*$K$53+C54*$K$54+C55*$K$55+C56*$K$56+C57*$K$57+C58*$K$58+C59*$K$59+C60*$K$60+C61*$K$61+C62*$K$62+C63*$K$63+C64*$K$64+C65*$K$65+C66*$K$66+C67*$K$67+C68*$K$68+C69*$K$69+C70*$K$70+C71*$K$71+C72*$K$72+C73*$K$73+C74*$K$74+C75*$K$75+C76*$K$76+C77*$K$77+C78*$K$78+C79*$K$79+C80*$K$80+C81*$K$81+C82*$K$82+C83*$K$83+C84*$K$84)/$K$86</f>
        <v>0.27513178971124297</v>
      </c>
      <c r="D86" s="16">
        <f t="shared" ref="D86:H86" si="20">(D3*$K$3+D4*$K$4+D5*$K$5+D6*$K$6+D7*$K$7+D8*$K$8+D9*$K$9+D10*$K$10+D11*$K$11+D12*$K$12+D13*$K$13+D14*$K$14+D15*$K$15+D16*$K$16+D17*$K$17+D18*$K$18+D19*$K$19+D20*$K$20+D21*$K$21+D22*$K$22+D23*$K$23+D24*$K$24+D25*$K$25+D26*$K$26+D27*$K$27+D28*$K$28+D29*$K$29+D30*$K$30+D31*$K$31+D32*$K$32+D33*$K$33+D34*$K$34+D35*$K$35+D36*$K$36+D37*$K$37+D38*$K$38+D39*$K$39+D40*$K$40+D41*$K$41+D42*$K$42+D43*$K$43+D44*$K$44+D45*$K$45+D46*$K$46+D47*$K$47+D48*$K$48+D49*$K$49+D50*$K$50+D51*$K$51+D52*$K$52+D53*$K$53+D54*$K$54+D55*$K$55+D56*$K$56+D57*$K$57+D58*$K$58+D59*$K$59+D60*$K$60+D61*$K$61+D62*$K$62+D63*$K$63+D64*$K$64+D65*$K$65+D66*$K$66+D67*$K$67+D68*$K$68+D69*$K$69+D70*$K$70+D71*$K$71+D72*$K$72+D73*$K$73+D74*$K$74+D75*$K$75+D76*$K$76+D77*$K$77+D78*$K$78+D79*$K$79+D80*$K$80+D81*$K$81+D82*$K$82+D83*$K$83+D84*$K$84)/$K$86</f>
        <v>0.3202914325006942</v>
      </c>
      <c r="E86" s="16">
        <f t="shared" si="20"/>
        <v>0.28483985824418495</v>
      </c>
      <c r="F86" s="16">
        <f t="shared" si="20"/>
        <v>6.850633272946062E-2</v>
      </c>
      <c r="G86" s="16">
        <f t="shared" si="20"/>
        <v>4.023860906514333E-2</v>
      </c>
      <c r="H86" s="16">
        <f t="shared" si="20"/>
        <v>1.0991977749273791E-2</v>
      </c>
      <c r="I86" s="13" t="str">
        <f t="shared" ref="I86" si="21">IF(C86&gt;0.6,"MELAYU / MELANAU",IF(D86&gt;0.6,"CINA",IF(E86&gt;0.6,"IBAN",IF(F86&gt;0.5,"BIDAYUH",IF(H86&gt;0.5,"LAIN-LAIN","MIXED")))))</f>
        <v>MIXED</v>
      </c>
      <c r="J86" s="15">
        <f>AVERAGE(J3:J84)</f>
        <v>3534.375</v>
      </c>
      <c r="K86" s="33">
        <f>SUM(K3:K84)</f>
        <v>1134345</v>
      </c>
      <c r="L86" s="16">
        <f t="shared" si="13"/>
        <v>0.68251281576592659</v>
      </c>
      <c r="M86" s="33">
        <f>SUM(M3:M84)</f>
        <v>774205</v>
      </c>
      <c r="N86" s="33">
        <f>SUM(N3:N84)</f>
        <v>2754</v>
      </c>
      <c r="O86" s="33">
        <f>SUM(O3:O84)</f>
        <v>10154</v>
      </c>
      <c r="P86" s="33">
        <f>SUM(P3:P84)</f>
        <v>761297</v>
      </c>
      <c r="Q86" s="23"/>
      <c r="R86" s="23"/>
      <c r="S86" s="23"/>
    </row>
    <row r="87" spans="1:37">
      <c r="B87" s="24"/>
      <c r="N87" s="32">
        <f>N86/$M$86</f>
        <v>3.5571973831220413E-3</v>
      </c>
      <c r="O87" s="32">
        <f>O86/$M$86</f>
        <v>1.3115389334866088E-2</v>
      </c>
      <c r="P87" s="32">
        <f>P86/$M$86</f>
        <v>0.9833274132820119</v>
      </c>
      <c r="Q87" s="23"/>
      <c r="R87" s="23"/>
      <c r="S87" s="23"/>
    </row>
    <row r="88" spans="1:37">
      <c r="B88" s="24"/>
      <c r="Q88" s="23"/>
      <c r="R88" s="23"/>
      <c r="S88" s="23"/>
    </row>
    <row r="89" spans="1:37">
      <c r="B89" s="24"/>
      <c r="Q89" s="23"/>
      <c r="R89" s="23"/>
      <c r="S89" s="23"/>
    </row>
    <row r="90" spans="1:37">
      <c r="B90" s="24"/>
      <c r="Q90" s="23"/>
      <c r="R90" s="23"/>
      <c r="S90" s="23"/>
    </row>
    <row r="91" spans="1:37">
      <c r="B91" s="24"/>
      <c r="Q91" s="23"/>
      <c r="R91" s="23"/>
      <c r="S91" s="23"/>
    </row>
    <row r="92" spans="1:37" ht="15">
      <c r="B92" s="35" t="s">
        <v>283</v>
      </c>
      <c r="C92" s="38" t="s">
        <v>282</v>
      </c>
      <c r="Q92" s="23"/>
      <c r="R92" s="23"/>
      <c r="S92" s="23"/>
    </row>
    <row r="93" spans="1:37">
      <c r="B93" s="24"/>
      <c r="Q93" s="23"/>
      <c r="R93" s="23"/>
      <c r="S93" s="23"/>
    </row>
    <row r="94" spans="1:37">
      <c r="B94" s="24"/>
      <c r="Q94" s="23"/>
      <c r="R94" s="23"/>
      <c r="S94" s="23"/>
    </row>
    <row r="95" spans="1:37">
      <c r="B95" s="24"/>
      <c r="Q95" s="23"/>
      <c r="R95" s="23"/>
      <c r="S95" s="23"/>
    </row>
    <row r="96" spans="1:37">
      <c r="B96" s="24"/>
      <c r="Q96" s="23"/>
      <c r="R96" s="23"/>
      <c r="S96" s="23"/>
    </row>
    <row r="97" spans="2:19">
      <c r="B97" s="24"/>
      <c r="Q97" s="23"/>
      <c r="R97" s="23"/>
      <c r="S97" s="23"/>
    </row>
    <row r="98" spans="2:19" s="24" customFormat="1">
      <c r="I98" s="4"/>
    </row>
    <row r="99" spans="2:19" s="24" customFormat="1">
      <c r="I99" s="4"/>
    </row>
    <row r="100" spans="2:19" s="24" customFormat="1">
      <c r="I100" s="4"/>
    </row>
    <row r="101" spans="2:19" s="24" customFormat="1">
      <c r="I101" s="4"/>
    </row>
    <row r="102" spans="2:19" s="24" customFormat="1">
      <c r="I102" s="4"/>
    </row>
    <row r="103" spans="2:19" s="24" customFormat="1">
      <c r="I103" s="4"/>
    </row>
    <row r="104" spans="2:19" s="24" customFormat="1">
      <c r="I104" s="4"/>
    </row>
    <row r="105" spans="2:19" s="24" customFormat="1">
      <c r="I105" s="4"/>
    </row>
    <row r="106" spans="2:19" s="24" customFormat="1">
      <c r="I106" s="4"/>
    </row>
    <row r="107" spans="2:19" s="24" customFormat="1">
      <c r="I107" s="4"/>
    </row>
    <row r="108" spans="2:19" s="24" customFormat="1">
      <c r="I108" s="4"/>
    </row>
    <row r="109" spans="2:19">
      <c r="B109" s="24"/>
      <c r="Q109" s="23"/>
      <c r="R109" s="23"/>
      <c r="S109" s="23"/>
    </row>
    <row r="110" spans="2:19">
      <c r="B110" s="24"/>
      <c r="Q110" s="23"/>
      <c r="R110" s="23"/>
      <c r="S110" s="23"/>
    </row>
    <row r="111" spans="2:19" s="24" customFormat="1">
      <c r="I111" s="4"/>
    </row>
    <row r="112" spans="2:19" s="24" customFormat="1">
      <c r="I112" s="4"/>
    </row>
    <row r="113" spans="9:9" s="24" customFormat="1">
      <c r="I113" s="4"/>
    </row>
    <row r="114" spans="9:9" s="24" customFormat="1">
      <c r="I114" s="4"/>
    </row>
    <row r="115" spans="9:9" s="24" customFormat="1">
      <c r="I115" s="4"/>
    </row>
    <row r="116" spans="9:9" s="24" customFormat="1">
      <c r="I116" s="4"/>
    </row>
    <row r="117" spans="9:9" s="24" customFormat="1">
      <c r="I117" s="4"/>
    </row>
    <row r="118" spans="9:9" s="24" customFormat="1">
      <c r="I118" s="4"/>
    </row>
    <row r="119" spans="9:9" s="24" customFormat="1">
      <c r="I119" s="4"/>
    </row>
    <row r="120" spans="9:9" s="24" customFormat="1">
      <c r="I120" s="4"/>
    </row>
    <row r="121" spans="9:9" s="24" customFormat="1">
      <c r="I121" s="4"/>
    </row>
    <row r="122" spans="9:9" s="24" customFormat="1">
      <c r="I122" s="4"/>
    </row>
    <row r="123" spans="9:9" s="24" customFormat="1">
      <c r="I123" s="4"/>
    </row>
    <row r="124" spans="9:9" s="24" customFormat="1">
      <c r="I124" s="4"/>
    </row>
    <row r="125" spans="9:9" s="24" customFormat="1">
      <c r="I125" s="4"/>
    </row>
    <row r="126" spans="9:9" s="24" customFormat="1">
      <c r="I126" s="4"/>
    </row>
    <row r="127" spans="9:9" s="24" customFormat="1">
      <c r="I127" s="4"/>
    </row>
    <row r="128" spans="9:9" s="24" customFormat="1">
      <c r="I128" s="4"/>
    </row>
    <row r="129" spans="9:9" s="24" customFormat="1">
      <c r="I129" s="4"/>
    </row>
    <row r="130" spans="9:9" s="24" customFormat="1">
      <c r="I130" s="4"/>
    </row>
    <row r="131" spans="9:9" s="24" customFormat="1">
      <c r="I131" s="4"/>
    </row>
    <row r="132" spans="9:9" s="24" customFormat="1">
      <c r="I132" s="4"/>
    </row>
    <row r="133" spans="9:9" s="24" customFormat="1">
      <c r="I133" s="4"/>
    </row>
  </sheetData>
  <mergeCells count="22">
    <mergeCell ref="F1:F2"/>
    <mergeCell ref="I1:I2"/>
    <mergeCell ref="G1:G2"/>
    <mergeCell ref="K1:K2"/>
    <mergeCell ref="Z1:AC1"/>
    <mergeCell ref="O1:O2"/>
    <mergeCell ref="AD1:AG1"/>
    <mergeCell ref="N1:N2"/>
    <mergeCell ref="A86:B86"/>
    <mergeCell ref="AH1:AK1"/>
    <mergeCell ref="H1:H2"/>
    <mergeCell ref="C1:C2"/>
    <mergeCell ref="D1:D2"/>
    <mergeCell ref="E1:E2"/>
    <mergeCell ref="A1:A2"/>
    <mergeCell ref="B1:B2"/>
    <mergeCell ref="Q1:U1"/>
    <mergeCell ref="V1:Y1"/>
    <mergeCell ref="P1:P2"/>
    <mergeCell ref="J1:J2"/>
    <mergeCell ref="L1:L2"/>
    <mergeCell ref="M1:M2"/>
  </mergeCells>
  <conditionalFormatting sqref="S3:S84">
    <cfRule type="cellIs" dxfId="241" priority="78" operator="equal">
      <formula>"PEMBANGKANG"</formula>
    </cfRule>
    <cfRule type="cellIs" dxfId="240" priority="79" operator="equal">
      <formula>"KERAJAAN"</formula>
    </cfRule>
  </conditionalFormatting>
  <conditionalFormatting sqref="L3:L83">
    <cfRule type="colorScale" priority="77">
      <colorScale>
        <cfvo type="percentile" val="10"/>
        <cfvo type="percentile" val="50"/>
        <cfvo type="percentile" val="90"/>
        <color rgb="FFFFCCCC"/>
        <color rgb="FFFFEB84"/>
        <color theme="9" tint="0.59999389629810485"/>
      </colorScale>
    </cfRule>
  </conditionalFormatting>
  <conditionalFormatting sqref="U3:U83">
    <cfRule type="cellIs" dxfId="239" priority="74" operator="greaterThan">
      <formula>60%</formula>
    </cfRule>
    <cfRule type="cellIs" dxfId="238" priority="75" operator="between">
      <formula>56%</formula>
      <formula>59.99%</formula>
    </cfRule>
    <cfRule type="cellIs" dxfId="237" priority="76" operator="lessThan">
      <formula>55.99%</formula>
    </cfRule>
  </conditionalFormatting>
  <conditionalFormatting sqref="Y3:Y83 AC3:AC83 AG3:AG83">
    <cfRule type="cellIs" dxfId="236" priority="72" operator="greaterThan">
      <formula>0.125</formula>
    </cfRule>
    <cfRule type="cellIs" dxfId="235" priority="73" operator="lessThan">
      <formula>0.125</formula>
    </cfRule>
  </conditionalFormatting>
  <conditionalFormatting sqref="L86">
    <cfRule type="colorScale" priority="71">
      <colorScale>
        <cfvo type="percentile" val="10"/>
        <cfvo type="percentile" val="50"/>
        <cfvo type="percentile" val="90"/>
        <color rgb="FFFFCCCC"/>
        <color rgb="FFFFEB84"/>
        <color theme="9" tint="0.59999389629810485"/>
      </colorScale>
    </cfRule>
  </conditionalFormatting>
  <conditionalFormatting sqref="AK3:AK83">
    <cfRule type="cellIs" dxfId="234" priority="65" operator="greaterThan">
      <formula>0.125</formula>
    </cfRule>
    <cfRule type="cellIs" dxfId="233" priority="66" operator="lessThan">
      <formula>0.125</formula>
    </cfRule>
  </conditionalFormatting>
  <conditionalFormatting sqref="Y3:Y83 AC3:AC83 AG3:AG83 AK3:AK83">
    <cfRule type="cellIs" dxfId="232" priority="64" operator="equal">
      <formula>0</formula>
    </cfRule>
  </conditionalFormatting>
  <conditionalFormatting sqref="R3:R84">
    <cfRule type="cellIs" dxfId="231" priority="61" operator="equal">
      <formula>"PN"</formula>
    </cfRule>
    <cfRule type="cellIs" dxfId="230" priority="62" operator="equal">
      <formula>"GPS"</formula>
    </cfRule>
    <cfRule type="cellIs" dxfId="229" priority="63" operator="equal">
      <formula>"PH"</formula>
    </cfRule>
  </conditionalFormatting>
  <conditionalFormatting sqref="U3:U83 Y3:Y83 AK3:AK83 AG3:AG83 AC3:AC83">
    <cfRule type="cellIs" dxfId="228" priority="59" operator="equal">
      <formula>"N/A"</formula>
    </cfRule>
  </conditionalFormatting>
  <conditionalFormatting sqref="L84:P84">
    <cfRule type="cellIs" dxfId="227" priority="55" operator="greaterThan">
      <formula>3001</formula>
    </cfRule>
    <cfRule type="cellIs" dxfId="226" priority="56" operator="between">
      <formula>1001</formula>
      <formula>3000</formula>
    </cfRule>
    <cfRule type="cellIs" dxfId="225" priority="57" operator="between">
      <formula>500</formula>
      <formula>1000</formula>
    </cfRule>
    <cfRule type="cellIs" dxfId="224" priority="58" operator="lessThan">
      <formula>500</formula>
    </cfRule>
  </conditionalFormatting>
  <conditionalFormatting sqref="L84:P84">
    <cfRule type="cellIs" dxfId="223" priority="54" operator="equal">
      <formula>"N/A"</formula>
    </cfRule>
  </conditionalFormatting>
  <conditionalFormatting sqref="U84">
    <cfRule type="cellIs" dxfId="222" priority="50" operator="greaterThan">
      <formula>3001</formula>
    </cfRule>
    <cfRule type="cellIs" dxfId="221" priority="51" operator="between">
      <formula>1001</formula>
      <formula>3000</formula>
    </cfRule>
    <cfRule type="cellIs" dxfId="220" priority="52" operator="between">
      <formula>500</formula>
      <formula>1000</formula>
    </cfRule>
    <cfRule type="cellIs" dxfId="219" priority="53" operator="lessThan">
      <formula>500</formula>
    </cfRule>
  </conditionalFormatting>
  <conditionalFormatting sqref="U84">
    <cfRule type="cellIs" dxfId="218" priority="49" operator="equal">
      <formula>"N/A"</formula>
    </cfRule>
  </conditionalFormatting>
  <conditionalFormatting sqref="Y84">
    <cfRule type="cellIs" dxfId="217" priority="45" operator="greaterThan">
      <formula>3001</formula>
    </cfRule>
    <cfRule type="cellIs" dxfId="216" priority="46" operator="between">
      <formula>1001</formula>
      <formula>3000</formula>
    </cfRule>
    <cfRule type="cellIs" dxfId="215" priority="47" operator="between">
      <formula>500</formula>
      <formula>1000</formula>
    </cfRule>
    <cfRule type="cellIs" dxfId="214" priority="48" operator="lessThan">
      <formula>500</formula>
    </cfRule>
  </conditionalFormatting>
  <conditionalFormatting sqref="Y84">
    <cfRule type="cellIs" dxfId="213" priority="44" operator="equal">
      <formula>"N/A"</formula>
    </cfRule>
  </conditionalFormatting>
  <conditionalFormatting sqref="AC84">
    <cfRule type="cellIs" dxfId="212" priority="40" operator="greaterThan">
      <formula>3001</formula>
    </cfRule>
    <cfRule type="cellIs" dxfId="211" priority="41" operator="between">
      <formula>1001</formula>
      <formula>3000</formula>
    </cfRule>
    <cfRule type="cellIs" dxfId="210" priority="42" operator="between">
      <formula>500</formula>
      <formula>1000</formula>
    </cfRule>
    <cfRule type="cellIs" dxfId="209" priority="43" operator="lessThan">
      <formula>500</formula>
    </cfRule>
  </conditionalFormatting>
  <conditionalFormatting sqref="AC84">
    <cfRule type="cellIs" dxfId="208" priority="39" operator="equal">
      <formula>"N/A"</formula>
    </cfRule>
  </conditionalFormatting>
  <conditionalFormatting sqref="AG84">
    <cfRule type="cellIs" dxfId="207" priority="35" operator="greaterThan">
      <formula>3001</formula>
    </cfRule>
    <cfRule type="cellIs" dxfId="206" priority="36" operator="between">
      <formula>1001</formula>
      <formula>3000</formula>
    </cfRule>
    <cfRule type="cellIs" dxfId="205" priority="37" operator="between">
      <formula>500</formula>
      <formula>1000</formula>
    </cfRule>
    <cfRule type="cellIs" dxfId="204" priority="38" operator="lessThan">
      <formula>500</formula>
    </cfRule>
  </conditionalFormatting>
  <conditionalFormatting sqref="AG84">
    <cfRule type="cellIs" dxfId="203" priority="34" operator="equal">
      <formula>"N/A"</formula>
    </cfRule>
  </conditionalFormatting>
  <conditionalFormatting sqref="AK84">
    <cfRule type="cellIs" dxfId="202" priority="30" operator="greaterThan">
      <formula>3001</formula>
    </cfRule>
    <cfRule type="cellIs" dxfId="201" priority="31" operator="between">
      <formula>1001</formula>
      <formula>3000</formula>
    </cfRule>
    <cfRule type="cellIs" dxfId="200" priority="32" operator="between">
      <formula>500</formula>
      <formula>1000</formula>
    </cfRule>
    <cfRule type="cellIs" dxfId="199" priority="33" operator="lessThan">
      <formula>500</formula>
    </cfRule>
  </conditionalFormatting>
  <conditionalFormatting sqref="AK84">
    <cfRule type="cellIs" dxfId="198" priority="29" operator="equal">
      <formula>"N/A"</formula>
    </cfRule>
  </conditionalFormatting>
  <conditionalFormatting sqref="C3:H84">
    <cfRule type="cellIs" dxfId="197" priority="15" operator="between">
      <formula>10%</formula>
      <formula>29.99%</formula>
    </cfRule>
    <cfRule type="cellIs" dxfId="196" priority="24" operator="greaterThan">
      <formula>60%</formula>
    </cfRule>
    <cfRule type="cellIs" dxfId="195" priority="25" operator="lessThan">
      <formula>9.99%</formula>
    </cfRule>
    <cfRule type="cellIs" dxfId="194" priority="26" operator="between">
      <formula>50%</formula>
      <formula>59.99%</formula>
    </cfRule>
    <cfRule type="cellIs" dxfId="193" priority="27" operator="between">
      <formula>30%</formula>
      <formula>49.99%</formula>
    </cfRule>
  </conditionalFormatting>
  <conditionalFormatting sqref="H86">
    <cfRule type="cellIs" dxfId="192" priority="13" operator="between">
      <formula>10%</formula>
      <formula>29.99%</formula>
    </cfRule>
    <cfRule type="cellIs" dxfId="191" priority="20" operator="greaterThan">
      <formula>60%</formula>
    </cfRule>
    <cfRule type="cellIs" dxfId="190" priority="21" operator="lessThan">
      <formula>9.99%</formula>
    </cfRule>
    <cfRule type="cellIs" dxfId="189" priority="22" operator="between">
      <formula>50%</formula>
      <formula>59.99%</formula>
    </cfRule>
    <cfRule type="cellIs" dxfId="188" priority="23" operator="between">
      <formula>30%</formula>
      <formula>49.99%</formula>
    </cfRule>
  </conditionalFormatting>
  <conditionalFormatting sqref="C86:H86">
    <cfRule type="cellIs" dxfId="187" priority="14" operator="between">
      <formula>10%</formula>
      <formula>29.99%</formula>
    </cfRule>
    <cfRule type="cellIs" dxfId="186" priority="16" operator="greaterThan">
      <formula>60%</formula>
    </cfRule>
    <cfRule type="cellIs" dxfId="185" priority="17" operator="lessThan">
      <formula>9.99%</formula>
    </cfRule>
    <cfRule type="cellIs" dxfId="184" priority="18" operator="between">
      <formula>50%</formula>
      <formula>59.99%</formula>
    </cfRule>
    <cfRule type="cellIs" dxfId="183" priority="19" operator="between">
      <formula>30%</formula>
      <formula>49.99%</formula>
    </cfRule>
  </conditionalFormatting>
  <conditionalFormatting sqref="C3:H84 C86:H86">
    <cfRule type="cellIs" dxfId="182" priority="12" operator="equal">
      <formula>0</formula>
    </cfRule>
  </conditionalFormatting>
  <conditionalFormatting sqref="J3:J84">
    <cfRule type="cellIs" dxfId="181" priority="8" operator="greaterThan">
      <formula>1001</formula>
    </cfRule>
    <cfRule type="cellIs" dxfId="180" priority="9" operator="between">
      <formula>501</formula>
      <formula>1000</formula>
    </cfRule>
    <cfRule type="cellIs" dxfId="179" priority="10" operator="between">
      <formula>101</formula>
      <formula>500</formula>
    </cfRule>
    <cfRule type="cellIs" dxfId="178" priority="11" operator="lessThan">
      <formula>100</formula>
    </cfRule>
  </conditionalFormatting>
  <conditionalFormatting sqref="J3:J84">
    <cfRule type="cellIs" dxfId="177" priority="1" operator="equal">
      <formula>"N/A"</formula>
    </cfRule>
    <cfRule type="cellIs" dxfId="176" priority="7" operator="equal">
      <formula>0</formula>
    </cfRule>
  </conditionalFormatting>
  <conditionalFormatting sqref="J86">
    <cfRule type="cellIs" dxfId="175" priority="3" operator="greaterThan">
      <formula>1001</formula>
    </cfRule>
    <cfRule type="cellIs" dxfId="174" priority="4" operator="between">
      <formula>501</formula>
      <formula>1000</formula>
    </cfRule>
    <cfRule type="cellIs" dxfId="173" priority="5" operator="between">
      <formula>101</formula>
      <formula>500</formula>
    </cfRule>
    <cfRule type="cellIs" dxfId="172" priority="6" operator="lessThan">
      <formula>100</formula>
    </cfRule>
  </conditionalFormatting>
  <conditionalFormatting sqref="J86">
    <cfRule type="cellIs" dxfId="171" priority="2" operator="equal">
      <formula>"N/A"</formula>
    </cfRule>
  </conditionalFormatting>
  <hyperlinks>
    <hyperlink ref="C92" r:id="rId1" display="https://www.nst.com.my/news/2016/05/144292/11th-sarawak-election-full-official-results" xr:uid="{708BEE5C-55CC-429B-B0DD-BA367E92B3F4}"/>
  </hyperlinks>
  <pageMargins left="0.7" right="0.7" top="0.75" bottom="0.75" header="0.3" footer="0.3"/>
  <pageSetup paperSize="9" orientation="portrait" horizontalDpi="0" verticalDpi="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1275-4078-4838-83AF-3DA6C14D5E00}">
  <dimension ref="A1:AJ87"/>
  <sheetViews>
    <sheetView topLeftCell="A58" workbookViewId="0">
      <selection activeCell="J64" sqref="J64:J70"/>
    </sheetView>
  </sheetViews>
  <sheetFormatPr defaultRowHeight="14.25"/>
  <cols>
    <col min="1" max="1" width="5.75" style="24" customWidth="1"/>
    <col min="2" max="2" width="17.875" style="23" customWidth="1"/>
    <col min="3" max="3" width="14.5" style="24" bestFit="1" customWidth="1"/>
    <col min="4" max="4" width="9.5" style="24" bestFit="1" customWidth="1"/>
    <col min="5" max="5" width="14.875" style="24" bestFit="1" customWidth="1"/>
    <col min="6" max="6" width="11" style="23" customWidth="1"/>
    <col min="7" max="7" width="9" style="23"/>
    <col min="8" max="8" width="19.5" style="23" customWidth="1"/>
    <col min="9" max="9" width="18.125" style="24" bestFit="1" customWidth="1"/>
    <col min="10" max="10" width="9.875" style="24" bestFit="1" customWidth="1"/>
    <col min="11" max="11" width="14.875" style="23" bestFit="1" customWidth="1"/>
    <col min="12" max="14" width="9" style="23"/>
    <col min="15" max="15" width="18.25" style="23" bestFit="1" customWidth="1"/>
    <col min="16" max="16" width="9.875" style="23" bestFit="1" customWidth="1"/>
    <col min="17" max="17" width="13.5" style="23" bestFit="1" customWidth="1"/>
    <col min="18" max="18" width="9.125" style="23" bestFit="1" customWidth="1"/>
    <col min="19" max="19" width="8" style="23" bestFit="1" customWidth="1"/>
    <col min="20" max="20" width="9.25" style="23" bestFit="1" customWidth="1"/>
    <col min="21" max="21" width="8" style="23" bestFit="1" customWidth="1"/>
    <col min="22" max="22" width="8.625" style="23" bestFit="1" customWidth="1"/>
    <col min="23" max="23" width="9" style="23"/>
    <col min="24" max="24" width="9.5" style="23" bestFit="1" customWidth="1"/>
    <col min="25" max="25" width="13.5" style="23" customWidth="1"/>
    <col min="26" max="26" width="9.25" style="23" customWidth="1"/>
    <col min="27" max="27" width="9.875" style="23" bestFit="1" customWidth="1"/>
    <col min="28" max="28" width="13.125" style="23" customWidth="1"/>
    <col min="29" max="29" width="10.25" style="23" customWidth="1"/>
    <col min="30" max="30" width="7" style="23" bestFit="1" customWidth="1"/>
    <col min="31" max="31" width="9" style="23"/>
    <col min="32" max="32" width="7" style="23" bestFit="1" customWidth="1"/>
    <col min="33" max="33" width="8.625" style="23" bestFit="1" customWidth="1"/>
    <col min="34" max="34" width="9" style="23"/>
    <col min="35" max="35" width="11" style="23" customWidth="1"/>
    <col min="36" max="16384" width="9" style="23"/>
  </cols>
  <sheetData>
    <row r="1" spans="1:36" ht="15">
      <c r="A1" s="84" t="s">
        <v>0</v>
      </c>
      <c r="B1" s="84" t="s">
        <v>1</v>
      </c>
      <c r="C1" s="84" t="s">
        <v>287</v>
      </c>
      <c r="D1" s="84"/>
      <c r="E1" s="84"/>
    </row>
    <row r="2" spans="1:36" s="25" customFormat="1" ht="45">
      <c r="A2" s="84"/>
      <c r="B2" s="84"/>
      <c r="C2" s="26" t="s">
        <v>236</v>
      </c>
      <c r="D2" s="26" t="s">
        <v>237</v>
      </c>
      <c r="E2" s="26" t="s">
        <v>238</v>
      </c>
      <c r="I2" s="26" t="s">
        <v>236</v>
      </c>
      <c r="J2" s="26" t="s">
        <v>237</v>
      </c>
      <c r="K2" s="26" t="s">
        <v>238</v>
      </c>
      <c r="O2" s="26" t="s">
        <v>236</v>
      </c>
      <c r="P2" s="26" t="s">
        <v>237</v>
      </c>
      <c r="Q2" s="27" t="s">
        <v>312</v>
      </c>
      <c r="R2" s="27" t="s">
        <v>313</v>
      </c>
      <c r="S2" s="26" t="s">
        <v>233</v>
      </c>
      <c r="T2" s="27" t="s">
        <v>311</v>
      </c>
      <c r="U2" s="26" t="s">
        <v>233</v>
      </c>
      <c r="V2" s="27" t="s">
        <v>314</v>
      </c>
      <c r="W2" s="26" t="s">
        <v>233</v>
      </c>
      <c r="AA2" s="26" t="s">
        <v>237</v>
      </c>
      <c r="AB2" s="27" t="s">
        <v>312</v>
      </c>
      <c r="AC2" s="27" t="s">
        <v>313</v>
      </c>
      <c r="AD2" s="26" t="s">
        <v>233</v>
      </c>
      <c r="AE2" s="27" t="s">
        <v>311</v>
      </c>
      <c r="AF2" s="26" t="s">
        <v>233</v>
      </c>
      <c r="AG2" s="27" t="s">
        <v>314</v>
      </c>
      <c r="AH2" s="26" t="s">
        <v>233</v>
      </c>
      <c r="AI2" s="26" t="s">
        <v>256</v>
      </c>
      <c r="AJ2" s="26" t="s">
        <v>233</v>
      </c>
    </row>
    <row r="3" spans="1:36">
      <c r="A3" s="13" t="s">
        <v>5</v>
      </c>
      <c r="B3" s="14" t="s">
        <v>6</v>
      </c>
      <c r="C3" s="29" t="str">
        <f>IF('UMUR 2021'!AC3&lt;&gt;"",'UMUR 2021'!AC3,"")</f>
        <v>SUPP</v>
      </c>
      <c r="D3" s="29" t="str">
        <f>IF(C3&lt;&gt;"",INDEX($J$3:$J$23,MATCH(C3,$I$3:$I$23,0),1),"")</f>
        <v>GPS</v>
      </c>
      <c r="E3" s="29" t="str">
        <f>IF(D3&lt;&gt;"",INDEX($K$3:$K$23,MATCH(D3,$J$3:$J$23,0),1),"")</f>
        <v>KERAJAAN</v>
      </c>
      <c r="I3" s="29" t="s">
        <v>243</v>
      </c>
      <c r="J3" s="29" t="s">
        <v>241</v>
      </c>
      <c r="K3" s="29" t="str">
        <f>IF(INDEX($AC$3:$AC$10,MATCH(J3,$AA$3:$AA$10,0),1)&gt;$P$38,"KERAJAAN",IF(OR(J3="PH",J3="PSB",J3="LAIN-LAIN"),"PEMBANGKANG",IF(J3="BEBAS - K","KERAJAAN",IF(J3="BEBAS - P","PEMBANGKANG","BEBAS"))))</f>
        <v>KERAJAAN</v>
      </c>
      <c r="O3" s="29" t="str">
        <f>I3</f>
        <v>PBB</v>
      </c>
      <c r="P3" s="29" t="str">
        <f>J3</f>
        <v>GPS</v>
      </c>
      <c r="Q3" s="15">
        <f>COUNTIF('UMUR 2021'!$AC$3:$AC$84,'DUN 2021'!O3)+COUNTIF('UMUR 2021'!$AG$3:$AG$84,'DUN 2021'!O3)+COUNTIF('UMUR 2021'!$AK$3:$AK$84,'DUN 2021'!O3)+COUNTIF('UMUR 2021'!$AO$3:$AO$84,'DUN 2021'!O3)+COUNTIF('UMUR 2021'!$AS$3:$AS$84,'DUN 2021'!O3)+COUNTIF('UMUR 2021'!$AW$3:$AW$84,'DUN 2021'!O3)+COUNTIF('UMUR 2021'!$BA$3:$BA$84,'DUN 2021'!O3)+COUNTIF('UMUR 2021'!$BE$3:$BE$84,'DUN 2021'!O3)</f>
        <v>47</v>
      </c>
      <c r="R3" s="29">
        <f>COUNTIF($C$3:$C$84,"*"&amp;O3&amp;"*")</f>
        <v>47</v>
      </c>
      <c r="S3" s="34">
        <f>R3/Q3</f>
        <v>1</v>
      </c>
      <c r="T3" s="33">
        <f>COUNTIFS('UMUR 2021'!$AJ$3:$AJ$84,"&lt;12.50%",'UMUR 2021'!$AG$3:$AG$84,"="&amp;O3)+COUNTIFS('UMUR 2021'!$AN$3:$AN$84,"&lt;12.50%",'UMUR 2021'!$AK$3:$AK$84,"="&amp;O3)+COUNTIFS('UMUR 2021'!$AR$3:$AR$84,"&lt;12.50%",'UMUR 2021'!$AO$3:$AO$84,"="&amp;O3)+COUNTIFS('UMUR 2021'!$AV$3:$AV$84,"&lt;12.50%",'UMUR 2021'!$AS$3:$AS$84,"="&amp;O3)+COUNTIFS('UMUR 2021'!$AZ$3:$AZ$84,"&lt;12.50%",'UMUR 2021'!$AW$3:$AW$84,"="&amp;O3)+COUNTIFS('UMUR 2021'!$BD$3:$BD$84,"&lt;12.50%",'UMUR 2021'!$BA$3:$BA$84,"="&amp;O3)</f>
        <v>0</v>
      </c>
      <c r="U3" s="34">
        <f>T3/Q3</f>
        <v>0</v>
      </c>
      <c r="V3" s="29">
        <f>COUNTIF('UMUR 2021'!$AG$3:$AG$84,"="&amp;'DUN 2021'!O3)</f>
        <v>0</v>
      </c>
      <c r="W3" s="34">
        <f>V3/COUNTA($B$3:$B$84)</f>
        <v>0</v>
      </c>
      <c r="AA3" s="29" t="s">
        <v>241</v>
      </c>
      <c r="AB3" s="29">
        <f t="shared" ref="AB3:AB10" si="0">SUMIF($P$3:$P$19,AA3,$Q$3:$Q$19)</f>
        <v>82</v>
      </c>
      <c r="AC3" s="29">
        <f>SUMIF($P$3:$P$19,AA3,$R$3:$R$19)</f>
        <v>76</v>
      </c>
      <c r="AD3" s="34">
        <f>AC3/AB3</f>
        <v>0.92682926829268297</v>
      </c>
      <c r="AE3" s="29">
        <f>SUMIF($P$3:$P$19,AA3,$T$3:$T$19)</f>
        <v>0</v>
      </c>
      <c r="AF3" s="34">
        <f>AE3/AB3</f>
        <v>0</v>
      </c>
      <c r="AG3" s="29">
        <f>SUMIF($P$3:$P$19,AA3,$V$3:$V$19)</f>
        <v>6</v>
      </c>
      <c r="AH3" s="34">
        <f>AG3/COUNTA($B$3:$B$84)</f>
        <v>7.3170731707317069E-2</v>
      </c>
      <c r="AI3" s="33">
        <f>SUMIFS('UMUR 2021'!$AE$3:$AE$84,'UMUR 2021'!$AD$3:$AD$84,"="&amp;'DUN 2021'!AA3)+SUMIFS('UMUR 2021'!$AI$3:$AI$84,'UMUR 2021'!$AH$3:$AH$84,"="&amp;'DUN 2021'!AA3)+SUMIFS('UMUR 2021'!$AM$3:$AM$84,'UMUR 2021'!$AL$3:$AL$84,"="&amp;'DUN 2021'!AA3)+SUMIFS('UMUR 2021'!$AQ$3:$AQ$84,'UMUR 2021'!$AP$3:$AP$84,"="&amp;'DUN 2021'!AA3)+SUMIFS('UMUR 2021'!$AU$3:$AU$84,'UMUR 2021'!$AT$3:$AT$84,"="&amp;'DUN 2021'!AA3)+SUMIFS('UMUR 2021'!$AY$3:$AY$84,'UMUR 2021'!$AX$3:$AX$84,"="&amp;'DUN 2021'!AA3)+SUMIFS('UMUR 2021'!$BC$3:$BC$84,'UMUR 2021'!$BB$3:$BB$84,"="&amp;'DUN 2021'!AA3)+SUMIFS('UMUR 2021'!$BF$3:$BF$84,'UMUR 2021'!$BE$3:$BE$84,"="&amp;'DUN 2021'!AA3)</f>
        <v>457233</v>
      </c>
      <c r="AJ3" s="34">
        <f>AI3/$AI$25</f>
        <v>0.61280033023425995</v>
      </c>
    </row>
    <row r="4" spans="1:36">
      <c r="A4" s="13" t="s">
        <v>8</v>
      </c>
      <c r="B4" s="14" t="s">
        <v>7</v>
      </c>
      <c r="C4" s="29" t="str">
        <f>IF('UMUR 2021'!AC4&lt;&gt;"",'UMUR 2021'!AC4,"")</f>
        <v>PDP</v>
      </c>
      <c r="D4" s="29" t="str">
        <f t="shared" ref="D4:D67" si="1">IF(C4&lt;&gt;"",INDEX($J$3:$J$23,MATCH(C4,$I$3:$I$23,0),1),"")</f>
        <v>GPS</v>
      </c>
      <c r="E4" s="29" t="str">
        <f t="shared" ref="E4:E67" si="2">IF(D4&lt;&gt;"",INDEX($K$3:$K$23,MATCH(D4,$J$3:$J$23,0),1),"")</f>
        <v>KERAJAAN</v>
      </c>
      <c r="I4" s="29" t="s">
        <v>239</v>
      </c>
      <c r="J4" s="29" t="s">
        <v>241</v>
      </c>
      <c r="K4" s="29" t="str">
        <f t="shared" ref="K4:K19" si="3">IF(INDEX($AC$3:$AC$10,MATCH(J4,$AA$3:$AA$10,0),1)&gt;$P$38,"KERAJAAN",IF(OR(J4="PH",J4="PSB",J4="LAIN-LAIN"),"PEMBANGKANG",IF(J4="BEBAS - K","KERAJAAN",IF(J4="BEBAS - P","PEMBANGKANG","BEBAS"))))</f>
        <v>KERAJAAN</v>
      </c>
      <c r="O4" s="29" t="str">
        <f t="shared" ref="O4:O19" si="4">I4</f>
        <v>SUPP</v>
      </c>
      <c r="P4" s="29" t="str">
        <f t="shared" ref="P4:P19" si="5">J4</f>
        <v>GPS</v>
      </c>
      <c r="Q4" s="15">
        <f>COUNTIF('UMUR 2021'!$AC$3:$AC$84,'DUN 2021'!O4)+COUNTIF('UMUR 2021'!$AG$3:$AG$84,'DUN 2021'!O4)+COUNTIF('UMUR 2021'!$AK$3:$AK$84,'DUN 2021'!O4)+COUNTIF('UMUR 2021'!$AO$3:$AO$84,'DUN 2021'!O4)+COUNTIF('UMUR 2021'!$AS$3:$AS$84,'DUN 2021'!O4)+COUNTIF('UMUR 2021'!$AW$3:$AW$84,'DUN 2021'!O4)+COUNTIF('UMUR 2021'!$BA$3:$BA$84,'DUN 2021'!O4)+COUNTIF('UMUR 2021'!$BE$3:$BE$84,'DUN 2021'!O4)</f>
        <v>18</v>
      </c>
      <c r="R4" s="29">
        <f t="shared" ref="R4:R19" si="6">COUNTIF($C$3:$C$84,"*"&amp;O4&amp;"*")</f>
        <v>13</v>
      </c>
      <c r="S4" s="34">
        <f t="shared" ref="S4:S19" si="7">R4/Q4</f>
        <v>0.72222222222222221</v>
      </c>
      <c r="T4" s="33">
        <f>COUNTIFS('UMUR 2021'!$AJ$3:$AJ$84,"&lt;12.50%",'UMUR 2021'!$AG$3:$AG$84,"="&amp;O4)+COUNTIFS('UMUR 2021'!$AN$3:$AN$84,"&lt;12.50%",'UMUR 2021'!$AK$3:$AK$84,"="&amp;O4)+COUNTIFS('UMUR 2021'!$AR$3:$AR$84,"&lt;12.50%",'UMUR 2021'!$AO$3:$AO$84,"="&amp;O4)+COUNTIFS('UMUR 2021'!$AV$3:$AV$84,"&lt;12.50%",'UMUR 2021'!$AS$3:$AS$84,"="&amp;O4)+COUNTIFS('UMUR 2021'!$AZ$3:$AZ$84,"&lt;12.50%",'UMUR 2021'!$AW$3:$AW$84,"="&amp;O4)+COUNTIFS('UMUR 2021'!$BD$3:$BD$84,"&lt;12.50%",'UMUR 2021'!$BA$3:$BA$84,"="&amp;O4)</f>
        <v>0</v>
      </c>
      <c r="U4" s="34">
        <f t="shared" ref="U4:U19" si="8">T4/Q4</f>
        <v>0</v>
      </c>
      <c r="V4" s="29">
        <f>COUNTIF('UMUR 2021'!$AG$3:$AG$84,"="&amp;'DUN 2021'!O4)</f>
        <v>5</v>
      </c>
      <c r="W4" s="34">
        <f t="shared" ref="W4:W19" si="9">V4/COUNTA($B$3:$B$84)</f>
        <v>6.097560975609756E-2</v>
      </c>
      <c r="AA4" s="29" t="s">
        <v>245</v>
      </c>
      <c r="AB4" s="29">
        <f t="shared" si="0"/>
        <v>62</v>
      </c>
      <c r="AC4" s="29">
        <f>SUMIF($P$3:$P$19,AA4,$R$3:$R$19)</f>
        <v>2</v>
      </c>
      <c r="AD4" s="34">
        <f>AC4/AB4</f>
        <v>3.2258064516129031E-2</v>
      </c>
      <c r="AE4" s="29">
        <f t="shared" ref="AE4:AE10" si="10">SUMIF($P$3:$P$19,AA4,$T$3:$T$19)</f>
        <v>41</v>
      </c>
      <c r="AF4" s="34">
        <f t="shared" ref="AF4:AF10" si="11">AE4/AB4</f>
        <v>0.66129032258064513</v>
      </c>
      <c r="AG4" s="29">
        <f t="shared" ref="AG4:AG10" si="12">SUMIF($P$3:$P$19,AA4,$V$3:$V$19)</f>
        <v>18</v>
      </c>
      <c r="AH4" s="34">
        <f t="shared" ref="AH4:AH10" si="13">AG4/COUNTA($B$3:$B$84)</f>
        <v>0.21951219512195122</v>
      </c>
      <c r="AI4" s="33">
        <f>SUMIFS('UMUR 2021'!$AE$3:$AE$84,'UMUR 2021'!$AD$3:$AD$84,"="&amp;'DUN 2021'!AA4)+SUMIFS('UMUR 2021'!$AI$3:$AI$84,'UMUR 2021'!$AH$3:$AH$84,"="&amp;'DUN 2021'!AA4)+SUMIFS('UMUR 2021'!$AM$3:$AM$84,'UMUR 2021'!$AL$3:$AL$84,"="&amp;'DUN 2021'!AA4)+SUMIFS('UMUR 2021'!$AQ$3:$AQ$84,'UMUR 2021'!$AP$3:$AP$84,"="&amp;'DUN 2021'!AA4)+SUMIFS('UMUR 2021'!$AU$3:$AU$84,'UMUR 2021'!$AT$3:$AT$84,"="&amp;'DUN 2021'!AA4)+SUMIFS('UMUR 2021'!$AY$3:$AY$84,'UMUR 2021'!$AX$3:$AX$84,"="&amp;'DUN 2021'!AA4)+SUMIFS('UMUR 2021'!$BC$3:$BC$84,'UMUR 2021'!$BB$3:$BB$84,"="&amp;'DUN 2021'!AA4)+SUMIFS('UMUR 2021'!$BF$3:$BF$84,'UMUR 2021'!$BE$3:$BE$84,"="&amp;'DUN 2021'!AA4)</f>
        <v>76824</v>
      </c>
      <c r="AJ4" s="34">
        <f t="shared" ref="AJ4:AJ10" si="14">AI4/$AI$25</f>
        <v>0.10296232461330827</v>
      </c>
    </row>
    <row r="5" spans="1:36">
      <c r="A5" s="13" t="s">
        <v>12</v>
      </c>
      <c r="B5" s="14" t="s">
        <v>15</v>
      </c>
      <c r="C5" s="29" t="str">
        <f>IF('UMUR 2021'!AC5&lt;&gt;"",'UMUR 2021'!AC5,"")</f>
        <v>PBB</v>
      </c>
      <c r="D5" s="29" t="str">
        <f t="shared" si="1"/>
        <v>GPS</v>
      </c>
      <c r="E5" s="29" t="str">
        <f t="shared" si="2"/>
        <v>KERAJAAN</v>
      </c>
      <c r="I5" s="29" t="s">
        <v>240</v>
      </c>
      <c r="J5" s="29" t="s">
        <v>241</v>
      </c>
      <c r="K5" s="29" t="str">
        <f t="shared" si="3"/>
        <v>KERAJAAN</v>
      </c>
      <c r="O5" s="29" t="str">
        <f t="shared" si="4"/>
        <v>PDP</v>
      </c>
      <c r="P5" s="29" t="str">
        <f t="shared" si="5"/>
        <v>GPS</v>
      </c>
      <c r="Q5" s="15">
        <f>COUNTIF('UMUR 2021'!$AC$3:$AC$84,'DUN 2021'!O5)+COUNTIF('UMUR 2021'!$AG$3:$AG$84,'DUN 2021'!O5)+COUNTIF('UMUR 2021'!$AK$3:$AK$84,'DUN 2021'!O5)+COUNTIF('UMUR 2021'!$AO$3:$AO$84,'DUN 2021'!O5)+COUNTIF('UMUR 2021'!$AS$3:$AS$84,'DUN 2021'!O5)+COUNTIF('UMUR 2021'!$AW$3:$AW$84,'DUN 2021'!O5)+COUNTIF('UMUR 2021'!$BA$3:$BA$84,'DUN 2021'!O5)+COUNTIF('UMUR 2021'!$BE$3:$BE$84,'DUN 2021'!O5)</f>
        <v>6</v>
      </c>
      <c r="R5" s="29">
        <f t="shared" si="6"/>
        <v>5</v>
      </c>
      <c r="S5" s="34">
        <f t="shared" si="7"/>
        <v>0.83333333333333337</v>
      </c>
      <c r="T5" s="33">
        <f>COUNTIFS('UMUR 2021'!$AJ$3:$AJ$84,"&lt;12.50%",'UMUR 2021'!$AG$3:$AG$84,"="&amp;O5)+COUNTIFS('UMUR 2021'!$AN$3:$AN$84,"&lt;12.50%",'UMUR 2021'!$AK$3:$AK$84,"="&amp;O5)+COUNTIFS('UMUR 2021'!$AR$3:$AR$84,"&lt;12.50%",'UMUR 2021'!$AO$3:$AO$84,"="&amp;O5)+COUNTIFS('UMUR 2021'!$AV$3:$AV$84,"&lt;12.50%",'UMUR 2021'!$AS$3:$AS$84,"="&amp;O5)+COUNTIFS('UMUR 2021'!$AZ$3:$AZ$84,"&lt;12.50%",'UMUR 2021'!$AW$3:$AW$84,"="&amp;O5)+COUNTIFS('UMUR 2021'!$BD$3:$BD$84,"&lt;12.50%",'UMUR 2021'!$BA$3:$BA$84,"="&amp;O5)</f>
        <v>0</v>
      </c>
      <c r="U5" s="34">
        <f t="shared" si="8"/>
        <v>0</v>
      </c>
      <c r="V5" s="29">
        <f>COUNTIF('UMUR 2021'!$AG$3:$AG$84,"="&amp;'DUN 2021'!O5)</f>
        <v>1</v>
      </c>
      <c r="W5" s="34">
        <f t="shared" si="9"/>
        <v>1.2195121951219513E-2</v>
      </c>
      <c r="AA5" s="29" t="s">
        <v>252</v>
      </c>
      <c r="AB5" s="29">
        <f t="shared" si="0"/>
        <v>70</v>
      </c>
      <c r="AC5" s="29">
        <f>SUMIF($P$3:$P$19,AA5,$R$3:$R$19)</f>
        <v>4</v>
      </c>
      <c r="AD5" s="34">
        <f>AC5/AB5</f>
        <v>5.7142857142857141E-2</v>
      </c>
      <c r="AE5" s="29">
        <f t="shared" si="10"/>
        <v>9</v>
      </c>
      <c r="AF5" s="34">
        <f t="shared" si="11"/>
        <v>0.12857142857142856</v>
      </c>
      <c r="AG5" s="29">
        <f t="shared" si="12"/>
        <v>49</v>
      </c>
      <c r="AH5" s="34">
        <f t="shared" si="13"/>
        <v>0.59756097560975607</v>
      </c>
      <c r="AI5" s="33">
        <f>SUMIFS('UMUR 2021'!$AE$3:$AE$84,'UMUR 2021'!$AD$3:$AD$84,"="&amp;'DUN 2021'!AA5)+SUMIFS('UMUR 2021'!$AI$3:$AI$84,'UMUR 2021'!$AH$3:$AH$84,"="&amp;'DUN 2021'!AA5)+SUMIFS('UMUR 2021'!$AM$3:$AM$84,'UMUR 2021'!$AL$3:$AL$84,"="&amp;'DUN 2021'!AA5)+SUMIFS('UMUR 2021'!$AQ$3:$AQ$84,'UMUR 2021'!$AP$3:$AP$84,"="&amp;'DUN 2021'!AA5)+SUMIFS('UMUR 2021'!$AU$3:$AU$84,'UMUR 2021'!$AT$3:$AT$84,"="&amp;'DUN 2021'!AA5)+SUMIFS('UMUR 2021'!$AY$3:$AY$84,'UMUR 2021'!$AX$3:$AX$84,"="&amp;'DUN 2021'!AA5)+SUMIFS('UMUR 2021'!$BC$3:$BC$84,'UMUR 2021'!$BB$3:$BB$84,"="&amp;'DUN 2021'!AA5)+SUMIFS('UMUR 2021'!$BF$3:$BF$84,'UMUR 2021'!$BE$3:$BE$84,"="&amp;'DUN 2021'!AA5)</f>
        <v>139515</v>
      </c>
      <c r="AJ5" s="34">
        <f t="shared" si="14"/>
        <v>0.18698308755630669</v>
      </c>
    </row>
    <row r="6" spans="1:36">
      <c r="A6" s="13" t="s">
        <v>13</v>
      </c>
      <c r="B6" s="14" t="s">
        <v>16</v>
      </c>
      <c r="C6" s="29" t="str">
        <f>IF('UMUR 2021'!AC6&lt;&gt;"",'UMUR 2021'!AC6,"")</f>
        <v>PBB</v>
      </c>
      <c r="D6" s="29" t="str">
        <f t="shared" si="1"/>
        <v>GPS</v>
      </c>
      <c r="E6" s="29" t="str">
        <f t="shared" si="2"/>
        <v>KERAJAAN</v>
      </c>
      <c r="I6" s="29" t="s">
        <v>249</v>
      </c>
      <c r="J6" s="29" t="s">
        <v>241</v>
      </c>
      <c r="K6" s="29" t="str">
        <f t="shared" si="3"/>
        <v>KERAJAAN</v>
      </c>
      <c r="O6" s="29" t="str">
        <f t="shared" si="4"/>
        <v>PRS</v>
      </c>
      <c r="P6" s="29" t="str">
        <f t="shared" si="5"/>
        <v>GPS</v>
      </c>
      <c r="Q6" s="15">
        <f>COUNTIF('UMUR 2021'!$AC$3:$AC$84,'DUN 2021'!O6)+COUNTIF('UMUR 2021'!$AG$3:$AG$84,'DUN 2021'!O6)+COUNTIF('UMUR 2021'!$AK$3:$AK$84,'DUN 2021'!O6)+COUNTIF('UMUR 2021'!$AO$3:$AO$84,'DUN 2021'!O6)+COUNTIF('UMUR 2021'!$AS$3:$AS$84,'DUN 2021'!O6)+COUNTIF('UMUR 2021'!$AW$3:$AW$84,'DUN 2021'!O6)+COUNTIF('UMUR 2021'!$BA$3:$BA$84,'DUN 2021'!O6)+COUNTIF('UMUR 2021'!$BE$3:$BE$84,'DUN 2021'!O6)</f>
        <v>11</v>
      </c>
      <c r="R6" s="29">
        <f t="shared" si="6"/>
        <v>11</v>
      </c>
      <c r="S6" s="34">
        <f t="shared" si="7"/>
        <v>1</v>
      </c>
      <c r="T6" s="33">
        <f>COUNTIFS('UMUR 2021'!$AJ$3:$AJ$84,"&lt;12.50%",'UMUR 2021'!$AG$3:$AG$84,"="&amp;O6)+COUNTIFS('UMUR 2021'!$AN$3:$AN$84,"&lt;12.50%",'UMUR 2021'!$AK$3:$AK$84,"="&amp;O6)+COUNTIFS('UMUR 2021'!$AR$3:$AR$84,"&lt;12.50%",'UMUR 2021'!$AO$3:$AO$84,"="&amp;O6)+COUNTIFS('UMUR 2021'!$AV$3:$AV$84,"&lt;12.50%",'UMUR 2021'!$AS$3:$AS$84,"="&amp;O6)+COUNTIFS('UMUR 2021'!$AZ$3:$AZ$84,"&lt;12.50%",'UMUR 2021'!$AW$3:$AW$84,"="&amp;O6)+COUNTIFS('UMUR 2021'!$BD$3:$BD$84,"&lt;12.50%",'UMUR 2021'!$BA$3:$BA$84,"="&amp;O6)</f>
        <v>0</v>
      </c>
      <c r="U6" s="34">
        <f t="shared" si="8"/>
        <v>0</v>
      </c>
      <c r="V6" s="29">
        <f>COUNTIF('UMUR 2021'!$AG$3:$AG$84,"="&amp;'DUN 2021'!O6)</f>
        <v>0</v>
      </c>
      <c r="W6" s="34">
        <f t="shared" si="9"/>
        <v>0</v>
      </c>
      <c r="AA6" s="29" t="s">
        <v>279</v>
      </c>
      <c r="AB6" s="29">
        <f t="shared" si="0"/>
        <v>103</v>
      </c>
      <c r="AC6" s="29">
        <f t="shared" ref="AC6" si="15">SUMIF($P$3:$P$19,AA6,$R$3:$R$19)</f>
        <v>0</v>
      </c>
      <c r="AD6" s="34">
        <f>AC6/AB6</f>
        <v>0</v>
      </c>
      <c r="AE6" s="29">
        <f t="shared" si="10"/>
        <v>96</v>
      </c>
      <c r="AF6" s="34">
        <f t="shared" si="11"/>
        <v>0.93203883495145634</v>
      </c>
      <c r="AG6" s="29">
        <f t="shared" si="12"/>
        <v>2</v>
      </c>
      <c r="AH6" s="34">
        <f t="shared" si="13"/>
        <v>2.4390243902439025E-2</v>
      </c>
      <c r="AI6" s="33">
        <f>SUMIFS('UMUR 2021'!$AE$3:$AE$84,'UMUR 2021'!$AD$3:$AD$84,"="&amp;'DUN 2021'!AA6)+SUMIFS('UMUR 2021'!$AI$3:$AI$84,'UMUR 2021'!$AH$3:$AH$84,"="&amp;'DUN 2021'!AA6)+SUMIFS('UMUR 2021'!$AM$3:$AM$84,'UMUR 2021'!$AL$3:$AL$84,"="&amp;'DUN 2021'!AA6)+SUMIFS('UMUR 2021'!$AQ$3:$AQ$84,'UMUR 2021'!$AP$3:$AP$84,"="&amp;'DUN 2021'!AA6)+SUMIFS('UMUR 2021'!$AU$3:$AU$84,'UMUR 2021'!$AT$3:$AT$84,"="&amp;'DUN 2021'!AA6)+SUMIFS('UMUR 2021'!$AY$3:$AY$84,'UMUR 2021'!$AX$3:$AX$84,"="&amp;'DUN 2021'!AA6)+SUMIFS('UMUR 2021'!$BC$3:$BC$84,'UMUR 2021'!$BB$3:$BB$84,"="&amp;'DUN 2021'!AA6)+SUMIFS('UMUR 2021'!$BF$3:$BF$84,'UMUR 2021'!$BE$3:$BE$84,"="&amp;'DUN 2021'!AA6)</f>
        <v>48625</v>
      </c>
      <c r="AJ6" s="34">
        <f t="shared" si="14"/>
        <v>6.5168997114470939E-2</v>
      </c>
    </row>
    <row r="7" spans="1:36">
      <c r="A7" s="13" t="s">
        <v>14</v>
      </c>
      <c r="B7" s="14" t="s">
        <v>17</v>
      </c>
      <c r="C7" s="29" t="str">
        <f>IF('UMUR 2021'!AC7&lt;&gt;"",'UMUR 2021'!AC7,"")</f>
        <v>PBB</v>
      </c>
      <c r="D7" s="29" t="str">
        <f t="shared" si="1"/>
        <v>GPS</v>
      </c>
      <c r="E7" s="29" t="str">
        <f t="shared" si="2"/>
        <v>KERAJAAN</v>
      </c>
      <c r="I7" s="29" t="s">
        <v>244</v>
      </c>
      <c r="J7" s="29" t="s">
        <v>245</v>
      </c>
      <c r="K7" s="29" t="str">
        <f t="shared" si="3"/>
        <v>PEMBANGKANG</v>
      </c>
      <c r="O7" s="29" t="str">
        <f t="shared" si="4"/>
        <v>DAP</v>
      </c>
      <c r="P7" s="29" t="str">
        <f t="shared" si="5"/>
        <v>PH</v>
      </c>
      <c r="Q7" s="15">
        <f>COUNTIF('UMUR 2021'!$AC$3:$AC$84,'DUN 2021'!O7)+COUNTIF('UMUR 2021'!$AG$3:$AG$84,'DUN 2021'!O7)+COUNTIF('UMUR 2021'!$AK$3:$AK$84,'DUN 2021'!O7)+COUNTIF('UMUR 2021'!$AO$3:$AO$84,'DUN 2021'!O7)+COUNTIF('UMUR 2021'!$AS$3:$AS$84,'DUN 2021'!O7)+COUNTIF('UMUR 2021'!$AW$3:$AW$84,'DUN 2021'!O7)+COUNTIF('UMUR 2021'!$BA$3:$BA$84,'DUN 2021'!O7)+COUNTIF('UMUR 2021'!$BE$3:$BE$84,'DUN 2021'!O7)</f>
        <v>26</v>
      </c>
      <c r="R7" s="29">
        <f t="shared" si="6"/>
        <v>2</v>
      </c>
      <c r="S7" s="34">
        <f t="shared" si="7"/>
        <v>7.6923076923076927E-2</v>
      </c>
      <c r="T7" s="33">
        <f>COUNTIFS('UMUR 2021'!$AJ$3:$AJ$84,"&lt;12.50%",'UMUR 2021'!$AG$3:$AG$84,"="&amp;O7)+COUNTIFS('UMUR 2021'!$AN$3:$AN$84,"&lt;12.50%",'UMUR 2021'!$AK$3:$AK$84,"="&amp;O7)+COUNTIFS('UMUR 2021'!$AR$3:$AR$84,"&lt;12.50%",'UMUR 2021'!$AO$3:$AO$84,"="&amp;O7)+COUNTIFS('UMUR 2021'!$AV$3:$AV$84,"&lt;12.50%",'UMUR 2021'!$AS$3:$AS$84,"="&amp;O7)+COUNTIFS('UMUR 2021'!$AZ$3:$AZ$84,"&lt;12.50%",'UMUR 2021'!$AW$3:$AW$84,"="&amp;O7)+COUNTIFS('UMUR 2021'!$BD$3:$BD$84,"&lt;12.50%",'UMUR 2021'!$BA$3:$BA$84,"="&amp;O7)</f>
        <v>12</v>
      </c>
      <c r="U7" s="34">
        <f t="shared" si="8"/>
        <v>0.46153846153846156</v>
      </c>
      <c r="V7" s="29">
        <f>COUNTIF('UMUR 2021'!$AG$3:$AG$84,"="&amp;'DUN 2021'!O7)</f>
        <v>12</v>
      </c>
      <c r="W7" s="34">
        <f t="shared" si="9"/>
        <v>0.14634146341463414</v>
      </c>
      <c r="AA7" s="29" t="s">
        <v>246</v>
      </c>
      <c r="AB7" s="29">
        <f t="shared" si="0"/>
        <v>1</v>
      </c>
      <c r="AC7" s="29">
        <f>SUMIF($P$3:$P$19,AA7,$R$3:$R$19)</f>
        <v>0</v>
      </c>
      <c r="AD7" s="34">
        <f>AC7/AB7</f>
        <v>0</v>
      </c>
      <c r="AE7" s="29">
        <f t="shared" si="10"/>
        <v>0</v>
      </c>
      <c r="AF7" s="34">
        <f t="shared" si="11"/>
        <v>0</v>
      </c>
      <c r="AG7" s="29">
        <f t="shared" si="12"/>
        <v>1</v>
      </c>
      <c r="AH7" s="34">
        <f t="shared" si="13"/>
        <v>1.2195121951219513E-2</v>
      </c>
      <c r="AI7" s="33">
        <f>SUMIFS('UMUR 2021'!$AE$3:$AE$84,'UMUR 2021'!$AD$3:$AD$84,"="&amp;'DUN 2021'!AA7)+SUMIFS('UMUR 2021'!$AI$3:$AI$84,'UMUR 2021'!$AH$3:$AH$84,"="&amp;'DUN 2021'!AA7)+SUMIFS('UMUR 2021'!$AM$3:$AM$84,'UMUR 2021'!$AL$3:$AL$84,"="&amp;'DUN 2021'!AA7)+SUMIFS('UMUR 2021'!$AQ$3:$AQ$84,'UMUR 2021'!$AP$3:$AP$84,"="&amp;'DUN 2021'!AA7)+SUMIFS('UMUR 2021'!$AU$3:$AU$84,'UMUR 2021'!$AT$3:$AT$84,"="&amp;'DUN 2021'!AA7)+SUMIFS('UMUR 2021'!$AY$3:$AY$84,'UMUR 2021'!$AX$3:$AX$84,"="&amp;'DUN 2021'!AA7)+SUMIFS('UMUR 2021'!$BC$3:$BC$84,'UMUR 2021'!$BB$3:$BB$84,"="&amp;'DUN 2021'!AA7)+SUMIFS('UMUR 2021'!$BF$3:$BF$84,'UMUR 2021'!$BE$3:$BE$84,"="&amp;'DUN 2021'!AA7)</f>
        <v>2058</v>
      </c>
      <c r="AJ7" s="34">
        <f t="shared" si="14"/>
        <v>2.7582066028088675E-3</v>
      </c>
    </row>
    <row r="8" spans="1:36">
      <c r="A8" s="13" t="s">
        <v>20</v>
      </c>
      <c r="B8" s="14" t="s">
        <v>23</v>
      </c>
      <c r="C8" s="29" t="str">
        <f>IF('UMUR 2021'!AC8&lt;&gt;"",'UMUR 2021'!AC8,"")</f>
        <v>PBB</v>
      </c>
      <c r="D8" s="29" t="str">
        <f t="shared" si="1"/>
        <v>GPS</v>
      </c>
      <c r="E8" s="29" t="str">
        <f t="shared" si="2"/>
        <v>KERAJAAN</v>
      </c>
      <c r="I8" s="29" t="s">
        <v>253</v>
      </c>
      <c r="J8" s="29" t="s">
        <v>245</v>
      </c>
      <c r="K8" s="29" t="str">
        <f t="shared" si="3"/>
        <v>PEMBANGKANG</v>
      </c>
      <c r="O8" s="29" t="str">
        <f t="shared" si="4"/>
        <v>PKR</v>
      </c>
      <c r="P8" s="29" t="str">
        <f t="shared" si="5"/>
        <v>PH</v>
      </c>
      <c r="Q8" s="15">
        <f>COUNTIF('UMUR 2021'!$AC$3:$AC$84,'DUN 2021'!O8)+COUNTIF('UMUR 2021'!$AG$3:$AG$84,'DUN 2021'!O8)+COUNTIF('UMUR 2021'!$AK$3:$AK$84,'DUN 2021'!O8)+COUNTIF('UMUR 2021'!$AO$3:$AO$84,'DUN 2021'!O8)+COUNTIF('UMUR 2021'!$AS$3:$AS$84,'DUN 2021'!O8)+COUNTIF('UMUR 2021'!$AW$3:$AW$84,'DUN 2021'!O8)+COUNTIF('UMUR 2021'!$BA$3:$BA$84,'DUN 2021'!O8)+COUNTIF('UMUR 2021'!$BE$3:$BE$84,'DUN 2021'!O8)</f>
        <v>28</v>
      </c>
      <c r="R8" s="29">
        <f t="shared" si="6"/>
        <v>0</v>
      </c>
      <c r="S8" s="34">
        <f t="shared" si="7"/>
        <v>0</v>
      </c>
      <c r="T8" s="33">
        <f>COUNTIFS('UMUR 2021'!$AJ$3:$AJ$84,"&lt;12.50%",'UMUR 2021'!$AG$3:$AG$84,"="&amp;O8)+COUNTIFS('UMUR 2021'!$AN$3:$AN$84,"&lt;12.50%",'UMUR 2021'!$AK$3:$AK$84,"="&amp;O8)+COUNTIFS('UMUR 2021'!$AR$3:$AR$84,"&lt;12.50%",'UMUR 2021'!$AO$3:$AO$84,"="&amp;O8)+COUNTIFS('UMUR 2021'!$AV$3:$AV$84,"&lt;12.50%",'UMUR 2021'!$AS$3:$AS$84,"="&amp;O8)+COUNTIFS('UMUR 2021'!$AZ$3:$AZ$84,"&lt;12.50%",'UMUR 2021'!$AW$3:$AW$84,"="&amp;O8)+COUNTIFS('UMUR 2021'!$BD$3:$BD$84,"&lt;12.50%",'UMUR 2021'!$BA$3:$BA$84,"="&amp;O8)</f>
        <v>22</v>
      </c>
      <c r="U8" s="34">
        <f t="shared" si="8"/>
        <v>0.7857142857142857</v>
      </c>
      <c r="V8" s="29">
        <f>COUNTIF('UMUR 2021'!$AG$3:$AG$84,"="&amp;'DUN 2021'!O8)</f>
        <v>4</v>
      </c>
      <c r="W8" s="34">
        <f t="shared" si="9"/>
        <v>4.878048780487805E-2</v>
      </c>
      <c r="AA8" s="29" t="s">
        <v>305</v>
      </c>
      <c r="AB8" s="29">
        <f t="shared" si="0"/>
        <v>0</v>
      </c>
      <c r="AC8" s="29">
        <f>SUMIF($P$3:$P$19,AA8,$R$3:$R$19)</f>
        <v>0</v>
      </c>
      <c r="AD8" s="34" t="e">
        <f t="shared" ref="AD8:AD9" si="16">AC8/AB8</f>
        <v>#DIV/0!</v>
      </c>
      <c r="AE8" s="29">
        <f t="shared" si="10"/>
        <v>0</v>
      </c>
      <c r="AF8" s="34" t="e">
        <f t="shared" si="11"/>
        <v>#DIV/0!</v>
      </c>
      <c r="AG8" s="29">
        <f t="shared" si="12"/>
        <v>0</v>
      </c>
      <c r="AH8" s="34">
        <f t="shared" si="13"/>
        <v>0</v>
      </c>
      <c r="AI8" s="33">
        <f>SUMIFS('UMUR 2021'!$AE$3:$AE$84,'UMUR 2021'!$AD$3:$AD$84,"="&amp;'DUN 2021'!AA8)+SUMIFS('UMUR 2021'!$AI$3:$AI$84,'UMUR 2021'!$AH$3:$AH$84,"="&amp;'DUN 2021'!AA8)+SUMIFS('UMUR 2021'!$AM$3:$AM$84,'UMUR 2021'!$AL$3:$AL$84,"="&amp;'DUN 2021'!AA8)+SUMIFS('UMUR 2021'!$AQ$3:$AQ$84,'UMUR 2021'!$AP$3:$AP$84,"="&amp;'DUN 2021'!AA8)+SUMIFS('UMUR 2021'!$AU$3:$AU$84,'UMUR 2021'!$AT$3:$AT$84,"="&amp;'DUN 2021'!AA8)+SUMIFS('UMUR 2021'!$AY$3:$AY$84,'UMUR 2021'!$AX$3:$AX$84,"="&amp;'DUN 2021'!AA8)+SUMIFS('UMUR 2021'!$BC$3:$BC$84,'UMUR 2021'!$BB$3:$BB$84,"="&amp;'DUN 2021'!AA8)+SUMIFS('UMUR 2021'!$BF$3:$BF$84,'UMUR 2021'!$BE$3:$BE$84,"="&amp;'DUN 2021'!AA8)</f>
        <v>0</v>
      </c>
      <c r="AJ8" s="34">
        <f t="shared" si="14"/>
        <v>0</v>
      </c>
    </row>
    <row r="9" spans="1:36">
      <c r="A9" s="13" t="s">
        <v>21</v>
      </c>
      <c r="B9" s="14" t="s">
        <v>24</v>
      </c>
      <c r="C9" s="29" t="str">
        <f>IF('UMUR 2021'!AC9&lt;&gt;"",'UMUR 2021'!AC9,"")</f>
        <v>PBB</v>
      </c>
      <c r="D9" s="29" t="str">
        <f t="shared" si="1"/>
        <v>GPS</v>
      </c>
      <c r="E9" s="29" t="str">
        <f t="shared" si="2"/>
        <v>KERAJAAN</v>
      </c>
      <c r="I9" s="29" t="s">
        <v>254</v>
      </c>
      <c r="J9" s="29" t="s">
        <v>245</v>
      </c>
      <c r="K9" s="29" t="str">
        <f t="shared" si="3"/>
        <v>PEMBANGKANG</v>
      </c>
      <c r="O9" s="29" t="str">
        <f t="shared" si="4"/>
        <v>AMANAH</v>
      </c>
      <c r="P9" s="29" t="str">
        <f t="shared" si="5"/>
        <v>PH</v>
      </c>
      <c r="Q9" s="15">
        <f>COUNTIF('UMUR 2021'!$AC$3:$AC$84,'DUN 2021'!O9)+COUNTIF('UMUR 2021'!$AG$3:$AG$84,'DUN 2021'!O9)+COUNTIF('UMUR 2021'!$AK$3:$AK$84,'DUN 2021'!O9)+COUNTIF('UMUR 2021'!$AO$3:$AO$84,'DUN 2021'!O9)+COUNTIF('UMUR 2021'!$AS$3:$AS$84,'DUN 2021'!O9)+COUNTIF('UMUR 2021'!$AW$3:$AW$84,'DUN 2021'!O9)+COUNTIF('UMUR 2021'!$BA$3:$BA$84,'DUN 2021'!O9)+COUNTIF('UMUR 2021'!$BE$3:$BE$84,'DUN 2021'!O9)</f>
        <v>8</v>
      </c>
      <c r="R9" s="29">
        <f t="shared" si="6"/>
        <v>0</v>
      </c>
      <c r="S9" s="34">
        <f t="shared" si="7"/>
        <v>0</v>
      </c>
      <c r="T9" s="33">
        <f>COUNTIFS('UMUR 2021'!$AJ$3:$AJ$84,"&lt;12.50%",'UMUR 2021'!$AG$3:$AG$84,"="&amp;O9)+COUNTIFS('UMUR 2021'!$AN$3:$AN$84,"&lt;12.50%",'UMUR 2021'!$AK$3:$AK$84,"="&amp;O9)+COUNTIFS('UMUR 2021'!$AR$3:$AR$84,"&lt;12.50%",'UMUR 2021'!$AO$3:$AO$84,"="&amp;O9)+COUNTIFS('UMUR 2021'!$AV$3:$AV$84,"&lt;12.50%",'UMUR 2021'!$AS$3:$AS$84,"="&amp;O9)+COUNTIFS('UMUR 2021'!$AZ$3:$AZ$84,"&lt;12.50%",'UMUR 2021'!$AW$3:$AW$84,"="&amp;O9)+COUNTIFS('UMUR 2021'!$BD$3:$BD$84,"&lt;12.50%",'UMUR 2021'!$BA$3:$BA$84,"="&amp;O9)</f>
        <v>7</v>
      </c>
      <c r="U9" s="34">
        <f t="shared" si="8"/>
        <v>0.875</v>
      </c>
      <c r="V9" s="29">
        <f>COUNTIF('UMUR 2021'!$AG$3:$AG$84,"="&amp;'DUN 2021'!O9)</f>
        <v>2</v>
      </c>
      <c r="W9" s="34">
        <f t="shared" si="9"/>
        <v>2.4390243902439025E-2</v>
      </c>
      <c r="AA9" s="29" t="s">
        <v>306</v>
      </c>
      <c r="AB9" s="29">
        <f t="shared" si="0"/>
        <v>0</v>
      </c>
      <c r="AC9" s="29">
        <f>SUMIF($P$3:$P$19,AA9,$R$3:$R$19)</f>
        <v>0</v>
      </c>
      <c r="AD9" s="34" t="e">
        <f t="shared" si="16"/>
        <v>#DIV/0!</v>
      </c>
      <c r="AE9" s="29">
        <f t="shared" si="10"/>
        <v>0</v>
      </c>
      <c r="AF9" s="34" t="e">
        <f t="shared" si="11"/>
        <v>#DIV/0!</v>
      </c>
      <c r="AG9" s="29">
        <f t="shared" si="12"/>
        <v>0</v>
      </c>
      <c r="AH9" s="34">
        <f t="shared" si="13"/>
        <v>0</v>
      </c>
      <c r="AI9" s="33">
        <f>SUMIFS('UMUR 2021'!$AE$3:$AE$84,'UMUR 2021'!$AD$3:$AD$84,"="&amp;'DUN 2021'!AA9)+SUMIFS('UMUR 2021'!$AI$3:$AI$84,'UMUR 2021'!$AH$3:$AH$84,"="&amp;'DUN 2021'!AA9)+SUMIFS('UMUR 2021'!$AM$3:$AM$84,'UMUR 2021'!$AL$3:$AL$84,"="&amp;'DUN 2021'!AA9)+SUMIFS('UMUR 2021'!$AQ$3:$AQ$84,'UMUR 2021'!$AP$3:$AP$84,"="&amp;'DUN 2021'!AA9)+SUMIFS('UMUR 2021'!$AU$3:$AU$84,'UMUR 2021'!$AT$3:$AT$84,"="&amp;'DUN 2021'!AA9)+SUMIFS('UMUR 2021'!$AY$3:$AY$84,'UMUR 2021'!$AX$3:$AX$84,"="&amp;'DUN 2021'!AA9)+SUMIFS('UMUR 2021'!$BC$3:$BC$84,'UMUR 2021'!$BB$3:$BB$84,"="&amp;'DUN 2021'!AA9)+SUMIFS('UMUR 2021'!$BF$3:$BF$84,'UMUR 2021'!$BE$3:$BE$84,"="&amp;'DUN 2021'!AA9)</f>
        <v>0</v>
      </c>
      <c r="AJ9" s="34">
        <f t="shared" si="14"/>
        <v>0</v>
      </c>
    </row>
    <row r="10" spans="1:36">
      <c r="A10" s="13" t="s">
        <v>22</v>
      </c>
      <c r="B10" s="14" t="s">
        <v>25</v>
      </c>
      <c r="C10" s="29" t="str">
        <f>IF('UMUR 2021'!AC10&lt;&gt;"",'UMUR 2021'!AC10,"")</f>
        <v>PBB</v>
      </c>
      <c r="D10" s="29" t="str">
        <f t="shared" si="1"/>
        <v>GPS</v>
      </c>
      <c r="E10" s="29" t="str">
        <f t="shared" si="2"/>
        <v>KERAJAAN</v>
      </c>
      <c r="I10" s="29" t="s">
        <v>252</v>
      </c>
      <c r="J10" s="29" t="s">
        <v>252</v>
      </c>
      <c r="K10" s="29" t="str">
        <f t="shared" si="3"/>
        <v>PEMBANGKANG</v>
      </c>
      <c r="O10" s="29" t="str">
        <f t="shared" si="4"/>
        <v>PSB</v>
      </c>
      <c r="P10" s="29" t="str">
        <f t="shared" si="5"/>
        <v>PSB</v>
      </c>
      <c r="Q10" s="15">
        <f>COUNTIF('UMUR 2021'!$AC$3:$AC$84,'DUN 2021'!O10)+COUNTIF('UMUR 2021'!$AG$3:$AG$84,'DUN 2021'!O10)+COUNTIF('UMUR 2021'!$AK$3:$AK$84,'DUN 2021'!O10)+COUNTIF('UMUR 2021'!$AO$3:$AO$84,'DUN 2021'!O10)+COUNTIF('UMUR 2021'!$AS$3:$AS$84,'DUN 2021'!O10)+COUNTIF('UMUR 2021'!$AW$3:$AW$84,'DUN 2021'!O10)+COUNTIF('UMUR 2021'!$BA$3:$BA$84,'DUN 2021'!O10)+COUNTIF('UMUR 2021'!$BE$3:$BE$84,'DUN 2021'!O10)</f>
        <v>70</v>
      </c>
      <c r="R10" s="29">
        <f t="shared" si="6"/>
        <v>4</v>
      </c>
      <c r="S10" s="34">
        <f t="shared" si="7"/>
        <v>5.7142857142857141E-2</v>
      </c>
      <c r="T10" s="33">
        <f>COUNTIFS('UMUR 2021'!$AJ$3:$AJ$84,"&lt;12.50%",'UMUR 2021'!$AG$3:$AG$84,"="&amp;O10)+COUNTIFS('UMUR 2021'!$AN$3:$AN$84,"&lt;12.50%",'UMUR 2021'!$AK$3:$AK$84,"="&amp;O10)+COUNTIFS('UMUR 2021'!$AR$3:$AR$84,"&lt;12.50%",'UMUR 2021'!$AO$3:$AO$84,"="&amp;O10)+COUNTIFS('UMUR 2021'!$AV$3:$AV$84,"&lt;12.50%",'UMUR 2021'!$AS$3:$AS$84,"="&amp;O10)+COUNTIFS('UMUR 2021'!$AZ$3:$AZ$84,"&lt;12.50%",'UMUR 2021'!$AW$3:$AW$84,"="&amp;O10)+COUNTIFS('UMUR 2021'!$BD$3:$BD$84,"&lt;12.50%",'UMUR 2021'!$BA$3:$BA$84,"="&amp;O10)</f>
        <v>9</v>
      </c>
      <c r="U10" s="34">
        <f t="shared" si="8"/>
        <v>0.12857142857142856</v>
      </c>
      <c r="V10" s="29">
        <f>COUNTIF('UMUR 2021'!$AG$3:$AG$84,"="&amp;'DUN 2021'!O10)</f>
        <v>49</v>
      </c>
      <c r="W10" s="34">
        <f t="shared" si="9"/>
        <v>0.59756097560975607</v>
      </c>
      <c r="AA10" s="29" t="s">
        <v>251</v>
      </c>
      <c r="AB10" s="29">
        <f t="shared" si="0"/>
        <v>31</v>
      </c>
      <c r="AC10" s="29">
        <f>SUMIF($P$3:$P$19,AA10,$R$3:$R$19)</f>
        <v>0</v>
      </c>
      <c r="AD10" s="34">
        <f>AC10/AB10</f>
        <v>0</v>
      </c>
      <c r="AE10" s="29">
        <f t="shared" si="10"/>
        <v>23</v>
      </c>
      <c r="AF10" s="34">
        <f t="shared" si="11"/>
        <v>0.74193548387096775</v>
      </c>
      <c r="AG10" s="29">
        <f t="shared" si="12"/>
        <v>6</v>
      </c>
      <c r="AH10" s="34">
        <f t="shared" si="13"/>
        <v>7.3170731707317069E-2</v>
      </c>
      <c r="AI10" s="33">
        <f>SUMIFS('UMUR 2021'!$AE$3:$AE$84,'UMUR 2021'!$AD$3:$AD$84,"="&amp;'DUN 2021'!AA10)+SUMIFS('UMUR 2021'!$AI$3:$AI$84,'UMUR 2021'!$AH$3:$AH$84,"="&amp;'DUN 2021'!AA10)+SUMIFS('UMUR 2021'!$AM$3:$AM$84,'UMUR 2021'!$AL$3:$AL$84,"="&amp;'DUN 2021'!AA10)+SUMIFS('UMUR 2021'!$AQ$3:$AQ$84,'UMUR 2021'!$AP$3:$AP$84,"="&amp;'DUN 2021'!AA10)+SUMIFS('UMUR 2021'!$AU$3:$AU$84,'UMUR 2021'!$AT$3:$AT$84,"="&amp;'DUN 2021'!AA10)+SUMIFS('UMUR 2021'!$AY$3:$AY$84,'UMUR 2021'!$AX$3:$AX$84,"="&amp;'DUN 2021'!AA10)+SUMIFS('UMUR 2021'!$BC$3:$BC$84,'UMUR 2021'!$BB$3:$BB$84,"="&amp;'DUN 2021'!AA10)+SUMIFS('UMUR 2021'!$BF$3:$BF$84,'UMUR 2021'!$BE$3:$BE$84,"="&amp;'DUN 2021'!AA10)</f>
        <v>21882</v>
      </c>
      <c r="AJ10" s="34">
        <f t="shared" si="14"/>
        <v>2.9327053878845304E-2</v>
      </c>
    </row>
    <row r="11" spans="1:36">
      <c r="A11" s="13" t="s">
        <v>28</v>
      </c>
      <c r="B11" s="14" t="s">
        <v>31</v>
      </c>
      <c r="C11" s="29" t="str">
        <f>IF('UMUR 2021'!AC11&lt;&gt;"",'UMUR 2021'!AC11,"")</f>
        <v>DAP</v>
      </c>
      <c r="D11" s="29" t="str">
        <f t="shared" si="1"/>
        <v>PH</v>
      </c>
      <c r="E11" s="29" t="str">
        <f t="shared" si="2"/>
        <v>PEMBANGKANG</v>
      </c>
      <c r="I11" s="29" t="s">
        <v>301</v>
      </c>
      <c r="J11" s="29" t="s">
        <v>279</v>
      </c>
      <c r="K11" s="29" t="str">
        <f t="shared" si="3"/>
        <v>PEMBANGKANG</v>
      </c>
      <c r="O11" s="29" t="str">
        <f t="shared" si="4"/>
        <v>PBK</v>
      </c>
      <c r="P11" s="29" t="str">
        <f t="shared" si="5"/>
        <v>LAIN-LAIN</v>
      </c>
      <c r="Q11" s="15">
        <f>COUNTIF('UMUR 2021'!$AC$3:$AC$84,'DUN 2021'!O11)+COUNTIF('UMUR 2021'!$AG$3:$AG$84,'DUN 2021'!O11)+COUNTIF('UMUR 2021'!$AK$3:$AK$84,'DUN 2021'!O11)+COUNTIF('UMUR 2021'!$AO$3:$AO$84,'DUN 2021'!O11)+COUNTIF('UMUR 2021'!$AS$3:$AS$84,'DUN 2021'!O11)+COUNTIF('UMUR 2021'!$AW$3:$AW$84,'DUN 2021'!O11)+COUNTIF('UMUR 2021'!$BA$3:$BA$84,'DUN 2021'!O11)+COUNTIF('UMUR 2021'!$BE$3:$BE$84,'DUN 2021'!O11)</f>
        <v>73</v>
      </c>
      <c r="R11" s="29">
        <f t="shared" si="6"/>
        <v>0</v>
      </c>
      <c r="S11" s="34">
        <f t="shared" si="7"/>
        <v>0</v>
      </c>
      <c r="T11" s="33">
        <f>COUNTIFS('UMUR 2021'!$AJ$3:$AJ$84,"&lt;12.50%",'UMUR 2021'!$AG$3:$AG$84,"="&amp;O11)+COUNTIFS('UMUR 2021'!$AN$3:$AN$84,"&lt;12.50%",'UMUR 2021'!$AK$3:$AK$84,"="&amp;O11)+COUNTIFS('UMUR 2021'!$AR$3:$AR$84,"&lt;12.50%",'UMUR 2021'!$AO$3:$AO$84,"="&amp;O11)+COUNTIFS('UMUR 2021'!$AV$3:$AV$84,"&lt;12.50%",'UMUR 2021'!$AS$3:$AS$84,"="&amp;O11)+COUNTIFS('UMUR 2021'!$AZ$3:$AZ$84,"&lt;12.50%",'UMUR 2021'!$AW$3:$AW$84,"="&amp;O11)+COUNTIFS('UMUR 2021'!$BD$3:$BD$84,"&lt;12.50%",'UMUR 2021'!$BA$3:$BA$84,"="&amp;O11)</f>
        <v>67</v>
      </c>
      <c r="U11" s="34">
        <f t="shared" si="8"/>
        <v>0.9178082191780822</v>
      </c>
      <c r="V11" s="29">
        <f>COUNTIF('UMUR 2021'!$AG$3:$AG$84,"="&amp;'DUN 2021'!O11)</f>
        <v>2</v>
      </c>
      <c r="W11" s="34">
        <f t="shared" si="9"/>
        <v>2.4390243902439025E-2</v>
      </c>
      <c r="AG11" s="56"/>
    </row>
    <row r="12" spans="1:36">
      <c r="A12" s="13" t="s">
        <v>29</v>
      </c>
      <c r="B12" s="14" t="s">
        <v>32</v>
      </c>
      <c r="C12" s="29" t="str">
        <f>IF('UMUR 2021'!AC12&lt;&gt;"",'UMUR 2021'!AC12,"")</f>
        <v>DAP</v>
      </c>
      <c r="D12" s="29" t="str">
        <f t="shared" si="1"/>
        <v>PH</v>
      </c>
      <c r="E12" s="29" t="str">
        <f t="shared" si="2"/>
        <v>PEMBANGKANG</v>
      </c>
      <c r="I12" s="29" t="s">
        <v>302</v>
      </c>
      <c r="J12" s="29" t="s">
        <v>279</v>
      </c>
      <c r="K12" s="29" t="str">
        <f t="shared" si="3"/>
        <v>PEMBANGKANG</v>
      </c>
      <c r="O12" s="29" t="str">
        <f t="shared" si="4"/>
        <v>ASPIRASI</v>
      </c>
      <c r="P12" s="29" t="str">
        <f t="shared" si="5"/>
        <v>LAIN-LAIN</v>
      </c>
      <c r="Q12" s="15">
        <f>COUNTIF('UMUR 2021'!$AC$3:$AC$84,'DUN 2021'!O12)+COUNTIF('UMUR 2021'!$AG$3:$AG$84,'DUN 2021'!O12)+COUNTIF('UMUR 2021'!$AK$3:$AK$84,'DUN 2021'!O12)+COUNTIF('UMUR 2021'!$AO$3:$AO$84,'DUN 2021'!O12)+COUNTIF('UMUR 2021'!$AS$3:$AS$84,'DUN 2021'!O12)+COUNTIF('UMUR 2021'!$AW$3:$AW$84,'DUN 2021'!O12)+COUNTIF('UMUR 2021'!$BA$3:$BA$84,'DUN 2021'!O12)+COUNTIF('UMUR 2021'!$BE$3:$BE$84,'DUN 2021'!O12)</f>
        <v>14</v>
      </c>
      <c r="R12" s="29">
        <f t="shared" si="6"/>
        <v>0</v>
      </c>
      <c r="S12" s="34">
        <f t="shared" si="7"/>
        <v>0</v>
      </c>
      <c r="T12" s="33">
        <f>COUNTIFS('UMUR 2021'!$AJ$3:$AJ$84,"&lt;12.50%",'UMUR 2021'!$AG$3:$AG$84,"="&amp;O12)+COUNTIFS('UMUR 2021'!$AN$3:$AN$84,"&lt;12.50%",'UMUR 2021'!$AK$3:$AK$84,"="&amp;O12)+COUNTIFS('UMUR 2021'!$AR$3:$AR$84,"&lt;12.50%",'UMUR 2021'!$AO$3:$AO$84,"="&amp;O12)+COUNTIFS('UMUR 2021'!$AV$3:$AV$84,"&lt;12.50%",'UMUR 2021'!$AS$3:$AS$84,"="&amp;O12)+COUNTIFS('UMUR 2021'!$AZ$3:$AZ$84,"&lt;12.50%",'UMUR 2021'!$AW$3:$AW$84,"="&amp;O12)+COUNTIFS('UMUR 2021'!$BD$3:$BD$84,"&lt;12.50%",'UMUR 2021'!$BA$3:$BA$84,"="&amp;O12)</f>
        <v>13</v>
      </c>
      <c r="U12" s="34">
        <f t="shared" si="8"/>
        <v>0.9285714285714286</v>
      </c>
      <c r="V12" s="29">
        <f>COUNTIF('UMUR 2021'!$AG$3:$AG$84,"="&amp;'DUN 2021'!O12)</f>
        <v>0</v>
      </c>
      <c r="W12" s="34">
        <f t="shared" si="9"/>
        <v>0</v>
      </c>
    </row>
    <row r="13" spans="1:36">
      <c r="A13" s="13" t="s">
        <v>30</v>
      </c>
      <c r="B13" s="14" t="s">
        <v>33</v>
      </c>
      <c r="C13" s="29" t="str">
        <f>IF('UMUR 2021'!AC13&lt;&gt;"",'UMUR 2021'!AC13,"")</f>
        <v>PSB</v>
      </c>
      <c r="D13" s="29" t="str">
        <f t="shared" si="1"/>
        <v>PSB</v>
      </c>
      <c r="E13" s="29" t="str">
        <f t="shared" si="2"/>
        <v>PEMBANGKANG</v>
      </c>
      <c r="I13" s="29" t="s">
        <v>303</v>
      </c>
      <c r="J13" s="29" t="s">
        <v>279</v>
      </c>
      <c r="K13" s="29" t="str">
        <f t="shared" si="3"/>
        <v>PEMBANGKANG</v>
      </c>
      <c r="O13" s="29" t="str">
        <f t="shared" si="4"/>
        <v>PBDSB</v>
      </c>
      <c r="P13" s="29" t="str">
        <f t="shared" si="5"/>
        <v>LAIN-LAIN</v>
      </c>
      <c r="Q13" s="15">
        <f>COUNTIF('UMUR 2021'!$AC$3:$AC$84,'DUN 2021'!O13)+COUNTIF('UMUR 2021'!$AG$3:$AG$84,'DUN 2021'!O13)+COUNTIF('UMUR 2021'!$AK$3:$AK$84,'DUN 2021'!O13)+COUNTIF('UMUR 2021'!$AO$3:$AO$84,'DUN 2021'!O13)+COUNTIF('UMUR 2021'!$AS$3:$AS$84,'DUN 2021'!O13)+COUNTIF('UMUR 2021'!$AW$3:$AW$84,'DUN 2021'!O13)+COUNTIF('UMUR 2021'!$BA$3:$BA$84,'DUN 2021'!O13)+COUNTIF('UMUR 2021'!$BE$3:$BE$84,'DUN 2021'!O13)</f>
        <v>11</v>
      </c>
      <c r="R13" s="29">
        <f t="shared" si="6"/>
        <v>0</v>
      </c>
      <c r="S13" s="34">
        <f t="shared" si="7"/>
        <v>0</v>
      </c>
      <c r="T13" s="33">
        <f>COUNTIFS('UMUR 2021'!$AJ$3:$AJ$84,"&lt;12.50%",'UMUR 2021'!$AG$3:$AG$84,"="&amp;O13)+COUNTIFS('UMUR 2021'!$AN$3:$AN$84,"&lt;12.50%",'UMUR 2021'!$AK$3:$AK$84,"="&amp;O13)+COUNTIFS('UMUR 2021'!$AR$3:$AR$84,"&lt;12.50%",'UMUR 2021'!$AO$3:$AO$84,"="&amp;O13)+COUNTIFS('UMUR 2021'!$AV$3:$AV$84,"&lt;12.50%",'UMUR 2021'!$AS$3:$AS$84,"="&amp;O13)+COUNTIFS('UMUR 2021'!$AZ$3:$AZ$84,"&lt;12.50%",'UMUR 2021'!$AW$3:$AW$84,"="&amp;O13)+COUNTIFS('UMUR 2021'!$BD$3:$BD$84,"&lt;12.50%",'UMUR 2021'!$BA$3:$BA$84,"="&amp;O13)</f>
        <v>11</v>
      </c>
      <c r="U13" s="34">
        <f t="shared" si="8"/>
        <v>1</v>
      </c>
      <c r="V13" s="29">
        <f>COUNTIF('UMUR 2021'!$AG$3:$AG$84,"="&amp;'DUN 2021'!O13)</f>
        <v>0</v>
      </c>
      <c r="W13" s="34">
        <f t="shared" si="9"/>
        <v>0</v>
      </c>
    </row>
    <row r="14" spans="1:36">
      <c r="A14" s="13" t="s">
        <v>36</v>
      </c>
      <c r="B14" s="14" t="s">
        <v>39</v>
      </c>
      <c r="C14" s="29" t="str">
        <f>IF('UMUR 2021'!AC14&lt;&gt;"",'UMUR 2021'!AC14,"")</f>
        <v>SUPP</v>
      </c>
      <c r="D14" s="29" t="str">
        <f t="shared" si="1"/>
        <v>GPS</v>
      </c>
      <c r="E14" s="29" t="str">
        <f t="shared" si="2"/>
        <v>KERAJAAN</v>
      </c>
      <c r="I14" s="29" t="s">
        <v>304</v>
      </c>
      <c r="J14" s="29" t="s">
        <v>279</v>
      </c>
      <c r="K14" s="29" t="str">
        <f t="shared" si="3"/>
        <v>PEMBANGKANG</v>
      </c>
      <c r="O14" s="29" t="str">
        <f t="shared" si="4"/>
        <v>SEDAR</v>
      </c>
      <c r="P14" s="29" t="str">
        <f t="shared" si="5"/>
        <v>LAIN-LAIN</v>
      </c>
      <c r="Q14" s="15">
        <f>COUNTIF('UMUR 2021'!$AC$3:$AC$84,'DUN 2021'!O14)+COUNTIF('UMUR 2021'!$AG$3:$AG$84,'DUN 2021'!O14)+COUNTIF('UMUR 2021'!$AK$3:$AK$84,'DUN 2021'!O14)+COUNTIF('UMUR 2021'!$AO$3:$AO$84,'DUN 2021'!O14)+COUNTIF('UMUR 2021'!$AS$3:$AS$84,'DUN 2021'!O14)+COUNTIF('UMUR 2021'!$AW$3:$AW$84,'DUN 2021'!O14)+COUNTIF('UMUR 2021'!$BA$3:$BA$84,'DUN 2021'!O14)+COUNTIF('UMUR 2021'!$BE$3:$BE$84,'DUN 2021'!O14)</f>
        <v>5</v>
      </c>
      <c r="R14" s="29">
        <f t="shared" si="6"/>
        <v>0</v>
      </c>
      <c r="S14" s="34">
        <f t="shared" si="7"/>
        <v>0</v>
      </c>
      <c r="T14" s="33">
        <f>COUNTIFS('UMUR 2021'!$AJ$3:$AJ$84,"&lt;12.50%",'UMUR 2021'!$AG$3:$AG$84,"="&amp;O14)+COUNTIFS('UMUR 2021'!$AN$3:$AN$84,"&lt;12.50%",'UMUR 2021'!$AK$3:$AK$84,"="&amp;O14)+COUNTIFS('UMUR 2021'!$AR$3:$AR$84,"&lt;12.50%",'UMUR 2021'!$AO$3:$AO$84,"="&amp;O14)+COUNTIFS('UMUR 2021'!$AV$3:$AV$84,"&lt;12.50%",'UMUR 2021'!$AS$3:$AS$84,"="&amp;O14)+COUNTIFS('UMUR 2021'!$AZ$3:$AZ$84,"&lt;12.50%",'UMUR 2021'!$AW$3:$AW$84,"="&amp;O14)+COUNTIFS('UMUR 2021'!$BD$3:$BD$84,"&lt;12.50%",'UMUR 2021'!$BA$3:$BA$84,"="&amp;O14)</f>
        <v>5</v>
      </c>
      <c r="U14" s="34">
        <f t="shared" si="8"/>
        <v>1</v>
      </c>
      <c r="V14" s="29">
        <f>COUNTIF('UMUR 2021'!$AG$3:$AG$84,"="&amp;'DUN 2021'!O14)</f>
        <v>0</v>
      </c>
      <c r="W14" s="34">
        <f t="shared" si="9"/>
        <v>0</v>
      </c>
    </row>
    <row r="15" spans="1:36">
      <c r="A15" s="13" t="s">
        <v>37</v>
      </c>
      <c r="B15" s="14" t="s">
        <v>40</v>
      </c>
      <c r="C15" s="29" t="str">
        <f>IF('UMUR 2021'!AC15&lt;&gt;"",'UMUR 2021'!AC15,"")</f>
        <v>SUPP</v>
      </c>
      <c r="D15" s="29" t="str">
        <f t="shared" si="1"/>
        <v>GPS</v>
      </c>
      <c r="E15" s="29" t="str">
        <f t="shared" si="2"/>
        <v>KERAJAAN</v>
      </c>
      <c r="I15" s="29" t="s">
        <v>250</v>
      </c>
      <c r="J15" s="29" t="s">
        <v>246</v>
      </c>
      <c r="K15" s="29" t="str">
        <f t="shared" si="3"/>
        <v>BEBAS</v>
      </c>
      <c r="O15" s="29" t="str">
        <f t="shared" si="4"/>
        <v>PAS</v>
      </c>
      <c r="P15" s="29" t="str">
        <f t="shared" si="5"/>
        <v>PN</v>
      </c>
      <c r="Q15" s="15">
        <f>COUNTIF('UMUR 2021'!$AC$3:$AC$84,'DUN 2021'!O15)+COUNTIF('UMUR 2021'!$AG$3:$AG$84,'DUN 2021'!O15)+COUNTIF('UMUR 2021'!$AK$3:$AK$84,'DUN 2021'!O15)+COUNTIF('UMUR 2021'!$AO$3:$AO$84,'DUN 2021'!O15)+COUNTIF('UMUR 2021'!$AS$3:$AS$84,'DUN 2021'!O15)+COUNTIF('UMUR 2021'!$AW$3:$AW$84,'DUN 2021'!O15)+COUNTIF('UMUR 2021'!$BA$3:$BA$84,'DUN 2021'!O15)+COUNTIF('UMUR 2021'!$BE$3:$BE$84,'DUN 2021'!O15)</f>
        <v>1</v>
      </c>
      <c r="R15" s="29">
        <f t="shared" si="6"/>
        <v>0</v>
      </c>
      <c r="S15" s="34">
        <f t="shared" si="7"/>
        <v>0</v>
      </c>
      <c r="T15" s="33">
        <f>COUNTIFS('UMUR 2021'!$AJ$3:$AJ$84,"&lt;12.50%",'UMUR 2021'!$AG$3:$AG$84,"="&amp;O15)+COUNTIFS('UMUR 2021'!$AN$3:$AN$84,"&lt;12.50%",'UMUR 2021'!$AK$3:$AK$84,"="&amp;O15)+COUNTIFS('UMUR 2021'!$AR$3:$AR$84,"&lt;12.50%",'UMUR 2021'!$AO$3:$AO$84,"="&amp;O15)+COUNTIFS('UMUR 2021'!$AV$3:$AV$84,"&lt;12.50%",'UMUR 2021'!$AS$3:$AS$84,"="&amp;O15)+COUNTIFS('UMUR 2021'!$AZ$3:$AZ$84,"&lt;12.50%",'UMUR 2021'!$AW$3:$AW$84,"="&amp;O15)+COUNTIFS('UMUR 2021'!$BD$3:$BD$84,"&lt;12.50%",'UMUR 2021'!$BA$3:$BA$84,"="&amp;O15)</f>
        <v>0</v>
      </c>
      <c r="U15" s="34">
        <f t="shared" si="8"/>
        <v>0</v>
      </c>
      <c r="V15" s="29">
        <f>COUNTIF('UMUR 2021'!$AG$3:$AG$84,"="&amp;'DUN 2021'!O15)</f>
        <v>1</v>
      </c>
      <c r="W15" s="34">
        <f t="shared" si="9"/>
        <v>1.2195121951219513E-2</v>
      </c>
    </row>
    <row r="16" spans="1:36">
      <c r="A16" s="13" t="s">
        <v>38</v>
      </c>
      <c r="B16" s="14" t="s">
        <v>41</v>
      </c>
      <c r="C16" s="29" t="str">
        <f>IF('UMUR 2021'!AC16&lt;&gt;"",'UMUR 2021'!AC16,"")</f>
        <v>SUPP</v>
      </c>
      <c r="D16" s="29" t="str">
        <f t="shared" si="1"/>
        <v>GPS</v>
      </c>
      <c r="E16" s="29" t="str">
        <f t="shared" si="2"/>
        <v>KERAJAAN</v>
      </c>
      <c r="I16" s="29" t="s">
        <v>248</v>
      </c>
      <c r="J16" s="29" t="s">
        <v>246</v>
      </c>
      <c r="K16" s="29" t="str">
        <f t="shared" si="3"/>
        <v>BEBAS</v>
      </c>
      <c r="O16" s="29" t="str">
        <f t="shared" si="4"/>
        <v>BERSATU</v>
      </c>
      <c r="P16" s="29" t="str">
        <f t="shared" si="5"/>
        <v>PN</v>
      </c>
      <c r="Q16" s="15">
        <f>COUNTIF('UMUR 2021'!$AC$3:$AC$84,'DUN 2021'!O16)+COUNTIF('UMUR 2021'!$AG$3:$AG$84,'DUN 2021'!O16)+COUNTIF('UMUR 2021'!$AK$3:$AK$84,'DUN 2021'!O16)+COUNTIF('UMUR 2021'!$AO$3:$AO$84,'DUN 2021'!O16)+COUNTIF('UMUR 2021'!$AS$3:$AS$84,'DUN 2021'!O16)+COUNTIF('UMUR 2021'!$AW$3:$AW$84,'DUN 2021'!O16)+COUNTIF('UMUR 2021'!$BA$3:$BA$84,'DUN 2021'!O16)+COUNTIF('UMUR 2021'!$BE$3:$BE$84,'DUN 2021'!O16)</f>
        <v>0</v>
      </c>
      <c r="R16" s="29">
        <f t="shared" si="6"/>
        <v>0</v>
      </c>
      <c r="S16" s="34" t="e">
        <f t="shared" si="7"/>
        <v>#DIV/0!</v>
      </c>
      <c r="T16" s="33">
        <f>COUNTIFS('UMUR 2021'!$AJ$3:$AJ$84,"&lt;12.50%",'UMUR 2021'!$AG$3:$AG$84,"="&amp;O16)+COUNTIFS('UMUR 2021'!$AN$3:$AN$84,"&lt;12.50%",'UMUR 2021'!$AK$3:$AK$84,"="&amp;O16)+COUNTIFS('UMUR 2021'!$AR$3:$AR$84,"&lt;12.50%",'UMUR 2021'!$AO$3:$AO$84,"="&amp;O16)+COUNTIFS('UMUR 2021'!$AV$3:$AV$84,"&lt;12.50%",'UMUR 2021'!$AS$3:$AS$84,"="&amp;O16)+COUNTIFS('UMUR 2021'!$AZ$3:$AZ$84,"&lt;12.50%",'UMUR 2021'!$AW$3:$AW$84,"="&amp;O16)+COUNTIFS('UMUR 2021'!$BD$3:$BD$84,"&lt;12.50%",'UMUR 2021'!$BA$3:$BA$84,"="&amp;O16)</f>
        <v>0</v>
      </c>
      <c r="U16" s="34" t="e">
        <f t="shared" si="8"/>
        <v>#DIV/0!</v>
      </c>
      <c r="V16" s="29">
        <f>COUNTIF('UMUR 2021'!$AG$3:$AG$84,"="&amp;'DUN 2021'!O16)</f>
        <v>0</v>
      </c>
      <c r="W16" s="34">
        <f t="shared" si="9"/>
        <v>0</v>
      </c>
    </row>
    <row r="17" spans="1:35">
      <c r="A17" s="13" t="s">
        <v>44</v>
      </c>
      <c r="B17" s="14" t="s">
        <v>47</v>
      </c>
      <c r="C17" s="29" t="str">
        <f>IF('UMUR 2021'!AC17&lt;&gt;"",'UMUR 2021'!AC17,"")</f>
        <v>PBB</v>
      </c>
      <c r="D17" s="29" t="str">
        <f t="shared" si="1"/>
        <v>GPS</v>
      </c>
      <c r="E17" s="29" t="str">
        <f t="shared" si="2"/>
        <v>KERAJAAN</v>
      </c>
      <c r="I17" s="29" t="s">
        <v>305</v>
      </c>
      <c r="J17" s="29" t="s">
        <v>305</v>
      </c>
      <c r="K17" s="29" t="str">
        <f t="shared" si="3"/>
        <v>KERAJAAN</v>
      </c>
      <c r="O17" s="29" t="str">
        <f t="shared" si="4"/>
        <v>BEBAS - K</v>
      </c>
      <c r="P17" s="29" t="str">
        <f t="shared" si="5"/>
        <v>BEBAS - K</v>
      </c>
      <c r="Q17" s="15">
        <f>COUNTIF('UMUR 2021'!$AC$3:$AC$84,'DUN 2021'!O17)+COUNTIF('UMUR 2021'!$AG$3:$AG$84,'DUN 2021'!O17)+COUNTIF('UMUR 2021'!$AK$3:$AK$84,'DUN 2021'!O17)+COUNTIF('UMUR 2021'!$AO$3:$AO$84,'DUN 2021'!O17)+COUNTIF('UMUR 2021'!$AS$3:$AS$84,'DUN 2021'!O17)+COUNTIF('UMUR 2021'!$AW$3:$AW$84,'DUN 2021'!O17)+COUNTIF('UMUR 2021'!$BA$3:$BA$84,'DUN 2021'!O17)+COUNTIF('UMUR 2021'!$BE$3:$BE$84,'DUN 2021'!O17)</f>
        <v>0</v>
      </c>
      <c r="R17" s="29">
        <f t="shared" si="6"/>
        <v>0</v>
      </c>
      <c r="S17" s="34" t="e">
        <f t="shared" si="7"/>
        <v>#DIV/0!</v>
      </c>
      <c r="T17" s="33">
        <f>COUNTIFS('UMUR 2021'!$AJ$3:$AJ$84,"&lt;12.50%",'UMUR 2021'!$AG$3:$AG$84,"="&amp;O17)+COUNTIFS('UMUR 2021'!$AN$3:$AN$84,"&lt;12.50%",'UMUR 2021'!$AK$3:$AK$84,"="&amp;O17)+COUNTIFS('UMUR 2021'!$AR$3:$AR$84,"&lt;12.50%",'UMUR 2021'!$AO$3:$AO$84,"="&amp;O17)+COUNTIFS('UMUR 2021'!$AV$3:$AV$84,"&lt;12.50%",'UMUR 2021'!$AS$3:$AS$84,"="&amp;O17)+COUNTIFS('UMUR 2021'!$AZ$3:$AZ$84,"&lt;12.50%",'UMUR 2021'!$AW$3:$AW$84,"="&amp;O17)+COUNTIFS('UMUR 2021'!$BD$3:$BD$84,"&lt;12.50%",'UMUR 2021'!$BA$3:$BA$84,"="&amp;O17)</f>
        <v>0</v>
      </c>
      <c r="U17" s="34" t="e">
        <f t="shared" si="8"/>
        <v>#DIV/0!</v>
      </c>
      <c r="V17" s="29">
        <f>COUNTIF('UMUR 2021'!$AG$3:$AG$84,"="&amp;'DUN 2021'!O17)</f>
        <v>0</v>
      </c>
      <c r="W17" s="34">
        <f t="shared" si="9"/>
        <v>0</v>
      </c>
    </row>
    <row r="18" spans="1:35">
      <c r="A18" s="13" t="s">
        <v>45</v>
      </c>
      <c r="B18" s="14" t="s">
        <v>48</v>
      </c>
      <c r="C18" s="29" t="str">
        <f>IF('UMUR 2021'!AC18&lt;&gt;"",'UMUR 2021'!AC18,"")</f>
        <v>PBB</v>
      </c>
      <c r="D18" s="29" t="str">
        <f t="shared" si="1"/>
        <v>GPS</v>
      </c>
      <c r="E18" s="29" t="str">
        <f t="shared" si="2"/>
        <v>KERAJAAN</v>
      </c>
      <c r="I18" s="29" t="s">
        <v>306</v>
      </c>
      <c r="J18" s="29" t="s">
        <v>306</v>
      </c>
      <c r="K18" s="29" t="str">
        <f t="shared" si="3"/>
        <v>PEMBANGKANG</v>
      </c>
      <c r="O18" s="29" t="str">
        <f t="shared" si="4"/>
        <v>BEBAS - P</v>
      </c>
      <c r="P18" s="29" t="str">
        <f t="shared" si="5"/>
        <v>BEBAS - P</v>
      </c>
      <c r="Q18" s="15">
        <f>COUNTIF('UMUR 2021'!$AC$3:$AC$84,'DUN 2021'!O18)+COUNTIF('UMUR 2021'!$AG$3:$AG$84,'DUN 2021'!O18)+COUNTIF('UMUR 2021'!$AK$3:$AK$84,'DUN 2021'!O18)+COUNTIF('UMUR 2021'!$AO$3:$AO$84,'DUN 2021'!O18)+COUNTIF('UMUR 2021'!$AS$3:$AS$84,'DUN 2021'!O18)+COUNTIF('UMUR 2021'!$AW$3:$AW$84,'DUN 2021'!O18)+COUNTIF('UMUR 2021'!$BA$3:$BA$84,'DUN 2021'!O18)+COUNTIF('UMUR 2021'!$BE$3:$BE$84,'DUN 2021'!O18)</f>
        <v>0</v>
      </c>
      <c r="R18" s="29">
        <f t="shared" si="6"/>
        <v>0</v>
      </c>
      <c r="S18" s="34" t="e">
        <f t="shared" si="7"/>
        <v>#DIV/0!</v>
      </c>
      <c r="T18" s="33">
        <f>COUNTIFS('UMUR 2021'!$AJ$3:$AJ$84,"&lt;12.50%",'UMUR 2021'!$AG$3:$AG$84,"="&amp;O18)+COUNTIFS('UMUR 2021'!$AN$3:$AN$84,"&lt;12.50%",'UMUR 2021'!$AK$3:$AK$84,"="&amp;O18)+COUNTIFS('UMUR 2021'!$AR$3:$AR$84,"&lt;12.50%",'UMUR 2021'!$AO$3:$AO$84,"="&amp;O18)+COUNTIFS('UMUR 2021'!$AV$3:$AV$84,"&lt;12.50%",'UMUR 2021'!$AS$3:$AS$84,"="&amp;O18)+COUNTIFS('UMUR 2021'!$AZ$3:$AZ$84,"&lt;12.50%",'UMUR 2021'!$AW$3:$AW$84,"="&amp;O18)+COUNTIFS('UMUR 2021'!$BD$3:$BD$84,"&lt;12.50%",'UMUR 2021'!$BA$3:$BA$84,"="&amp;O18)</f>
        <v>0</v>
      </c>
      <c r="U18" s="34" t="e">
        <f t="shared" si="8"/>
        <v>#DIV/0!</v>
      </c>
      <c r="V18" s="29">
        <f>COUNTIF('UMUR 2021'!$AG$3:$AG$84,"="&amp;'DUN 2021'!O18)</f>
        <v>0</v>
      </c>
      <c r="W18" s="34">
        <f t="shared" si="9"/>
        <v>0</v>
      </c>
    </row>
    <row r="19" spans="1:35">
      <c r="A19" s="13" t="s">
        <v>46</v>
      </c>
      <c r="B19" s="14" t="s">
        <v>49</v>
      </c>
      <c r="C19" s="29" t="str">
        <f>IF('UMUR 2021'!AC19&lt;&gt;"",'UMUR 2021'!AC19,"")</f>
        <v>PBB</v>
      </c>
      <c r="D19" s="29" t="str">
        <f t="shared" si="1"/>
        <v>GPS</v>
      </c>
      <c r="E19" s="29" t="str">
        <f t="shared" si="2"/>
        <v>KERAJAAN</v>
      </c>
      <c r="I19" s="29" t="s">
        <v>251</v>
      </c>
      <c r="J19" s="29" t="s">
        <v>251</v>
      </c>
      <c r="K19" s="29" t="str">
        <f t="shared" si="3"/>
        <v>BEBAS</v>
      </c>
      <c r="O19" s="29" t="str">
        <f t="shared" si="4"/>
        <v>BEBAS</v>
      </c>
      <c r="P19" s="29" t="str">
        <f t="shared" si="5"/>
        <v>BEBAS</v>
      </c>
      <c r="Q19" s="15">
        <f>COUNTIF('UMUR 2021'!$AC$3:$AC$84,'DUN 2021'!O19)+COUNTIF('UMUR 2021'!$AG$3:$AG$84,'DUN 2021'!O19)+COUNTIF('UMUR 2021'!$AK$3:$AK$84,'DUN 2021'!O19)+COUNTIF('UMUR 2021'!$AO$3:$AO$84,'DUN 2021'!O19)+COUNTIF('UMUR 2021'!$AS$3:$AS$84,'DUN 2021'!O19)+COUNTIF('UMUR 2021'!$AW$3:$AW$84,'DUN 2021'!O19)+COUNTIF('UMUR 2021'!$BA$3:$BA$84,'DUN 2021'!O19)+COUNTIF('UMUR 2021'!$BE$3:$BE$84,'DUN 2021'!O19)</f>
        <v>31</v>
      </c>
      <c r="R19" s="29">
        <f t="shared" si="6"/>
        <v>0</v>
      </c>
      <c r="S19" s="34">
        <f t="shared" si="7"/>
        <v>0</v>
      </c>
      <c r="T19" s="33">
        <f>COUNTIFS('UMUR 2021'!$AJ$3:$AJ$84,"&lt;12.50%",'UMUR 2021'!$AG$3:$AG$84,"="&amp;O19)+COUNTIFS('UMUR 2021'!$AN$3:$AN$84,"&lt;12.50%",'UMUR 2021'!$AK$3:$AK$84,"="&amp;O19)+COUNTIFS('UMUR 2021'!$AR$3:$AR$84,"&lt;12.50%",'UMUR 2021'!$AO$3:$AO$84,"="&amp;O19)+COUNTIFS('UMUR 2021'!$AV$3:$AV$84,"&lt;12.50%",'UMUR 2021'!$AS$3:$AS$84,"="&amp;O19)+COUNTIFS('UMUR 2021'!$AZ$3:$AZ$84,"&lt;12.50%",'UMUR 2021'!$AW$3:$AW$84,"="&amp;O19)+COUNTIFS('UMUR 2021'!$BD$3:$BD$84,"&lt;12.50%",'UMUR 2021'!$BA$3:$BA$84,"="&amp;O19)</f>
        <v>23</v>
      </c>
      <c r="U19" s="34">
        <f t="shared" si="8"/>
        <v>0.74193548387096775</v>
      </c>
      <c r="V19" s="29">
        <f>COUNTIF('UMUR 2021'!$AG$3:$AG$84,"="&amp;'DUN 2021'!O19)</f>
        <v>6</v>
      </c>
      <c r="W19" s="34">
        <f t="shared" si="9"/>
        <v>7.3170731707317069E-2</v>
      </c>
    </row>
    <row r="20" spans="1:35">
      <c r="A20" s="13" t="s">
        <v>52</v>
      </c>
      <c r="B20" s="14" t="s">
        <v>55</v>
      </c>
      <c r="C20" s="29" t="str">
        <f>IF('UMUR 2021'!AC20&lt;&gt;"",'UMUR 2021'!AC20,"")</f>
        <v>PBB</v>
      </c>
      <c r="D20" s="29" t="str">
        <f t="shared" si="1"/>
        <v>GPS</v>
      </c>
      <c r="E20" s="29" t="str">
        <f t="shared" si="2"/>
        <v>KERAJAAN</v>
      </c>
      <c r="I20" s="29"/>
      <c r="J20" s="29"/>
      <c r="K20" s="29"/>
    </row>
    <row r="21" spans="1:35">
      <c r="A21" s="13" t="s">
        <v>53</v>
      </c>
      <c r="B21" s="14" t="s">
        <v>56</v>
      </c>
      <c r="C21" s="29" t="str">
        <f>IF('UMUR 2021'!AC21&lt;&gt;"",'UMUR 2021'!AC21,"")</f>
        <v>PBB</v>
      </c>
      <c r="D21" s="29" t="str">
        <f t="shared" si="1"/>
        <v>GPS</v>
      </c>
      <c r="E21" s="29" t="str">
        <f t="shared" si="2"/>
        <v>KERAJAAN</v>
      </c>
      <c r="I21" s="29"/>
      <c r="J21" s="29"/>
      <c r="K21" s="29"/>
    </row>
    <row r="22" spans="1:35">
      <c r="A22" s="13" t="s">
        <v>54</v>
      </c>
      <c r="B22" s="14" t="s">
        <v>57</v>
      </c>
      <c r="C22" s="29" t="str">
        <f>IF('UMUR 2021'!AC22&lt;&gt;"",'UMUR 2021'!AC22,"")</f>
        <v>PBB</v>
      </c>
      <c r="D22" s="29" t="str">
        <f t="shared" si="1"/>
        <v>GPS</v>
      </c>
      <c r="E22" s="29" t="str">
        <f t="shared" si="2"/>
        <v>KERAJAAN</v>
      </c>
      <c r="I22" s="29"/>
      <c r="J22" s="29"/>
      <c r="K22" s="29"/>
    </row>
    <row r="23" spans="1:35">
      <c r="A23" s="13" t="s">
        <v>60</v>
      </c>
      <c r="B23" s="14" t="s">
        <v>63</v>
      </c>
      <c r="C23" s="29" t="str">
        <f>IF('UMUR 2021'!AC23&lt;&gt;"",'UMUR 2021'!AC23,"")</f>
        <v>PBB</v>
      </c>
      <c r="D23" s="29" t="str">
        <f t="shared" si="1"/>
        <v>GPS</v>
      </c>
      <c r="E23" s="29" t="str">
        <f t="shared" si="2"/>
        <v>KERAJAAN</v>
      </c>
      <c r="I23" s="29"/>
      <c r="J23" s="29"/>
      <c r="K23" s="29"/>
    </row>
    <row r="24" spans="1:35">
      <c r="A24" s="13" t="s">
        <v>61</v>
      </c>
      <c r="B24" s="14" t="s">
        <v>64</v>
      </c>
      <c r="C24" s="29" t="str">
        <f>IF('UMUR 2021'!AC24&lt;&gt;"",'UMUR 2021'!AC24,"")</f>
        <v>PBB</v>
      </c>
      <c r="D24" s="29" t="str">
        <f t="shared" si="1"/>
        <v>GPS</v>
      </c>
      <c r="E24" s="29" t="str">
        <f t="shared" si="2"/>
        <v>KERAJAAN</v>
      </c>
    </row>
    <row r="25" spans="1:35" ht="15">
      <c r="A25" s="13" t="s">
        <v>62</v>
      </c>
      <c r="B25" s="14" t="s">
        <v>65</v>
      </c>
      <c r="C25" s="29" t="str">
        <f>IF('UMUR 2021'!AC25&lt;&gt;"",'UMUR 2021'!AC25,"")</f>
        <v>PBB</v>
      </c>
      <c r="D25" s="29" t="str">
        <f t="shared" si="1"/>
        <v>GPS</v>
      </c>
      <c r="E25" s="29" t="str">
        <f t="shared" si="2"/>
        <v>KERAJAAN</v>
      </c>
      <c r="O25" s="57"/>
      <c r="P25" s="36" t="s">
        <v>235</v>
      </c>
      <c r="Q25" s="58">
        <f>SUM(Q3:Q19)</f>
        <v>349</v>
      </c>
      <c r="R25" s="58">
        <f>SUM(R3:R19)</f>
        <v>82</v>
      </c>
      <c r="S25" s="32">
        <f t="shared" ref="S25" si="17">R25/Q25</f>
        <v>0.23495702005730659</v>
      </c>
      <c r="T25" s="58">
        <f>SUM(T3:T19)</f>
        <v>169</v>
      </c>
      <c r="U25" s="32">
        <f t="shared" ref="U25" si="18">T25/Q25</f>
        <v>0.48424068767908307</v>
      </c>
      <c r="V25" s="58">
        <f>SUM(V3:V19)</f>
        <v>82</v>
      </c>
      <c r="Z25" s="57"/>
      <c r="AA25" s="36" t="s">
        <v>235</v>
      </c>
      <c r="AB25" s="58">
        <f>SUM(AB3:AB10)</f>
        <v>349</v>
      </c>
      <c r="AC25" s="58">
        <f>SUM(AC3:AC10)</f>
        <v>82</v>
      </c>
      <c r="AD25" s="32">
        <f t="shared" ref="AD25" si="19">AC25/AB25</f>
        <v>0.23495702005730659</v>
      </c>
      <c r="AE25" s="58">
        <f>SUM(AE3:AE10)</f>
        <v>169</v>
      </c>
      <c r="AF25" s="32">
        <f t="shared" ref="AF25" si="20">AE25/AB25</f>
        <v>0.48424068767908307</v>
      </c>
      <c r="AG25" s="58">
        <f>SUM(AG3:AG10)</f>
        <v>82</v>
      </c>
      <c r="AI25" s="58">
        <f>SUM(AI3:AI10)</f>
        <v>746137</v>
      </c>
    </row>
    <row r="26" spans="1:35">
      <c r="A26" s="13" t="s">
        <v>68</v>
      </c>
      <c r="B26" s="14" t="s">
        <v>71</v>
      </c>
      <c r="C26" s="29" t="str">
        <f>IF('UMUR 2021'!AC26&lt;&gt;"",'UMUR 2021'!AC26,"")</f>
        <v>PBB</v>
      </c>
      <c r="D26" s="29" t="str">
        <f t="shared" si="1"/>
        <v>GPS</v>
      </c>
      <c r="E26" s="29" t="str">
        <f t="shared" si="2"/>
        <v>KERAJAAN</v>
      </c>
    </row>
    <row r="27" spans="1:35">
      <c r="A27" s="13" t="s">
        <v>69</v>
      </c>
      <c r="B27" s="14" t="s">
        <v>72</v>
      </c>
      <c r="C27" s="29" t="str">
        <f>IF('UMUR 2021'!AC27&lt;&gt;"",'UMUR 2021'!AC27,"")</f>
        <v>PBB</v>
      </c>
      <c r="D27" s="29" t="str">
        <f t="shared" si="1"/>
        <v>GPS</v>
      </c>
      <c r="E27" s="29" t="str">
        <f t="shared" si="2"/>
        <v>KERAJAAN</v>
      </c>
    </row>
    <row r="28" spans="1:35">
      <c r="A28" s="13" t="s">
        <v>70</v>
      </c>
      <c r="B28" s="14" t="s">
        <v>73</v>
      </c>
      <c r="C28" s="29" t="str">
        <f>IF('UMUR 2021'!AC28&lt;&gt;"",'UMUR 2021'!AC28,"")</f>
        <v>PBB</v>
      </c>
      <c r="D28" s="29" t="str">
        <f t="shared" si="1"/>
        <v>GPS</v>
      </c>
      <c r="E28" s="29" t="str">
        <f t="shared" si="2"/>
        <v>KERAJAAN</v>
      </c>
    </row>
    <row r="29" spans="1:35">
      <c r="A29" s="13" t="s">
        <v>76</v>
      </c>
      <c r="B29" s="14" t="s">
        <v>79</v>
      </c>
      <c r="C29" s="29" t="str">
        <f>IF('UMUR 2021'!AC29&lt;&gt;"",'UMUR 2021'!AC29,"")</f>
        <v>PBB</v>
      </c>
      <c r="D29" s="29" t="str">
        <f t="shared" si="1"/>
        <v>GPS</v>
      </c>
      <c r="E29" s="29" t="str">
        <f t="shared" si="2"/>
        <v>KERAJAAN</v>
      </c>
    </row>
    <row r="30" spans="1:35">
      <c r="A30" s="13" t="s">
        <v>77</v>
      </c>
      <c r="B30" s="14" t="s">
        <v>80</v>
      </c>
      <c r="C30" s="29" t="str">
        <f>IF('UMUR 2021'!AC30&lt;&gt;"",'UMUR 2021'!AC30,"")</f>
        <v>PBB</v>
      </c>
      <c r="D30" s="29" t="str">
        <f t="shared" si="1"/>
        <v>GPS</v>
      </c>
      <c r="E30" s="29" t="str">
        <f t="shared" si="2"/>
        <v>KERAJAAN</v>
      </c>
    </row>
    <row r="31" spans="1:35">
      <c r="A31" s="13" t="s">
        <v>78</v>
      </c>
      <c r="B31" s="14" t="s">
        <v>81</v>
      </c>
      <c r="C31" s="29" t="str">
        <f>IF('UMUR 2021'!AC31&lt;&gt;"",'UMUR 2021'!AC31,"")</f>
        <v>PBB</v>
      </c>
      <c r="D31" s="29" t="str">
        <f t="shared" si="1"/>
        <v>GPS</v>
      </c>
      <c r="E31" s="29" t="str">
        <f t="shared" si="2"/>
        <v>KERAJAAN</v>
      </c>
    </row>
    <row r="32" spans="1:35">
      <c r="A32" s="13" t="s">
        <v>84</v>
      </c>
      <c r="B32" s="14" t="s">
        <v>87</v>
      </c>
      <c r="C32" s="29" t="str">
        <f>IF('UMUR 2021'!AC32&lt;&gt;"",'UMUR 2021'!AC32,"")</f>
        <v>PRS</v>
      </c>
      <c r="D32" s="29" t="str">
        <f t="shared" si="1"/>
        <v>GPS</v>
      </c>
      <c r="E32" s="29" t="str">
        <f t="shared" si="2"/>
        <v>KERAJAAN</v>
      </c>
    </row>
    <row r="33" spans="1:16">
      <c r="A33" s="13" t="s">
        <v>85</v>
      </c>
      <c r="B33" s="14" t="s">
        <v>88</v>
      </c>
      <c r="C33" s="29" t="str">
        <f>IF('UMUR 2021'!AC33&lt;&gt;"",'UMUR 2021'!AC33,"")</f>
        <v>PRS</v>
      </c>
      <c r="D33" s="29" t="str">
        <f t="shared" si="1"/>
        <v>GPS</v>
      </c>
      <c r="E33" s="29" t="str">
        <f t="shared" si="2"/>
        <v>KERAJAAN</v>
      </c>
    </row>
    <row r="34" spans="1:16" ht="15">
      <c r="A34" s="13" t="s">
        <v>86</v>
      </c>
      <c r="B34" s="14" t="s">
        <v>89</v>
      </c>
      <c r="C34" s="29" t="str">
        <f>IF('UMUR 2021'!AC34&lt;&gt;"",'UMUR 2021'!AC34,"")</f>
        <v>SUPP</v>
      </c>
      <c r="D34" s="29" t="str">
        <f t="shared" si="1"/>
        <v>GPS</v>
      </c>
      <c r="E34" s="29" t="str">
        <f t="shared" si="2"/>
        <v>KERAJAAN</v>
      </c>
      <c r="I34" s="26" t="s">
        <v>299</v>
      </c>
      <c r="J34" s="26" t="s">
        <v>255</v>
      </c>
      <c r="K34" s="54"/>
    </row>
    <row r="35" spans="1:16" ht="15">
      <c r="A35" s="13" t="s">
        <v>92</v>
      </c>
      <c r="B35" s="14" t="s">
        <v>94</v>
      </c>
      <c r="C35" s="29" t="str">
        <f>IF('UMUR 2021'!AC35&lt;&gt;"",'UMUR 2021'!AC35,"")</f>
        <v>PSB</v>
      </c>
      <c r="D35" s="29" t="str">
        <f t="shared" si="1"/>
        <v>PSB</v>
      </c>
      <c r="E35" s="29" t="str">
        <f t="shared" si="2"/>
        <v>PEMBANGKANG</v>
      </c>
      <c r="I35" s="29" t="s">
        <v>288</v>
      </c>
      <c r="J35" s="29">
        <f>COUNTIF('UMUR 2021'!$S$3:$S$84,"*"&amp;'DUN 2021'!I35&amp;"*")</f>
        <v>0</v>
      </c>
      <c r="K35" s="34">
        <f>J35/$J$44</f>
        <v>0</v>
      </c>
      <c r="O35" s="55" t="s">
        <v>309</v>
      </c>
      <c r="P35" s="29">
        <f>TRUNC(ROUNDUP((1/2)*COUNTA($B$3:$B$84),0))</f>
        <v>41</v>
      </c>
    </row>
    <row r="36" spans="1:16" ht="15">
      <c r="A36" s="13" t="s">
        <v>93</v>
      </c>
      <c r="B36" s="14" t="s">
        <v>95</v>
      </c>
      <c r="C36" s="29" t="str">
        <f>IF('UMUR 2021'!AC36&lt;&gt;"",'UMUR 2021'!AC36,"")</f>
        <v>PRS</v>
      </c>
      <c r="D36" s="29" t="str">
        <f t="shared" si="1"/>
        <v>GPS</v>
      </c>
      <c r="E36" s="29" t="str">
        <f t="shared" si="2"/>
        <v>KERAJAAN</v>
      </c>
      <c r="I36" s="29" t="s">
        <v>289</v>
      </c>
      <c r="J36" s="29">
        <f>COUNTIF('UMUR 2021'!$S$3:$S$84,"*"&amp;'DUN 2021'!I36&amp;"*")</f>
        <v>34</v>
      </c>
      <c r="K36" s="34">
        <f t="shared" ref="K36:K42" si="21">J36/$J$44</f>
        <v>0.41463414634146339</v>
      </c>
      <c r="O36" s="28" t="s">
        <v>310</v>
      </c>
      <c r="P36" s="29">
        <f>TRUNC((2/3)*COUNTA($B$3:$B$84),0)</f>
        <v>54</v>
      </c>
    </row>
    <row r="37" spans="1:16">
      <c r="A37" s="13" t="s">
        <v>98</v>
      </c>
      <c r="B37" s="14" t="s">
        <v>101</v>
      </c>
      <c r="C37" s="29" t="str">
        <f>IF('UMUR 2021'!AC37&lt;&gt;"",'UMUR 2021'!AC37,"")</f>
        <v>PBB</v>
      </c>
      <c r="D37" s="29" t="str">
        <f t="shared" si="1"/>
        <v>GPS</v>
      </c>
      <c r="E37" s="29" t="str">
        <f t="shared" si="2"/>
        <v>KERAJAAN</v>
      </c>
      <c r="I37" s="29" t="s">
        <v>290</v>
      </c>
      <c r="J37" s="29">
        <f>COUNTIF('UMUR 2021'!$S$3:$S$84,"*"&amp;'DUN 2021'!I37&amp;"*")</f>
        <v>9</v>
      </c>
      <c r="K37" s="34">
        <f t="shared" si="21"/>
        <v>0.10975609756097561</v>
      </c>
    </row>
    <row r="38" spans="1:16" ht="15">
      <c r="A38" s="13" t="s">
        <v>99</v>
      </c>
      <c r="B38" s="14" t="s">
        <v>102</v>
      </c>
      <c r="C38" s="29" t="str">
        <f>IF('UMUR 2021'!AC38&lt;&gt;"",'UMUR 2021'!AC38,"")</f>
        <v>PBB</v>
      </c>
      <c r="D38" s="29" t="str">
        <f t="shared" si="1"/>
        <v>GPS</v>
      </c>
      <c r="E38" s="29" t="str">
        <f t="shared" si="2"/>
        <v>KERAJAAN</v>
      </c>
      <c r="I38" s="29" t="s">
        <v>291</v>
      </c>
      <c r="J38" s="29">
        <f>COUNTIF('UMUR 2021'!$S$3:$S$84,"*"&amp;'DUN 2021'!I38&amp;"*")</f>
        <v>34</v>
      </c>
      <c r="K38" s="34">
        <f t="shared" si="21"/>
        <v>0.41463414634146339</v>
      </c>
      <c r="O38" s="28" t="s">
        <v>307</v>
      </c>
      <c r="P38" s="29">
        <f>IF(ISODD(P35)=P35,P35,P35+1)</f>
        <v>42</v>
      </c>
    </row>
    <row r="39" spans="1:16" ht="15">
      <c r="A39" s="13" t="s">
        <v>100</v>
      </c>
      <c r="B39" s="14" t="s">
        <v>103</v>
      </c>
      <c r="C39" s="29" t="str">
        <f>IF('UMUR 2021'!AC39&lt;&gt;"",'UMUR 2021'!AC39,"")</f>
        <v>PBB</v>
      </c>
      <c r="D39" s="29" t="str">
        <f t="shared" si="1"/>
        <v>GPS</v>
      </c>
      <c r="E39" s="29" t="str">
        <f t="shared" si="2"/>
        <v>KERAJAAN</v>
      </c>
      <c r="I39" s="29" t="s">
        <v>292</v>
      </c>
      <c r="J39" s="29">
        <f>COUNTIF('UMUR 2021'!$S$3:$S$84,"*"&amp;'DUN 2021'!I39&amp;"*")</f>
        <v>5</v>
      </c>
      <c r="K39" s="34">
        <f t="shared" si="21"/>
        <v>6.097560975609756E-2</v>
      </c>
      <c r="O39" s="28" t="s">
        <v>308</v>
      </c>
      <c r="P39" s="29">
        <f>IF(ISODD(P36)=P36,P36,P36+1)</f>
        <v>55</v>
      </c>
    </row>
    <row r="40" spans="1:16">
      <c r="A40" s="13" t="s">
        <v>106</v>
      </c>
      <c r="B40" s="14" t="s">
        <v>109</v>
      </c>
      <c r="C40" s="29" t="str">
        <f>IF('UMUR 2021'!AC40&lt;&gt;"",'UMUR 2021'!AC40,"")</f>
        <v>PBB</v>
      </c>
      <c r="D40" s="29" t="str">
        <f t="shared" si="1"/>
        <v>GPS</v>
      </c>
      <c r="E40" s="29" t="str">
        <f t="shared" si="2"/>
        <v>KERAJAAN</v>
      </c>
      <c r="I40" s="29" t="s">
        <v>293</v>
      </c>
      <c r="J40" s="29">
        <f>COUNTIF('UMUR 2021'!$S$3:$S$84,"*"&amp;'DUN 2021'!I40&amp;"*")</f>
        <v>0</v>
      </c>
      <c r="K40" s="34">
        <f t="shared" si="21"/>
        <v>0</v>
      </c>
    </row>
    <row r="41" spans="1:16">
      <c r="A41" s="13" t="s">
        <v>107</v>
      </c>
      <c r="B41" s="14" t="s">
        <v>110</v>
      </c>
      <c r="C41" s="29" t="str">
        <f>IF('UMUR 2021'!AC41&lt;&gt;"",'UMUR 2021'!AC41,"")</f>
        <v>PDP</v>
      </c>
      <c r="D41" s="29" t="str">
        <f t="shared" si="1"/>
        <v>GPS</v>
      </c>
      <c r="E41" s="29" t="str">
        <f t="shared" si="2"/>
        <v>KERAJAAN</v>
      </c>
      <c r="I41" s="29" t="s">
        <v>294</v>
      </c>
      <c r="J41" s="29">
        <f>COUNTIF('UMUR 2021'!$S$3:$S$84,"*"&amp;'DUN 2021'!I41&amp;"*")</f>
        <v>0</v>
      </c>
      <c r="K41" s="34">
        <f t="shared" si="21"/>
        <v>0</v>
      </c>
    </row>
    <row r="42" spans="1:16">
      <c r="A42" s="13" t="s">
        <v>108</v>
      </c>
      <c r="B42" s="14" t="s">
        <v>111</v>
      </c>
      <c r="C42" s="29" t="str">
        <f>IF('UMUR 2021'!AC42&lt;&gt;"",'UMUR 2021'!AC42,"")</f>
        <v>PBB</v>
      </c>
      <c r="D42" s="29" t="str">
        <f t="shared" si="1"/>
        <v>GPS</v>
      </c>
      <c r="E42" s="29" t="str">
        <f t="shared" si="2"/>
        <v>KERAJAAN</v>
      </c>
      <c r="I42" s="29" t="s">
        <v>295</v>
      </c>
      <c r="J42" s="29">
        <f>COUNTIF('UMUR 2021'!$S$3:$S$84,"*"&amp;'DUN 2021'!I42&amp;"*")</f>
        <v>0</v>
      </c>
      <c r="K42" s="34">
        <f t="shared" si="21"/>
        <v>0</v>
      </c>
    </row>
    <row r="43" spans="1:16">
      <c r="A43" s="13" t="s">
        <v>114</v>
      </c>
      <c r="B43" s="14" t="s">
        <v>116</v>
      </c>
      <c r="C43" s="29" t="str">
        <f>IF('UMUR 2021'!AC43&lt;&gt;"",'UMUR 2021'!AC43,"")</f>
        <v>PBB</v>
      </c>
      <c r="D43" s="29" t="str">
        <f t="shared" si="1"/>
        <v>GPS</v>
      </c>
      <c r="E43" s="29" t="str">
        <f t="shared" si="2"/>
        <v>KERAJAAN</v>
      </c>
    </row>
    <row r="44" spans="1:16" ht="15">
      <c r="A44" s="13" t="s">
        <v>115</v>
      </c>
      <c r="B44" s="14" t="s">
        <v>117</v>
      </c>
      <c r="C44" s="29" t="str">
        <f>IF('UMUR 2021'!AC44&lt;&gt;"",'UMUR 2021'!AC44,"")</f>
        <v>PBB</v>
      </c>
      <c r="D44" s="29" t="str">
        <f t="shared" si="1"/>
        <v>GPS</v>
      </c>
      <c r="E44" s="29" t="str">
        <f t="shared" si="2"/>
        <v>KERAJAAN</v>
      </c>
      <c r="I44" s="30" t="s">
        <v>235</v>
      </c>
      <c r="J44" s="26">
        <f>SUM(J35:J42)</f>
        <v>82</v>
      </c>
      <c r="O44" s="31" t="s">
        <v>242</v>
      </c>
      <c r="P44" s="29">
        <f>COUNTIF(E3:E84,"*"&amp;O44&amp;"*")</f>
        <v>76</v>
      </c>
    </row>
    <row r="45" spans="1:16" ht="15">
      <c r="A45" s="13" t="s">
        <v>120</v>
      </c>
      <c r="B45" s="14" t="s">
        <v>122</v>
      </c>
      <c r="C45" s="29" t="str">
        <f>IF('UMUR 2021'!AC45&lt;&gt;"",'UMUR 2021'!AC45,"")</f>
        <v>PBB</v>
      </c>
      <c r="D45" s="29" t="str">
        <f t="shared" si="1"/>
        <v>GPS</v>
      </c>
      <c r="E45" s="29" t="str">
        <f t="shared" si="2"/>
        <v>KERAJAAN</v>
      </c>
      <c r="O45" s="59" t="s">
        <v>247</v>
      </c>
      <c r="P45" s="29">
        <f t="shared" ref="P45:P46" si="22">COUNTIF(E4:E85,"*"&amp;O45&amp;"*")</f>
        <v>6</v>
      </c>
    </row>
    <row r="46" spans="1:16" ht="15">
      <c r="A46" s="13" t="s">
        <v>121</v>
      </c>
      <c r="B46" s="14" t="s">
        <v>123</v>
      </c>
      <c r="C46" s="29" t="str">
        <f>IF('UMUR 2021'!AC46&lt;&gt;"",'UMUR 2021'!AC46,"")</f>
        <v>PBB</v>
      </c>
      <c r="D46" s="29" t="str">
        <f t="shared" si="1"/>
        <v>GPS</v>
      </c>
      <c r="E46" s="29" t="str">
        <f t="shared" si="2"/>
        <v>KERAJAAN</v>
      </c>
      <c r="O46" s="28" t="s">
        <v>251</v>
      </c>
      <c r="P46" s="29">
        <f t="shared" si="22"/>
        <v>0</v>
      </c>
    </row>
    <row r="47" spans="1:16">
      <c r="A47" s="13" t="s">
        <v>126</v>
      </c>
      <c r="B47" s="14" t="s">
        <v>128</v>
      </c>
      <c r="C47" s="29" t="str">
        <f>IF('UMUR 2021'!AC47&lt;&gt;"",'UMUR 2021'!AC47,"")</f>
        <v>SUPP</v>
      </c>
      <c r="D47" s="29" t="str">
        <f t="shared" si="1"/>
        <v>GPS</v>
      </c>
      <c r="E47" s="29" t="str">
        <f t="shared" si="2"/>
        <v>KERAJAAN</v>
      </c>
    </row>
    <row r="48" spans="1:16">
      <c r="A48" s="13" t="s">
        <v>127</v>
      </c>
      <c r="B48" s="14" t="s">
        <v>129</v>
      </c>
      <c r="C48" s="29" t="str">
        <f>IF('UMUR 2021'!AC48&lt;&gt;"",'UMUR 2021'!AC48,"")</f>
        <v>SUPP</v>
      </c>
      <c r="D48" s="29" t="str">
        <f t="shared" si="1"/>
        <v>GPS</v>
      </c>
      <c r="E48" s="29" t="str">
        <f t="shared" si="2"/>
        <v>KERAJAAN</v>
      </c>
    </row>
    <row r="49" spans="1:17">
      <c r="A49" s="13" t="s">
        <v>132</v>
      </c>
      <c r="B49" s="14" t="s">
        <v>134</v>
      </c>
      <c r="C49" s="29" t="str">
        <f>IF('UMUR 2021'!AC49&lt;&gt;"",'UMUR 2021'!AC49,"")</f>
        <v>PBB</v>
      </c>
      <c r="D49" s="29" t="str">
        <f t="shared" si="1"/>
        <v>GPS</v>
      </c>
      <c r="E49" s="29" t="str">
        <f t="shared" si="2"/>
        <v>KERAJAAN</v>
      </c>
    </row>
    <row r="50" spans="1:17">
      <c r="A50" s="13" t="s">
        <v>133</v>
      </c>
      <c r="B50" s="14" t="s">
        <v>135</v>
      </c>
      <c r="C50" s="29" t="str">
        <f>IF('UMUR 2021'!AC50&lt;&gt;"",'UMUR 2021'!AC50,"")</f>
        <v>PDP</v>
      </c>
      <c r="D50" s="29" t="str">
        <f t="shared" si="1"/>
        <v>GPS</v>
      </c>
      <c r="E50" s="29" t="str">
        <f t="shared" si="2"/>
        <v>KERAJAAN</v>
      </c>
    </row>
    <row r="51" spans="1:17" ht="15">
      <c r="A51" s="13" t="s">
        <v>138</v>
      </c>
      <c r="B51" s="14" t="s">
        <v>140</v>
      </c>
      <c r="C51" s="29" t="str">
        <f>IF('UMUR 2021'!AC51&lt;&gt;"",'UMUR 2021'!AC51,"")</f>
        <v>PRS</v>
      </c>
      <c r="D51" s="29" t="str">
        <f t="shared" si="1"/>
        <v>GPS</v>
      </c>
      <c r="E51" s="29" t="str">
        <f t="shared" si="2"/>
        <v>KERAJAAN</v>
      </c>
      <c r="I51" s="26" t="s">
        <v>315</v>
      </c>
      <c r="J51" s="26" t="s">
        <v>255</v>
      </c>
      <c r="O51" s="26" t="s">
        <v>261</v>
      </c>
      <c r="P51" s="26" t="s">
        <v>255</v>
      </c>
    </row>
    <row r="52" spans="1:17">
      <c r="A52" s="13" t="s">
        <v>139</v>
      </c>
      <c r="B52" s="14" t="s">
        <v>141</v>
      </c>
      <c r="C52" s="29" t="str">
        <f>IF('UMUR 2021'!AC52&lt;&gt;"",'UMUR 2021'!AC52,"")</f>
        <v>PBB</v>
      </c>
      <c r="D52" s="29" t="str">
        <f t="shared" si="1"/>
        <v>GPS</v>
      </c>
      <c r="E52" s="29" t="str">
        <f t="shared" si="2"/>
        <v>KERAJAAN</v>
      </c>
      <c r="I52" s="29" t="s">
        <v>316</v>
      </c>
      <c r="J52" s="29">
        <f>COUNTIFS('UMUR 2021'!$U$3:$U$84,"&lt;10.00%")</f>
        <v>1</v>
      </c>
      <c r="K52" s="34">
        <f>J52/$J$44</f>
        <v>1.2195121951219513E-2</v>
      </c>
      <c r="O52" s="29" t="s">
        <v>322</v>
      </c>
      <c r="P52" s="29">
        <f>COUNTIFS('UMUR 2021'!$V$3:$V$84,"&lt;100")</f>
        <v>2</v>
      </c>
      <c r="Q52" s="34">
        <f>P52/$J$44</f>
        <v>2.4390243902439025E-2</v>
      </c>
    </row>
    <row r="53" spans="1:17">
      <c r="A53" s="13" t="s">
        <v>144</v>
      </c>
      <c r="B53" s="14" t="s">
        <v>146</v>
      </c>
      <c r="C53" s="29" t="str">
        <f>IF('UMUR 2021'!AC53&lt;&gt;"",'UMUR 2021'!AC53,"")</f>
        <v>SUPP</v>
      </c>
      <c r="D53" s="29" t="str">
        <f t="shared" si="1"/>
        <v>GPS</v>
      </c>
      <c r="E53" s="29" t="str">
        <f t="shared" si="2"/>
        <v>KERAJAAN</v>
      </c>
      <c r="I53" s="29" t="s">
        <v>317</v>
      </c>
      <c r="J53" s="29">
        <f>COUNTIFS('UMUR 2021'!$U$3:$U$84,"&gt;=10.00%",'UMUR 2021'!$U$3:$U$84,"&lt;20.00%")</f>
        <v>1</v>
      </c>
      <c r="K53" s="34">
        <f t="shared" ref="K53:K57" si="23">J53/$J$44</f>
        <v>1.2195121951219513E-2</v>
      </c>
      <c r="O53" s="29" t="s">
        <v>323</v>
      </c>
      <c r="P53" s="29">
        <f>COUNTIFS('UMUR 2021'!$V$3:$V$84,"&gt;=100",'UMUR 2021'!$V$3:$V$84,"&lt;300")</f>
        <v>3</v>
      </c>
      <c r="Q53" s="34">
        <f t="shared" ref="Q53:Q57" si="24">P53/$J$44</f>
        <v>3.6585365853658534E-2</v>
      </c>
    </row>
    <row r="54" spans="1:17">
      <c r="A54" s="13" t="s">
        <v>145</v>
      </c>
      <c r="B54" s="14" t="s">
        <v>147</v>
      </c>
      <c r="C54" s="29" t="str">
        <f>IF('UMUR 2021'!AC54&lt;&gt;"",'UMUR 2021'!AC54,"")</f>
        <v>PDP</v>
      </c>
      <c r="D54" s="29" t="str">
        <f t="shared" si="1"/>
        <v>GPS</v>
      </c>
      <c r="E54" s="29" t="str">
        <f t="shared" si="2"/>
        <v>KERAJAAN</v>
      </c>
      <c r="I54" s="29" t="s">
        <v>318</v>
      </c>
      <c r="J54" s="29">
        <f>COUNTIFS('UMUR 2021'!$U$3:$U$84,"&gt;=20.00%",'UMUR 2021'!$U$3:$U$84,"&lt;30.00%")</f>
        <v>35</v>
      </c>
      <c r="K54" s="34">
        <f t="shared" si="23"/>
        <v>0.42682926829268292</v>
      </c>
      <c r="O54" s="29" t="s">
        <v>324</v>
      </c>
      <c r="P54" s="29">
        <f>COUNTIFS('UMUR 2021'!$V$3:$V$84,"&gt;=300",'UMUR 2021'!$V$3:$V$84,"&lt;500")</f>
        <v>0</v>
      </c>
      <c r="Q54" s="34">
        <f t="shared" si="24"/>
        <v>0</v>
      </c>
    </row>
    <row r="55" spans="1:17">
      <c r="A55" s="13" t="s">
        <v>150</v>
      </c>
      <c r="B55" s="14" t="s">
        <v>153</v>
      </c>
      <c r="C55" s="29" t="str">
        <f>IF('UMUR 2021'!AC55&lt;&gt;"",'UMUR 2021'!AC55,"")</f>
        <v>PSB</v>
      </c>
      <c r="D55" s="29" t="str">
        <f t="shared" si="1"/>
        <v>PSB</v>
      </c>
      <c r="E55" s="29" t="str">
        <f t="shared" si="2"/>
        <v>PEMBANGKANG</v>
      </c>
      <c r="I55" s="29" t="s">
        <v>319</v>
      </c>
      <c r="J55" s="29">
        <f>COUNTIFS('UMUR 2021'!$U$3:$U$84,"&gt;=30.00%",'UMUR 2021'!$U$3:$U$84,"&lt;40.00%")</f>
        <v>43</v>
      </c>
      <c r="K55" s="34">
        <f t="shared" si="23"/>
        <v>0.52439024390243905</v>
      </c>
      <c r="O55" s="29" t="s">
        <v>325</v>
      </c>
      <c r="P55" s="29">
        <f>COUNTIFS('UMUR 2021'!$V$3:$V$84,"&gt;=500",'UMUR 2021'!$V$3:$V$84,"&lt;1000")</f>
        <v>9</v>
      </c>
      <c r="Q55" s="34">
        <f t="shared" si="24"/>
        <v>0.10975609756097561</v>
      </c>
    </row>
    <row r="56" spans="1:17">
      <c r="A56" s="13" t="s">
        <v>151</v>
      </c>
      <c r="B56" s="14" t="s">
        <v>154</v>
      </c>
      <c r="C56" s="29" t="str">
        <f>IF('UMUR 2021'!AC56&lt;&gt;"",'UMUR 2021'!AC56,"")</f>
        <v>SUPP</v>
      </c>
      <c r="D56" s="29" t="str">
        <f t="shared" si="1"/>
        <v>GPS</v>
      </c>
      <c r="E56" s="29" t="str">
        <f t="shared" si="2"/>
        <v>KERAJAAN</v>
      </c>
      <c r="I56" s="29" t="s">
        <v>320</v>
      </c>
      <c r="J56" s="29">
        <f>COUNTIFS('UMUR 2021'!$U$3:$U$84,"&gt;=40.00%",'UMUR 2021'!$U$3:$U$84,"&lt;50.00%")</f>
        <v>2</v>
      </c>
      <c r="K56" s="34">
        <f t="shared" si="23"/>
        <v>2.4390243902439025E-2</v>
      </c>
      <c r="O56" s="29" t="s">
        <v>326</v>
      </c>
      <c r="P56" s="29">
        <f>COUNTIFS('UMUR 2021'!$V$3:$V$84,"&gt;=1000",'UMUR 2021'!$V$3:$V$84,"&lt;3000")</f>
        <v>24</v>
      </c>
      <c r="Q56" s="34">
        <f t="shared" si="24"/>
        <v>0.29268292682926828</v>
      </c>
    </row>
    <row r="57" spans="1:17">
      <c r="A57" s="13" t="s">
        <v>152</v>
      </c>
      <c r="B57" s="14" t="s">
        <v>155</v>
      </c>
      <c r="C57" s="29" t="str">
        <f>IF('UMUR 2021'!AC57&lt;&gt;"",'UMUR 2021'!AC57,"")</f>
        <v>PBB</v>
      </c>
      <c r="D57" s="29" t="str">
        <f t="shared" si="1"/>
        <v>GPS</v>
      </c>
      <c r="E57" s="29" t="str">
        <f t="shared" si="2"/>
        <v>KERAJAAN</v>
      </c>
      <c r="I57" s="29" t="s">
        <v>321</v>
      </c>
      <c r="J57" s="29">
        <f>COUNTIFS('UMUR 2021'!$U$3:$U$84,"&gt;=50.00%")</f>
        <v>0</v>
      </c>
      <c r="K57" s="34">
        <f t="shared" si="23"/>
        <v>0</v>
      </c>
      <c r="O57" s="29" t="s">
        <v>327</v>
      </c>
      <c r="P57" s="29">
        <f>COUNTIFS('UMUR 2021'!$V$3:$V$84,"&gt;=3000")</f>
        <v>44</v>
      </c>
      <c r="Q57" s="34">
        <f t="shared" si="24"/>
        <v>0.53658536585365857</v>
      </c>
    </row>
    <row r="58" spans="1:17">
      <c r="A58" s="13" t="s">
        <v>158</v>
      </c>
      <c r="B58" s="14" t="s">
        <v>161</v>
      </c>
      <c r="C58" s="29" t="str">
        <f>IF('UMUR 2021'!AC58&lt;&gt;"",'UMUR 2021'!AC58,"")</f>
        <v>PBB</v>
      </c>
      <c r="D58" s="29" t="str">
        <f t="shared" si="1"/>
        <v>GPS</v>
      </c>
      <c r="E58" s="29" t="str">
        <f t="shared" si="2"/>
        <v>KERAJAAN</v>
      </c>
      <c r="I58" s="60"/>
      <c r="J58" s="60"/>
      <c r="O58" s="60"/>
      <c r="P58" s="60"/>
    </row>
    <row r="59" spans="1:17" ht="15">
      <c r="A59" s="13" t="s">
        <v>159</v>
      </c>
      <c r="B59" s="14" t="s">
        <v>162</v>
      </c>
      <c r="C59" s="29" t="str">
        <f>IF('UMUR 2021'!AC59&lt;&gt;"",'UMUR 2021'!AC59,"")</f>
        <v>PBB</v>
      </c>
      <c r="D59" s="29" t="str">
        <f t="shared" si="1"/>
        <v>GPS</v>
      </c>
      <c r="E59" s="29" t="str">
        <f t="shared" si="2"/>
        <v>KERAJAAN</v>
      </c>
      <c r="I59" s="30" t="s">
        <v>235</v>
      </c>
      <c r="J59" s="26">
        <f>SUM(J52:J57)</f>
        <v>82</v>
      </c>
      <c r="O59" s="30" t="s">
        <v>235</v>
      </c>
      <c r="P59" s="26">
        <f>SUM(P52:P57)</f>
        <v>82</v>
      </c>
    </row>
    <row r="60" spans="1:17">
      <c r="A60" s="13" t="s">
        <v>160</v>
      </c>
      <c r="B60" s="14" t="s">
        <v>163</v>
      </c>
      <c r="C60" s="29" t="str">
        <f>IF('UMUR 2021'!AC60&lt;&gt;"",'UMUR 2021'!AC60,"")</f>
        <v>PBB</v>
      </c>
      <c r="D60" s="29" t="str">
        <f t="shared" si="1"/>
        <v>GPS</v>
      </c>
      <c r="E60" s="29" t="str">
        <f t="shared" si="2"/>
        <v>KERAJAAN</v>
      </c>
      <c r="I60" s="60"/>
      <c r="J60" s="60"/>
    </row>
    <row r="61" spans="1:17">
      <c r="A61" s="13" t="s">
        <v>166</v>
      </c>
      <c r="B61" s="14" t="s">
        <v>168</v>
      </c>
      <c r="C61" s="29" t="str">
        <f>IF('UMUR 2021'!AC61&lt;&gt;"",'UMUR 2021'!AC61,"")</f>
        <v>PRS</v>
      </c>
      <c r="D61" s="29" t="str">
        <f t="shared" si="1"/>
        <v>GPS</v>
      </c>
      <c r="E61" s="29" t="str">
        <f t="shared" si="2"/>
        <v>KERAJAAN</v>
      </c>
    </row>
    <row r="62" spans="1:17">
      <c r="A62" s="13" t="s">
        <v>167</v>
      </c>
      <c r="B62" s="14" t="s">
        <v>169</v>
      </c>
      <c r="C62" s="29" t="str">
        <f>IF('UMUR 2021'!AC62&lt;&gt;"",'UMUR 2021'!AC62,"")</f>
        <v>PRS</v>
      </c>
      <c r="D62" s="29" t="str">
        <f t="shared" si="1"/>
        <v>GPS</v>
      </c>
      <c r="E62" s="29" t="str">
        <f t="shared" si="2"/>
        <v>KERAJAAN</v>
      </c>
    </row>
    <row r="63" spans="1:17">
      <c r="A63" s="13" t="s">
        <v>172</v>
      </c>
      <c r="B63" s="14" t="s">
        <v>175</v>
      </c>
      <c r="C63" s="29" t="str">
        <f>IF('UMUR 2021'!AC63&lt;&gt;"",'UMUR 2021'!AC63,"")</f>
        <v>PRS</v>
      </c>
      <c r="D63" s="29" t="str">
        <f t="shared" si="1"/>
        <v>GPS</v>
      </c>
      <c r="E63" s="29" t="str">
        <f t="shared" si="2"/>
        <v>KERAJAAN</v>
      </c>
    </row>
    <row r="64" spans="1:17" ht="15">
      <c r="A64" s="13" t="s">
        <v>173</v>
      </c>
      <c r="B64" s="14" t="s">
        <v>176</v>
      </c>
      <c r="C64" s="29" t="str">
        <f>IF('UMUR 2021'!AC64&lt;&gt;"",'UMUR 2021'!AC64,"")</f>
        <v>PBB</v>
      </c>
      <c r="D64" s="29" t="str">
        <f t="shared" si="1"/>
        <v>GPS</v>
      </c>
      <c r="E64" s="29" t="str">
        <f t="shared" si="2"/>
        <v>KERAJAAN</v>
      </c>
      <c r="I64" s="26" t="s">
        <v>328</v>
      </c>
      <c r="J64" s="26" t="s">
        <v>255</v>
      </c>
      <c r="O64" s="26" t="s">
        <v>333</v>
      </c>
      <c r="P64" s="26" t="s">
        <v>255</v>
      </c>
    </row>
    <row r="65" spans="1:17">
      <c r="A65" s="13" t="s">
        <v>174</v>
      </c>
      <c r="B65" s="14" t="s">
        <v>177</v>
      </c>
      <c r="C65" s="29" t="str">
        <f>IF('UMUR 2021'!AC65&lt;&gt;"",'UMUR 2021'!AC65,"")</f>
        <v>PBB</v>
      </c>
      <c r="D65" s="29" t="str">
        <f t="shared" si="1"/>
        <v>GPS</v>
      </c>
      <c r="E65" s="29" t="str">
        <f t="shared" si="2"/>
        <v>KERAJAAN</v>
      </c>
      <c r="I65" s="29" t="s">
        <v>329</v>
      </c>
      <c r="J65" s="29">
        <f>COUNTIFS('UMUR 2021'!$X$3:$X$84,"&lt;30.00%")</f>
        <v>0</v>
      </c>
      <c r="K65" s="34">
        <f>J65/$J$44</f>
        <v>0</v>
      </c>
      <c r="O65" s="29" t="s">
        <v>329</v>
      </c>
      <c r="P65" s="29">
        <f>COUNTIFS('UMUR 2021'!$AF$3:$AF$84,"&lt;30.00%")</f>
        <v>1</v>
      </c>
      <c r="Q65" s="34">
        <f>P65/$J$44</f>
        <v>1.2195121951219513E-2</v>
      </c>
    </row>
    <row r="66" spans="1:17">
      <c r="A66" s="13" t="s">
        <v>180</v>
      </c>
      <c r="B66" s="14" t="s">
        <v>183</v>
      </c>
      <c r="C66" s="29" t="str">
        <f>IF('UMUR 2021'!AC66&lt;&gt;"",'UMUR 2021'!AC66,"")</f>
        <v>PRS</v>
      </c>
      <c r="D66" s="29" t="str">
        <f t="shared" si="1"/>
        <v>GPS</v>
      </c>
      <c r="E66" s="29" t="str">
        <f t="shared" si="2"/>
        <v>KERAJAAN</v>
      </c>
      <c r="I66" s="29" t="s">
        <v>319</v>
      </c>
      <c r="J66" s="29">
        <f>COUNTIFS('UMUR 2021'!$X$3:$X$84,"&gt;=30.00%",'UMUR 2021'!$X$3:$X$84,"&lt;40.00%")</f>
        <v>0</v>
      </c>
      <c r="K66" s="34">
        <f t="shared" ref="K66:K70" si="25">J66/$J$44</f>
        <v>0</v>
      </c>
      <c r="O66" s="29" t="s">
        <v>319</v>
      </c>
      <c r="P66" s="29">
        <f>COUNTIFS('UMUR 2021'!$AF$3:$AF$84,"&gt;=30.00%",'UMUR 2021'!$AF$3:$AF$84,"&lt;40.00%")</f>
        <v>3</v>
      </c>
      <c r="Q66" s="34">
        <f t="shared" ref="Q66:Q70" si="26">P66/$J$44</f>
        <v>3.6585365853658534E-2</v>
      </c>
    </row>
    <row r="67" spans="1:17">
      <c r="A67" s="13" t="s">
        <v>181</v>
      </c>
      <c r="B67" s="14" t="s">
        <v>184</v>
      </c>
      <c r="C67" s="29" t="str">
        <f>IF('UMUR 2021'!AC67&lt;&gt;"",'UMUR 2021'!AC67,"")</f>
        <v>PRS</v>
      </c>
      <c r="D67" s="29" t="str">
        <f t="shared" si="1"/>
        <v>GPS</v>
      </c>
      <c r="E67" s="29" t="str">
        <f t="shared" si="2"/>
        <v>KERAJAAN</v>
      </c>
      <c r="I67" s="29" t="s">
        <v>320</v>
      </c>
      <c r="J67" s="29">
        <f>COUNTIFS('UMUR 2021'!$X$3:$X$84,"&gt;=40.00%",'UMUR 2021'!$X$3:$X$84,"&lt;50.00%")</f>
        <v>9</v>
      </c>
      <c r="K67" s="34">
        <f t="shared" si="25"/>
        <v>0.10975609756097561</v>
      </c>
      <c r="O67" s="29" t="s">
        <v>320</v>
      </c>
      <c r="P67" s="29">
        <f>COUNTIFS('UMUR 2021'!$AF$3:$AF$84,"&gt;=40.00%",'UMUR 2021'!$AF$3:$AF$84,"&lt;50.00%")</f>
        <v>12</v>
      </c>
      <c r="Q67" s="34">
        <f t="shared" si="26"/>
        <v>0.14634146341463414</v>
      </c>
    </row>
    <row r="68" spans="1:17">
      <c r="A68" s="13" t="s">
        <v>182</v>
      </c>
      <c r="B68" s="14" t="s">
        <v>185</v>
      </c>
      <c r="C68" s="29" t="str">
        <f>IF('UMUR 2021'!AC68&lt;&gt;"",'UMUR 2021'!AC68,"")</f>
        <v>PRS</v>
      </c>
      <c r="D68" s="29" t="str">
        <f t="shared" ref="D68:D84" si="27">IF(C68&lt;&gt;"",INDEX($J$3:$J$23,MATCH(C68,$I$3:$I$23,0),1),"")</f>
        <v>GPS</v>
      </c>
      <c r="E68" s="29" t="str">
        <f t="shared" ref="E68:E84" si="28">IF(D68&lt;&gt;"",INDEX($K$3:$K$23,MATCH(D68,$J$3:$J$23,0),1),"")</f>
        <v>KERAJAAN</v>
      </c>
      <c r="I68" s="29" t="s">
        <v>330</v>
      </c>
      <c r="J68" s="29">
        <f>COUNTIFS('UMUR 2021'!$X$3:$X$84,"&gt;=50.00%",'UMUR 2021'!$X$3:$X$84,"&lt;60.00%")</f>
        <v>16</v>
      </c>
      <c r="K68" s="34">
        <f t="shared" si="25"/>
        <v>0.1951219512195122</v>
      </c>
      <c r="O68" s="29" t="s">
        <v>330</v>
      </c>
      <c r="P68" s="29">
        <f>COUNTIFS('UMUR 2021'!$AF$3:$AF$84,"&gt;=50.00%",'UMUR 2021'!$AF$3:$AF$84,"&lt;60.00%")</f>
        <v>17</v>
      </c>
      <c r="Q68" s="34">
        <f t="shared" si="26"/>
        <v>0.2073170731707317</v>
      </c>
    </row>
    <row r="69" spans="1:17">
      <c r="A69" s="13" t="s">
        <v>188</v>
      </c>
      <c r="B69" s="14" t="s">
        <v>192</v>
      </c>
      <c r="C69" s="29" t="str">
        <f>IF('UMUR 2021'!AC69&lt;&gt;"",'UMUR 2021'!AC69,"")</f>
        <v>PBB</v>
      </c>
      <c r="D69" s="29" t="str">
        <f t="shared" si="27"/>
        <v>GPS</v>
      </c>
      <c r="E69" s="29" t="str">
        <f t="shared" si="28"/>
        <v>KERAJAAN</v>
      </c>
      <c r="I69" s="29" t="s">
        <v>331</v>
      </c>
      <c r="J69" s="29">
        <f>COUNTIFS('UMUR 2021'!$X$3:$X$84,"&gt;=60.00%",'UMUR 2021'!$X$3:$X$84,"&lt;70.00%")</f>
        <v>38</v>
      </c>
      <c r="K69" s="34">
        <f t="shared" si="25"/>
        <v>0.46341463414634149</v>
      </c>
      <c r="O69" s="29" t="s">
        <v>331</v>
      </c>
      <c r="P69" s="29">
        <f>COUNTIFS('UMUR 2021'!$AF$3:$AF$84,"&gt;=60.00%",'UMUR 2021'!$AF$3:$AF$84,"&lt;70.00%")</f>
        <v>20</v>
      </c>
      <c r="Q69" s="34">
        <f t="shared" si="26"/>
        <v>0.24390243902439024</v>
      </c>
    </row>
    <row r="70" spans="1:17">
      <c r="A70" s="13" t="s">
        <v>189</v>
      </c>
      <c r="B70" s="14" t="s">
        <v>193</v>
      </c>
      <c r="C70" s="29" t="str">
        <f>IF('UMUR 2021'!AC70&lt;&gt;"",'UMUR 2021'!AC70,"")</f>
        <v>SUPP</v>
      </c>
      <c r="D70" s="29" t="str">
        <f t="shared" si="27"/>
        <v>GPS</v>
      </c>
      <c r="E70" s="29" t="str">
        <f t="shared" si="28"/>
        <v>KERAJAAN</v>
      </c>
      <c r="I70" s="29" t="s">
        <v>332</v>
      </c>
      <c r="J70" s="29">
        <f>COUNTIFS('UMUR 2021'!$X$3:$X$84,"&gt;=70.00%")</f>
        <v>19</v>
      </c>
      <c r="K70" s="34">
        <f t="shared" si="25"/>
        <v>0.23170731707317074</v>
      </c>
      <c r="O70" s="29" t="s">
        <v>332</v>
      </c>
      <c r="P70" s="29">
        <f>COUNTIFS('UMUR 2021'!$AF$3:$AF$84,"&gt;=70.00%")</f>
        <v>29</v>
      </c>
      <c r="Q70" s="34">
        <f t="shared" si="26"/>
        <v>0.35365853658536583</v>
      </c>
    </row>
    <row r="71" spans="1:17">
      <c r="A71" s="13" t="s">
        <v>190</v>
      </c>
      <c r="B71" s="14" t="s">
        <v>194</v>
      </c>
      <c r="C71" s="29" t="str">
        <f>IF('UMUR 2021'!AC71&lt;&gt;"",'UMUR 2021'!AC71,"")</f>
        <v>PBB</v>
      </c>
      <c r="D71" s="29" t="str">
        <f t="shared" si="27"/>
        <v>GPS</v>
      </c>
      <c r="E71" s="29" t="str">
        <f t="shared" si="28"/>
        <v>KERAJAAN</v>
      </c>
      <c r="I71" s="60"/>
      <c r="J71" s="60"/>
      <c r="O71" s="60"/>
      <c r="P71" s="60"/>
    </row>
    <row r="72" spans="1:17" ht="15">
      <c r="A72" s="13" t="s">
        <v>191</v>
      </c>
      <c r="B72" s="14" t="s">
        <v>195</v>
      </c>
      <c r="C72" s="29" t="str">
        <f>IF('UMUR 2021'!AC72&lt;&gt;"",'UMUR 2021'!AC72,"")</f>
        <v>PRS</v>
      </c>
      <c r="D72" s="29" t="str">
        <f t="shared" si="27"/>
        <v>GPS</v>
      </c>
      <c r="E72" s="29" t="str">
        <f t="shared" si="28"/>
        <v>KERAJAAN</v>
      </c>
      <c r="I72" s="30" t="s">
        <v>235</v>
      </c>
      <c r="J72" s="26">
        <f>SUM(J65:J70)</f>
        <v>82</v>
      </c>
      <c r="O72" s="30" t="s">
        <v>235</v>
      </c>
      <c r="P72" s="26">
        <f>SUM(P65:P70)</f>
        <v>82</v>
      </c>
    </row>
    <row r="73" spans="1:17">
      <c r="A73" s="13" t="s">
        <v>198</v>
      </c>
      <c r="B73" s="14" t="s">
        <v>200</v>
      </c>
      <c r="C73" s="29" t="str">
        <f>IF('UMUR 2021'!AC73&lt;&gt;"",'UMUR 2021'!AC73,"")</f>
        <v>PBB</v>
      </c>
      <c r="D73" s="29" t="str">
        <f t="shared" si="27"/>
        <v>GPS</v>
      </c>
      <c r="E73" s="29" t="str">
        <f t="shared" si="28"/>
        <v>KERAJAAN</v>
      </c>
    </row>
    <row r="74" spans="1:17">
      <c r="A74" s="13" t="s">
        <v>199</v>
      </c>
      <c r="B74" s="14" t="s">
        <v>201</v>
      </c>
      <c r="C74" s="29" t="str">
        <f>IF('UMUR 2021'!AC74&lt;&gt;"",'UMUR 2021'!AC74,"")</f>
        <v>PBB</v>
      </c>
      <c r="D74" s="29" t="str">
        <f t="shared" si="27"/>
        <v>GPS</v>
      </c>
      <c r="E74" s="29" t="str">
        <f t="shared" si="28"/>
        <v>KERAJAAN</v>
      </c>
    </row>
    <row r="75" spans="1:17">
      <c r="A75" s="13" t="s">
        <v>204</v>
      </c>
      <c r="B75" s="14" t="s">
        <v>207</v>
      </c>
      <c r="C75" s="29" t="str">
        <f>IF('UMUR 2021'!AC75&lt;&gt;"",'UMUR 2021'!AC75,"")</f>
        <v>SUPP</v>
      </c>
      <c r="D75" s="29" t="str">
        <f t="shared" si="27"/>
        <v>GPS</v>
      </c>
      <c r="E75" s="29" t="str">
        <f t="shared" si="28"/>
        <v>KERAJAAN</v>
      </c>
    </row>
    <row r="76" spans="1:17">
      <c r="A76" s="13" t="s">
        <v>205</v>
      </c>
      <c r="B76" s="14" t="s">
        <v>208</v>
      </c>
      <c r="C76" s="29" t="str">
        <f>IF('UMUR 2021'!AC76&lt;&gt;"",'UMUR 2021'!AC76,"")</f>
        <v>SUPP</v>
      </c>
      <c r="D76" s="29" t="str">
        <f t="shared" si="27"/>
        <v>GPS</v>
      </c>
      <c r="E76" s="29" t="str">
        <f t="shared" si="28"/>
        <v>KERAJAAN</v>
      </c>
    </row>
    <row r="77" spans="1:17">
      <c r="A77" s="13" t="s">
        <v>206</v>
      </c>
      <c r="B77" s="14" t="s">
        <v>209</v>
      </c>
      <c r="C77" s="29" t="str">
        <f>IF('UMUR 2021'!AC77&lt;&gt;"",'UMUR 2021'!AC77,"")</f>
        <v>SUPP</v>
      </c>
      <c r="D77" s="29" t="str">
        <f t="shared" si="27"/>
        <v>GPS</v>
      </c>
      <c r="E77" s="29" t="str">
        <f t="shared" si="28"/>
        <v>KERAJAAN</v>
      </c>
    </row>
    <row r="78" spans="1:17" ht="15">
      <c r="A78" s="13" t="s">
        <v>212</v>
      </c>
      <c r="B78" s="14" t="s">
        <v>215</v>
      </c>
      <c r="C78" s="29" t="str">
        <f>IF('UMUR 2021'!AC78&lt;&gt;"",'UMUR 2021'!AC78,"")</f>
        <v>PDP</v>
      </c>
      <c r="D78" s="29" t="str">
        <f t="shared" si="27"/>
        <v>GPS</v>
      </c>
      <c r="E78" s="29" t="str">
        <f t="shared" si="28"/>
        <v>KERAJAAN</v>
      </c>
      <c r="I78" s="26" t="s">
        <v>344</v>
      </c>
      <c r="J78" s="26" t="s">
        <v>255</v>
      </c>
    </row>
    <row r="79" spans="1:17">
      <c r="A79" s="13" t="s">
        <v>213</v>
      </c>
      <c r="B79" s="14" t="s">
        <v>216</v>
      </c>
      <c r="C79" s="29" t="str">
        <f>IF('UMUR 2021'!AC79&lt;&gt;"",'UMUR 2021'!AC79,"")</f>
        <v>PBB</v>
      </c>
      <c r="D79" s="29" t="str">
        <f t="shared" si="27"/>
        <v>GPS</v>
      </c>
      <c r="E79" s="29" t="str">
        <f t="shared" si="28"/>
        <v>KERAJAAN</v>
      </c>
      <c r="I79" s="29" t="s">
        <v>275</v>
      </c>
      <c r="J79" s="29">
        <f>COUNTIFS('PRN 2021'!$I$3:$I$84,"*"&amp;I79&amp;"*")</f>
        <v>25</v>
      </c>
      <c r="K79" s="34">
        <f>J79/$J$44</f>
        <v>0.3048780487804878</v>
      </c>
    </row>
    <row r="80" spans="1:17">
      <c r="A80" s="13" t="s">
        <v>214</v>
      </c>
      <c r="B80" s="14" t="s">
        <v>217</v>
      </c>
      <c r="C80" s="29" t="str">
        <f>IF('UMUR 2021'!AC80&lt;&gt;"",'UMUR 2021'!AC80,"")</f>
        <v>PBB</v>
      </c>
      <c r="D80" s="29" t="str">
        <f t="shared" si="27"/>
        <v>GPS</v>
      </c>
      <c r="E80" s="29" t="str">
        <f t="shared" si="28"/>
        <v>KERAJAAN</v>
      </c>
      <c r="I80" s="29" t="s">
        <v>276</v>
      </c>
      <c r="J80" s="29">
        <f>COUNTIFS('PRN 2021'!$I$3:$I$84,"*"&amp;I80&amp;"*")</f>
        <v>14</v>
      </c>
      <c r="K80" s="34">
        <f t="shared" ref="K80:K85" si="29">J80/$J$44</f>
        <v>0.17073170731707318</v>
      </c>
    </row>
    <row r="81" spans="1:11">
      <c r="A81" s="13" t="s">
        <v>221</v>
      </c>
      <c r="B81" s="14" t="s">
        <v>223</v>
      </c>
      <c r="C81" s="29" t="str">
        <f>IF('UMUR 2021'!AC81&lt;&gt;"",'UMUR 2021'!AC81,"")</f>
        <v>PBB</v>
      </c>
      <c r="D81" s="29" t="str">
        <f t="shared" si="27"/>
        <v>GPS</v>
      </c>
      <c r="E81" s="29" t="str">
        <f t="shared" si="28"/>
        <v>KERAJAAN</v>
      </c>
      <c r="I81" s="29" t="s">
        <v>277</v>
      </c>
      <c r="J81" s="29">
        <f>COUNTIFS('PRN 2021'!$I$3:$I$84,"*"&amp;I81&amp;"*")</f>
        <v>19</v>
      </c>
      <c r="K81" s="34">
        <f t="shared" si="29"/>
        <v>0.23170731707317074</v>
      </c>
    </row>
    <row r="82" spans="1:11">
      <c r="A82" s="13" t="s">
        <v>222</v>
      </c>
      <c r="B82" s="14" t="s">
        <v>224</v>
      </c>
      <c r="C82" s="29" t="str">
        <f>IF('UMUR 2021'!AC82&lt;&gt;"",'UMUR 2021'!AC82,"")</f>
        <v>PBB</v>
      </c>
      <c r="D82" s="29" t="str">
        <f t="shared" si="27"/>
        <v>GPS</v>
      </c>
      <c r="E82" s="29" t="str">
        <f t="shared" si="28"/>
        <v>KERAJAAN</v>
      </c>
      <c r="I82" s="29" t="s">
        <v>278</v>
      </c>
      <c r="J82" s="29">
        <f>COUNTIFS('PRN 2021'!$I$3:$I$84,"*"&amp;I82&amp;"*")</f>
        <v>7</v>
      </c>
      <c r="K82" s="34">
        <f t="shared" si="29"/>
        <v>8.5365853658536592E-2</v>
      </c>
    </row>
    <row r="83" spans="1:11">
      <c r="A83" s="13" t="s">
        <v>226</v>
      </c>
      <c r="B83" s="14" t="s">
        <v>228</v>
      </c>
      <c r="C83" s="29" t="str">
        <f>IF('UMUR 2021'!AC83&lt;&gt;"",'UMUR 2021'!AC83,"")</f>
        <v>PSB</v>
      </c>
      <c r="D83" s="29" t="str">
        <f t="shared" si="27"/>
        <v>PSB</v>
      </c>
      <c r="E83" s="29" t="str">
        <f t="shared" si="28"/>
        <v>PEMBANGKANG</v>
      </c>
      <c r="I83" s="29" t="s">
        <v>281</v>
      </c>
      <c r="J83" s="29">
        <f>COUNTIFS('PRN 2021'!$I$3:$I$84,"*"&amp;I83&amp;"*")</f>
        <v>5</v>
      </c>
      <c r="K83" s="34">
        <f t="shared" si="29"/>
        <v>6.097560975609756E-2</v>
      </c>
    </row>
    <row r="84" spans="1:11">
      <c r="A84" s="13" t="s">
        <v>227</v>
      </c>
      <c r="B84" s="14" t="s">
        <v>229</v>
      </c>
      <c r="C84" s="29" t="str">
        <f>IF('UMUR 2021'!AC84&lt;&gt;"",'UMUR 2021'!AC84,"")</f>
        <v>PBB</v>
      </c>
      <c r="D84" s="29" t="str">
        <f t="shared" si="27"/>
        <v>GPS</v>
      </c>
      <c r="E84" s="29" t="str">
        <f t="shared" si="28"/>
        <v>KERAJAAN</v>
      </c>
      <c r="I84" s="29" t="s">
        <v>279</v>
      </c>
      <c r="J84" s="29">
        <f>COUNTIFS('PRN 2021'!$I$3:$I$84,"*"&amp;I84&amp;"*")</f>
        <v>0</v>
      </c>
      <c r="K84" s="34">
        <f t="shared" si="29"/>
        <v>0</v>
      </c>
    </row>
    <row r="85" spans="1:11">
      <c r="I85" s="29" t="s">
        <v>345</v>
      </c>
      <c r="J85" s="29">
        <f>COUNTIFS('PRN 2021'!$I$3:$I$84,"*"&amp;I85&amp;"*")</f>
        <v>12</v>
      </c>
      <c r="K85" s="34">
        <f t="shared" si="29"/>
        <v>0.14634146341463414</v>
      </c>
    </row>
    <row r="87" spans="1:11" ht="15">
      <c r="I87" s="30" t="s">
        <v>235</v>
      </c>
      <c r="J87" s="26">
        <f>SUM(J79:J85)</f>
        <v>82</v>
      </c>
    </row>
  </sheetData>
  <mergeCells count="3">
    <mergeCell ref="A1:A2"/>
    <mergeCell ref="B1:B2"/>
    <mergeCell ref="C1:E1"/>
  </mergeCells>
  <conditionalFormatting sqref="D3:D84">
    <cfRule type="cellIs" dxfId="170" priority="4" operator="equal">
      <formula>"PN"</formula>
    </cfRule>
    <cfRule type="cellIs" dxfId="169" priority="5" operator="equal">
      <formula>"SEDAR"</formula>
    </cfRule>
    <cfRule type="cellIs" dxfId="168" priority="6" operator="equal">
      <formula>"PBDSB"</formula>
    </cfRule>
    <cfRule type="cellIs" dxfId="167" priority="7" operator="equal">
      <formula>"ASPIRASI"</formula>
    </cfRule>
    <cfRule type="cellIs" dxfId="166" priority="8" operator="equal">
      <formula>"PBK"</formula>
    </cfRule>
    <cfRule type="cellIs" dxfId="165" priority="9" operator="equal">
      <formula>"PSB"</formula>
    </cfRule>
    <cfRule type="containsText" dxfId="164" priority="10" operator="containsText" text="BEBAS">
      <formula>NOT(ISERROR(SEARCH("BEBAS",D3)))</formula>
    </cfRule>
    <cfRule type="cellIs" dxfId="163" priority="12" operator="equal">
      <formula>"PH"</formula>
    </cfRule>
    <cfRule type="cellIs" dxfId="162" priority="13" operator="equal">
      <formula>"GPS"</formula>
    </cfRule>
  </conditionalFormatting>
  <conditionalFormatting sqref="E3:E84">
    <cfRule type="cellIs" priority="1" operator="equal">
      <formula>"BEBAS"</formula>
    </cfRule>
    <cfRule type="cellIs" dxfId="161" priority="2" operator="equal">
      <formula>"PEMBANGKANG"</formula>
    </cfRule>
    <cfRule type="cellIs" dxfId="160" priority="3" operator="equal">
      <formula>"KERAJAAN"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F554-97CD-4E09-BEDE-F25B8CD0B8C5}">
  <dimension ref="B3:L305"/>
  <sheetViews>
    <sheetView topLeftCell="A168" workbookViewId="0">
      <selection activeCell="B176" sqref="B176"/>
    </sheetView>
  </sheetViews>
  <sheetFormatPr defaultRowHeight="14.25"/>
  <cols>
    <col min="1" max="2" width="14.5" bestFit="1" customWidth="1"/>
    <col min="3" max="3" width="9.875" bestFit="1" customWidth="1"/>
    <col min="4" max="4" width="9.5" customWidth="1"/>
    <col min="5" max="10" width="13.875" bestFit="1" customWidth="1"/>
    <col min="11" max="11" width="8.5" bestFit="1" customWidth="1"/>
  </cols>
  <sheetData>
    <row r="3" spans="2:11">
      <c r="B3" s="89" t="s">
        <v>346</v>
      </c>
      <c r="C3" s="89"/>
      <c r="D3" s="89"/>
      <c r="E3" s="89"/>
      <c r="F3" s="89"/>
      <c r="G3" s="89"/>
      <c r="H3" s="89"/>
      <c r="I3" s="89"/>
      <c r="J3" s="89"/>
      <c r="K3" s="89"/>
    </row>
    <row r="4" spans="2:11">
      <c r="B4" s="89"/>
      <c r="C4" s="89"/>
      <c r="D4" s="89"/>
      <c r="E4" s="89"/>
      <c r="F4" s="89"/>
      <c r="G4" s="89"/>
      <c r="H4" s="89"/>
      <c r="I4" s="89"/>
      <c r="J4" s="89"/>
      <c r="K4" s="89"/>
    </row>
    <row r="6" spans="2:11" ht="60">
      <c r="B6" s="26" t="s">
        <v>236</v>
      </c>
      <c r="C6" s="26" t="s">
        <v>237</v>
      </c>
      <c r="D6" s="64" t="s">
        <v>275</v>
      </c>
      <c r="E6" s="63" t="s">
        <v>276</v>
      </c>
      <c r="F6" s="63" t="s">
        <v>277</v>
      </c>
      <c r="G6" s="63" t="s">
        <v>278</v>
      </c>
      <c r="H6" s="63" t="s">
        <v>281</v>
      </c>
      <c r="I6" s="69" t="s">
        <v>279</v>
      </c>
      <c r="J6" s="69" t="s">
        <v>345</v>
      </c>
      <c r="K6" s="69" t="s">
        <v>235</v>
      </c>
    </row>
    <row r="7" spans="2:11" ht="15">
      <c r="B7" s="29" t="s">
        <v>243</v>
      </c>
      <c r="C7" s="29" t="s">
        <v>241</v>
      </c>
      <c r="D7" s="41">
        <f>COUNTIFS('PRN 2021'!$I$3:$I$84,"="&amp;D6,'PRN 2021'!$Q$3:$Q$84,"="&amp;$B$7)</f>
        <v>25</v>
      </c>
      <c r="E7" s="41">
        <f>COUNTIFS('PRN 2021'!$I$3:$I$84,"="&amp;$E$6,'PRN 2021'!$Q$3:$Q$84,"="&amp;B7)</f>
        <v>0</v>
      </c>
      <c r="F7" s="41">
        <f>COUNTIFS('PRN 2021'!$I$3:$I$84,"="&amp;$F$6,'PRN 2021'!$Q$3:$Q$84,"="&amp;B7)</f>
        <v>7</v>
      </c>
      <c r="G7" s="41">
        <f>COUNTIFS('PRN 2021'!$I$3:$I$84,"="&amp;$G$6,'PRN 2021'!$Q$3:$Q$84,"="&amp;B7)</f>
        <v>5</v>
      </c>
      <c r="H7" s="41">
        <f>COUNTIFS('PRN 2021'!$I$3:$I$84,"="&amp;H6,'PRN 2021'!$Q$3:$Q$84,"="&amp;$B$7)</f>
        <v>2</v>
      </c>
      <c r="I7" s="41">
        <f>COUNTIFS('PRN 2021'!$I$3:$I$84,"="&amp;$I$6,'PRN 2021'!$Q$3:$Q$84,"="&amp;B7)</f>
        <v>0</v>
      </c>
      <c r="J7" s="41">
        <f>COUNTIFS('PRN 2021'!$I$3:$I$84,"="&amp;$J$6,'PRN 2021'!$Q$3:$Q$84,"="&amp;B7)</f>
        <v>8</v>
      </c>
      <c r="K7" s="63">
        <f>SUM(D7:J7)</f>
        <v>47</v>
      </c>
    </row>
    <row r="8" spans="2:11" ht="15">
      <c r="B8" s="29" t="s">
        <v>239</v>
      </c>
      <c r="C8" s="29" t="s">
        <v>241</v>
      </c>
      <c r="D8" s="41">
        <f>COUNTIFS('PRN 2021'!$I$3:$I$84,"="&amp;$D$6,'PRN 2021'!$Q$3:$Q$84,"="&amp;B8)</f>
        <v>0</v>
      </c>
      <c r="E8" s="41">
        <f>COUNTIFS('PRN 2021'!$I$3:$I$84,"="&amp;$E$6,'PRN 2021'!$Q$3:$Q$84,"="&amp;B8)</f>
        <v>10</v>
      </c>
      <c r="F8" s="41">
        <f>COUNTIFS('PRN 2021'!$I$3:$I$84,"="&amp;$F$6,'PRN 2021'!$Q$3:$Q$84,"="&amp;B8)</f>
        <v>0</v>
      </c>
      <c r="G8" s="41">
        <f>COUNTIFS('PRN 2021'!$I$3:$I$84,"="&amp;$G$6,'PRN 2021'!$Q$3:$Q$84,"="&amp;B8)</f>
        <v>1</v>
      </c>
      <c r="H8" s="41">
        <f>COUNTIFS('PRN 2021'!$I$3:$I$84,"="&amp;$H$6,'PRN 2021'!$Q$3:$Q$84,"="&amp;B8)</f>
        <v>0</v>
      </c>
      <c r="I8" s="41">
        <f>COUNTIFS('PRN 2021'!$I$3:$I$84,"="&amp;$I$6,'PRN 2021'!$Q$3:$Q$84,"="&amp;B8)</f>
        <v>0</v>
      </c>
      <c r="J8" s="41">
        <f>COUNTIFS('PRN 2021'!$I$3:$I$84,"="&amp;$J$6,'PRN 2021'!$Q$3:$Q$84,"="&amp;B8)</f>
        <v>2</v>
      </c>
      <c r="K8" s="63">
        <f t="shared" ref="K8:K23" si="0">SUM(D8:J8)</f>
        <v>13</v>
      </c>
    </row>
    <row r="9" spans="2:11" ht="15">
      <c r="B9" s="29" t="s">
        <v>240</v>
      </c>
      <c r="C9" s="29" t="s">
        <v>241</v>
      </c>
      <c r="D9" s="41">
        <f>COUNTIFS('PRN 2021'!$I$3:$I$84,"="&amp;$D$6,'PRN 2021'!$Q$3:$Q$84,"="&amp;B9)</f>
        <v>0</v>
      </c>
      <c r="E9" s="41">
        <f>COUNTIFS('PRN 2021'!$I$3:$I$84,"="&amp;$E$6,'PRN 2021'!$Q$3:$Q$84,"="&amp;B9)</f>
        <v>1</v>
      </c>
      <c r="F9" s="41">
        <f>COUNTIFS('PRN 2021'!$I$3:$I$84,"="&amp;$F$6,'PRN 2021'!$Q$3:$Q$84,"="&amp;B9)</f>
        <v>3</v>
      </c>
      <c r="G9" s="41">
        <f>COUNTIFS('PRN 2021'!$I$3:$I$84,"="&amp;$G$6,'PRN 2021'!$Q$3:$Q$84,"="&amp;B9)</f>
        <v>1</v>
      </c>
      <c r="H9" s="41">
        <f>COUNTIFS('PRN 2021'!$I$3:$I$84,"="&amp;$H$6,'PRN 2021'!$Q$3:$Q$84,"="&amp;B9)</f>
        <v>0</v>
      </c>
      <c r="I9" s="41">
        <f>COUNTIFS('PRN 2021'!$I$3:$I$84,"="&amp;$I$6,'PRN 2021'!$Q$3:$Q$84,"="&amp;B9)</f>
        <v>0</v>
      </c>
      <c r="J9" s="41">
        <f>COUNTIFS('PRN 2021'!$I$3:$I$84,"="&amp;$J$6,'PRN 2021'!$Q$3:$Q$84,"="&amp;B9)</f>
        <v>0</v>
      </c>
      <c r="K9" s="63">
        <f t="shared" si="0"/>
        <v>5</v>
      </c>
    </row>
    <row r="10" spans="2:11" ht="15">
      <c r="B10" s="29" t="s">
        <v>249</v>
      </c>
      <c r="C10" s="29" t="s">
        <v>241</v>
      </c>
      <c r="D10" s="41">
        <f>COUNTIFS('PRN 2021'!$I$3:$I$84,"="&amp;$D$6,'PRN 2021'!$Q$3:$Q$84,"="&amp;B10)</f>
        <v>0</v>
      </c>
      <c r="E10" s="41">
        <f>COUNTIFS('PRN 2021'!$I$3:$I$84,"="&amp;$E$6,'PRN 2021'!$Q$3:$Q$84,"="&amp;B10)</f>
        <v>0</v>
      </c>
      <c r="F10" s="41">
        <f>COUNTIFS('PRN 2021'!$I$3:$I$84,"="&amp;$F$6,'PRN 2021'!$Q$3:$Q$84,"="&amp;B10)</f>
        <v>8</v>
      </c>
      <c r="G10" s="41">
        <f>COUNTIFS('PRN 2021'!$I$3:$I$84,"="&amp;$G$6,'PRN 2021'!$Q$3:$Q$84,"="&amp;B10)</f>
        <v>0</v>
      </c>
      <c r="H10" s="41">
        <f>COUNTIFS('PRN 2021'!$I$3:$I$84,"="&amp;$H$6,'PRN 2021'!$Q$3:$Q$84,"="&amp;B10)</f>
        <v>2</v>
      </c>
      <c r="I10" s="41">
        <f>COUNTIFS('PRN 2021'!$I$3:$I$84,"="&amp;$I$6,'PRN 2021'!$Q$3:$Q$84,"="&amp;B10)</f>
        <v>0</v>
      </c>
      <c r="J10" s="41">
        <f>COUNTIFS('PRN 2021'!$I$3:$I$84,"="&amp;$J$6,'PRN 2021'!$Q$3:$Q$84,"="&amp;B10)</f>
        <v>1</v>
      </c>
      <c r="K10" s="63">
        <f t="shared" si="0"/>
        <v>11</v>
      </c>
    </row>
    <row r="11" spans="2:11" ht="15">
      <c r="B11" s="29" t="s">
        <v>244</v>
      </c>
      <c r="C11" s="29" t="s">
        <v>245</v>
      </c>
      <c r="D11" s="41">
        <f>COUNTIFS('PRN 2021'!$I$3:$I$84,"="&amp;$D$6,'PRN 2021'!$Q$3:$Q$84,"="&amp;B11)</f>
        <v>0</v>
      </c>
      <c r="E11" s="41">
        <f>COUNTIFS('PRN 2021'!$I$3:$I$84,"="&amp;$E$6,'PRN 2021'!$Q$3:$Q$84,"="&amp;B11)</f>
        <v>2</v>
      </c>
      <c r="F11" s="41">
        <f>COUNTIFS('PRN 2021'!$I$3:$I$84,"="&amp;$F$6,'PRN 2021'!$Q$3:$Q$84,"="&amp;B11)</f>
        <v>0</v>
      </c>
      <c r="G11" s="41">
        <f>COUNTIFS('PRN 2021'!$I$3:$I$84,"="&amp;$G$6,'PRN 2021'!$Q$3:$Q$84,"="&amp;B11)</f>
        <v>0</v>
      </c>
      <c r="H11" s="41">
        <f>COUNTIFS('PRN 2021'!$I$3:$I$84,"="&amp;$H$6,'PRN 2021'!$Q$3:$Q$84,"="&amp;B11)</f>
        <v>0</v>
      </c>
      <c r="I11" s="41">
        <f>COUNTIFS('PRN 2021'!$I$3:$I$84,"="&amp;$I$6,'PRN 2021'!$Q$3:$Q$84,"="&amp;B11)</f>
        <v>0</v>
      </c>
      <c r="J11" s="41">
        <f>COUNTIFS('PRN 2021'!$I$3:$I$84,"="&amp;$J$6,'PRN 2021'!$Q$3:$Q$84,"="&amp;B11)</f>
        <v>0</v>
      </c>
      <c r="K11" s="63">
        <f t="shared" si="0"/>
        <v>2</v>
      </c>
    </row>
    <row r="12" spans="2:11" ht="15">
      <c r="B12" s="29" t="s">
        <v>253</v>
      </c>
      <c r="C12" s="29" t="s">
        <v>245</v>
      </c>
      <c r="D12" s="41">
        <f>COUNTIFS('PRN 2021'!$I$3:$I$84,"="&amp;$D$6,'PRN 2021'!$Q$3:$Q$84,"="&amp;B12)</f>
        <v>0</v>
      </c>
      <c r="E12" s="41">
        <f>COUNTIFS('PRN 2021'!$I$3:$I$84,"="&amp;$E$6,'PRN 2021'!$Q$3:$Q$84,"="&amp;B12)</f>
        <v>0</v>
      </c>
      <c r="F12" s="41">
        <f>COUNTIFS('PRN 2021'!$I$3:$I$84,"="&amp;$F$6,'PRN 2021'!$Q$3:$Q$84,"="&amp;B12)</f>
        <v>0</v>
      </c>
      <c r="G12" s="41">
        <f>COUNTIFS('PRN 2021'!$I$3:$I$84,"="&amp;$G$6,'PRN 2021'!$Q$3:$Q$84,"="&amp;B12)</f>
        <v>0</v>
      </c>
      <c r="H12" s="41">
        <f>COUNTIFS('PRN 2021'!$I$3:$I$84,"="&amp;$H$6,'PRN 2021'!$Q$3:$Q$84,"="&amp;B12)</f>
        <v>0</v>
      </c>
      <c r="I12" s="41">
        <f>COUNTIFS('PRN 2021'!$I$3:$I$84,"="&amp;$I$6,'PRN 2021'!$Q$3:$Q$84,"="&amp;B12)</f>
        <v>0</v>
      </c>
      <c r="J12" s="41">
        <f>COUNTIFS('PRN 2021'!$I$3:$I$84,"="&amp;$J$6,'PRN 2021'!$Q$3:$Q$84,"="&amp;B12)</f>
        <v>0</v>
      </c>
      <c r="K12" s="63">
        <f t="shared" si="0"/>
        <v>0</v>
      </c>
    </row>
    <row r="13" spans="2:11" ht="15">
      <c r="B13" s="29" t="s">
        <v>254</v>
      </c>
      <c r="C13" s="29" t="s">
        <v>245</v>
      </c>
      <c r="D13" s="41">
        <f>COUNTIFS('PRN 2021'!$I$3:$I$84,"="&amp;$D$6,'PRN 2021'!$Q$3:$Q$84,"="&amp;B13)</f>
        <v>0</v>
      </c>
      <c r="E13" s="41">
        <f>COUNTIFS('PRN 2021'!$I$3:$I$84,"="&amp;$E$6,'PRN 2021'!$Q$3:$Q$84,"="&amp;B13)</f>
        <v>0</v>
      </c>
      <c r="F13" s="41">
        <f>COUNTIFS('PRN 2021'!$I$3:$I$84,"="&amp;$F$6,'PRN 2021'!$Q$3:$Q$84,"="&amp;B13)</f>
        <v>0</v>
      </c>
      <c r="G13" s="41">
        <f>COUNTIFS('PRN 2021'!$I$3:$I$84,"="&amp;$G$6,'PRN 2021'!$Q$3:$Q$84,"="&amp;B13)</f>
        <v>0</v>
      </c>
      <c r="H13" s="41">
        <f>COUNTIFS('PRN 2021'!$I$3:$I$84,"="&amp;$H$6,'PRN 2021'!$Q$3:$Q$84,"="&amp;B13)</f>
        <v>0</v>
      </c>
      <c r="I13" s="41">
        <f>COUNTIFS('PRN 2021'!$I$3:$I$84,"="&amp;$I$6,'PRN 2021'!$Q$3:$Q$84,"="&amp;B13)</f>
        <v>0</v>
      </c>
      <c r="J13" s="41">
        <f>COUNTIFS('PRN 2021'!$I$3:$I$84,"="&amp;$J$6,'PRN 2021'!$Q$3:$Q$84,"="&amp;B13)</f>
        <v>0</v>
      </c>
      <c r="K13" s="63">
        <f t="shared" si="0"/>
        <v>0</v>
      </c>
    </row>
    <row r="14" spans="2:11" ht="15">
      <c r="B14" s="29" t="s">
        <v>252</v>
      </c>
      <c r="C14" s="29" t="s">
        <v>252</v>
      </c>
      <c r="D14" s="41">
        <f>COUNTIFS('PRN 2021'!$I$3:$I$84,"="&amp;$D$6,'PRN 2021'!$Q$3:$Q$84,"="&amp;B14)</f>
        <v>0</v>
      </c>
      <c r="E14" s="41">
        <f>COUNTIFS('PRN 2021'!$I$3:$I$84,"="&amp;$E$6,'PRN 2021'!$Q$3:$Q$84,"="&amp;B14)</f>
        <v>1</v>
      </c>
      <c r="F14" s="41">
        <f>COUNTIFS('PRN 2021'!$I$3:$I$84,"="&amp;$F$6,'PRN 2021'!$Q$3:$Q$84,"="&amp;B14)</f>
        <v>1</v>
      </c>
      <c r="G14" s="41">
        <f>COUNTIFS('PRN 2021'!$I$3:$I$84,"="&amp;$G$6,'PRN 2021'!$Q$3:$Q$84,"="&amp;B14)</f>
        <v>0</v>
      </c>
      <c r="H14" s="41">
        <f>COUNTIFS('PRN 2021'!$I$3:$I$84,"="&amp;$H$6,'PRN 2021'!$Q$3:$Q$84,"="&amp;B14)</f>
        <v>1</v>
      </c>
      <c r="I14" s="41">
        <f>COUNTIFS('PRN 2021'!$I$3:$I$84,"="&amp;$I$6,'PRN 2021'!$Q$3:$Q$84,"="&amp;B14)</f>
        <v>0</v>
      </c>
      <c r="J14" s="41">
        <f>COUNTIFS('PRN 2021'!$I$3:$I$84,"="&amp;$J$6,'PRN 2021'!$Q$3:$Q$84,"="&amp;B14)</f>
        <v>1</v>
      </c>
      <c r="K14" s="63">
        <f t="shared" si="0"/>
        <v>4</v>
      </c>
    </row>
    <row r="15" spans="2:11" ht="15">
      <c r="B15" s="29" t="s">
        <v>301</v>
      </c>
      <c r="C15" s="29" t="s">
        <v>279</v>
      </c>
      <c r="D15" s="41">
        <f>COUNTIFS('PRN 2021'!$I$3:$I$84,"="&amp;$D$6,'PRN 2021'!$Q$3:$Q$84,"="&amp;B15)</f>
        <v>0</v>
      </c>
      <c r="E15" s="41">
        <f>COUNTIFS('PRN 2021'!$I$3:$I$84,"="&amp;$E$6,'PRN 2021'!$Q$3:$Q$84,"="&amp;B15)</f>
        <v>0</v>
      </c>
      <c r="F15" s="41">
        <f>COUNTIFS('PRN 2021'!$I$3:$I$84,"="&amp;$F$6,'PRN 2021'!$Q$3:$Q$84,"="&amp;B15)</f>
        <v>0</v>
      </c>
      <c r="G15" s="41">
        <f>COUNTIFS('PRN 2021'!$I$3:$I$84,"="&amp;$G$6,'PRN 2021'!$Q$3:$Q$84,"="&amp;B15)</f>
        <v>0</v>
      </c>
      <c r="H15" s="41">
        <f>COUNTIFS('PRN 2021'!$I$3:$I$84,"="&amp;$H$6,'PRN 2021'!$Q$3:$Q$84,"="&amp;B15)</f>
        <v>0</v>
      </c>
      <c r="I15" s="41">
        <f>COUNTIFS('PRN 2021'!$I$3:$I$84,"="&amp;$I$6,'PRN 2021'!$Q$3:$Q$84,"="&amp;B15)</f>
        <v>0</v>
      </c>
      <c r="J15" s="41">
        <f>COUNTIFS('PRN 2021'!$I$3:$I$84,"="&amp;$J$6,'PRN 2021'!$Q$3:$Q$84,"="&amp;B15)</f>
        <v>0</v>
      </c>
      <c r="K15" s="63">
        <f t="shared" si="0"/>
        <v>0</v>
      </c>
    </row>
    <row r="16" spans="2:11" ht="15">
      <c r="B16" s="29" t="s">
        <v>302</v>
      </c>
      <c r="C16" s="29" t="s">
        <v>279</v>
      </c>
      <c r="D16" s="41">
        <f>COUNTIFS('PRN 2021'!$I$3:$I$84,"="&amp;$D$6,'PRN 2021'!$Q$3:$Q$84,"="&amp;B16)</f>
        <v>0</v>
      </c>
      <c r="E16" s="41">
        <f>COUNTIFS('PRN 2021'!$I$3:$I$84,"="&amp;$E$6,'PRN 2021'!$Q$3:$Q$84,"="&amp;B16)</f>
        <v>0</v>
      </c>
      <c r="F16" s="41">
        <f>COUNTIFS('PRN 2021'!$I$3:$I$84,"="&amp;$F$6,'PRN 2021'!$Q$3:$Q$84,"="&amp;B16)</f>
        <v>0</v>
      </c>
      <c r="G16" s="41">
        <f>COUNTIFS('PRN 2021'!$I$3:$I$84,"="&amp;$G$6,'PRN 2021'!$Q$3:$Q$84,"="&amp;B16)</f>
        <v>0</v>
      </c>
      <c r="H16" s="41">
        <f>COUNTIFS('PRN 2021'!$I$3:$I$84,"="&amp;$H$6,'PRN 2021'!$Q$3:$Q$84,"="&amp;B16)</f>
        <v>0</v>
      </c>
      <c r="I16" s="41">
        <f>COUNTIFS('PRN 2021'!$I$3:$I$84,"="&amp;$I$6,'PRN 2021'!$Q$3:$Q$84,"="&amp;B16)</f>
        <v>0</v>
      </c>
      <c r="J16" s="41">
        <f>COUNTIFS('PRN 2021'!$I$3:$I$84,"="&amp;$J$6,'PRN 2021'!$Q$3:$Q$84,"="&amp;B16)</f>
        <v>0</v>
      </c>
      <c r="K16" s="63">
        <f t="shared" si="0"/>
        <v>0</v>
      </c>
    </row>
    <row r="17" spans="2:11" ht="15">
      <c r="B17" s="29" t="s">
        <v>303</v>
      </c>
      <c r="C17" s="29" t="s">
        <v>279</v>
      </c>
      <c r="D17" s="41">
        <f>COUNTIFS('PRN 2021'!$I$3:$I$84,"="&amp;$D$6,'PRN 2021'!$Q$3:$Q$84,"="&amp;B17)</f>
        <v>0</v>
      </c>
      <c r="E17" s="41">
        <f>COUNTIFS('PRN 2021'!$I$3:$I$84,"="&amp;$E$6,'PRN 2021'!$Q$3:$Q$84,"="&amp;B17)</f>
        <v>0</v>
      </c>
      <c r="F17" s="41">
        <f>COUNTIFS('PRN 2021'!$I$3:$I$84,"="&amp;$F$6,'PRN 2021'!$Q$3:$Q$84,"="&amp;B17)</f>
        <v>0</v>
      </c>
      <c r="G17" s="41">
        <f>COUNTIFS('PRN 2021'!$I$3:$I$84,"="&amp;$G$6,'PRN 2021'!$Q$3:$Q$84,"="&amp;B17)</f>
        <v>0</v>
      </c>
      <c r="H17" s="41">
        <f>COUNTIFS('PRN 2021'!$I$3:$I$84,"="&amp;$H$6,'PRN 2021'!$Q$3:$Q$84,"="&amp;B17)</f>
        <v>0</v>
      </c>
      <c r="I17" s="41">
        <f>COUNTIFS('PRN 2021'!$I$3:$I$84,"="&amp;$I$6,'PRN 2021'!$Q$3:$Q$84,"="&amp;B17)</f>
        <v>0</v>
      </c>
      <c r="J17" s="41">
        <f>COUNTIFS('PRN 2021'!$I$3:$I$84,"="&amp;$J$6,'PRN 2021'!$Q$3:$Q$84,"="&amp;B17)</f>
        <v>0</v>
      </c>
      <c r="K17" s="63">
        <f t="shared" si="0"/>
        <v>0</v>
      </c>
    </row>
    <row r="18" spans="2:11" ht="15">
      <c r="B18" s="29" t="s">
        <v>304</v>
      </c>
      <c r="C18" s="29" t="s">
        <v>279</v>
      </c>
      <c r="D18" s="41">
        <f>COUNTIFS('PRN 2021'!$I$3:$I$84,"="&amp;$D$6,'PRN 2021'!$Q$3:$Q$84,"="&amp;B18)</f>
        <v>0</v>
      </c>
      <c r="E18" s="41">
        <f>COUNTIFS('PRN 2021'!$I$3:$I$84,"="&amp;$E$6,'PRN 2021'!$Q$3:$Q$84,"="&amp;B18)</f>
        <v>0</v>
      </c>
      <c r="F18" s="41">
        <f>COUNTIFS('PRN 2021'!$I$3:$I$84,"="&amp;$F$6,'PRN 2021'!$Q$3:$Q$84,"="&amp;B18)</f>
        <v>0</v>
      </c>
      <c r="G18" s="41">
        <f>COUNTIFS('PRN 2021'!$I$3:$I$84,"="&amp;$G$6,'PRN 2021'!$Q$3:$Q$84,"="&amp;B18)</f>
        <v>0</v>
      </c>
      <c r="H18" s="41">
        <f>COUNTIFS('PRN 2021'!$I$3:$I$84,"="&amp;$H$6,'PRN 2021'!$Q$3:$Q$84,"="&amp;B18)</f>
        <v>0</v>
      </c>
      <c r="I18" s="41">
        <f>COUNTIFS('PRN 2021'!$I$3:$I$84,"="&amp;$I$6,'PRN 2021'!$Q$3:$Q$84,"="&amp;B18)</f>
        <v>0</v>
      </c>
      <c r="J18" s="41">
        <f>COUNTIFS('PRN 2021'!$I$3:$I$84,"="&amp;$J$6,'PRN 2021'!$Q$3:$Q$84,"="&amp;B18)</f>
        <v>0</v>
      </c>
      <c r="K18" s="63">
        <f t="shared" si="0"/>
        <v>0</v>
      </c>
    </row>
    <row r="19" spans="2:11" ht="15">
      <c r="B19" s="29" t="s">
        <v>250</v>
      </c>
      <c r="C19" s="29" t="s">
        <v>246</v>
      </c>
      <c r="D19" s="41">
        <f>COUNTIFS('PRN 2021'!$I$3:$I$84,"="&amp;$D$6,'PRN 2021'!$Q$3:$Q$84,"="&amp;B19)</f>
        <v>0</v>
      </c>
      <c r="E19" s="41">
        <f>COUNTIFS('PRN 2021'!$I$3:$I$84,"="&amp;$E$6,'PRN 2021'!$Q$3:$Q$84,"="&amp;B19)</f>
        <v>0</v>
      </c>
      <c r="F19" s="41">
        <f>COUNTIFS('PRN 2021'!$I$3:$I$84,"="&amp;$F$6,'PRN 2021'!$Q$3:$Q$84,"="&amp;B19)</f>
        <v>0</v>
      </c>
      <c r="G19" s="41">
        <f>COUNTIFS('PRN 2021'!$I$3:$I$84,"="&amp;$G$6,'PRN 2021'!$Q$3:$Q$84,"="&amp;B19)</f>
        <v>0</v>
      </c>
      <c r="H19" s="41">
        <f>COUNTIFS('PRN 2021'!$I$3:$I$84,"="&amp;$H$6,'PRN 2021'!$Q$3:$Q$84,"="&amp;B19)</f>
        <v>0</v>
      </c>
      <c r="I19" s="41">
        <f>COUNTIFS('PRN 2021'!$I$3:$I$84,"="&amp;$I$6,'PRN 2021'!$Q$3:$Q$84,"="&amp;B19)</f>
        <v>0</v>
      </c>
      <c r="J19" s="41">
        <f>COUNTIFS('PRN 2021'!$I$3:$I$84,"="&amp;$J$6,'PRN 2021'!$Q$3:$Q$84,"="&amp;B19)</f>
        <v>0</v>
      </c>
      <c r="K19" s="63">
        <f t="shared" si="0"/>
        <v>0</v>
      </c>
    </row>
    <row r="20" spans="2:11" ht="15">
      <c r="B20" s="29" t="s">
        <v>248</v>
      </c>
      <c r="C20" s="29" t="s">
        <v>246</v>
      </c>
      <c r="D20" s="41">
        <f>COUNTIFS('PRN 2021'!$I$3:$I$84,"="&amp;$D$6,'PRN 2021'!$Q$3:$Q$84,"="&amp;B20)</f>
        <v>0</v>
      </c>
      <c r="E20" s="41">
        <f>COUNTIFS('PRN 2021'!$I$3:$I$84,"="&amp;$E$6,'PRN 2021'!$Q$3:$Q$84,"="&amp;B20)</f>
        <v>0</v>
      </c>
      <c r="F20" s="41">
        <f>COUNTIFS('PRN 2021'!$I$3:$I$84,"="&amp;$F$6,'PRN 2021'!$Q$3:$Q$84,"="&amp;B20)</f>
        <v>0</v>
      </c>
      <c r="G20" s="41">
        <f>COUNTIFS('PRN 2021'!$I$3:$I$84,"="&amp;$G$6,'PRN 2021'!$Q$3:$Q$84,"="&amp;B20)</f>
        <v>0</v>
      </c>
      <c r="H20" s="41">
        <f>COUNTIFS('PRN 2021'!$I$3:$I$84,"="&amp;$H$6,'PRN 2021'!$Q$3:$Q$84,"="&amp;B20)</f>
        <v>0</v>
      </c>
      <c r="I20" s="41">
        <f>COUNTIFS('PRN 2021'!$I$3:$I$84,"="&amp;$I$6,'PRN 2021'!$Q$3:$Q$84,"="&amp;B20)</f>
        <v>0</v>
      </c>
      <c r="J20" s="41">
        <f>COUNTIFS('PRN 2021'!$I$3:$I$84,"="&amp;$J$6,'PRN 2021'!$Q$3:$Q$84,"="&amp;B20)</f>
        <v>0</v>
      </c>
      <c r="K20" s="63">
        <f t="shared" si="0"/>
        <v>0</v>
      </c>
    </row>
    <row r="21" spans="2:11" ht="15">
      <c r="B21" s="29" t="s">
        <v>305</v>
      </c>
      <c r="C21" s="29" t="s">
        <v>305</v>
      </c>
      <c r="D21" s="41">
        <f>COUNTIFS('PRN 2021'!$I$3:$I$84,"="&amp;$D$6,'PRN 2021'!$Q$3:$Q$84,"="&amp;B21)</f>
        <v>0</v>
      </c>
      <c r="E21" s="41">
        <f>COUNTIFS('PRN 2021'!$I$3:$I$84,"="&amp;$E$6,'PRN 2021'!$Q$3:$Q$84,"="&amp;B21)</f>
        <v>0</v>
      </c>
      <c r="F21" s="41">
        <f>COUNTIFS('PRN 2021'!$I$3:$I$84,"="&amp;$F$6,'PRN 2021'!$Q$3:$Q$84,"="&amp;B21)</f>
        <v>0</v>
      </c>
      <c r="G21" s="41">
        <f>COUNTIFS('PRN 2021'!$I$3:$I$84,"="&amp;$G$6,'PRN 2021'!$Q$3:$Q$84,"="&amp;B21)</f>
        <v>0</v>
      </c>
      <c r="H21" s="41">
        <f>COUNTIFS('PRN 2021'!$I$3:$I$84,"="&amp;$H$6,'PRN 2021'!$Q$3:$Q$84,"="&amp;B21)</f>
        <v>0</v>
      </c>
      <c r="I21" s="41">
        <f>COUNTIFS('PRN 2021'!$I$3:$I$84,"="&amp;$I$6,'PRN 2021'!$Q$3:$Q$84,"="&amp;B21)</f>
        <v>0</v>
      </c>
      <c r="J21" s="41">
        <f>COUNTIFS('PRN 2021'!$I$3:$I$84,"="&amp;$J$6,'PRN 2021'!$Q$3:$Q$84,"="&amp;B21)</f>
        <v>0</v>
      </c>
      <c r="K21" s="63">
        <f t="shared" si="0"/>
        <v>0</v>
      </c>
    </row>
    <row r="22" spans="2:11" ht="15">
      <c r="B22" s="29" t="s">
        <v>306</v>
      </c>
      <c r="C22" s="29" t="s">
        <v>306</v>
      </c>
      <c r="D22" s="41">
        <f>COUNTIFS('PRN 2021'!$I$3:$I$84,"="&amp;$D$6,'PRN 2021'!$Q$3:$Q$84,"="&amp;B22)</f>
        <v>0</v>
      </c>
      <c r="E22" s="41">
        <f>COUNTIFS('PRN 2021'!$I$3:$I$84,"="&amp;$E$6,'PRN 2021'!$Q$3:$Q$84,"="&amp;B22)</f>
        <v>0</v>
      </c>
      <c r="F22" s="41">
        <f>COUNTIFS('PRN 2021'!$I$3:$I$84,"="&amp;$F$6,'PRN 2021'!$Q$3:$Q$84,"="&amp;B22)</f>
        <v>0</v>
      </c>
      <c r="G22" s="41">
        <f>COUNTIFS('PRN 2021'!$I$3:$I$84,"="&amp;$G$6,'PRN 2021'!$Q$3:$Q$84,"="&amp;B22)</f>
        <v>0</v>
      </c>
      <c r="H22" s="41">
        <f>COUNTIFS('PRN 2021'!$I$3:$I$84,"="&amp;$H$6,'PRN 2021'!$Q$3:$Q$84,"="&amp;B22)</f>
        <v>0</v>
      </c>
      <c r="I22" s="41">
        <f>COUNTIFS('PRN 2021'!$I$3:$I$84,"="&amp;$I$6,'PRN 2021'!$Q$3:$Q$84,"="&amp;B22)</f>
        <v>0</v>
      </c>
      <c r="J22" s="41">
        <f>COUNTIFS('PRN 2021'!$I$3:$I$84,"="&amp;$J$6,'PRN 2021'!$Q$3:$Q$84,"="&amp;B22)</f>
        <v>0</v>
      </c>
      <c r="K22" s="63">
        <f t="shared" si="0"/>
        <v>0</v>
      </c>
    </row>
    <row r="23" spans="2:11" ht="15">
      <c r="B23" s="29" t="s">
        <v>251</v>
      </c>
      <c r="C23" s="29" t="s">
        <v>251</v>
      </c>
      <c r="D23" s="41">
        <f>COUNTIFS('PRN 2021'!$I$3:$I$84,"="&amp;$D$6,'PRN 2021'!$Q$3:$Q$84,"="&amp;B23)</f>
        <v>0</v>
      </c>
      <c r="E23" s="41">
        <f>COUNTIFS('PRN 2021'!$I$3:$I$84,"="&amp;$E$6,'PRN 2021'!$Q$3:$Q$84,"="&amp;B23)</f>
        <v>0</v>
      </c>
      <c r="F23" s="41">
        <f>COUNTIFS('PRN 2021'!$I$3:$I$84,"="&amp;$F$6,'PRN 2021'!$Q$3:$Q$84,"="&amp;B23)</f>
        <v>0</v>
      </c>
      <c r="G23" s="41">
        <f>COUNTIFS('PRN 2021'!$I$3:$I$84,"="&amp;$G$6,'PRN 2021'!$Q$3:$Q$84,"="&amp;B23)</f>
        <v>0</v>
      </c>
      <c r="H23" s="41">
        <f>COUNTIFS('PRN 2021'!$I$3:$I$84,"="&amp;$H$6,'PRN 2021'!$Q$3:$Q$84,"="&amp;B23)</f>
        <v>0</v>
      </c>
      <c r="I23" s="41">
        <f>COUNTIFS('PRN 2021'!$I$3:$I$84,"="&amp;$I$6,'PRN 2021'!$Q$3:$Q$84,"="&amp;B23)</f>
        <v>0</v>
      </c>
      <c r="J23" s="41">
        <f>COUNTIFS('PRN 2021'!$I$3:$I$84,"="&amp;$J$6,'PRN 2021'!$Q$3:$Q$84,"="&amp;B23)</f>
        <v>0</v>
      </c>
      <c r="K23" s="63">
        <f t="shared" si="0"/>
        <v>0</v>
      </c>
    </row>
    <row r="25" spans="2:11" ht="15">
      <c r="J25" s="70" t="s">
        <v>235</v>
      </c>
      <c r="K25" s="63">
        <f>SUM(K7:K23)</f>
        <v>82</v>
      </c>
    </row>
    <row r="30" spans="2:11">
      <c r="B30" s="89" t="s">
        <v>347</v>
      </c>
      <c r="C30" s="89"/>
      <c r="D30" s="89"/>
      <c r="E30" s="89"/>
      <c r="F30" s="89"/>
      <c r="G30" s="89"/>
      <c r="H30" s="89"/>
      <c r="I30" s="89"/>
      <c r="J30" s="89"/>
      <c r="K30" s="89"/>
    </row>
    <row r="31" spans="2:11">
      <c r="B31" s="89"/>
      <c r="C31" s="89"/>
      <c r="D31" s="89"/>
      <c r="E31" s="89"/>
      <c r="F31" s="89"/>
      <c r="G31" s="89"/>
      <c r="H31" s="89"/>
      <c r="I31" s="89"/>
      <c r="J31" s="89"/>
      <c r="K31" s="89"/>
    </row>
    <row r="33" spans="2:11" ht="60">
      <c r="B33" s="26" t="s">
        <v>236</v>
      </c>
      <c r="C33" s="26" t="s">
        <v>237</v>
      </c>
      <c r="D33" s="64" t="s">
        <v>275</v>
      </c>
      <c r="E33" s="63" t="s">
        <v>276</v>
      </c>
      <c r="F33" s="63" t="s">
        <v>277</v>
      </c>
      <c r="G33" s="63" t="s">
        <v>278</v>
      </c>
      <c r="H33" s="63" t="s">
        <v>281</v>
      </c>
      <c r="I33" s="69" t="s">
        <v>279</v>
      </c>
      <c r="J33" s="69" t="s">
        <v>345</v>
      </c>
      <c r="K33" s="69" t="s">
        <v>235</v>
      </c>
    </row>
    <row r="34" spans="2:11" ht="15">
      <c r="B34" s="29" t="s">
        <v>243</v>
      </c>
      <c r="C34" s="29" t="s">
        <v>241</v>
      </c>
      <c r="D34" s="41">
        <f>COUNTIFS('PRN 2021'!$I$3:$I$84,"="&amp;$D$33,'PRN 2021'!$U$3:$U$84,"="&amp;B7)</f>
        <v>0</v>
      </c>
      <c r="E34" s="41">
        <f>COUNTIFS('PRN 2021'!$I$3:$I$84,"="&amp;$E$33,'PRN 2021'!$U$3:$U$84,"="&amp;B7)</f>
        <v>0</v>
      </c>
      <c r="F34" s="41">
        <f>COUNTIFS('PRN 2021'!$I$3:$I$84,"="&amp;$F$33,'PRN 2021'!$U$3:$U$84,"="&amp;B7)</f>
        <v>0</v>
      </c>
      <c r="G34" s="41">
        <f>COUNTIFS('PRN 2021'!$I$3:$I$84,"="&amp;$G$33,'PRN 2021'!$U$3:$U$84,"="&amp;B7)</f>
        <v>0</v>
      </c>
      <c r="H34" s="41">
        <f>COUNTIFS('PRN 2021'!$I$3:$I$84,"="&amp;$H$33,'PRN 2021'!$U$3:$U$84,"="&amp;B7)</f>
        <v>0</v>
      </c>
      <c r="I34" s="41">
        <f>COUNTIFS('PRN 2021'!$I$3:$I$84,"="&amp;$I$33,'PRN 2021'!$U$3:$U$84,"="&amp;B7)</f>
        <v>0</v>
      </c>
      <c r="J34" s="41">
        <f>COUNTIFS('PRN 2021'!$I$3:$I$84,"="&amp;$J$33,'PRN 2021'!$U$3:$U$84,"="&amp;B7)</f>
        <v>0</v>
      </c>
      <c r="K34" s="63">
        <f>SUM(D34:J34)</f>
        <v>0</v>
      </c>
    </row>
    <row r="35" spans="2:11" ht="15">
      <c r="B35" s="29" t="s">
        <v>239</v>
      </c>
      <c r="C35" s="29" t="s">
        <v>241</v>
      </c>
      <c r="D35" s="41">
        <f>COUNTIFS('PRN 2021'!$I$3:$I$84,"="&amp;$D$33,'PRN 2021'!$U$3:$U$84,"="&amp;B8)</f>
        <v>0</v>
      </c>
      <c r="E35" s="41">
        <f>COUNTIFS('PRN 2021'!$I$3:$I$84,"="&amp;$E$33,'PRN 2021'!$U$3:$U$84,"="&amp;B8)</f>
        <v>3</v>
      </c>
      <c r="F35" s="41">
        <f>COUNTIFS('PRN 2021'!$I$3:$I$84,"="&amp;$F$33,'PRN 2021'!$U$3:$U$84,"="&amp;B8)</f>
        <v>1</v>
      </c>
      <c r="G35" s="41">
        <f>COUNTIFS('PRN 2021'!$I$3:$I$84,"="&amp;$G$33,'PRN 2021'!$U$3:$U$84,"="&amp;B8)</f>
        <v>0</v>
      </c>
      <c r="H35" s="41">
        <f>COUNTIFS('PRN 2021'!$I$3:$I$84,"="&amp;$H$33,'PRN 2021'!$U$3:$U$84,"="&amp;B8)</f>
        <v>0</v>
      </c>
      <c r="I35" s="41">
        <f>COUNTIFS('PRN 2021'!$I$3:$I$84,"="&amp;$I$33,'PRN 2021'!$U$3:$U$84,"="&amp;B8)</f>
        <v>0</v>
      </c>
      <c r="J35" s="41">
        <f>COUNTIFS('PRN 2021'!$I$3:$I$84,"="&amp;$J$33,'PRN 2021'!$U$3:$U$84,"="&amp;B8)</f>
        <v>1</v>
      </c>
      <c r="K35" s="63">
        <f t="shared" ref="K35:K50" si="1">SUM(D35:J35)</f>
        <v>5</v>
      </c>
    </row>
    <row r="36" spans="2:11" ht="15">
      <c r="B36" s="29" t="s">
        <v>240</v>
      </c>
      <c r="C36" s="29" t="s">
        <v>241</v>
      </c>
      <c r="D36" s="41">
        <f>COUNTIFS('PRN 2021'!$I$3:$I$84,"="&amp;$D$33,'PRN 2021'!$U$3:$U$84,"="&amp;B9)</f>
        <v>0</v>
      </c>
      <c r="E36" s="41">
        <f>COUNTIFS('PRN 2021'!$I$3:$I$84,"="&amp;$E$33,'PRN 2021'!$U$3:$U$84,"="&amp;B9)</f>
        <v>0</v>
      </c>
      <c r="F36" s="41">
        <f>COUNTIFS('PRN 2021'!$I$3:$I$84,"="&amp;$F$33,'PRN 2021'!$U$3:$U$84,"="&amp;B9)</f>
        <v>0</v>
      </c>
      <c r="G36" s="41">
        <f>COUNTIFS('PRN 2021'!$I$3:$I$84,"="&amp;$G$33,'PRN 2021'!$U$3:$U$84,"="&amp;B9)</f>
        <v>0</v>
      </c>
      <c r="H36" s="41">
        <f>COUNTIFS('PRN 2021'!$I$3:$I$84,"="&amp;$H$33,'PRN 2021'!$U$3:$U$84,"="&amp;B9)</f>
        <v>1</v>
      </c>
      <c r="I36" s="41">
        <f>COUNTIFS('PRN 2021'!$I$3:$I$84,"="&amp;$I$33,'PRN 2021'!$U$3:$U$84,"="&amp;B9)</f>
        <v>0</v>
      </c>
      <c r="J36" s="41">
        <f>COUNTIFS('PRN 2021'!$I$3:$I$84,"="&amp;$J$33,'PRN 2021'!$U$3:$U$84,"="&amp;B9)</f>
        <v>0</v>
      </c>
      <c r="K36" s="63">
        <f t="shared" si="1"/>
        <v>1</v>
      </c>
    </row>
    <row r="37" spans="2:11" ht="15">
      <c r="B37" s="29" t="s">
        <v>249</v>
      </c>
      <c r="C37" s="29" t="s">
        <v>241</v>
      </c>
      <c r="D37" s="41">
        <f>COUNTIFS('PRN 2021'!$I$3:$I$84,"="&amp;$D$33,'PRN 2021'!$U$3:$U$84,"="&amp;B10)</f>
        <v>0</v>
      </c>
      <c r="E37" s="41">
        <f>COUNTIFS('PRN 2021'!$I$3:$I$84,"="&amp;$E$33,'PRN 2021'!$U$3:$U$84,"="&amp;B10)</f>
        <v>0</v>
      </c>
      <c r="F37" s="41">
        <f>COUNTIFS('PRN 2021'!$I$3:$I$84,"="&amp;$F$33,'PRN 2021'!$U$3:$U$84,"="&amp;B10)</f>
        <v>0</v>
      </c>
      <c r="G37" s="41">
        <f>COUNTIFS('PRN 2021'!$I$3:$I$84,"="&amp;$G$33,'PRN 2021'!$U$3:$U$84,"="&amp;B10)</f>
        <v>0</v>
      </c>
      <c r="H37" s="41">
        <f>COUNTIFS('PRN 2021'!$I$3:$I$84,"="&amp;$H$33,'PRN 2021'!$U$3:$U$84,"="&amp;B10)</f>
        <v>0</v>
      </c>
      <c r="I37" s="41">
        <f>COUNTIFS('PRN 2021'!$I$3:$I$84,"="&amp;$I$33,'PRN 2021'!$U$3:$U$84,"="&amp;B10)</f>
        <v>0</v>
      </c>
      <c r="J37" s="41">
        <f>COUNTIFS('PRN 2021'!$I$3:$I$84,"="&amp;$J$33,'PRN 2021'!$U$3:$U$84,"="&amp;B10)</f>
        <v>0</v>
      </c>
      <c r="K37" s="63">
        <f t="shared" si="1"/>
        <v>0</v>
      </c>
    </row>
    <row r="38" spans="2:11" ht="15">
      <c r="B38" s="29" t="s">
        <v>244</v>
      </c>
      <c r="C38" s="29" t="s">
        <v>245</v>
      </c>
      <c r="D38" s="41">
        <f>COUNTIFS('PRN 2021'!$I$3:$I$84,"="&amp;$D$33,'PRN 2021'!$U$3:$U$84,"="&amp;B11)</f>
        <v>0</v>
      </c>
      <c r="E38" s="41">
        <f>COUNTIFS('PRN 2021'!$I$3:$I$84,"="&amp;$E$33,'PRN 2021'!$U$3:$U$84,"="&amp;B11)</f>
        <v>9</v>
      </c>
      <c r="F38" s="41">
        <f>COUNTIFS('PRN 2021'!$I$3:$I$84,"="&amp;$F$33,'PRN 2021'!$U$3:$U$84,"="&amp;B11)</f>
        <v>1</v>
      </c>
      <c r="G38" s="41">
        <f>COUNTIFS('PRN 2021'!$I$3:$I$84,"="&amp;$G$33,'PRN 2021'!$U$3:$U$84,"="&amp;B11)</f>
        <v>0</v>
      </c>
      <c r="H38" s="41">
        <f>COUNTIFS('PRN 2021'!$I$3:$I$84,"="&amp;$H$33,'PRN 2021'!$U$3:$U$84,"="&amp;B11)</f>
        <v>0</v>
      </c>
      <c r="I38" s="41">
        <f>COUNTIFS('PRN 2021'!$I$3:$I$84,"="&amp;$I$33,'PRN 2021'!$U$3:$U$84,"="&amp;B11)</f>
        <v>0</v>
      </c>
      <c r="J38" s="41">
        <f>COUNTIFS('PRN 2021'!$I$3:$I$84,"="&amp;$J$33,'PRN 2021'!$U$3:$U$84,"="&amp;B11)</f>
        <v>2</v>
      </c>
      <c r="K38" s="63">
        <f t="shared" si="1"/>
        <v>12</v>
      </c>
    </row>
    <row r="39" spans="2:11" ht="15">
      <c r="B39" s="29" t="s">
        <v>253</v>
      </c>
      <c r="C39" s="29" t="s">
        <v>245</v>
      </c>
      <c r="D39" s="41">
        <f>COUNTIFS('PRN 2021'!$I$3:$I$84,"="&amp;$D$33,'PRN 2021'!$U$3:$U$84,"="&amp;B12)</f>
        <v>3</v>
      </c>
      <c r="E39" s="41">
        <f>COUNTIFS('PRN 2021'!$I$3:$I$84,"="&amp;$E$33,'PRN 2021'!$U$3:$U$84,"="&amp;B12)</f>
        <v>0</v>
      </c>
      <c r="F39" s="41">
        <f>COUNTIFS('PRN 2021'!$I$3:$I$84,"="&amp;$F$33,'PRN 2021'!$U$3:$U$84,"="&amp;B12)</f>
        <v>0</v>
      </c>
      <c r="G39" s="41">
        <f>COUNTIFS('PRN 2021'!$I$3:$I$84,"="&amp;$G$33,'PRN 2021'!$U$3:$U$84,"="&amp;B12)</f>
        <v>0</v>
      </c>
      <c r="H39" s="41">
        <f>COUNTIFS('PRN 2021'!$I$3:$I$84,"="&amp;$H$33,'PRN 2021'!$U$3:$U$84,"="&amp;B12)</f>
        <v>0</v>
      </c>
      <c r="I39" s="41">
        <f>COUNTIFS('PRN 2021'!$I$3:$I$84,"="&amp;$I$33,'PRN 2021'!$U$3:$U$84,"="&amp;B12)</f>
        <v>0</v>
      </c>
      <c r="J39" s="41">
        <f>COUNTIFS('PRN 2021'!$I$3:$I$84,"="&amp;$J$33,'PRN 2021'!$U$3:$U$84,"="&amp;B12)</f>
        <v>1</v>
      </c>
      <c r="K39" s="63">
        <f t="shared" si="1"/>
        <v>4</v>
      </c>
    </row>
    <row r="40" spans="2:11" ht="15">
      <c r="B40" s="29" t="s">
        <v>254</v>
      </c>
      <c r="C40" s="29" t="s">
        <v>245</v>
      </c>
      <c r="D40" s="41">
        <f>COUNTIFS('PRN 2021'!$I$3:$I$84,"="&amp;$D$33,'PRN 2021'!$U$3:$U$84,"="&amp;B13)</f>
        <v>2</v>
      </c>
      <c r="E40" s="41">
        <f>COUNTIFS('PRN 2021'!$I$3:$I$84,"="&amp;$E$33,'PRN 2021'!$U$3:$U$84,"="&amp;B13)</f>
        <v>0</v>
      </c>
      <c r="F40" s="41">
        <f>COUNTIFS('PRN 2021'!$I$3:$I$84,"="&amp;$F$33,'PRN 2021'!$U$3:$U$84,"="&amp;B13)</f>
        <v>0</v>
      </c>
      <c r="G40" s="41">
        <f>COUNTIFS('PRN 2021'!$I$3:$I$84,"="&amp;$G$33,'PRN 2021'!$U$3:$U$84,"="&amp;B13)</f>
        <v>0</v>
      </c>
      <c r="H40" s="41">
        <f>COUNTIFS('PRN 2021'!$I$3:$I$84,"="&amp;$H$33,'PRN 2021'!$U$3:$U$84,"="&amp;B13)</f>
        <v>0</v>
      </c>
      <c r="I40" s="41">
        <f>COUNTIFS('PRN 2021'!$I$3:$I$84,"="&amp;$I$33,'PRN 2021'!$U$3:$U$84,"="&amp;B13)</f>
        <v>0</v>
      </c>
      <c r="J40" s="41">
        <f>COUNTIFS('PRN 2021'!$I$3:$I$84,"="&amp;$J$33,'PRN 2021'!$U$3:$U$84,"="&amp;B13)</f>
        <v>0</v>
      </c>
      <c r="K40" s="63">
        <f t="shared" si="1"/>
        <v>2</v>
      </c>
    </row>
    <row r="41" spans="2:11" ht="15">
      <c r="B41" s="29" t="s">
        <v>252</v>
      </c>
      <c r="C41" s="29" t="s">
        <v>252</v>
      </c>
      <c r="D41" s="41">
        <f>COUNTIFS('PRN 2021'!$I$3:$I$84,"="&amp;$D$33,'PRN 2021'!$U$3:$U$84,"="&amp;B14)</f>
        <v>14</v>
      </c>
      <c r="E41" s="41">
        <f>COUNTIFS('PRN 2021'!$I$3:$I$84,"="&amp;$E$33,'PRN 2021'!$U$3:$U$84,"="&amp;B14)</f>
        <v>2</v>
      </c>
      <c r="F41" s="41">
        <f>COUNTIFS('PRN 2021'!$I$3:$I$84,"="&amp;$F$33,'PRN 2021'!$U$3:$U$84,"="&amp;B14)</f>
        <v>15</v>
      </c>
      <c r="G41" s="41">
        <f>COUNTIFS('PRN 2021'!$I$3:$I$84,"="&amp;$G$33,'PRN 2021'!$U$3:$U$84,"="&amp;B14)</f>
        <v>6</v>
      </c>
      <c r="H41" s="41">
        <f>COUNTIFS('PRN 2021'!$I$3:$I$84,"="&amp;$H$33,'PRN 2021'!$U$3:$U$84,"="&amp;B14)</f>
        <v>4</v>
      </c>
      <c r="I41" s="41">
        <f>COUNTIFS('PRN 2021'!$I$3:$I$84,"="&amp;$I$33,'PRN 2021'!$U$3:$U$84,"="&amp;B14)</f>
        <v>0</v>
      </c>
      <c r="J41" s="41">
        <f>COUNTIFS('PRN 2021'!$I$3:$I$84,"="&amp;$J$33,'PRN 2021'!$U$3:$U$84,"="&amp;B14)</f>
        <v>8</v>
      </c>
      <c r="K41" s="63">
        <f t="shared" si="1"/>
        <v>49</v>
      </c>
    </row>
    <row r="42" spans="2:11" ht="15">
      <c r="B42" s="29" t="s">
        <v>301</v>
      </c>
      <c r="C42" s="29" t="s">
        <v>279</v>
      </c>
      <c r="D42" s="41">
        <f>COUNTIFS('PRN 2021'!$I$3:$I$84,"="&amp;$D$33,'PRN 2021'!$U$3:$U$84,"="&amp;B15)</f>
        <v>1</v>
      </c>
      <c r="E42" s="41">
        <f>COUNTIFS('PRN 2021'!$I$3:$I$84,"="&amp;$E$33,'PRN 2021'!$U$3:$U$84,"="&amp;B15)</f>
        <v>0</v>
      </c>
      <c r="F42" s="41">
        <f>COUNTIFS('PRN 2021'!$I$3:$I$84,"="&amp;$F$33,'PRN 2021'!$U$3:$U$84,"="&amp;B15)</f>
        <v>0</v>
      </c>
      <c r="G42" s="41">
        <f>COUNTIFS('PRN 2021'!$I$3:$I$84,"="&amp;$G$33,'PRN 2021'!$U$3:$U$84,"="&amp;B15)</f>
        <v>1</v>
      </c>
      <c r="H42" s="41">
        <f>COUNTIFS('PRN 2021'!$I$3:$I$84,"="&amp;$H$33,'PRN 2021'!$U$3:$U$84,"="&amp;B15)</f>
        <v>0</v>
      </c>
      <c r="I42" s="41">
        <f>COUNTIFS('PRN 2021'!$I$3:$I$84,"="&amp;$I$33,'PRN 2021'!$U$3:$U$84,"="&amp;B15)</f>
        <v>0</v>
      </c>
      <c r="J42" s="41">
        <f>COUNTIFS('PRN 2021'!$I$3:$I$84,"="&amp;$J$33,'PRN 2021'!$U$3:$U$84,"="&amp;B15)</f>
        <v>0</v>
      </c>
      <c r="K42" s="63">
        <f t="shared" si="1"/>
        <v>2</v>
      </c>
    </row>
    <row r="43" spans="2:11" ht="15">
      <c r="B43" s="29" t="s">
        <v>302</v>
      </c>
      <c r="C43" s="29" t="s">
        <v>279</v>
      </c>
      <c r="D43" s="41">
        <f>COUNTIFS('PRN 2021'!$I$3:$I$84,"="&amp;$D$33,'PRN 2021'!$U$3:$U$84,"="&amp;B16)</f>
        <v>0</v>
      </c>
      <c r="E43" s="41">
        <f>COUNTIFS('PRN 2021'!$I$3:$I$84,"="&amp;$E$33,'PRN 2021'!$U$3:$U$84,"="&amp;B16)</f>
        <v>0</v>
      </c>
      <c r="F43" s="41">
        <f>COUNTIFS('PRN 2021'!$I$3:$I$84,"="&amp;$F$33,'PRN 2021'!$U$3:$U$84,"="&amp;B16)</f>
        <v>0</v>
      </c>
      <c r="G43" s="41">
        <f>COUNTIFS('PRN 2021'!$I$3:$I$84,"="&amp;$G$33,'PRN 2021'!$U$3:$U$84,"="&amp;B16)</f>
        <v>0</v>
      </c>
      <c r="H43" s="41">
        <f>COUNTIFS('PRN 2021'!$I$3:$I$84,"="&amp;$H$33,'PRN 2021'!$U$3:$U$84,"="&amp;B16)</f>
        <v>0</v>
      </c>
      <c r="I43" s="41">
        <f>COUNTIFS('PRN 2021'!$I$3:$I$84,"="&amp;$I$33,'PRN 2021'!$U$3:$U$84,"="&amp;B16)</f>
        <v>0</v>
      </c>
      <c r="J43" s="41">
        <f>COUNTIFS('PRN 2021'!$I$3:$I$84,"="&amp;$J$33,'PRN 2021'!$U$3:$U$84,"="&amp;B16)</f>
        <v>0</v>
      </c>
      <c r="K43" s="63">
        <f t="shared" si="1"/>
        <v>0</v>
      </c>
    </row>
    <row r="44" spans="2:11" ht="15">
      <c r="B44" s="29" t="s">
        <v>303</v>
      </c>
      <c r="C44" s="29" t="s">
        <v>279</v>
      </c>
      <c r="D44" s="41">
        <f>COUNTIFS('PRN 2021'!$I$3:$I$84,"="&amp;$D$33,'PRN 2021'!$U$3:$U$84,"="&amp;B17)</f>
        <v>0</v>
      </c>
      <c r="E44" s="41">
        <f>COUNTIFS('PRN 2021'!$I$3:$I$84,"="&amp;$E$33,'PRN 2021'!$U$3:$U$84,"="&amp;B17)</f>
        <v>0</v>
      </c>
      <c r="F44" s="41">
        <f>COUNTIFS('PRN 2021'!$I$3:$I$84,"="&amp;$F$33,'PRN 2021'!$U$3:$U$84,"="&amp;B17)</f>
        <v>0</v>
      </c>
      <c r="G44" s="41">
        <f>COUNTIFS('PRN 2021'!$I$3:$I$84,"="&amp;$G$33,'PRN 2021'!$U$3:$U$84,"="&amp;B17)</f>
        <v>0</v>
      </c>
      <c r="H44" s="41">
        <f>COUNTIFS('PRN 2021'!$I$3:$I$84,"="&amp;$H$33,'PRN 2021'!$U$3:$U$84,"="&amp;B17)</f>
        <v>0</v>
      </c>
      <c r="I44" s="41">
        <f>COUNTIFS('PRN 2021'!$I$3:$I$84,"="&amp;$I$33,'PRN 2021'!$U$3:$U$84,"="&amp;B17)</f>
        <v>0</v>
      </c>
      <c r="J44" s="41">
        <f>COUNTIFS('PRN 2021'!$I$3:$I$84,"="&amp;$J$33,'PRN 2021'!$U$3:$U$84,"="&amp;B17)</f>
        <v>0</v>
      </c>
      <c r="K44" s="63">
        <f t="shared" si="1"/>
        <v>0</v>
      </c>
    </row>
    <row r="45" spans="2:11" ht="15">
      <c r="B45" s="29" t="s">
        <v>304</v>
      </c>
      <c r="C45" s="29" t="s">
        <v>279</v>
      </c>
      <c r="D45" s="41">
        <f>COUNTIFS('PRN 2021'!$I$3:$I$84,"="&amp;$D$33,'PRN 2021'!$U$3:$U$84,"="&amp;B18)</f>
        <v>0</v>
      </c>
      <c r="E45" s="41">
        <f>COUNTIFS('PRN 2021'!$I$3:$I$84,"="&amp;$E$33,'PRN 2021'!$U$3:$U$84,"="&amp;B18)</f>
        <v>0</v>
      </c>
      <c r="F45" s="41">
        <f>COUNTIFS('PRN 2021'!$I$3:$I$84,"="&amp;$F$33,'PRN 2021'!$U$3:$U$84,"="&amp;B18)</f>
        <v>0</v>
      </c>
      <c r="G45" s="41">
        <f>COUNTIFS('PRN 2021'!$I$3:$I$84,"="&amp;$G$33,'PRN 2021'!$U$3:$U$84,"="&amp;B18)</f>
        <v>0</v>
      </c>
      <c r="H45" s="41">
        <f>COUNTIFS('PRN 2021'!$I$3:$I$84,"="&amp;$H$33,'PRN 2021'!$U$3:$U$84,"="&amp;B18)</f>
        <v>0</v>
      </c>
      <c r="I45" s="41">
        <f>COUNTIFS('PRN 2021'!$I$3:$I$84,"="&amp;$I$33,'PRN 2021'!$U$3:$U$84,"="&amp;B18)</f>
        <v>0</v>
      </c>
      <c r="J45" s="41">
        <f>COUNTIFS('PRN 2021'!$I$3:$I$84,"="&amp;$J$33,'PRN 2021'!$U$3:$U$84,"="&amp;B18)</f>
        <v>0</v>
      </c>
      <c r="K45" s="63">
        <f t="shared" si="1"/>
        <v>0</v>
      </c>
    </row>
    <row r="46" spans="2:11" ht="15">
      <c r="B46" s="29" t="s">
        <v>250</v>
      </c>
      <c r="C46" s="29" t="s">
        <v>246</v>
      </c>
      <c r="D46" s="41">
        <f>COUNTIFS('PRN 2021'!$I$3:$I$84,"="&amp;$D$33,'PRN 2021'!$U$3:$U$84,"="&amp;B19)</f>
        <v>1</v>
      </c>
      <c r="E46" s="41">
        <f>COUNTIFS('PRN 2021'!$I$3:$I$84,"="&amp;$E$33,'PRN 2021'!$U$3:$U$84,"="&amp;B19)</f>
        <v>0</v>
      </c>
      <c r="F46" s="41">
        <f>COUNTIFS('PRN 2021'!$I$3:$I$84,"="&amp;$F$33,'PRN 2021'!$U$3:$U$84,"="&amp;B19)</f>
        <v>0</v>
      </c>
      <c r="G46" s="41">
        <f>COUNTIFS('PRN 2021'!$I$3:$I$84,"="&amp;$G$33,'PRN 2021'!$U$3:$U$84,"="&amp;B19)</f>
        <v>0</v>
      </c>
      <c r="H46" s="41">
        <f>COUNTIFS('PRN 2021'!$I$3:$I$84,"="&amp;$H$33,'PRN 2021'!$U$3:$U$84,"="&amp;B19)</f>
        <v>0</v>
      </c>
      <c r="I46" s="41">
        <f>COUNTIFS('PRN 2021'!$I$3:$I$84,"="&amp;$I$33,'PRN 2021'!$U$3:$U$84,"="&amp;B19)</f>
        <v>0</v>
      </c>
      <c r="J46" s="41">
        <f>COUNTIFS('PRN 2021'!$I$3:$I$84,"="&amp;$J$33,'PRN 2021'!$U$3:$U$84,"="&amp;B19)</f>
        <v>0</v>
      </c>
      <c r="K46" s="63">
        <f t="shared" si="1"/>
        <v>1</v>
      </c>
    </row>
    <row r="47" spans="2:11" ht="15">
      <c r="B47" s="29" t="s">
        <v>248</v>
      </c>
      <c r="C47" s="29" t="s">
        <v>246</v>
      </c>
      <c r="D47" s="41">
        <f>COUNTIFS('PRN 2021'!$I$3:$I$84,"="&amp;$D$33,'PRN 2021'!$U$3:$U$84,"="&amp;B20)</f>
        <v>0</v>
      </c>
      <c r="E47" s="41">
        <f>COUNTIFS('PRN 2021'!$I$3:$I$84,"="&amp;$E$33,'PRN 2021'!$U$3:$U$84,"="&amp;B20)</f>
        <v>0</v>
      </c>
      <c r="F47" s="41">
        <f>COUNTIFS('PRN 2021'!$I$3:$I$84,"="&amp;$F$33,'PRN 2021'!$U$3:$U$84,"="&amp;B20)</f>
        <v>0</v>
      </c>
      <c r="G47" s="41">
        <f>COUNTIFS('PRN 2021'!$I$3:$I$84,"="&amp;$G$33,'PRN 2021'!$U$3:$U$84,"="&amp;B20)</f>
        <v>0</v>
      </c>
      <c r="H47" s="41">
        <f>COUNTIFS('PRN 2021'!$I$3:$I$84,"="&amp;$H$33,'PRN 2021'!$U$3:$U$84,"="&amp;B20)</f>
        <v>0</v>
      </c>
      <c r="I47" s="41">
        <f>COUNTIFS('PRN 2021'!$I$3:$I$84,"="&amp;$I$33,'PRN 2021'!$U$3:$U$84,"="&amp;B20)</f>
        <v>0</v>
      </c>
      <c r="J47" s="41">
        <f>COUNTIFS('PRN 2021'!$I$3:$I$84,"="&amp;$J$33,'PRN 2021'!$U$3:$U$84,"="&amp;B20)</f>
        <v>0</v>
      </c>
      <c r="K47" s="63">
        <f t="shared" si="1"/>
        <v>0</v>
      </c>
    </row>
    <row r="48" spans="2:11" ht="15">
      <c r="B48" s="29" t="s">
        <v>305</v>
      </c>
      <c r="C48" s="29" t="s">
        <v>305</v>
      </c>
      <c r="D48" s="41">
        <f>COUNTIFS('PRN 2021'!$I$3:$I$84,"="&amp;$D$33,'PRN 2021'!$U$3:$U$84,"="&amp;B21)</f>
        <v>0</v>
      </c>
      <c r="E48" s="41">
        <f>COUNTIFS('PRN 2021'!$I$3:$I$84,"="&amp;$E$33,'PRN 2021'!$U$3:$U$84,"="&amp;B21)</f>
        <v>0</v>
      </c>
      <c r="F48" s="41">
        <f>COUNTIFS('PRN 2021'!$I$3:$I$84,"="&amp;$F$33,'PRN 2021'!$U$3:$U$84,"="&amp;B21)</f>
        <v>0</v>
      </c>
      <c r="G48" s="41">
        <f>COUNTIFS('PRN 2021'!$I$3:$I$84,"="&amp;$G$33,'PRN 2021'!$U$3:$U$84,"="&amp;B21)</f>
        <v>0</v>
      </c>
      <c r="H48" s="41">
        <f>COUNTIFS('PRN 2021'!$I$3:$I$84,"="&amp;$H$33,'PRN 2021'!$U$3:$U$84,"="&amp;B21)</f>
        <v>0</v>
      </c>
      <c r="I48" s="41">
        <f>COUNTIFS('PRN 2021'!$I$3:$I$84,"="&amp;$I$33,'PRN 2021'!$U$3:$U$84,"="&amp;B21)</f>
        <v>0</v>
      </c>
      <c r="J48" s="41">
        <f>COUNTIFS('PRN 2021'!$I$3:$I$84,"="&amp;$J$33,'PRN 2021'!$U$3:$U$84,"="&amp;B21)</f>
        <v>0</v>
      </c>
      <c r="K48" s="63">
        <f t="shared" si="1"/>
        <v>0</v>
      </c>
    </row>
    <row r="49" spans="2:12" ht="15">
      <c r="B49" s="29" t="s">
        <v>306</v>
      </c>
      <c r="C49" s="29" t="s">
        <v>306</v>
      </c>
      <c r="D49" s="41">
        <f>COUNTIFS('PRN 2021'!$I$3:$I$84,"="&amp;$D$33,'PRN 2021'!$U$3:$U$84,"="&amp;B22)</f>
        <v>0</v>
      </c>
      <c r="E49" s="41">
        <f>COUNTIFS('PRN 2021'!$I$3:$I$84,"="&amp;$E$33,'PRN 2021'!$U$3:$U$84,"="&amp;B22)</f>
        <v>0</v>
      </c>
      <c r="F49" s="41">
        <f>COUNTIFS('PRN 2021'!$I$3:$I$84,"="&amp;$F$33,'PRN 2021'!$U$3:$U$84,"="&amp;B22)</f>
        <v>0</v>
      </c>
      <c r="G49" s="41">
        <f>COUNTIFS('PRN 2021'!$I$3:$I$84,"="&amp;$G$33,'PRN 2021'!$U$3:$U$84,"="&amp;B22)</f>
        <v>0</v>
      </c>
      <c r="H49" s="41">
        <f>COUNTIFS('PRN 2021'!$I$3:$I$84,"="&amp;$H$33,'PRN 2021'!$U$3:$U$84,"="&amp;B22)</f>
        <v>0</v>
      </c>
      <c r="I49" s="41">
        <f>COUNTIFS('PRN 2021'!$I$3:$I$84,"="&amp;$I$33,'PRN 2021'!$U$3:$U$84,"="&amp;B22)</f>
        <v>0</v>
      </c>
      <c r="J49" s="41">
        <f>COUNTIFS('PRN 2021'!$I$3:$I$84,"="&amp;$J$33,'PRN 2021'!$U$3:$U$84,"="&amp;B22)</f>
        <v>0</v>
      </c>
      <c r="K49" s="63">
        <f t="shared" si="1"/>
        <v>0</v>
      </c>
    </row>
    <row r="50" spans="2:12" ht="15">
      <c r="B50" s="29" t="s">
        <v>251</v>
      </c>
      <c r="C50" s="29" t="s">
        <v>251</v>
      </c>
      <c r="D50" s="41">
        <f>COUNTIFS('PRN 2021'!$I$3:$I$84,"="&amp;$D$33,'PRN 2021'!$U$3:$U$84,"="&amp;B23)</f>
        <v>4</v>
      </c>
      <c r="E50" s="41">
        <f>COUNTIFS('PRN 2021'!$I$3:$I$84,"="&amp;$E$33,'PRN 2021'!$U$3:$U$84,"="&amp;B23)</f>
        <v>0</v>
      </c>
      <c r="F50" s="41">
        <f>COUNTIFS('PRN 2021'!$I$3:$I$84,"="&amp;$F$33,'PRN 2021'!$U$3:$U$84,"="&amp;B23)</f>
        <v>2</v>
      </c>
      <c r="G50" s="41">
        <f>COUNTIFS('PRN 2021'!$I$3:$I$84,"="&amp;$G$33,'PRN 2021'!$U$3:$U$84,"="&amp;B23)</f>
        <v>0</v>
      </c>
      <c r="H50" s="41">
        <f>COUNTIFS('PRN 2021'!$I$3:$I$84,"="&amp;$H$33,'PRN 2021'!$U$3:$U$84,"="&amp;B23)</f>
        <v>0</v>
      </c>
      <c r="I50" s="41">
        <f>COUNTIFS('PRN 2021'!$I$3:$I$84,"="&amp;$I$33,'PRN 2021'!$U$3:$U$84,"="&amp;B23)</f>
        <v>0</v>
      </c>
      <c r="J50" s="41">
        <f>COUNTIFS('PRN 2021'!$I$3:$I$84,"="&amp;$J$33,'PRN 2021'!$U$3:$U$84,"="&amp;B23)</f>
        <v>0</v>
      </c>
      <c r="K50" s="63">
        <f t="shared" si="1"/>
        <v>6</v>
      </c>
    </row>
    <row r="52" spans="2:12" ht="15">
      <c r="J52" s="70" t="s">
        <v>235</v>
      </c>
      <c r="K52" s="63">
        <f>SUM(K34:K50)</f>
        <v>82</v>
      </c>
    </row>
    <row r="58" spans="2:12" ht="14.25" customHeight="1">
      <c r="B58" s="89" t="s">
        <v>348</v>
      </c>
      <c r="C58" s="89"/>
      <c r="D58" s="89"/>
      <c r="E58" s="89"/>
      <c r="F58" s="89"/>
      <c r="G58" s="89"/>
      <c r="H58" s="89"/>
      <c r="I58" s="89"/>
      <c r="J58" s="89"/>
      <c r="K58" s="89"/>
      <c r="L58" s="89"/>
    </row>
    <row r="59" spans="2:12" ht="14.25" customHeight="1"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</row>
    <row r="61" spans="2:12" ht="15">
      <c r="B61" s="26" t="s">
        <v>236</v>
      </c>
      <c r="C61" s="26" t="s">
        <v>237</v>
      </c>
      <c r="D61" s="29" t="s">
        <v>288</v>
      </c>
      <c r="E61" s="29" t="s">
        <v>289</v>
      </c>
      <c r="F61" s="29" t="s">
        <v>290</v>
      </c>
      <c r="G61" s="29" t="s">
        <v>291</v>
      </c>
      <c r="H61" s="29" t="s">
        <v>292</v>
      </c>
      <c r="I61" s="29" t="s">
        <v>293</v>
      </c>
      <c r="J61" s="29" t="s">
        <v>294</v>
      </c>
      <c r="K61" s="29" t="s">
        <v>295</v>
      </c>
      <c r="L61" s="69" t="s">
        <v>235</v>
      </c>
    </row>
    <row r="62" spans="2:12" ht="15">
      <c r="B62" s="29" t="s">
        <v>243</v>
      </c>
      <c r="C62" s="29" t="s">
        <v>241</v>
      </c>
      <c r="D62" s="41">
        <f>COUNTIFS('UMUR 2021'!$S$3:$S$84,"="&amp;D61,'UMUR 2021'!$AC$3:$AC$84,"="&amp;$B$62)</f>
        <v>0</v>
      </c>
      <c r="E62" s="41">
        <f>COUNTIFS('UMUR 2021'!$S$3:$S$84,"="&amp;$E$61,'UMUR 2021'!$AC$3:$AC$84,"="&amp;B62)</f>
        <v>22</v>
      </c>
      <c r="F62" s="41">
        <f>COUNTIFS('UMUR 2021'!$S$3:$S$84,"="&amp;$F$61,'UMUR 2021'!$AC$3:$AC$84,"="&amp;B62)</f>
        <v>3</v>
      </c>
      <c r="G62" s="41">
        <f>COUNTIFS('UMUR 2021'!$S$3:$S$84,"="&amp;$G$61,'UMUR 2021'!$AC$3:$AC$84,"="&amp;B62)</f>
        <v>21</v>
      </c>
      <c r="H62" s="41">
        <f>COUNTIFS('UMUR 2021'!$S$3:$S$84,"="&amp;$H$61,'UMUR 2021'!$AC$3:$AC$84,"="&amp;B62)</f>
        <v>1</v>
      </c>
      <c r="I62" s="41">
        <f>COUNTIFS('UMUR 2021'!$S$3:$S$84,"="&amp;$I$61,'UMUR 2021'!$AC$3:$AC$84,"="&amp;B62)</f>
        <v>0</v>
      </c>
      <c r="J62" s="41">
        <f>COUNTIFS('UMUR 2021'!$S$3:$S$84,"="&amp;$J$61,'UMUR 2021'!$AC$3:$AC$84,"="&amp;B62)</f>
        <v>0</v>
      </c>
      <c r="K62" s="41">
        <f>COUNTIFS('UMUR 2021'!$S$3:$S$84,"="&amp;$K$61,'UMUR 2021'!$AC$3:$AC$84,"="&amp;B62)</f>
        <v>0</v>
      </c>
      <c r="L62" s="63">
        <f>SUM(D62:K62)</f>
        <v>47</v>
      </c>
    </row>
    <row r="63" spans="2:12" ht="15">
      <c r="B63" s="29" t="s">
        <v>239</v>
      </c>
      <c r="C63" s="29" t="s">
        <v>241</v>
      </c>
      <c r="D63" s="41">
        <f>COUNTIFS('UMUR 2021'!$S$3:$S$84,"="&amp;$D$61,'UMUR 2021'!$AC$3:$AC$84,"="&amp;B63)</f>
        <v>0</v>
      </c>
      <c r="E63" s="41">
        <f>COUNTIFS('UMUR 2021'!$S$3:$S$84,"="&amp;$E$61,'UMUR 2021'!$AC$3:$AC$84,"="&amp;B63)</f>
        <v>7</v>
      </c>
      <c r="F63" s="41">
        <f>COUNTIFS('UMUR 2021'!$S$3:$S$84,"="&amp;$F$61,'UMUR 2021'!$AC$3:$AC$84,"="&amp;B63)</f>
        <v>2</v>
      </c>
      <c r="G63" s="41">
        <f>COUNTIFS('UMUR 2021'!$S$3:$S$84,"="&amp;$G$61,'UMUR 2021'!$AC$3:$AC$84,"="&amp;B63)</f>
        <v>2</v>
      </c>
      <c r="H63" s="41">
        <f>COUNTIFS('UMUR 2021'!$S$3:$S$84,"="&amp;$H$61,'UMUR 2021'!$AC$3:$AC$84,"="&amp;B63)</f>
        <v>2</v>
      </c>
      <c r="I63" s="41">
        <f>COUNTIFS('UMUR 2021'!$S$3:$S$84,"="&amp;$I$61,'UMUR 2021'!$AC$3:$AC$84,"="&amp;B63)</f>
        <v>0</v>
      </c>
      <c r="J63" s="41">
        <f>COUNTIFS('UMUR 2021'!$S$3:$S$84,"="&amp;$J$61,'UMUR 2021'!$AC$3:$AC$84,"="&amp;B63)</f>
        <v>0</v>
      </c>
      <c r="K63" s="41">
        <f>COUNTIFS('UMUR 2021'!$S$3:$S$84,"="&amp;$K$61,'UMUR 2021'!$AC$3:$AC$84,"="&amp;B63)</f>
        <v>0</v>
      </c>
      <c r="L63" s="63">
        <f t="shared" ref="L63:L78" si="2">SUM(D63:K63)</f>
        <v>13</v>
      </c>
    </row>
    <row r="64" spans="2:12" ht="15">
      <c r="B64" s="29" t="s">
        <v>240</v>
      </c>
      <c r="C64" s="29" t="s">
        <v>241</v>
      </c>
      <c r="D64" s="41">
        <f>COUNTIFS('UMUR 2021'!$S$3:$S$84,"="&amp;$D$61,'UMUR 2021'!$AC$3:$AC$84,"="&amp;B64)</f>
        <v>0</v>
      </c>
      <c r="E64" s="41">
        <f>COUNTIFS('UMUR 2021'!$S$3:$S$84,"="&amp;$E$61,'UMUR 2021'!$AC$3:$AC$84,"="&amp;B64)</f>
        <v>1</v>
      </c>
      <c r="F64" s="41">
        <f>COUNTIFS('UMUR 2021'!$S$3:$S$84,"="&amp;$F$61,'UMUR 2021'!$AC$3:$AC$84,"="&amp;B64)</f>
        <v>1</v>
      </c>
      <c r="G64" s="41">
        <f>COUNTIFS('UMUR 2021'!$S$3:$S$84,"="&amp;$G$61,'UMUR 2021'!$AC$3:$AC$84,"="&amp;B64)</f>
        <v>3</v>
      </c>
      <c r="H64" s="41">
        <f>COUNTIFS('UMUR 2021'!$S$3:$S$84,"="&amp;$H$61,'UMUR 2021'!$AC$3:$AC$84,"="&amp;B64)</f>
        <v>0</v>
      </c>
      <c r="I64" s="41">
        <f>COUNTIFS('UMUR 2021'!$S$3:$S$84,"="&amp;$I$61,'UMUR 2021'!$AC$3:$AC$84,"="&amp;B64)</f>
        <v>0</v>
      </c>
      <c r="J64" s="41">
        <f>COUNTIFS('UMUR 2021'!$S$3:$S$84,"="&amp;$J$61,'UMUR 2021'!$AC$3:$AC$84,"="&amp;B64)</f>
        <v>0</v>
      </c>
      <c r="K64" s="41">
        <f>COUNTIFS('UMUR 2021'!$S$3:$S$84,"="&amp;$K$61,'UMUR 2021'!$AC$3:$AC$84,"="&amp;B64)</f>
        <v>0</v>
      </c>
      <c r="L64" s="63">
        <f t="shared" si="2"/>
        <v>5</v>
      </c>
    </row>
    <row r="65" spans="2:12" ht="15">
      <c r="B65" s="29" t="s">
        <v>249</v>
      </c>
      <c r="C65" s="29" t="s">
        <v>241</v>
      </c>
      <c r="D65" s="41">
        <f>COUNTIFS('UMUR 2021'!$S$3:$S$84,"="&amp;$D$61,'UMUR 2021'!$AC$3:$AC$84,"="&amp;B65)</f>
        <v>0</v>
      </c>
      <c r="E65" s="41">
        <f>COUNTIFS('UMUR 2021'!$S$3:$S$84,"="&amp;$E$61,'UMUR 2021'!$AC$3:$AC$84,"="&amp;B65)</f>
        <v>4</v>
      </c>
      <c r="F65" s="41">
        <f>COUNTIFS('UMUR 2021'!$S$3:$S$84,"="&amp;$F$61,'UMUR 2021'!$AC$3:$AC$84,"="&amp;B65)</f>
        <v>2</v>
      </c>
      <c r="G65" s="41">
        <f>COUNTIFS('UMUR 2021'!$S$3:$S$84,"="&amp;$G$61,'UMUR 2021'!$AC$3:$AC$84,"="&amp;B65)</f>
        <v>5</v>
      </c>
      <c r="H65" s="41">
        <f>COUNTIFS('UMUR 2021'!$S$3:$S$84,"="&amp;$H$61,'UMUR 2021'!$AC$3:$AC$84,"="&amp;B65)</f>
        <v>0</v>
      </c>
      <c r="I65" s="41">
        <f>COUNTIFS('UMUR 2021'!$S$3:$S$84,"="&amp;$I$61,'UMUR 2021'!$AC$3:$AC$84,"="&amp;B65)</f>
        <v>0</v>
      </c>
      <c r="J65" s="41">
        <f>COUNTIFS('UMUR 2021'!$S$3:$S$84,"="&amp;$J$61,'UMUR 2021'!$AC$3:$AC$84,"="&amp;B65)</f>
        <v>0</v>
      </c>
      <c r="K65" s="41">
        <f>COUNTIFS('UMUR 2021'!$S$3:$S$84,"="&amp;$K$61,'UMUR 2021'!$AC$3:$AC$84,"="&amp;B65)</f>
        <v>0</v>
      </c>
      <c r="L65" s="63">
        <f t="shared" si="2"/>
        <v>11</v>
      </c>
    </row>
    <row r="66" spans="2:12" ht="15">
      <c r="B66" s="29" t="s">
        <v>244</v>
      </c>
      <c r="C66" s="29" t="s">
        <v>245</v>
      </c>
      <c r="D66" s="41">
        <f>COUNTIFS('UMUR 2021'!$S$3:$S$84,"="&amp;$D$61,'UMUR 2021'!$AC$3:$AC$84,"="&amp;B66)</f>
        <v>0</v>
      </c>
      <c r="E66" s="41">
        <f>COUNTIFS('UMUR 2021'!$S$3:$S$84,"="&amp;$E$61,'UMUR 2021'!$AC$3:$AC$84,"="&amp;B66)</f>
        <v>0</v>
      </c>
      <c r="F66" s="41">
        <f>COUNTIFS('UMUR 2021'!$S$3:$S$84,"="&amp;$F$61,'UMUR 2021'!$AC$3:$AC$84,"="&amp;B66)</f>
        <v>0</v>
      </c>
      <c r="G66" s="41">
        <f>COUNTIFS('UMUR 2021'!$S$3:$S$84,"="&amp;$G$61,'UMUR 2021'!$AC$3:$AC$84,"="&amp;B66)</f>
        <v>0</v>
      </c>
      <c r="H66" s="41">
        <f>COUNTIFS('UMUR 2021'!$S$3:$S$84,"="&amp;$H$61,'UMUR 2021'!$AC$3:$AC$84,"="&amp;B66)</f>
        <v>2</v>
      </c>
      <c r="I66" s="41">
        <f>COUNTIFS('UMUR 2021'!$S$3:$S$84,"="&amp;$I$61,'UMUR 2021'!$AC$3:$AC$84,"="&amp;B66)</f>
        <v>0</v>
      </c>
      <c r="J66" s="41">
        <f>COUNTIFS('UMUR 2021'!$S$3:$S$84,"="&amp;$J$61,'UMUR 2021'!$AC$3:$AC$84,"="&amp;B66)</f>
        <v>0</v>
      </c>
      <c r="K66" s="41">
        <f>COUNTIFS('UMUR 2021'!$S$3:$S$84,"="&amp;$K$61,'UMUR 2021'!$AC$3:$AC$84,"="&amp;B66)</f>
        <v>0</v>
      </c>
      <c r="L66" s="63">
        <f t="shared" si="2"/>
        <v>2</v>
      </c>
    </row>
    <row r="67" spans="2:12" ht="15">
      <c r="B67" s="29" t="s">
        <v>253</v>
      </c>
      <c r="C67" s="29" t="s">
        <v>245</v>
      </c>
      <c r="D67" s="41">
        <f>COUNTIFS('UMUR 2021'!$S$3:$S$84,"="&amp;$D$61,'UMUR 2021'!$AC$3:$AC$84,"="&amp;B67)</f>
        <v>0</v>
      </c>
      <c r="E67" s="41">
        <f>COUNTIFS('UMUR 2021'!$S$3:$S$84,"="&amp;$E$61,'UMUR 2021'!$AC$3:$AC$84,"="&amp;B67)</f>
        <v>0</v>
      </c>
      <c r="F67" s="41">
        <f>COUNTIFS('UMUR 2021'!$S$3:$S$84,"="&amp;$F$61,'UMUR 2021'!$AC$3:$AC$84,"="&amp;B67)</f>
        <v>0</v>
      </c>
      <c r="G67" s="41">
        <f>COUNTIFS('UMUR 2021'!$S$3:$S$84,"="&amp;$G$61,'UMUR 2021'!$AC$3:$AC$84,"="&amp;B67)</f>
        <v>0</v>
      </c>
      <c r="H67" s="41">
        <f>COUNTIFS('UMUR 2021'!$S$3:$S$84,"="&amp;$H$61,'UMUR 2021'!$AC$3:$AC$84,"="&amp;B67)</f>
        <v>0</v>
      </c>
      <c r="I67" s="41">
        <f>COUNTIFS('UMUR 2021'!$S$3:$S$84,"="&amp;$I$61,'UMUR 2021'!$AC$3:$AC$84,"="&amp;B67)</f>
        <v>0</v>
      </c>
      <c r="J67" s="41">
        <f>COUNTIFS('UMUR 2021'!$S$3:$S$84,"="&amp;$J$61,'UMUR 2021'!$AC$3:$AC$84,"="&amp;B67)</f>
        <v>0</v>
      </c>
      <c r="K67" s="41">
        <f>COUNTIFS('UMUR 2021'!$S$3:$S$84,"="&amp;$K$61,'UMUR 2021'!$AC$3:$AC$84,"="&amp;B67)</f>
        <v>0</v>
      </c>
      <c r="L67" s="63">
        <f t="shared" si="2"/>
        <v>0</v>
      </c>
    </row>
    <row r="68" spans="2:12" ht="15">
      <c r="B68" s="29" t="s">
        <v>254</v>
      </c>
      <c r="C68" s="29" t="s">
        <v>245</v>
      </c>
      <c r="D68" s="41">
        <f>COUNTIFS('UMUR 2021'!$S$3:$S$84,"="&amp;$D$61,'UMUR 2021'!$AC$3:$AC$84,"="&amp;B68)</f>
        <v>0</v>
      </c>
      <c r="E68" s="41">
        <f>COUNTIFS('UMUR 2021'!$S$3:$S$84,"="&amp;$E$61,'UMUR 2021'!$AC$3:$AC$84,"="&amp;B68)</f>
        <v>0</v>
      </c>
      <c r="F68" s="41">
        <f>COUNTIFS('UMUR 2021'!$S$3:$S$84,"="&amp;$F$61,'UMUR 2021'!$AC$3:$AC$84,"="&amp;B68)</f>
        <v>0</v>
      </c>
      <c r="G68" s="41">
        <f>COUNTIFS('UMUR 2021'!$S$3:$S$84,"="&amp;$G$61,'UMUR 2021'!$AC$3:$AC$84,"="&amp;B68)</f>
        <v>0</v>
      </c>
      <c r="H68" s="41">
        <f>COUNTIFS('UMUR 2021'!$S$3:$S$84,"="&amp;$H$61,'UMUR 2021'!$AC$3:$AC$84,"="&amp;B68)</f>
        <v>0</v>
      </c>
      <c r="I68" s="41">
        <f>COUNTIFS('UMUR 2021'!$S$3:$S$84,"="&amp;$I$61,'UMUR 2021'!$AC$3:$AC$84,"="&amp;B68)</f>
        <v>0</v>
      </c>
      <c r="J68" s="41">
        <f>COUNTIFS('UMUR 2021'!$S$3:$S$84,"="&amp;$J$61,'UMUR 2021'!$AC$3:$AC$84,"="&amp;B68)</f>
        <v>0</v>
      </c>
      <c r="K68" s="41">
        <f>COUNTIFS('UMUR 2021'!$S$3:$S$84,"="&amp;$K$61,'UMUR 2021'!$AC$3:$AC$84,"="&amp;B68)</f>
        <v>0</v>
      </c>
      <c r="L68" s="63">
        <f t="shared" si="2"/>
        <v>0</v>
      </c>
    </row>
    <row r="69" spans="2:12" ht="15">
      <c r="B69" s="29" t="s">
        <v>252</v>
      </c>
      <c r="C69" s="29" t="s">
        <v>252</v>
      </c>
      <c r="D69" s="41">
        <f>COUNTIFS('UMUR 2021'!$S$3:$S$84,"="&amp;$D$61,'UMUR 2021'!$AC$3:$AC$84,"="&amp;B69)</f>
        <v>0</v>
      </c>
      <c r="E69" s="41">
        <f>COUNTIFS('UMUR 2021'!$S$3:$S$84,"="&amp;$E$61,'UMUR 2021'!$AC$3:$AC$84,"="&amp;B69)</f>
        <v>0</v>
      </c>
      <c r="F69" s="41">
        <f>COUNTIFS('UMUR 2021'!$S$3:$S$84,"="&amp;$F$61,'UMUR 2021'!$AC$3:$AC$84,"="&amp;B69)</f>
        <v>1</v>
      </c>
      <c r="G69" s="41">
        <f>COUNTIFS('UMUR 2021'!$S$3:$S$84,"="&amp;$G$61,'UMUR 2021'!$AC$3:$AC$84,"="&amp;B69)</f>
        <v>3</v>
      </c>
      <c r="H69" s="41">
        <f>COUNTIFS('UMUR 2021'!$S$3:$S$84,"="&amp;$H$61,'UMUR 2021'!$AC$3:$AC$84,"="&amp;B69)</f>
        <v>0</v>
      </c>
      <c r="I69" s="41">
        <f>COUNTIFS('UMUR 2021'!$S$3:$S$84,"="&amp;$I$61,'UMUR 2021'!$AC$3:$AC$84,"="&amp;B69)</f>
        <v>0</v>
      </c>
      <c r="J69" s="41">
        <f>COUNTIFS('UMUR 2021'!$S$3:$S$84,"="&amp;$J$61,'UMUR 2021'!$AC$3:$AC$84,"="&amp;B69)</f>
        <v>0</v>
      </c>
      <c r="K69" s="41">
        <f>COUNTIFS('UMUR 2021'!$S$3:$S$84,"="&amp;$K$61,'UMUR 2021'!$AC$3:$AC$84,"="&amp;B69)</f>
        <v>0</v>
      </c>
      <c r="L69" s="63">
        <f t="shared" si="2"/>
        <v>4</v>
      </c>
    </row>
    <row r="70" spans="2:12" ht="15">
      <c r="B70" s="29" t="s">
        <v>301</v>
      </c>
      <c r="C70" s="29" t="s">
        <v>279</v>
      </c>
      <c r="D70" s="41">
        <f>COUNTIFS('UMUR 2021'!$S$3:$S$84,"="&amp;$D$61,'UMUR 2021'!$AC$3:$AC$84,"="&amp;B70)</f>
        <v>0</v>
      </c>
      <c r="E70" s="41">
        <f>COUNTIFS('UMUR 2021'!$S$3:$S$84,"="&amp;$E$61,'UMUR 2021'!$AC$3:$AC$84,"="&amp;B70)</f>
        <v>0</v>
      </c>
      <c r="F70" s="41">
        <f>COUNTIFS('UMUR 2021'!$S$3:$S$84,"="&amp;$F$61,'UMUR 2021'!$AC$3:$AC$84,"="&amp;B70)</f>
        <v>0</v>
      </c>
      <c r="G70" s="41">
        <f>COUNTIFS('UMUR 2021'!$S$3:$S$84,"="&amp;$G$61,'UMUR 2021'!$AC$3:$AC$84,"="&amp;B70)</f>
        <v>0</v>
      </c>
      <c r="H70" s="41">
        <f>COUNTIFS('UMUR 2021'!$S$3:$S$84,"="&amp;$H$61,'UMUR 2021'!$AC$3:$AC$84,"="&amp;B70)</f>
        <v>0</v>
      </c>
      <c r="I70" s="41">
        <f>COUNTIFS('UMUR 2021'!$S$3:$S$84,"="&amp;$I$61,'UMUR 2021'!$AC$3:$AC$84,"="&amp;B70)</f>
        <v>0</v>
      </c>
      <c r="J70" s="41">
        <f>COUNTIFS('UMUR 2021'!$S$3:$S$84,"="&amp;$J$61,'UMUR 2021'!$AC$3:$AC$84,"="&amp;B70)</f>
        <v>0</v>
      </c>
      <c r="K70" s="41">
        <f>COUNTIFS('UMUR 2021'!$S$3:$S$84,"="&amp;$K$61,'UMUR 2021'!$AC$3:$AC$84,"="&amp;B70)</f>
        <v>0</v>
      </c>
      <c r="L70" s="63">
        <f t="shared" si="2"/>
        <v>0</v>
      </c>
    </row>
    <row r="71" spans="2:12" ht="15">
      <c r="B71" s="29" t="s">
        <v>302</v>
      </c>
      <c r="C71" s="29" t="s">
        <v>279</v>
      </c>
      <c r="D71" s="41">
        <f>COUNTIFS('UMUR 2021'!$S$3:$S$84,"="&amp;$D$61,'UMUR 2021'!$AC$3:$AC$84,"="&amp;B71)</f>
        <v>0</v>
      </c>
      <c r="E71" s="41">
        <f>COUNTIFS('UMUR 2021'!$S$3:$S$84,"="&amp;$E$61,'UMUR 2021'!$AC$3:$AC$84,"="&amp;B71)</f>
        <v>0</v>
      </c>
      <c r="F71" s="41">
        <f>COUNTIFS('UMUR 2021'!$S$3:$S$84,"="&amp;$F$61,'UMUR 2021'!$AC$3:$AC$84,"="&amp;B71)</f>
        <v>0</v>
      </c>
      <c r="G71" s="41">
        <f>COUNTIFS('UMUR 2021'!$S$3:$S$84,"="&amp;$G$61,'UMUR 2021'!$AC$3:$AC$84,"="&amp;B71)</f>
        <v>0</v>
      </c>
      <c r="H71" s="41">
        <f>COUNTIFS('UMUR 2021'!$S$3:$S$84,"="&amp;$H$61,'UMUR 2021'!$AC$3:$AC$84,"="&amp;B71)</f>
        <v>0</v>
      </c>
      <c r="I71" s="41">
        <f>COUNTIFS('UMUR 2021'!$S$3:$S$84,"="&amp;$I$61,'UMUR 2021'!$AC$3:$AC$84,"="&amp;B71)</f>
        <v>0</v>
      </c>
      <c r="J71" s="41">
        <f>COUNTIFS('UMUR 2021'!$S$3:$S$84,"="&amp;$J$61,'UMUR 2021'!$AC$3:$AC$84,"="&amp;B71)</f>
        <v>0</v>
      </c>
      <c r="K71" s="41">
        <f>COUNTIFS('UMUR 2021'!$S$3:$S$84,"="&amp;$K$61,'UMUR 2021'!$AC$3:$AC$84,"="&amp;B71)</f>
        <v>0</v>
      </c>
      <c r="L71" s="63">
        <f t="shared" si="2"/>
        <v>0</v>
      </c>
    </row>
    <row r="72" spans="2:12" ht="15">
      <c r="B72" s="29" t="s">
        <v>303</v>
      </c>
      <c r="C72" s="29" t="s">
        <v>279</v>
      </c>
      <c r="D72" s="41">
        <f>COUNTIFS('UMUR 2021'!$S$3:$S$84,"="&amp;$D$61,'UMUR 2021'!$AC$3:$AC$84,"="&amp;B72)</f>
        <v>0</v>
      </c>
      <c r="E72" s="41">
        <f>COUNTIFS('UMUR 2021'!$S$3:$S$84,"="&amp;$E$61,'UMUR 2021'!$AC$3:$AC$84,"="&amp;B72)</f>
        <v>0</v>
      </c>
      <c r="F72" s="41">
        <f>COUNTIFS('UMUR 2021'!$S$3:$S$84,"="&amp;$F$61,'UMUR 2021'!$AC$3:$AC$84,"="&amp;B72)</f>
        <v>0</v>
      </c>
      <c r="G72" s="41">
        <f>COUNTIFS('UMUR 2021'!$S$3:$S$84,"="&amp;$G$61,'UMUR 2021'!$AC$3:$AC$84,"="&amp;B72)</f>
        <v>0</v>
      </c>
      <c r="H72" s="41">
        <f>COUNTIFS('UMUR 2021'!$S$3:$S$84,"="&amp;$H$61,'UMUR 2021'!$AC$3:$AC$84,"="&amp;B72)</f>
        <v>0</v>
      </c>
      <c r="I72" s="41">
        <f>COUNTIFS('UMUR 2021'!$S$3:$S$84,"="&amp;$I$61,'UMUR 2021'!$AC$3:$AC$84,"="&amp;B72)</f>
        <v>0</v>
      </c>
      <c r="J72" s="41">
        <f>COUNTIFS('UMUR 2021'!$S$3:$S$84,"="&amp;$J$61,'UMUR 2021'!$AC$3:$AC$84,"="&amp;B72)</f>
        <v>0</v>
      </c>
      <c r="K72" s="41">
        <f>COUNTIFS('UMUR 2021'!$S$3:$S$84,"="&amp;$K$61,'UMUR 2021'!$AC$3:$AC$84,"="&amp;B72)</f>
        <v>0</v>
      </c>
      <c r="L72" s="63">
        <f t="shared" si="2"/>
        <v>0</v>
      </c>
    </row>
    <row r="73" spans="2:12" ht="15">
      <c r="B73" s="29" t="s">
        <v>304</v>
      </c>
      <c r="C73" s="29" t="s">
        <v>279</v>
      </c>
      <c r="D73" s="41">
        <f>COUNTIFS('UMUR 2021'!$S$3:$S$84,"="&amp;$D$61,'UMUR 2021'!$AC$3:$AC$84,"="&amp;B73)</f>
        <v>0</v>
      </c>
      <c r="E73" s="41">
        <f>COUNTIFS('UMUR 2021'!$S$3:$S$84,"="&amp;$E$61,'UMUR 2021'!$AC$3:$AC$84,"="&amp;B73)</f>
        <v>0</v>
      </c>
      <c r="F73" s="41">
        <f>COUNTIFS('UMUR 2021'!$S$3:$S$84,"="&amp;$F$61,'UMUR 2021'!$AC$3:$AC$84,"="&amp;B73)</f>
        <v>0</v>
      </c>
      <c r="G73" s="41">
        <f>COUNTIFS('UMUR 2021'!$S$3:$S$84,"="&amp;$G$61,'UMUR 2021'!$AC$3:$AC$84,"="&amp;B73)</f>
        <v>0</v>
      </c>
      <c r="H73" s="41">
        <f>COUNTIFS('UMUR 2021'!$S$3:$S$84,"="&amp;$H$61,'UMUR 2021'!$AC$3:$AC$84,"="&amp;B73)</f>
        <v>0</v>
      </c>
      <c r="I73" s="41">
        <f>COUNTIFS('UMUR 2021'!$S$3:$S$84,"="&amp;$I$61,'UMUR 2021'!$AC$3:$AC$84,"="&amp;B73)</f>
        <v>0</v>
      </c>
      <c r="J73" s="41">
        <f>COUNTIFS('UMUR 2021'!$S$3:$S$84,"="&amp;$J$61,'UMUR 2021'!$AC$3:$AC$84,"="&amp;B73)</f>
        <v>0</v>
      </c>
      <c r="K73" s="41">
        <f>COUNTIFS('UMUR 2021'!$S$3:$S$84,"="&amp;$K$61,'UMUR 2021'!$AC$3:$AC$84,"="&amp;B73)</f>
        <v>0</v>
      </c>
      <c r="L73" s="63">
        <f t="shared" si="2"/>
        <v>0</v>
      </c>
    </row>
    <row r="74" spans="2:12" ht="15">
      <c r="B74" s="29" t="s">
        <v>250</v>
      </c>
      <c r="C74" s="29" t="s">
        <v>246</v>
      </c>
      <c r="D74" s="41">
        <f>COUNTIFS('UMUR 2021'!$S$3:$S$84,"="&amp;$D$61,'UMUR 2021'!$AC$3:$AC$84,"="&amp;B74)</f>
        <v>0</v>
      </c>
      <c r="E74" s="41">
        <f>COUNTIFS('UMUR 2021'!$S$3:$S$84,"="&amp;$E$61,'UMUR 2021'!$AC$3:$AC$84,"="&amp;B74)</f>
        <v>0</v>
      </c>
      <c r="F74" s="41">
        <f>COUNTIFS('UMUR 2021'!$S$3:$S$84,"="&amp;$F$61,'UMUR 2021'!$AC$3:$AC$84,"="&amp;B74)</f>
        <v>0</v>
      </c>
      <c r="G74" s="41">
        <f>COUNTIFS('UMUR 2021'!$S$3:$S$84,"="&amp;$G$61,'UMUR 2021'!$AC$3:$AC$84,"="&amp;B74)</f>
        <v>0</v>
      </c>
      <c r="H74" s="41">
        <f>COUNTIFS('UMUR 2021'!$S$3:$S$84,"="&amp;$H$61,'UMUR 2021'!$AC$3:$AC$84,"="&amp;B74)</f>
        <v>0</v>
      </c>
      <c r="I74" s="41">
        <f>COUNTIFS('UMUR 2021'!$S$3:$S$84,"="&amp;$I$61,'UMUR 2021'!$AC$3:$AC$84,"="&amp;B74)</f>
        <v>0</v>
      </c>
      <c r="J74" s="41">
        <f>COUNTIFS('UMUR 2021'!$S$3:$S$84,"="&amp;$J$61,'UMUR 2021'!$AC$3:$AC$84,"="&amp;B74)</f>
        <v>0</v>
      </c>
      <c r="K74" s="41">
        <f>COUNTIFS('UMUR 2021'!$S$3:$S$84,"="&amp;$K$61,'UMUR 2021'!$AC$3:$AC$84,"="&amp;B74)</f>
        <v>0</v>
      </c>
      <c r="L74" s="63">
        <f t="shared" si="2"/>
        <v>0</v>
      </c>
    </row>
    <row r="75" spans="2:12" ht="15">
      <c r="B75" s="29" t="s">
        <v>248</v>
      </c>
      <c r="C75" s="29" t="s">
        <v>246</v>
      </c>
      <c r="D75" s="41">
        <f>COUNTIFS('UMUR 2021'!$S$3:$S$84,"="&amp;$D$61,'UMUR 2021'!$AC$3:$AC$84,"="&amp;B75)</f>
        <v>0</v>
      </c>
      <c r="E75" s="41">
        <f>COUNTIFS('UMUR 2021'!$S$3:$S$84,"="&amp;$E$61,'UMUR 2021'!$AC$3:$AC$84,"="&amp;B75)</f>
        <v>0</v>
      </c>
      <c r="F75" s="41">
        <f>COUNTIFS('UMUR 2021'!$S$3:$S$84,"="&amp;$F$61,'UMUR 2021'!$AC$3:$AC$84,"="&amp;B75)</f>
        <v>0</v>
      </c>
      <c r="G75" s="41">
        <f>COUNTIFS('UMUR 2021'!$S$3:$S$84,"="&amp;$G$61,'UMUR 2021'!$AC$3:$AC$84,"="&amp;B75)</f>
        <v>0</v>
      </c>
      <c r="H75" s="41">
        <f>COUNTIFS('UMUR 2021'!$S$3:$S$84,"="&amp;$H$61,'UMUR 2021'!$AC$3:$AC$84,"="&amp;B75)</f>
        <v>0</v>
      </c>
      <c r="I75" s="41">
        <f>COUNTIFS('UMUR 2021'!$S$3:$S$84,"="&amp;$I$61,'UMUR 2021'!$AC$3:$AC$84,"="&amp;B75)</f>
        <v>0</v>
      </c>
      <c r="J75" s="41">
        <f>COUNTIFS('UMUR 2021'!$S$3:$S$84,"="&amp;$J$61,'UMUR 2021'!$AC$3:$AC$84,"="&amp;B75)</f>
        <v>0</v>
      </c>
      <c r="K75" s="41">
        <f>COUNTIFS('UMUR 2021'!$S$3:$S$84,"="&amp;$K$61,'UMUR 2021'!$AC$3:$AC$84,"="&amp;B75)</f>
        <v>0</v>
      </c>
      <c r="L75" s="63">
        <f t="shared" si="2"/>
        <v>0</v>
      </c>
    </row>
    <row r="76" spans="2:12" ht="15">
      <c r="B76" s="29" t="s">
        <v>305</v>
      </c>
      <c r="C76" s="29" t="s">
        <v>305</v>
      </c>
      <c r="D76" s="41">
        <f>COUNTIFS('UMUR 2021'!$S$3:$S$84,"="&amp;$D$61,'UMUR 2021'!$AC$3:$AC$84,"="&amp;B76)</f>
        <v>0</v>
      </c>
      <c r="E76" s="41">
        <f>COUNTIFS('UMUR 2021'!$S$3:$S$84,"="&amp;$E$61,'UMUR 2021'!$AC$3:$AC$84,"="&amp;B76)</f>
        <v>0</v>
      </c>
      <c r="F76" s="41">
        <f>COUNTIFS('UMUR 2021'!$S$3:$S$84,"="&amp;$F$61,'UMUR 2021'!$AC$3:$AC$84,"="&amp;B76)</f>
        <v>0</v>
      </c>
      <c r="G76" s="41">
        <f>COUNTIFS('UMUR 2021'!$S$3:$S$84,"="&amp;$G$61,'UMUR 2021'!$AC$3:$AC$84,"="&amp;B76)</f>
        <v>0</v>
      </c>
      <c r="H76" s="41">
        <f>COUNTIFS('UMUR 2021'!$S$3:$S$84,"="&amp;$H$61,'UMUR 2021'!$AC$3:$AC$84,"="&amp;B76)</f>
        <v>0</v>
      </c>
      <c r="I76" s="41">
        <f>COUNTIFS('UMUR 2021'!$S$3:$S$84,"="&amp;$I$61,'UMUR 2021'!$AC$3:$AC$84,"="&amp;B76)</f>
        <v>0</v>
      </c>
      <c r="J76" s="41">
        <f>COUNTIFS('UMUR 2021'!$S$3:$S$84,"="&amp;$J$61,'UMUR 2021'!$AC$3:$AC$84,"="&amp;B76)</f>
        <v>0</v>
      </c>
      <c r="K76" s="41">
        <f>COUNTIFS('UMUR 2021'!$S$3:$S$84,"="&amp;$K$61,'UMUR 2021'!$AC$3:$AC$84,"="&amp;B76)</f>
        <v>0</v>
      </c>
      <c r="L76" s="63">
        <f t="shared" si="2"/>
        <v>0</v>
      </c>
    </row>
    <row r="77" spans="2:12" ht="15">
      <c r="B77" s="29" t="s">
        <v>306</v>
      </c>
      <c r="C77" s="29" t="s">
        <v>306</v>
      </c>
      <c r="D77" s="41">
        <f>COUNTIFS('UMUR 2021'!$S$3:$S$84,"="&amp;$D$61,'UMUR 2021'!$AC$3:$AC$84,"="&amp;B77)</f>
        <v>0</v>
      </c>
      <c r="E77" s="41">
        <f>COUNTIFS('UMUR 2021'!$S$3:$S$84,"="&amp;$E$61,'UMUR 2021'!$AC$3:$AC$84,"="&amp;B77)</f>
        <v>0</v>
      </c>
      <c r="F77" s="41">
        <f>COUNTIFS('UMUR 2021'!$S$3:$S$84,"="&amp;$F$61,'UMUR 2021'!$AC$3:$AC$84,"="&amp;B77)</f>
        <v>0</v>
      </c>
      <c r="G77" s="41">
        <f>COUNTIFS('UMUR 2021'!$S$3:$S$84,"="&amp;$G$61,'UMUR 2021'!$AC$3:$AC$84,"="&amp;B77)</f>
        <v>0</v>
      </c>
      <c r="H77" s="41">
        <f>COUNTIFS('UMUR 2021'!$S$3:$S$84,"="&amp;$H$61,'UMUR 2021'!$AC$3:$AC$84,"="&amp;B77)</f>
        <v>0</v>
      </c>
      <c r="I77" s="41">
        <f>COUNTIFS('UMUR 2021'!$S$3:$S$84,"="&amp;$I$61,'UMUR 2021'!$AC$3:$AC$84,"="&amp;B77)</f>
        <v>0</v>
      </c>
      <c r="J77" s="41">
        <f>COUNTIFS('UMUR 2021'!$S$3:$S$84,"="&amp;$J$61,'UMUR 2021'!$AC$3:$AC$84,"="&amp;B77)</f>
        <v>0</v>
      </c>
      <c r="K77" s="41">
        <f>COUNTIFS('UMUR 2021'!$S$3:$S$84,"="&amp;$K$61,'UMUR 2021'!$AC$3:$AC$84,"="&amp;B77)</f>
        <v>0</v>
      </c>
      <c r="L77" s="63">
        <f t="shared" si="2"/>
        <v>0</v>
      </c>
    </row>
    <row r="78" spans="2:12" ht="15">
      <c r="B78" s="29" t="s">
        <v>251</v>
      </c>
      <c r="C78" s="29" t="s">
        <v>251</v>
      </c>
      <c r="D78" s="41">
        <f>COUNTIFS('UMUR 2021'!$S$3:$S$84,"="&amp;$D$61,'UMUR 2021'!$AC$3:$AC$84,"="&amp;B78)</f>
        <v>0</v>
      </c>
      <c r="E78" s="41">
        <f>COUNTIFS('UMUR 2021'!$S$3:$S$84,"="&amp;$E$61,'UMUR 2021'!$AC$3:$AC$84,"="&amp;B78)</f>
        <v>0</v>
      </c>
      <c r="F78" s="41">
        <f>COUNTIFS('UMUR 2021'!$S$3:$S$84,"="&amp;$F$61,'UMUR 2021'!$AC$3:$AC$84,"="&amp;B78)</f>
        <v>0</v>
      </c>
      <c r="G78" s="41">
        <f>COUNTIFS('UMUR 2021'!$S$3:$S$84,"="&amp;$G$61,'UMUR 2021'!$AC$3:$AC$84,"="&amp;B78)</f>
        <v>0</v>
      </c>
      <c r="H78" s="41">
        <f>COUNTIFS('UMUR 2021'!$S$3:$S$84,"="&amp;$H$61,'UMUR 2021'!$AC$3:$AC$84,"="&amp;B78)</f>
        <v>0</v>
      </c>
      <c r="I78" s="41">
        <f>COUNTIFS('UMUR 2021'!$S$3:$S$84,"="&amp;$I$61,'UMUR 2021'!$AC$3:$AC$84,"="&amp;B78)</f>
        <v>0</v>
      </c>
      <c r="J78" s="41">
        <f>COUNTIFS('UMUR 2021'!$S$3:$S$84,"="&amp;$J$61,'UMUR 2021'!$AC$3:$AC$84,"="&amp;B78)</f>
        <v>0</v>
      </c>
      <c r="K78" s="41">
        <f>COUNTIFS('UMUR 2021'!$S$3:$S$84,"="&amp;$K$61,'UMUR 2021'!$AC$3:$AC$84,"="&amp;B78)</f>
        <v>0</v>
      </c>
      <c r="L78" s="63">
        <f t="shared" si="2"/>
        <v>0</v>
      </c>
    </row>
    <row r="80" spans="2:12" ht="15">
      <c r="K80" s="70" t="s">
        <v>235</v>
      </c>
      <c r="L80" s="63">
        <f>SUM(L62:L78)</f>
        <v>82</v>
      </c>
    </row>
    <row r="87" spans="2:12">
      <c r="B87" s="89" t="s">
        <v>349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</row>
    <row r="88" spans="2:12"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</row>
    <row r="90" spans="2:12" ht="15">
      <c r="B90" s="26" t="s">
        <v>236</v>
      </c>
      <c r="C90" s="26" t="s">
        <v>237</v>
      </c>
      <c r="D90" s="29" t="s">
        <v>288</v>
      </c>
      <c r="E90" s="29" t="s">
        <v>289</v>
      </c>
      <c r="F90" s="29" t="s">
        <v>290</v>
      </c>
      <c r="G90" s="29" t="s">
        <v>291</v>
      </c>
      <c r="H90" s="29" t="s">
        <v>292</v>
      </c>
      <c r="I90" s="29" t="s">
        <v>293</v>
      </c>
      <c r="J90" s="29" t="s">
        <v>294</v>
      </c>
      <c r="K90" s="29" t="s">
        <v>295</v>
      </c>
      <c r="L90" s="69" t="s">
        <v>235</v>
      </c>
    </row>
    <row r="91" spans="2:12" ht="15">
      <c r="B91" s="29" t="s">
        <v>243</v>
      </c>
      <c r="C91" s="29" t="s">
        <v>241</v>
      </c>
      <c r="D91" s="41">
        <f>COUNTIFS('UMUR 2021'!$S$3:$S$84,"="&amp;$D$90,'UMUR 2021'!$AG$3:$AG$84,"="&amp;B62)</f>
        <v>0</v>
      </c>
      <c r="E91" s="41">
        <f>COUNTIFS('UMUR 2021'!$S$3:$S$84,"="&amp;$E$61,'UMUR 2021'!$AG$3:$AG$84,"="&amp;B91)</f>
        <v>0</v>
      </c>
      <c r="F91" s="41">
        <f>COUNTIFS('UMUR 2021'!$S$3:$S$84,"="&amp;$F$61,'UMUR 2021'!$AG$3:$AG$84,"="&amp;B91)</f>
        <v>0</v>
      </c>
      <c r="G91" s="41">
        <f>COUNTIFS('UMUR 2021'!$S$3:$S$84,"="&amp;$G$61,'UMUR 2021'!$AG$3:$AG$84,"="&amp;B91)</f>
        <v>0</v>
      </c>
      <c r="H91" s="41">
        <f>COUNTIFS('UMUR 2021'!$S$3:$S$84,"="&amp;$H$61,'UMUR 2021'!$AG$3:$AG$84,"="&amp;B91)</f>
        <v>0</v>
      </c>
      <c r="I91" s="41">
        <f>COUNTIFS('UMUR 2021'!$S$3:$S$84,"="&amp;$I$61,'UMUR 2021'!$AG$3:$AG$84,"="&amp;B91)</f>
        <v>0</v>
      </c>
      <c r="J91" s="41">
        <f>COUNTIFS('UMUR 2021'!$S$3:$S$84,"="&amp;$J$61,'UMUR 2021'!$AG$3:$AG$84,"="&amp;B91)</f>
        <v>0</v>
      </c>
      <c r="K91" s="41">
        <f>COUNTIFS('UMUR 2021'!$S$3:$S$84,"="&amp;$K$61,'UMUR 2021'!$AG$3:$AG$84,"="&amp;B91)</f>
        <v>0</v>
      </c>
      <c r="L91" s="63">
        <f>SUM(D91:K91)</f>
        <v>0</v>
      </c>
    </row>
    <row r="92" spans="2:12" ht="15">
      <c r="B92" s="29" t="s">
        <v>239</v>
      </c>
      <c r="C92" s="29" t="s">
        <v>241</v>
      </c>
      <c r="D92" s="41">
        <f>COUNTIFS('UMUR 2021'!$S$3:$S$84,"="&amp;$D$90,'UMUR 2021'!$AG$3:$AG$84,"="&amp;B63)</f>
        <v>0</v>
      </c>
      <c r="E92" s="41">
        <f>COUNTIFS('UMUR 2021'!$S$3:$S$84,"="&amp;$E$61,'UMUR 2021'!$AG$3:$AG$84,"="&amp;B92)</f>
        <v>0</v>
      </c>
      <c r="F92" s="41">
        <f>COUNTIFS('UMUR 2021'!$S$3:$S$84,"="&amp;$F$61,'UMUR 2021'!$AG$3:$AG$84,"="&amp;B92)</f>
        <v>1</v>
      </c>
      <c r="G92" s="41">
        <f>COUNTIFS('UMUR 2021'!$S$3:$S$84,"="&amp;$G$61,'UMUR 2021'!$AG$3:$AG$84,"="&amp;B92)</f>
        <v>2</v>
      </c>
      <c r="H92" s="41">
        <f>COUNTIFS('UMUR 2021'!$S$3:$S$84,"="&amp;$H$61,'UMUR 2021'!$AG$3:$AG$84,"="&amp;B92)</f>
        <v>2</v>
      </c>
      <c r="I92" s="41">
        <f>COUNTIFS('UMUR 2021'!$S$3:$S$84,"="&amp;$I$61,'UMUR 2021'!$AG$3:$AG$84,"="&amp;B92)</f>
        <v>0</v>
      </c>
      <c r="J92" s="41">
        <f>COUNTIFS('UMUR 2021'!$S$3:$S$84,"="&amp;$J$61,'UMUR 2021'!$AG$3:$AG$84,"="&amp;B92)</f>
        <v>0</v>
      </c>
      <c r="K92" s="41">
        <f>COUNTIFS('UMUR 2021'!$S$3:$S$84,"="&amp;$K$61,'UMUR 2021'!$AG$3:$AG$84,"="&amp;B92)</f>
        <v>0</v>
      </c>
      <c r="L92" s="63">
        <f t="shared" ref="L92:L107" si="3">SUM(D92:K92)</f>
        <v>5</v>
      </c>
    </row>
    <row r="93" spans="2:12" ht="15">
      <c r="B93" s="29" t="s">
        <v>240</v>
      </c>
      <c r="C93" s="29" t="s">
        <v>241</v>
      </c>
      <c r="D93" s="41">
        <f>COUNTIFS('UMUR 2021'!$S$3:$S$84,"="&amp;$D$90,'UMUR 2021'!$AG$3:$AG$84,"="&amp;B64)</f>
        <v>0</v>
      </c>
      <c r="E93" s="41">
        <f>COUNTIFS('UMUR 2021'!$S$3:$S$84,"="&amp;$E$61,'UMUR 2021'!$AG$3:$AG$84,"="&amp;B93)</f>
        <v>0</v>
      </c>
      <c r="F93" s="41">
        <f>COUNTIFS('UMUR 2021'!$S$3:$S$84,"="&amp;$F$61,'UMUR 2021'!$AG$3:$AG$84,"="&amp;B93)</f>
        <v>0</v>
      </c>
      <c r="G93" s="41">
        <f>COUNTIFS('UMUR 2021'!$S$3:$S$84,"="&amp;$G$61,'UMUR 2021'!$AG$3:$AG$84,"="&amp;B93)</f>
        <v>1</v>
      </c>
      <c r="H93" s="41">
        <f>COUNTIFS('UMUR 2021'!$S$3:$S$84,"="&amp;$H$61,'UMUR 2021'!$AG$3:$AG$84,"="&amp;B93)</f>
        <v>0</v>
      </c>
      <c r="I93" s="41">
        <f>COUNTIFS('UMUR 2021'!$S$3:$S$84,"="&amp;$I$61,'UMUR 2021'!$AG$3:$AG$84,"="&amp;B93)</f>
        <v>0</v>
      </c>
      <c r="J93" s="41">
        <f>COUNTIFS('UMUR 2021'!$S$3:$S$84,"="&amp;$J$61,'UMUR 2021'!$AG$3:$AG$84,"="&amp;B93)</f>
        <v>0</v>
      </c>
      <c r="K93" s="41">
        <f>COUNTIFS('UMUR 2021'!$S$3:$S$84,"="&amp;$K$61,'UMUR 2021'!$AG$3:$AG$84,"="&amp;B93)</f>
        <v>0</v>
      </c>
      <c r="L93" s="63">
        <f t="shared" si="3"/>
        <v>1</v>
      </c>
    </row>
    <row r="94" spans="2:12" ht="15">
      <c r="B94" s="29" t="s">
        <v>249</v>
      </c>
      <c r="C94" s="29" t="s">
        <v>241</v>
      </c>
      <c r="D94" s="41">
        <f>COUNTIFS('UMUR 2021'!$S$3:$S$84,"="&amp;$D$90,'UMUR 2021'!$AG$3:$AG$84,"="&amp;B65)</f>
        <v>0</v>
      </c>
      <c r="E94" s="41">
        <f>COUNTIFS('UMUR 2021'!$S$3:$S$84,"="&amp;$E$61,'UMUR 2021'!$AG$3:$AG$84,"="&amp;B94)</f>
        <v>0</v>
      </c>
      <c r="F94" s="41">
        <f>COUNTIFS('UMUR 2021'!$S$3:$S$84,"="&amp;$F$61,'UMUR 2021'!$AG$3:$AG$84,"="&amp;B94)</f>
        <v>0</v>
      </c>
      <c r="G94" s="41">
        <f>COUNTIFS('UMUR 2021'!$S$3:$S$84,"="&amp;$G$61,'UMUR 2021'!$AG$3:$AG$84,"="&amp;B94)</f>
        <v>0</v>
      </c>
      <c r="H94" s="41">
        <f>COUNTIFS('UMUR 2021'!$S$3:$S$84,"="&amp;$H$61,'UMUR 2021'!$AG$3:$AG$84,"="&amp;B94)</f>
        <v>0</v>
      </c>
      <c r="I94" s="41">
        <f>COUNTIFS('UMUR 2021'!$S$3:$S$84,"="&amp;$I$61,'UMUR 2021'!$AG$3:$AG$84,"="&amp;B94)</f>
        <v>0</v>
      </c>
      <c r="J94" s="41">
        <f>COUNTIFS('UMUR 2021'!$S$3:$S$84,"="&amp;$J$61,'UMUR 2021'!$AG$3:$AG$84,"="&amp;B94)</f>
        <v>0</v>
      </c>
      <c r="K94" s="41">
        <f>COUNTIFS('UMUR 2021'!$S$3:$S$84,"="&amp;$K$61,'UMUR 2021'!$AG$3:$AG$84,"="&amp;B94)</f>
        <v>0</v>
      </c>
      <c r="L94" s="63">
        <f t="shared" si="3"/>
        <v>0</v>
      </c>
    </row>
    <row r="95" spans="2:12" ht="15">
      <c r="B95" s="29" t="s">
        <v>244</v>
      </c>
      <c r="C95" s="29" t="s">
        <v>245</v>
      </c>
      <c r="D95" s="41">
        <f>COUNTIFS('UMUR 2021'!$S$3:$S$84,"="&amp;$D$90,'UMUR 2021'!$AG$3:$AG$84,"="&amp;B66)</f>
        <v>0</v>
      </c>
      <c r="E95" s="41">
        <f>COUNTIFS('UMUR 2021'!$S$3:$S$84,"="&amp;$E$61,'UMUR 2021'!$AG$3:$AG$84,"="&amp;B95)</f>
        <v>6</v>
      </c>
      <c r="F95" s="41">
        <f>COUNTIFS('UMUR 2021'!$S$3:$S$84,"="&amp;$F$61,'UMUR 2021'!$AG$3:$AG$84,"="&amp;B95)</f>
        <v>2</v>
      </c>
      <c r="G95" s="41">
        <f>COUNTIFS('UMUR 2021'!$S$3:$S$84,"="&amp;$G$61,'UMUR 2021'!$AG$3:$AG$84,"="&amp;B95)</f>
        <v>2</v>
      </c>
      <c r="H95" s="41">
        <f>COUNTIFS('UMUR 2021'!$S$3:$S$84,"="&amp;$H$61,'UMUR 2021'!$AG$3:$AG$84,"="&amp;B95)</f>
        <v>2</v>
      </c>
      <c r="I95" s="41">
        <f>COUNTIFS('UMUR 2021'!$S$3:$S$84,"="&amp;$I$61,'UMUR 2021'!$AG$3:$AG$84,"="&amp;B95)</f>
        <v>0</v>
      </c>
      <c r="J95" s="41">
        <f>COUNTIFS('UMUR 2021'!$S$3:$S$84,"="&amp;$J$61,'UMUR 2021'!$AG$3:$AG$84,"="&amp;B95)</f>
        <v>0</v>
      </c>
      <c r="K95" s="41">
        <f>COUNTIFS('UMUR 2021'!$S$3:$S$84,"="&amp;$K$61,'UMUR 2021'!$AG$3:$AG$84,"="&amp;B95)</f>
        <v>0</v>
      </c>
      <c r="L95" s="63">
        <f t="shared" si="3"/>
        <v>12</v>
      </c>
    </row>
    <row r="96" spans="2:12" ht="15">
      <c r="B96" s="29" t="s">
        <v>253</v>
      </c>
      <c r="C96" s="29" t="s">
        <v>245</v>
      </c>
      <c r="D96" s="41">
        <f>COUNTIFS('UMUR 2021'!$S$3:$S$84,"="&amp;$D$90,'UMUR 2021'!$AG$3:$AG$84,"="&amp;B67)</f>
        <v>0</v>
      </c>
      <c r="E96" s="41">
        <f>COUNTIFS('UMUR 2021'!$S$3:$S$84,"="&amp;$E$61,'UMUR 2021'!$AG$3:$AG$84,"="&amp;B96)</f>
        <v>2</v>
      </c>
      <c r="F96" s="41">
        <f>COUNTIFS('UMUR 2021'!$S$3:$S$84,"="&amp;$F$61,'UMUR 2021'!$AG$3:$AG$84,"="&amp;B96)</f>
        <v>0</v>
      </c>
      <c r="G96" s="41">
        <f>COUNTIFS('UMUR 2021'!$S$3:$S$84,"="&amp;$G$61,'UMUR 2021'!$AG$3:$AG$84,"="&amp;B96)</f>
        <v>1</v>
      </c>
      <c r="H96" s="41">
        <f>COUNTIFS('UMUR 2021'!$S$3:$S$84,"="&amp;$H$61,'UMUR 2021'!$AG$3:$AG$84,"="&amp;B96)</f>
        <v>1</v>
      </c>
      <c r="I96" s="41">
        <f>COUNTIFS('UMUR 2021'!$S$3:$S$84,"="&amp;$I$61,'UMUR 2021'!$AG$3:$AG$84,"="&amp;B96)</f>
        <v>0</v>
      </c>
      <c r="J96" s="41">
        <f>COUNTIFS('UMUR 2021'!$S$3:$S$84,"="&amp;$J$61,'UMUR 2021'!$AG$3:$AG$84,"="&amp;B96)</f>
        <v>0</v>
      </c>
      <c r="K96" s="41">
        <f>COUNTIFS('UMUR 2021'!$S$3:$S$84,"="&amp;$K$61,'UMUR 2021'!$AG$3:$AG$84,"="&amp;B96)</f>
        <v>0</v>
      </c>
      <c r="L96" s="63">
        <f t="shared" si="3"/>
        <v>4</v>
      </c>
    </row>
    <row r="97" spans="2:12" ht="15">
      <c r="B97" s="29" t="s">
        <v>254</v>
      </c>
      <c r="C97" s="29" t="s">
        <v>245</v>
      </c>
      <c r="D97" s="41">
        <f>COUNTIFS('UMUR 2021'!$S$3:$S$84,"="&amp;$D$90,'UMUR 2021'!$AG$3:$AG$84,"="&amp;B68)</f>
        <v>0</v>
      </c>
      <c r="E97" s="41">
        <f>COUNTIFS('UMUR 2021'!$S$3:$S$84,"="&amp;$E$61,'UMUR 2021'!$AG$3:$AG$84,"="&amp;B97)</f>
        <v>1</v>
      </c>
      <c r="F97" s="41">
        <f>COUNTIFS('UMUR 2021'!$S$3:$S$84,"="&amp;$F$61,'UMUR 2021'!$AG$3:$AG$84,"="&amp;B97)</f>
        <v>0</v>
      </c>
      <c r="G97" s="41">
        <f>COUNTIFS('UMUR 2021'!$S$3:$S$84,"="&amp;$G$61,'UMUR 2021'!$AG$3:$AG$84,"="&amp;B97)</f>
        <v>1</v>
      </c>
      <c r="H97" s="41">
        <f>COUNTIFS('UMUR 2021'!$S$3:$S$84,"="&amp;$H$61,'UMUR 2021'!$AG$3:$AG$84,"="&amp;B97)</f>
        <v>0</v>
      </c>
      <c r="I97" s="41">
        <f>COUNTIFS('UMUR 2021'!$S$3:$S$84,"="&amp;$I$61,'UMUR 2021'!$AG$3:$AG$84,"="&amp;B97)</f>
        <v>0</v>
      </c>
      <c r="J97" s="41">
        <f>COUNTIFS('UMUR 2021'!$S$3:$S$84,"="&amp;$J$61,'UMUR 2021'!$AG$3:$AG$84,"="&amp;B97)</f>
        <v>0</v>
      </c>
      <c r="K97" s="41">
        <f>COUNTIFS('UMUR 2021'!$S$3:$S$84,"="&amp;$K$61,'UMUR 2021'!$AG$3:$AG$84,"="&amp;B97)</f>
        <v>0</v>
      </c>
      <c r="L97" s="63">
        <f t="shared" si="3"/>
        <v>2</v>
      </c>
    </row>
    <row r="98" spans="2:12" ht="15">
      <c r="B98" s="29" t="s">
        <v>252</v>
      </c>
      <c r="C98" s="29" t="s">
        <v>252</v>
      </c>
      <c r="D98" s="41">
        <f>COUNTIFS('UMUR 2021'!$S$3:$S$84,"="&amp;$D$90,'UMUR 2021'!$AG$3:$AG$84,"="&amp;B69)</f>
        <v>0</v>
      </c>
      <c r="E98" s="41">
        <f>COUNTIFS('UMUR 2021'!$S$3:$S$84,"="&amp;$E$61,'UMUR 2021'!$AG$3:$AG$84,"="&amp;B98)</f>
        <v>20</v>
      </c>
      <c r="F98" s="41">
        <f>COUNTIFS('UMUR 2021'!$S$3:$S$84,"="&amp;$F$61,'UMUR 2021'!$AG$3:$AG$84,"="&amp;B98)</f>
        <v>6</v>
      </c>
      <c r="G98" s="41">
        <f>COUNTIFS('UMUR 2021'!$S$3:$S$84,"="&amp;$G$61,'UMUR 2021'!$AG$3:$AG$84,"="&amp;B98)</f>
        <v>23</v>
      </c>
      <c r="H98" s="41">
        <f>COUNTIFS('UMUR 2021'!$S$3:$S$84,"="&amp;$H$61,'UMUR 2021'!$AG$3:$AG$84,"="&amp;B98)</f>
        <v>0</v>
      </c>
      <c r="I98" s="41">
        <f>COUNTIFS('UMUR 2021'!$S$3:$S$84,"="&amp;$I$61,'UMUR 2021'!$AG$3:$AG$84,"="&amp;B98)</f>
        <v>0</v>
      </c>
      <c r="J98" s="41">
        <f>COUNTIFS('UMUR 2021'!$S$3:$S$84,"="&amp;$J$61,'UMUR 2021'!$AG$3:$AG$84,"="&amp;B98)</f>
        <v>0</v>
      </c>
      <c r="K98" s="41">
        <f>COUNTIFS('UMUR 2021'!$S$3:$S$84,"="&amp;$K$61,'UMUR 2021'!$AG$3:$AG$84,"="&amp;B98)</f>
        <v>0</v>
      </c>
      <c r="L98" s="63">
        <f t="shared" si="3"/>
        <v>49</v>
      </c>
    </row>
    <row r="99" spans="2:12" ht="15">
      <c r="B99" s="29" t="s">
        <v>301</v>
      </c>
      <c r="C99" s="29" t="s">
        <v>279</v>
      </c>
      <c r="D99" s="41">
        <f>COUNTIFS('UMUR 2021'!$S$3:$S$84,"="&amp;$D$90,'UMUR 2021'!$AG$3:$AG$84,"="&amp;B70)</f>
        <v>0</v>
      </c>
      <c r="E99" s="41">
        <f>COUNTIFS('UMUR 2021'!$S$3:$S$84,"="&amp;$E$61,'UMUR 2021'!$AG$3:$AG$84,"="&amp;B99)</f>
        <v>0</v>
      </c>
      <c r="F99" s="41">
        <f>COUNTIFS('UMUR 2021'!$S$3:$S$84,"="&amp;$F$61,'UMUR 2021'!$AG$3:$AG$84,"="&amp;B99)</f>
        <v>0</v>
      </c>
      <c r="G99" s="41">
        <f>COUNTIFS('UMUR 2021'!$S$3:$S$84,"="&amp;$G$61,'UMUR 2021'!$AG$3:$AG$84,"="&amp;B99)</f>
        <v>2</v>
      </c>
      <c r="H99" s="41">
        <f>COUNTIFS('UMUR 2021'!$S$3:$S$84,"="&amp;$H$61,'UMUR 2021'!$AG$3:$AG$84,"="&amp;B99)</f>
        <v>0</v>
      </c>
      <c r="I99" s="41">
        <f>COUNTIFS('UMUR 2021'!$S$3:$S$84,"="&amp;$I$61,'UMUR 2021'!$AG$3:$AG$84,"="&amp;B99)</f>
        <v>0</v>
      </c>
      <c r="J99" s="41">
        <f>COUNTIFS('UMUR 2021'!$S$3:$S$84,"="&amp;$J$61,'UMUR 2021'!$AG$3:$AG$84,"="&amp;B99)</f>
        <v>0</v>
      </c>
      <c r="K99" s="41">
        <f>COUNTIFS('UMUR 2021'!$S$3:$S$84,"="&amp;$K$61,'UMUR 2021'!$AG$3:$AG$84,"="&amp;B99)</f>
        <v>0</v>
      </c>
      <c r="L99" s="63">
        <f t="shared" si="3"/>
        <v>2</v>
      </c>
    </row>
    <row r="100" spans="2:12" ht="15">
      <c r="B100" s="29" t="s">
        <v>302</v>
      </c>
      <c r="C100" s="29" t="s">
        <v>279</v>
      </c>
      <c r="D100" s="41">
        <f>COUNTIFS('UMUR 2021'!$S$3:$S$84,"="&amp;$D$90,'UMUR 2021'!$AG$3:$AG$84,"="&amp;B71)</f>
        <v>0</v>
      </c>
      <c r="E100" s="41">
        <f>COUNTIFS('UMUR 2021'!$S$3:$S$84,"="&amp;$E$61,'UMUR 2021'!$AG$3:$AG$84,"="&amp;B100)</f>
        <v>0</v>
      </c>
      <c r="F100" s="41">
        <f>COUNTIFS('UMUR 2021'!$S$3:$S$84,"="&amp;$F$61,'UMUR 2021'!$AG$3:$AG$84,"="&amp;B100)</f>
        <v>0</v>
      </c>
      <c r="G100" s="41">
        <f>COUNTIFS('UMUR 2021'!$S$3:$S$84,"="&amp;$G$61,'UMUR 2021'!$AG$3:$AG$84,"="&amp;B100)</f>
        <v>0</v>
      </c>
      <c r="H100" s="41">
        <f>COUNTIFS('UMUR 2021'!$S$3:$S$84,"="&amp;$H$61,'UMUR 2021'!$AG$3:$AG$84,"="&amp;B100)</f>
        <v>0</v>
      </c>
      <c r="I100" s="41">
        <f>COUNTIFS('UMUR 2021'!$S$3:$S$84,"="&amp;$I$61,'UMUR 2021'!$AG$3:$AG$84,"="&amp;B100)</f>
        <v>0</v>
      </c>
      <c r="J100" s="41">
        <f>COUNTIFS('UMUR 2021'!$S$3:$S$84,"="&amp;$J$61,'UMUR 2021'!$AG$3:$AG$84,"="&amp;B100)</f>
        <v>0</v>
      </c>
      <c r="K100" s="41">
        <f>COUNTIFS('UMUR 2021'!$S$3:$S$84,"="&amp;$K$61,'UMUR 2021'!$AG$3:$AG$84,"="&amp;B100)</f>
        <v>0</v>
      </c>
      <c r="L100" s="63">
        <f t="shared" si="3"/>
        <v>0</v>
      </c>
    </row>
    <row r="101" spans="2:12" ht="15">
      <c r="B101" s="29" t="s">
        <v>303</v>
      </c>
      <c r="C101" s="29" t="s">
        <v>279</v>
      </c>
      <c r="D101" s="41">
        <f>COUNTIFS('UMUR 2021'!$S$3:$S$84,"="&amp;$D$90,'UMUR 2021'!$AG$3:$AG$84,"="&amp;B72)</f>
        <v>0</v>
      </c>
      <c r="E101" s="41">
        <f>COUNTIFS('UMUR 2021'!$S$3:$S$84,"="&amp;$E$61,'UMUR 2021'!$AG$3:$AG$84,"="&amp;B101)</f>
        <v>0</v>
      </c>
      <c r="F101" s="41">
        <f>COUNTIFS('UMUR 2021'!$S$3:$S$84,"="&amp;$F$61,'UMUR 2021'!$AG$3:$AG$84,"="&amp;B101)</f>
        <v>0</v>
      </c>
      <c r="G101" s="41">
        <f>COUNTIFS('UMUR 2021'!$S$3:$S$84,"="&amp;$G$61,'UMUR 2021'!$AG$3:$AG$84,"="&amp;B101)</f>
        <v>0</v>
      </c>
      <c r="H101" s="41">
        <f>COUNTIFS('UMUR 2021'!$S$3:$S$84,"="&amp;$H$61,'UMUR 2021'!$AG$3:$AG$84,"="&amp;B101)</f>
        <v>0</v>
      </c>
      <c r="I101" s="41">
        <f>COUNTIFS('UMUR 2021'!$S$3:$S$84,"="&amp;$I$61,'UMUR 2021'!$AG$3:$AG$84,"="&amp;B101)</f>
        <v>0</v>
      </c>
      <c r="J101" s="41">
        <f>COUNTIFS('UMUR 2021'!$S$3:$S$84,"="&amp;$J$61,'UMUR 2021'!$AG$3:$AG$84,"="&amp;B101)</f>
        <v>0</v>
      </c>
      <c r="K101" s="41">
        <f>COUNTIFS('UMUR 2021'!$S$3:$S$84,"="&amp;$K$61,'UMUR 2021'!$AG$3:$AG$84,"="&amp;B101)</f>
        <v>0</v>
      </c>
      <c r="L101" s="63">
        <f t="shared" si="3"/>
        <v>0</v>
      </c>
    </row>
    <row r="102" spans="2:12" ht="15">
      <c r="B102" s="29" t="s">
        <v>304</v>
      </c>
      <c r="C102" s="29" t="s">
        <v>279</v>
      </c>
      <c r="D102" s="41">
        <f>COUNTIFS('UMUR 2021'!$S$3:$S$84,"="&amp;$D$90,'UMUR 2021'!$AG$3:$AG$84,"="&amp;B73)</f>
        <v>0</v>
      </c>
      <c r="E102" s="41">
        <f>COUNTIFS('UMUR 2021'!$S$3:$S$84,"="&amp;$E$61,'UMUR 2021'!$AG$3:$AG$84,"="&amp;B102)</f>
        <v>0</v>
      </c>
      <c r="F102" s="41">
        <f>COUNTIFS('UMUR 2021'!$S$3:$S$84,"="&amp;$F$61,'UMUR 2021'!$AG$3:$AG$84,"="&amp;B102)</f>
        <v>0</v>
      </c>
      <c r="G102" s="41">
        <f>COUNTIFS('UMUR 2021'!$S$3:$S$84,"="&amp;$G$61,'UMUR 2021'!$AG$3:$AG$84,"="&amp;B102)</f>
        <v>0</v>
      </c>
      <c r="H102" s="41">
        <f>COUNTIFS('UMUR 2021'!$S$3:$S$84,"="&amp;$H$61,'UMUR 2021'!$AG$3:$AG$84,"="&amp;B102)</f>
        <v>0</v>
      </c>
      <c r="I102" s="41">
        <f>COUNTIFS('UMUR 2021'!$S$3:$S$84,"="&amp;$I$61,'UMUR 2021'!$AG$3:$AG$84,"="&amp;B102)</f>
        <v>0</v>
      </c>
      <c r="J102" s="41">
        <f>COUNTIFS('UMUR 2021'!$S$3:$S$84,"="&amp;$J$61,'UMUR 2021'!$AG$3:$AG$84,"="&amp;B102)</f>
        <v>0</v>
      </c>
      <c r="K102" s="41">
        <f>COUNTIFS('UMUR 2021'!$S$3:$S$84,"="&amp;$K$61,'UMUR 2021'!$AG$3:$AG$84,"="&amp;B102)</f>
        <v>0</v>
      </c>
      <c r="L102" s="63">
        <f t="shared" si="3"/>
        <v>0</v>
      </c>
    </row>
    <row r="103" spans="2:12" ht="15">
      <c r="B103" s="29" t="s">
        <v>250</v>
      </c>
      <c r="C103" s="29" t="s">
        <v>246</v>
      </c>
      <c r="D103" s="41">
        <f>COUNTIFS('UMUR 2021'!$S$3:$S$84,"="&amp;$D$90,'UMUR 2021'!$AG$3:$AG$84,"="&amp;B74)</f>
        <v>0</v>
      </c>
      <c r="E103" s="41">
        <f>COUNTIFS('UMUR 2021'!$S$3:$S$84,"="&amp;$E$61,'UMUR 2021'!$AG$3:$AG$84,"="&amp;B103)</f>
        <v>1</v>
      </c>
      <c r="F103" s="41">
        <f>COUNTIFS('UMUR 2021'!$S$3:$S$84,"="&amp;$F$61,'UMUR 2021'!$AG$3:$AG$84,"="&amp;B103)</f>
        <v>0</v>
      </c>
      <c r="G103" s="41">
        <f>COUNTIFS('UMUR 2021'!$S$3:$S$84,"="&amp;$G$61,'UMUR 2021'!$AG$3:$AG$84,"="&amp;B103)</f>
        <v>0</v>
      </c>
      <c r="H103" s="41">
        <f>COUNTIFS('UMUR 2021'!$S$3:$S$84,"="&amp;$H$61,'UMUR 2021'!$AG$3:$AG$84,"="&amp;B103)</f>
        <v>0</v>
      </c>
      <c r="I103" s="41">
        <f>COUNTIFS('UMUR 2021'!$S$3:$S$84,"="&amp;$I$61,'UMUR 2021'!$AG$3:$AG$84,"="&amp;B103)</f>
        <v>0</v>
      </c>
      <c r="J103" s="41">
        <f>COUNTIFS('UMUR 2021'!$S$3:$S$84,"="&amp;$J$61,'UMUR 2021'!$AG$3:$AG$84,"="&amp;B103)</f>
        <v>0</v>
      </c>
      <c r="K103" s="41">
        <f>COUNTIFS('UMUR 2021'!$S$3:$S$84,"="&amp;$K$61,'UMUR 2021'!$AG$3:$AG$84,"="&amp;B103)</f>
        <v>0</v>
      </c>
      <c r="L103" s="63">
        <f t="shared" si="3"/>
        <v>1</v>
      </c>
    </row>
    <row r="104" spans="2:12" ht="15">
      <c r="B104" s="29" t="s">
        <v>248</v>
      </c>
      <c r="C104" s="29" t="s">
        <v>246</v>
      </c>
      <c r="D104" s="41">
        <f>COUNTIFS('UMUR 2021'!$S$3:$S$84,"="&amp;$D$90,'UMUR 2021'!$AG$3:$AG$84,"="&amp;B75)</f>
        <v>0</v>
      </c>
      <c r="E104" s="41">
        <f>COUNTIFS('UMUR 2021'!$S$3:$S$84,"="&amp;$E$61,'UMUR 2021'!$AG$3:$AG$84,"="&amp;B104)</f>
        <v>0</v>
      </c>
      <c r="F104" s="41">
        <f>COUNTIFS('UMUR 2021'!$S$3:$S$84,"="&amp;$F$61,'UMUR 2021'!$AG$3:$AG$84,"="&amp;B104)</f>
        <v>0</v>
      </c>
      <c r="G104" s="41">
        <f>COUNTIFS('UMUR 2021'!$S$3:$S$84,"="&amp;$G$61,'UMUR 2021'!$AG$3:$AG$84,"="&amp;B104)</f>
        <v>0</v>
      </c>
      <c r="H104" s="41">
        <f>COUNTIFS('UMUR 2021'!$S$3:$S$84,"="&amp;$H$61,'UMUR 2021'!$AG$3:$AG$84,"="&amp;B104)</f>
        <v>0</v>
      </c>
      <c r="I104" s="41">
        <f>COUNTIFS('UMUR 2021'!$S$3:$S$84,"="&amp;$I$61,'UMUR 2021'!$AG$3:$AG$84,"="&amp;B104)</f>
        <v>0</v>
      </c>
      <c r="J104" s="41">
        <f>COUNTIFS('UMUR 2021'!$S$3:$S$84,"="&amp;$J$61,'UMUR 2021'!$AG$3:$AG$84,"="&amp;B104)</f>
        <v>0</v>
      </c>
      <c r="K104" s="41">
        <f>COUNTIFS('UMUR 2021'!$S$3:$S$84,"="&amp;$K$61,'UMUR 2021'!$AG$3:$AG$84,"="&amp;B104)</f>
        <v>0</v>
      </c>
      <c r="L104" s="63">
        <f t="shared" si="3"/>
        <v>0</v>
      </c>
    </row>
    <row r="105" spans="2:12" ht="15">
      <c r="B105" s="29" t="s">
        <v>305</v>
      </c>
      <c r="C105" s="29" t="s">
        <v>305</v>
      </c>
      <c r="D105" s="41">
        <f>COUNTIFS('UMUR 2021'!$S$3:$S$84,"="&amp;$D$90,'UMUR 2021'!$AG$3:$AG$84,"="&amp;B76)</f>
        <v>0</v>
      </c>
      <c r="E105" s="41">
        <f>COUNTIFS('UMUR 2021'!$S$3:$S$84,"="&amp;$E$61,'UMUR 2021'!$AG$3:$AG$84,"="&amp;B105)</f>
        <v>0</v>
      </c>
      <c r="F105" s="41">
        <f>COUNTIFS('UMUR 2021'!$S$3:$S$84,"="&amp;$F$61,'UMUR 2021'!$AG$3:$AG$84,"="&amp;B105)</f>
        <v>0</v>
      </c>
      <c r="G105" s="41">
        <f>COUNTIFS('UMUR 2021'!$S$3:$S$84,"="&amp;$G$61,'UMUR 2021'!$AG$3:$AG$84,"="&amp;B105)</f>
        <v>0</v>
      </c>
      <c r="H105" s="41">
        <f>COUNTIFS('UMUR 2021'!$S$3:$S$84,"="&amp;$H$61,'UMUR 2021'!$AG$3:$AG$84,"="&amp;B105)</f>
        <v>0</v>
      </c>
      <c r="I105" s="41">
        <f>COUNTIFS('UMUR 2021'!$S$3:$S$84,"="&amp;$I$61,'UMUR 2021'!$AG$3:$AG$84,"="&amp;B105)</f>
        <v>0</v>
      </c>
      <c r="J105" s="41">
        <f>COUNTIFS('UMUR 2021'!$S$3:$S$84,"="&amp;$J$61,'UMUR 2021'!$AG$3:$AG$84,"="&amp;B105)</f>
        <v>0</v>
      </c>
      <c r="K105" s="41">
        <f>COUNTIFS('UMUR 2021'!$S$3:$S$84,"="&amp;$K$61,'UMUR 2021'!$AG$3:$AG$84,"="&amp;B105)</f>
        <v>0</v>
      </c>
      <c r="L105" s="63">
        <f t="shared" si="3"/>
        <v>0</v>
      </c>
    </row>
    <row r="106" spans="2:12" ht="15">
      <c r="B106" s="29" t="s">
        <v>306</v>
      </c>
      <c r="C106" s="29" t="s">
        <v>306</v>
      </c>
      <c r="D106" s="41">
        <f>COUNTIFS('UMUR 2021'!$S$3:$S$84,"="&amp;$D$90,'UMUR 2021'!$AG$3:$AG$84,"="&amp;B77)</f>
        <v>0</v>
      </c>
      <c r="E106" s="41">
        <f>COUNTIFS('UMUR 2021'!$S$3:$S$84,"="&amp;$E$61,'UMUR 2021'!$AG$3:$AG$84,"="&amp;B106)</f>
        <v>0</v>
      </c>
      <c r="F106" s="41">
        <f>COUNTIFS('UMUR 2021'!$S$3:$S$84,"="&amp;$F$61,'UMUR 2021'!$AG$3:$AG$84,"="&amp;B106)</f>
        <v>0</v>
      </c>
      <c r="G106" s="41">
        <f>COUNTIFS('UMUR 2021'!$S$3:$S$84,"="&amp;$G$61,'UMUR 2021'!$AG$3:$AG$84,"="&amp;B106)</f>
        <v>0</v>
      </c>
      <c r="H106" s="41">
        <f>COUNTIFS('UMUR 2021'!$S$3:$S$84,"="&amp;$H$61,'UMUR 2021'!$AG$3:$AG$84,"="&amp;B106)</f>
        <v>0</v>
      </c>
      <c r="I106" s="41">
        <f>COUNTIFS('UMUR 2021'!$S$3:$S$84,"="&amp;$I$61,'UMUR 2021'!$AG$3:$AG$84,"="&amp;B106)</f>
        <v>0</v>
      </c>
      <c r="J106" s="41">
        <f>COUNTIFS('UMUR 2021'!$S$3:$S$84,"="&amp;$J$61,'UMUR 2021'!$AG$3:$AG$84,"="&amp;B106)</f>
        <v>0</v>
      </c>
      <c r="K106" s="41">
        <f>COUNTIFS('UMUR 2021'!$S$3:$S$84,"="&amp;$K$61,'UMUR 2021'!$AG$3:$AG$84,"="&amp;B106)</f>
        <v>0</v>
      </c>
      <c r="L106" s="63">
        <f t="shared" si="3"/>
        <v>0</v>
      </c>
    </row>
    <row r="107" spans="2:12" ht="15">
      <c r="B107" s="29" t="s">
        <v>251</v>
      </c>
      <c r="C107" s="29" t="s">
        <v>251</v>
      </c>
      <c r="D107" s="41">
        <f>COUNTIFS('UMUR 2021'!$S$3:$S$84,"="&amp;$D$90,'UMUR 2021'!$AG$3:$AG$84,"="&amp;B78)</f>
        <v>0</v>
      </c>
      <c r="E107" s="41">
        <f>COUNTIFS('UMUR 2021'!$S$3:$S$84,"="&amp;$E$61,'UMUR 2021'!$AG$3:$AG$84,"="&amp;B107)</f>
        <v>4</v>
      </c>
      <c r="F107" s="41">
        <f>COUNTIFS('UMUR 2021'!$S$3:$S$84,"="&amp;$F$61,'UMUR 2021'!$AG$3:$AG$84,"="&amp;B107)</f>
        <v>0</v>
      </c>
      <c r="G107" s="41">
        <f>COUNTIFS('UMUR 2021'!$S$3:$S$84,"="&amp;$G$61,'UMUR 2021'!$AG$3:$AG$84,"="&amp;B107)</f>
        <v>2</v>
      </c>
      <c r="H107" s="41">
        <f>COUNTIFS('UMUR 2021'!$S$3:$S$84,"="&amp;$H$61,'UMUR 2021'!$AG$3:$AG$84,"="&amp;B107)</f>
        <v>0</v>
      </c>
      <c r="I107" s="41">
        <f>COUNTIFS('UMUR 2021'!$S$3:$S$84,"="&amp;$I$61,'UMUR 2021'!$AG$3:$AG$84,"="&amp;B107)</f>
        <v>0</v>
      </c>
      <c r="J107" s="41">
        <f>COUNTIFS('UMUR 2021'!$S$3:$S$84,"="&amp;$J$61,'UMUR 2021'!$AG$3:$AG$84,"="&amp;B107)</f>
        <v>0</v>
      </c>
      <c r="K107" s="41">
        <f>COUNTIFS('UMUR 2021'!$S$3:$S$84,"="&amp;$K$61,'UMUR 2021'!$AG$3:$AG$84,"="&amp;B107)</f>
        <v>0</v>
      </c>
      <c r="L107" s="63">
        <f t="shared" si="3"/>
        <v>6</v>
      </c>
    </row>
    <row r="109" spans="2:12" ht="15">
      <c r="K109" s="70" t="s">
        <v>235</v>
      </c>
      <c r="L109" s="63">
        <f>SUM(L91:L107)</f>
        <v>82</v>
      </c>
    </row>
    <row r="117" spans="2:10">
      <c r="B117" s="89" t="s">
        <v>350</v>
      </c>
      <c r="C117" s="89"/>
      <c r="D117" s="89"/>
      <c r="E117" s="89"/>
      <c r="F117" s="89"/>
      <c r="G117" s="89"/>
      <c r="H117" s="89"/>
      <c r="I117" s="89"/>
      <c r="J117" s="89"/>
    </row>
    <row r="118" spans="2:10">
      <c r="B118" s="89"/>
      <c r="C118" s="89"/>
      <c r="D118" s="89"/>
      <c r="E118" s="89"/>
      <c r="F118" s="89"/>
      <c r="G118" s="89"/>
      <c r="H118" s="89"/>
      <c r="I118" s="89"/>
      <c r="J118" s="89"/>
    </row>
    <row r="120" spans="2:10" ht="15">
      <c r="B120" s="26" t="s">
        <v>236</v>
      </c>
      <c r="C120" s="26" t="s">
        <v>237</v>
      </c>
      <c r="D120" s="29" t="s">
        <v>316</v>
      </c>
      <c r="E120" s="29" t="s">
        <v>317</v>
      </c>
      <c r="F120" s="29" t="s">
        <v>318</v>
      </c>
      <c r="G120" s="29" t="s">
        <v>319</v>
      </c>
      <c r="H120" s="29" t="s">
        <v>320</v>
      </c>
      <c r="I120" s="29" t="s">
        <v>321</v>
      </c>
      <c r="J120" s="71" t="s">
        <v>235</v>
      </c>
    </row>
    <row r="121" spans="2:10" ht="15">
      <c r="B121" s="29" t="s">
        <v>243</v>
      </c>
      <c r="C121" s="29" t="s">
        <v>241</v>
      </c>
      <c r="D121" s="41">
        <f>COUNTIFS('UMUR 2021'!$U$3:$U$84,"&lt;10.00%",'UMUR 2021'!$AC$3:$AC$84,"="&amp;B121)</f>
        <v>0</v>
      </c>
      <c r="E121" s="41">
        <f>COUNTIFS('UMUR 2021'!$U$3:$U$84,"&gt;=10.00%",'UMUR 2021'!$U$3:$U$84,"&lt;20.00%",'UMUR 2021'!$AC$3:$AC$84,"="&amp;B121)</f>
        <v>0</v>
      </c>
      <c r="F121" s="41">
        <f>COUNTIFS('UMUR 2021'!$U$3:$U$84,"&gt;=20.00%",'UMUR 2021'!$U$3:$U$84,"&lt;30.00%",'UMUR 2021'!$AC$3:$AC$84,"="&amp;B121)</f>
        <v>21</v>
      </c>
      <c r="G121" s="41">
        <f>COUNTIFS('UMUR 2021'!$U$3:$U$84,"&gt;=30.00%",'UMUR 2021'!$U$3:$U$84,"&lt;40.00%",'UMUR 2021'!$AC$3:$AC$84,"="&amp;B121)</f>
        <v>24</v>
      </c>
      <c r="H121" s="41">
        <f>COUNTIFS('UMUR 2021'!$U$3:$U$84,"&gt;=40.00%",'UMUR 2021'!$U$3:$U$84,"&lt;50.00%",'UMUR 2021'!$AC$3:$AC$84,"="&amp;B121)</f>
        <v>2</v>
      </c>
      <c r="I121" s="41">
        <f>COUNTIFS('UMUR 2021'!$U$3:$U$84,"&gt;=50.00%",'UMUR 2021'!$AC$3:$AC$84,"="&amp;B121)</f>
        <v>0</v>
      </c>
      <c r="J121" s="63">
        <f>SUM(D121:I121)</f>
        <v>47</v>
      </c>
    </row>
    <row r="122" spans="2:10" ht="15">
      <c r="B122" s="29" t="s">
        <v>239</v>
      </c>
      <c r="C122" s="29" t="s">
        <v>241</v>
      </c>
      <c r="D122" s="41">
        <f>COUNTIFS('UMUR 2021'!$U$3:$U$84,"&lt;10.00%",'UMUR 2021'!$AC$3:$AC$84,"="&amp;B122)</f>
        <v>0</v>
      </c>
      <c r="E122" s="41">
        <f>COUNTIFS('UMUR 2021'!$U$3:$U$84,"&gt;=10.00%",'UMUR 2021'!$U$3:$U$84,"&lt;20.00%",'UMUR 2021'!$AC$3:$AC$84,"="&amp;B122)</f>
        <v>0</v>
      </c>
      <c r="F122" s="41">
        <f>COUNTIFS('UMUR 2021'!$U$3:$U$84,"&gt;=20.00%",'UMUR 2021'!$U$3:$U$84,"&lt;30.00%",'UMUR 2021'!$AC$3:$AC$84,"="&amp;B122)</f>
        <v>4</v>
      </c>
      <c r="G122" s="41">
        <f>COUNTIFS('UMUR 2021'!$U$3:$U$84,"&gt;=30.00%",'UMUR 2021'!$U$3:$U$84,"&lt;40.00%",'UMUR 2021'!$AC$3:$AC$84,"="&amp;B122)</f>
        <v>9</v>
      </c>
      <c r="H122" s="41">
        <f>COUNTIFS('UMUR 2021'!$U$3:$U$84,"&gt;=40.00%",'UMUR 2021'!$U$3:$U$84,"&lt;50.00%",'UMUR 2021'!$AC$3:$AC$84,"="&amp;B122)</f>
        <v>0</v>
      </c>
      <c r="I122" s="41">
        <f>COUNTIFS('UMUR 2021'!$U$3:$U$84,"&gt;=50.00%",'UMUR 2021'!$AC$3:$AC$84,"="&amp;B122)</f>
        <v>0</v>
      </c>
      <c r="J122" s="63">
        <f t="shared" ref="J122:J137" si="4">SUM(D122:I122)</f>
        <v>13</v>
      </c>
    </row>
    <row r="123" spans="2:10" ht="15">
      <c r="B123" s="29" t="s">
        <v>240</v>
      </c>
      <c r="C123" s="29" t="s">
        <v>241</v>
      </c>
      <c r="D123" s="41">
        <f>COUNTIFS('UMUR 2021'!$U$3:$U$84,"&lt;10.00%",'UMUR 2021'!$AC$3:$AC$84,"="&amp;B123)</f>
        <v>0</v>
      </c>
      <c r="E123" s="41">
        <f>COUNTIFS('UMUR 2021'!$U$3:$U$84,"&gt;=10.00%",'UMUR 2021'!$U$3:$U$84,"&lt;20.00%",'UMUR 2021'!$AC$3:$AC$84,"="&amp;B123)</f>
        <v>0</v>
      </c>
      <c r="F123" s="41">
        <f>COUNTIFS('UMUR 2021'!$U$3:$U$84,"&gt;=20.00%",'UMUR 2021'!$U$3:$U$84,"&lt;30.00%",'UMUR 2021'!$AC$3:$AC$84,"="&amp;B123)</f>
        <v>3</v>
      </c>
      <c r="G123" s="41">
        <f>COUNTIFS('UMUR 2021'!$U$3:$U$84,"&gt;=30.00%",'UMUR 2021'!$U$3:$U$84,"&lt;40.00%",'UMUR 2021'!$AC$3:$AC$84,"="&amp;B123)</f>
        <v>2</v>
      </c>
      <c r="H123" s="41">
        <f>COUNTIFS('UMUR 2021'!$U$3:$U$84,"&gt;=40.00%",'UMUR 2021'!$U$3:$U$84,"&lt;50.00%",'UMUR 2021'!$AC$3:$AC$84,"="&amp;B123)</f>
        <v>0</v>
      </c>
      <c r="I123" s="41">
        <f>COUNTIFS('UMUR 2021'!$U$3:$U$84,"&gt;=50.00%",'UMUR 2021'!$AC$3:$AC$84,"="&amp;B123)</f>
        <v>0</v>
      </c>
      <c r="J123" s="63">
        <f t="shared" si="4"/>
        <v>5</v>
      </c>
    </row>
    <row r="124" spans="2:10" ht="15">
      <c r="B124" s="29" t="s">
        <v>249</v>
      </c>
      <c r="C124" s="29" t="s">
        <v>241</v>
      </c>
      <c r="D124" s="41">
        <f>COUNTIFS('UMUR 2021'!$U$3:$U$84,"&lt;10.00%",'UMUR 2021'!$AC$3:$AC$84,"="&amp;B124)</f>
        <v>0</v>
      </c>
      <c r="E124" s="41">
        <f>COUNTIFS('UMUR 2021'!$U$3:$U$84,"&gt;=10.00%",'UMUR 2021'!$U$3:$U$84,"&lt;20.00%",'UMUR 2021'!$AC$3:$AC$84,"="&amp;B124)</f>
        <v>0</v>
      </c>
      <c r="F124" s="41">
        <f>COUNTIFS('UMUR 2021'!$U$3:$U$84,"&gt;=20.00%",'UMUR 2021'!$U$3:$U$84,"&lt;30.00%",'UMUR 2021'!$AC$3:$AC$84,"="&amp;B124)</f>
        <v>4</v>
      </c>
      <c r="G124" s="41">
        <f>COUNTIFS('UMUR 2021'!$U$3:$U$84,"&gt;=30.00%",'UMUR 2021'!$U$3:$U$84,"&lt;40.00%",'UMUR 2021'!$AC$3:$AC$84,"="&amp;B124)</f>
        <v>7</v>
      </c>
      <c r="H124" s="41">
        <f>COUNTIFS('UMUR 2021'!$U$3:$U$84,"&gt;=40.00%",'UMUR 2021'!$U$3:$U$84,"&lt;50.00%",'UMUR 2021'!$AC$3:$AC$84,"="&amp;B124)</f>
        <v>0</v>
      </c>
      <c r="I124" s="41">
        <f>COUNTIFS('UMUR 2021'!$U$3:$U$84,"&gt;=50.00%",'UMUR 2021'!$AC$3:$AC$84,"="&amp;B124)</f>
        <v>0</v>
      </c>
      <c r="J124" s="63">
        <f t="shared" si="4"/>
        <v>11</v>
      </c>
    </row>
    <row r="125" spans="2:10" ht="15">
      <c r="B125" s="29" t="s">
        <v>244</v>
      </c>
      <c r="C125" s="29" t="s">
        <v>245</v>
      </c>
      <c r="D125" s="41">
        <f>COUNTIFS('UMUR 2021'!$U$3:$U$84,"&lt;10.00%",'UMUR 2021'!$AC$3:$AC$84,"="&amp;B125)</f>
        <v>1</v>
      </c>
      <c r="E125" s="41">
        <f>COUNTIFS('UMUR 2021'!$U$3:$U$84,"&gt;=10.00%",'UMUR 2021'!$U$3:$U$84,"&lt;20.00%",'UMUR 2021'!$AC$3:$AC$84,"="&amp;B125)</f>
        <v>1</v>
      </c>
      <c r="F125" s="41">
        <f>COUNTIFS('UMUR 2021'!$U$3:$U$84,"&gt;=20.00%",'UMUR 2021'!$U$3:$U$84,"&lt;30.00%",'UMUR 2021'!$AC$3:$AC$84,"="&amp;B125)</f>
        <v>0</v>
      </c>
      <c r="G125" s="41">
        <f>COUNTIFS('UMUR 2021'!$U$3:$U$84,"&gt;=30.00%",'UMUR 2021'!$U$3:$U$84,"&lt;40.00%",'UMUR 2021'!$AC$3:$AC$84,"="&amp;B125)</f>
        <v>0</v>
      </c>
      <c r="H125" s="41">
        <f>COUNTIFS('UMUR 2021'!$U$3:$U$84,"&gt;=40.00%",'UMUR 2021'!$U$3:$U$84,"&lt;50.00%",'UMUR 2021'!$AC$3:$AC$84,"="&amp;B125)</f>
        <v>0</v>
      </c>
      <c r="I125" s="41">
        <f>COUNTIFS('UMUR 2021'!$U$3:$U$84,"&gt;=50.00%",'UMUR 2021'!$AC$3:$AC$84,"="&amp;B125)</f>
        <v>0</v>
      </c>
      <c r="J125" s="63">
        <f t="shared" si="4"/>
        <v>2</v>
      </c>
    </row>
    <row r="126" spans="2:10" ht="15">
      <c r="B126" s="29" t="s">
        <v>253</v>
      </c>
      <c r="C126" s="29" t="s">
        <v>245</v>
      </c>
      <c r="D126" s="41">
        <f>COUNTIFS('UMUR 2021'!$U$3:$U$84,"&lt;10.00%",'UMUR 2021'!$AC$3:$AC$84,"="&amp;B126)</f>
        <v>0</v>
      </c>
      <c r="E126" s="41">
        <f>COUNTIFS('UMUR 2021'!$U$3:$U$84,"&gt;=10.00%",'UMUR 2021'!$U$3:$U$84,"&lt;20.00%",'UMUR 2021'!$AC$3:$AC$84,"="&amp;B126)</f>
        <v>0</v>
      </c>
      <c r="F126" s="41">
        <f>COUNTIFS('UMUR 2021'!$U$3:$U$84,"&gt;=20.00%",'UMUR 2021'!$U$3:$U$84,"&lt;30.00%",'UMUR 2021'!$AC$3:$AC$84,"="&amp;B126)</f>
        <v>0</v>
      </c>
      <c r="G126" s="41">
        <f>COUNTIFS('UMUR 2021'!$U$3:$U$84,"&gt;=30.00%",'UMUR 2021'!$U$3:$U$84,"&lt;40.00%",'UMUR 2021'!$AC$3:$AC$84,"="&amp;B126)</f>
        <v>0</v>
      </c>
      <c r="H126" s="41">
        <f>COUNTIFS('UMUR 2021'!$U$3:$U$84,"&gt;=40.00%",'UMUR 2021'!$U$3:$U$84,"&lt;50.00%",'UMUR 2021'!$AC$3:$AC$84,"="&amp;B126)</f>
        <v>0</v>
      </c>
      <c r="I126" s="41">
        <f>COUNTIFS('UMUR 2021'!$U$3:$U$84,"&gt;=50.00%",'UMUR 2021'!$AC$3:$AC$84,"="&amp;B126)</f>
        <v>0</v>
      </c>
      <c r="J126" s="63">
        <f t="shared" si="4"/>
        <v>0</v>
      </c>
    </row>
    <row r="127" spans="2:10" ht="15">
      <c r="B127" s="29" t="s">
        <v>254</v>
      </c>
      <c r="C127" s="29" t="s">
        <v>245</v>
      </c>
      <c r="D127" s="41">
        <f>COUNTIFS('UMUR 2021'!$U$3:$U$84,"&lt;10.00%",'UMUR 2021'!$AC$3:$AC$84,"="&amp;B127)</f>
        <v>0</v>
      </c>
      <c r="E127" s="41">
        <f>COUNTIFS('UMUR 2021'!$U$3:$U$84,"&gt;=10.00%",'UMUR 2021'!$U$3:$U$84,"&lt;20.00%",'UMUR 2021'!$AC$3:$AC$84,"="&amp;B127)</f>
        <v>0</v>
      </c>
      <c r="F127" s="41">
        <f>COUNTIFS('UMUR 2021'!$U$3:$U$84,"&gt;=20.00%",'UMUR 2021'!$U$3:$U$84,"&lt;30.00%",'UMUR 2021'!$AC$3:$AC$84,"="&amp;B127)</f>
        <v>0</v>
      </c>
      <c r="G127" s="41">
        <f>COUNTIFS('UMUR 2021'!$U$3:$U$84,"&gt;=30.00%",'UMUR 2021'!$U$3:$U$84,"&lt;40.00%",'UMUR 2021'!$AC$3:$AC$84,"="&amp;B127)</f>
        <v>0</v>
      </c>
      <c r="H127" s="41">
        <f>COUNTIFS('UMUR 2021'!$U$3:$U$84,"&gt;=40.00%",'UMUR 2021'!$U$3:$U$84,"&lt;50.00%",'UMUR 2021'!$AC$3:$AC$84,"="&amp;B127)</f>
        <v>0</v>
      </c>
      <c r="I127" s="41">
        <f>COUNTIFS('UMUR 2021'!$U$3:$U$84,"&gt;=50.00%",'UMUR 2021'!$AC$3:$AC$84,"="&amp;B127)</f>
        <v>0</v>
      </c>
      <c r="J127" s="63">
        <f t="shared" si="4"/>
        <v>0</v>
      </c>
    </row>
    <row r="128" spans="2:10" ht="15">
      <c r="B128" s="29" t="s">
        <v>252</v>
      </c>
      <c r="C128" s="29" t="s">
        <v>252</v>
      </c>
      <c r="D128" s="41">
        <f>COUNTIFS('UMUR 2021'!$U$3:$U$84,"&lt;10.00%",'UMUR 2021'!$AC$3:$AC$84,"="&amp;B128)</f>
        <v>0</v>
      </c>
      <c r="E128" s="41">
        <f>COUNTIFS('UMUR 2021'!$U$3:$U$84,"&gt;=10.00%",'UMUR 2021'!$U$3:$U$84,"&lt;20.00%",'UMUR 2021'!$AC$3:$AC$84,"="&amp;B128)</f>
        <v>0</v>
      </c>
      <c r="F128" s="41">
        <f>COUNTIFS('UMUR 2021'!$U$3:$U$84,"&gt;=20.00%",'UMUR 2021'!$U$3:$U$84,"&lt;30.00%",'UMUR 2021'!$AC$3:$AC$84,"="&amp;B128)</f>
        <v>3</v>
      </c>
      <c r="G128" s="41">
        <f>COUNTIFS('UMUR 2021'!$U$3:$U$84,"&gt;=30.00%",'UMUR 2021'!$U$3:$U$84,"&lt;40.00%",'UMUR 2021'!$AC$3:$AC$84,"="&amp;B128)</f>
        <v>1</v>
      </c>
      <c r="H128" s="41">
        <f>COUNTIFS('UMUR 2021'!$U$3:$U$84,"&gt;=40.00%",'UMUR 2021'!$U$3:$U$84,"&lt;50.00%",'UMUR 2021'!$AC$3:$AC$84,"="&amp;B128)</f>
        <v>0</v>
      </c>
      <c r="I128" s="41">
        <f>COUNTIFS('UMUR 2021'!$U$3:$U$84,"&gt;=50.00%",'UMUR 2021'!$AC$3:$AC$84,"="&amp;B128)</f>
        <v>0</v>
      </c>
      <c r="J128" s="63">
        <f t="shared" si="4"/>
        <v>4</v>
      </c>
    </row>
    <row r="129" spans="2:10" ht="15">
      <c r="B129" s="29" t="s">
        <v>301</v>
      </c>
      <c r="C129" s="29" t="s">
        <v>279</v>
      </c>
      <c r="D129" s="41">
        <f>COUNTIFS('UMUR 2021'!$U$3:$U$84,"&lt;10.00%",'UMUR 2021'!$AC$3:$AC$84,"="&amp;B129)</f>
        <v>0</v>
      </c>
      <c r="E129" s="41">
        <f>COUNTIFS('UMUR 2021'!$U$3:$U$84,"&gt;=10.00%",'UMUR 2021'!$U$3:$U$84,"&lt;20.00%",'UMUR 2021'!$AC$3:$AC$84,"="&amp;B129)</f>
        <v>0</v>
      </c>
      <c r="F129" s="41">
        <f>COUNTIFS('UMUR 2021'!$U$3:$U$84,"&gt;=20.00%",'UMUR 2021'!$U$3:$U$84,"&lt;30.00%",'UMUR 2021'!$AC$3:$AC$84,"="&amp;B129)</f>
        <v>0</v>
      </c>
      <c r="G129" s="41">
        <f>COUNTIFS('UMUR 2021'!$U$3:$U$84,"&gt;=30.00%",'UMUR 2021'!$U$3:$U$84,"&lt;40.00%",'UMUR 2021'!$AC$3:$AC$84,"="&amp;B129)</f>
        <v>0</v>
      </c>
      <c r="H129" s="41">
        <f>COUNTIFS('UMUR 2021'!$U$3:$U$84,"&gt;=40.00%",'UMUR 2021'!$U$3:$U$84,"&lt;50.00%",'UMUR 2021'!$AC$3:$AC$84,"="&amp;B129)</f>
        <v>0</v>
      </c>
      <c r="I129" s="41">
        <f>COUNTIFS('UMUR 2021'!$U$3:$U$84,"&gt;=50.00%",'UMUR 2021'!$AC$3:$AC$84,"="&amp;B129)</f>
        <v>0</v>
      </c>
      <c r="J129" s="63">
        <f t="shared" si="4"/>
        <v>0</v>
      </c>
    </row>
    <row r="130" spans="2:10" ht="15">
      <c r="B130" s="29" t="s">
        <v>302</v>
      </c>
      <c r="C130" s="29" t="s">
        <v>279</v>
      </c>
      <c r="D130" s="41">
        <f>COUNTIFS('UMUR 2021'!$U$3:$U$84,"&lt;10.00%",'UMUR 2021'!$AC$3:$AC$84,"="&amp;B130)</f>
        <v>0</v>
      </c>
      <c r="E130" s="41">
        <f>COUNTIFS('UMUR 2021'!$U$3:$U$84,"&gt;=10.00%",'UMUR 2021'!$U$3:$U$84,"&lt;20.00%",'UMUR 2021'!$AC$3:$AC$84,"="&amp;B130)</f>
        <v>0</v>
      </c>
      <c r="F130" s="41">
        <f>COUNTIFS('UMUR 2021'!$U$3:$U$84,"&gt;=20.00%",'UMUR 2021'!$U$3:$U$84,"&lt;30.00%",'UMUR 2021'!$AC$3:$AC$84,"="&amp;B130)</f>
        <v>0</v>
      </c>
      <c r="G130" s="41">
        <f>COUNTIFS('UMUR 2021'!$U$3:$U$84,"&gt;=30.00%",'UMUR 2021'!$U$3:$U$84,"&lt;40.00%",'UMUR 2021'!$AC$3:$AC$84,"="&amp;B130)</f>
        <v>0</v>
      </c>
      <c r="H130" s="41">
        <f>COUNTIFS('UMUR 2021'!$U$3:$U$84,"&gt;=40.00%",'UMUR 2021'!$U$3:$U$84,"&lt;50.00%",'UMUR 2021'!$AC$3:$AC$84,"="&amp;B130)</f>
        <v>0</v>
      </c>
      <c r="I130" s="41">
        <f>COUNTIFS('UMUR 2021'!$U$3:$U$84,"&gt;=50.00%",'UMUR 2021'!$AC$3:$AC$84,"="&amp;B130)</f>
        <v>0</v>
      </c>
      <c r="J130" s="63">
        <f t="shared" si="4"/>
        <v>0</v>
      </c>
    </row>
    <row r="131" spans="2:10" ht="15">
      <c r="B131" s="29" t="s">
        <v>303</v>
      </c>
      <c r="C131" s="29" t="s">
        <v>279</v>
      </c>
      <c r="D131" s="41">
        <f>COUNTIFS('UMUR 2021'!$U$3:$U$84,"&lt;10.00%",'UMUR 2021'!$AC$3:$AC$84,"="&amp;B131)</f>
        <v>0</v>
      </c>
      <c r="E131" s="41">
        <f>COUNTIFS('UMUR 2021'!$U$3:$U$84,"&gt;=10.00%",'UMUR 2021'!$U$3:$U$84,"&lt;20.00%",'UMUR 2021'!$AC$3:$AC$84,"="&amp;B131)</f>
        <v>0</v>
      </c>
      <c r="F131" s="41">
        <f>COUNTIFS('UMUR 2021'!$U$3:$U$84,"&gt;=20.00%",'UMUR 2021'!$U$3:$U$84,"&lt;30.00%",'UMUR 2021'!$AC$3:$AC$84,"="&amp;B131)</f>
        <v>0</v>
      </c>
      <c r="G131" s="41">
        <f>COUNTIFS('UMUR 2021'!$U$3:$U$84,"&gt;=30.00%",'UMUR 2021'!$U$3:$U$84,"&lt;40.00%",'UMUR 2021'!$AC$3:$AC$84,"="&amp;B131)</f>
        <v>0</v>
      </c>
      <c r="H131" s="41">
        <f>COUNTIFS('UMUR 2021'!$U$3:$U$84,"&gt;=40.00%",'UMUR 2021'!$U$3:$U$84,"&lt;50.00%",'UMUR 2021'!$AC$3:$AC$84,"="&amp;B131)</f>
        <v>0</v>
      </c>
      <c r="I131" s="41">
        <f>COUNTIFS('UMUR 2021'!$U$3:$U$84,"&gt;=50.00%",'UMUR 2021'!$AC$3:$AC$84,"="&amp;B131)</f>
        <v>0</v>
      </c>
      <c r="J131" s="63">
        <f t="shared" si="4"/>
        <v>0</v>
      </c>
    </row>
    <row r="132" spans="2:10" ht="15">
      <c r="B132" s="29" t="s">
        <v>304</v>
      </c>
      <c r="C132" s="29" t="s">
        <v>279</v>
      </c>
      <c r="D132" s="41">
        <f>COUNTIFS('UMUR 2021'!$U$3:$U$84,"&lt;10.00%",'UMUR 2021'!$AC$3:$AC$84,"="&amp;B132)</f>
        <v>0</v>
      </c>
      <c r="E132" s="41">
        <f>COUNTIFS('UMUR 2021'!$U$3:$U$84,"&gt;=10.00%",'UMUR 2021'!$U$3:$U$84,"&lt;20.00%",'UMUR 2021'!$AC$3:$AC$84,"="&amp;B132)</f>
        <v>0</v>
      </c>
      <c r="F132" s="41">
        <f>COUNTIFS('UMUR 2021'!$U$3:$U$84,"&gt;=20.00%",'UMUR 2021'!$U$3:$U$84,"&lt;30.00%",'UMUR 2021'!$AC$3:$AC$84,"="&amp;B132)</f>
        <v>0</v>
      </c>
      <c r="G132" s="41">
        <f>COUNTIFS('UMUR 2021'!$U$3:$U$84,"&gt;=30.00%",'UMUR 2021'!$U$3:$U$84,"&lt;40.00%",'UMUR 2021'!$AC$3:$AC$84,"="&amp;B132)</f>
        <v>0</v>
      </c>
      <c r="H132" s="41">
        <f>COUNTIFS('UMUR 2021'!$U$3:$U$84,"&gt;=40.00%",'UMUR 2021'!$U$3:$U$84,"&lt;50.00%",'UMUR 2021'!$AC$3:$AC$84,"="&amp;B132)</f>
        <v>0</v>
      </c>
      <c r="I132" s="41">
        <f>COUNTIFS('UMUR 2021'!$U$3:$U$84,"&gt;=50.00%",'UMUR 2021'!$AC$3:$AC$84,"="&amp;B132)</f>
        <v>0</v>
      </c>
      <c r="J132" s="63">
        <f t="shared" si="4"/>
        <v>0</v>
      </c>
    </row>
    <row r="133" spans="2:10" ht="15">
      <c r="B133" s="29" t="s">
        <v>250</v>
      </c>
      <c r="C133" s="29" t="s">
        <v>246</v>
      </c>
      <c r="D133" s="41">
        <f>COUNTIFS('UMUR 2021'!$U$3:$U$84,"&lt;10.00%",'UMUR 2021'!$AC$3:$AC$84,"="&amp;B133)</f>
        <v>0</v>
      </c>
      <c r="E133" s="41">
        <f>COUNTIFS('UMUR 2021'!$U$3:$U$84,"&gt;=10.00%",'UMUR 2021'!$U$3:$U$84,"&lt;20.00%",'UMUR 2021'!$AC$3:$AC$84,"="&amp;B133)</f>
        <v>0</v>
      </c>
      <c r="F133" s="41">
        <f>COUNTIFS('UMUR 2021'!$U$3:$U$84,"&gt;=20.00%",'UMUR 2021'!$U$3:$U$84,"&lt;30.00%",'UMUR 2021'!$AC$3:$AC$84,"="&amp;B133)</f>
        <v>0</v>
      </c>
      <c r="G133" s="41">
        <f>COUNTIFS('UMUR 2021'!$U$3:$U$84,"&gt;=30.00%",'UMUR 2021'!$U$3:$U$84,"&lt;40.00%",'UMUR 2021'!$AC$3:$AC$84,"="&amp;B133)</f>
        <v>0</v>
      </c>
      <c r="H133" s="41">
        <f>COUNTIFS('UMUR 2021'!$U$3:$U$84,"&gt;=40.00%",'UMUR 2021'!$U$3:$U$84,"&lt;50.00%",'UMUR 2021'!$AC$3:$AC$84,"="&amp;B133)</f>
        <v>0</v>
      </c>
      <c r="I133" s="41">
        <f>COUNTIFS('UMUR 2021'!$U$3:$U$84,"&gt;=50.00%",'UMUR 2021'!$AC$3:$AC$84,"="&amp;B133)</f>
        <v>0</v>
      </c>
      <c r="J133" s="63">
        <f t="shared" si="4"/>
        <v>0</v>
      </c>
    </row>
    <row r="134" spans="2:10" ht="15">
      <c r="B134" s="29" t="s">
        <v>248</v>
      </c>
      <c r="C134" s="29" t="s">
        <v>246</v>
      </c>
      <c r="D134" s="41">
        <f>COUNTIFS('UMUR 2021'!$U$3:$U$84,"&lt;10.00%",'UMUR 2021'!$AC$3:$AC$84,"="&amp;B134)</f>
        <v>0</v>
      </c>
      <c r="E134" s="41">
        <f>COUNTIFS('UMUR 2021'!$U$3:$U$84,"&gt;=10.00%",'UMUR 2021'!$U$3:$U$84,"&lt;20.00%",'UMUR 2021'!$AC$3:$AC$84,"="&amp;B134)</f>
        <v>0</v>
      </c>
      <c r="F134" s="41">
        <f>COUNTIFS('UMUR 2021'!$U$3:$U$84,"&gt;=20.00%",'UMUR 2021'!$U$3:$U$84,"&lt;30.00%",'UMUR 2021'!$AC$3:$AC$84,"="&amp;B134)</f>
        <v>0</v>
      </c>
      <c r="G134" s="41">
        <f>COUNTIFS('UMUR 2021'!$U$3:$U$84,"&gt;=30.00%",'UMUR 2021'!$U$3:$U$84,"&lt;40.00%",'UMUR 2021'!$AC$3:$AC$84,"="&amp;B134)</f>
        <v>0</v>
      </c>
      <c r="H134" s="41">
        <f>COUNTIFS('UMUR 2021'!$U$3:$U$84,"&gt;=40.00%",'UMUR 2021'!$U$3:$U$84,"&lt;50.00%",'UMUR 2021'!$AC$3:$AC$84,"="&amp;B134)</f>
        <v>0</v>
      </c>
      <c r="I134" s="41">
        <f>COUNTIFS('UMUR 2021'!$U$3:$U$84,"&gt;=50.00%",'UMUR 2021'!$AC$3:$AC$84,"="&amp;B134)</f>
        <v>0</v>
      </c>
      <c r="J134" s="63">
        <f t="shared" si="4"/>
        <v>0</v>
      </c>
    </row>
    <row r="135" spans="2:10" ht="15">
      <c r="B135" s="29" t="s">
        <v>305</v>
      </c>
      <c r="C135" s="29" t="s">
        <v>305</v>
      </c>
      <c r="D135" s="41">
        <f>COUNTIFS('UMUR 2021'!$U$3:$U$84,"&lt;10.00%",'UMUR 2021'!$AC$3:$AC$84,"="&amp;B135)</f>
        <v>0</v>
      </c>
      <c r="E135" s="41">
        <f>COUNTIFS('UMUR 2021'!$U$3:$U$84,"&gt;=10.00%",'UMUR 2021'!$U$3:$U$84,"&lt;20.00%",'UMUR 2021'!$AC$3:$AC$84,"="&amp;B135)</f>
        <v>0</v>
      </c>
      <c r="F135" s="41">
        <f>COUNTIFS('UMUR 2021'!$U$3:$U$84,"&gt;=20.00%",'UMUR 2021'!$U$3:$U$84,"&lt;30.00%",'UMUR 2021'!$AC$3:$AC$84,"="&amp;B135)</f>
        <v>0</v>
      </c>
      <c r="G135" s="41">
        <f>COUNTIFS('UMUR 2021'!$U$3:$U$84,"&gt;=30.00%",'UMUR 2021'!$U$3:$U$84,"&lt;40.00%",'UMUR 2021'!$AC$3:$AC$84,"="&amp;B135)</f>
        <v>0</v>
      </c>
      <c r="H135" s="41">
        <f>COUNTIFS('UMUR 2021'!$U$3:$U$84,"&gt;=40.00%",'UMUR 2021'!$U$3:$U$84,"&lt;50.00%",'UMUR 2021'!$AC$3:$AC$84,"="&amp;B135)</f>
        <v>0</v>
      </c>
      <c r="I135" s="41">
        <f>COUNTIFS('UMUR 2021'!$U$3:$U$84,"&gt;=50.00%",'UMUR 2021'!$AC$3:$AC$84,"="&amp;B135)</f>
        <v>0</v>
      </c>
      <c r="J135" s="63">
        <f t="shared" si="4"/>
        <v>0</v>
      </c>
    </row>
    <row r="136" spans="2:10" ht="15">
      <c r="B136" s="29" t="s">
        <v>306</v>
      </c>
      <c r="C136" s="29" t="s">
        <v>306</v>
      </c>
      <c r="D136" s="41">
        <f>COUNTIFS('UMUR 2021'!$U$3:$U$84,"&lt;10.00%",'UMUR 2021'!$AC$3:$AC$84,"="&amp;B136)</f>
        <v>0</v>
      </c>
      <c r="E136" s="41">
        <f>COUNTIFS('UMUR 2021'!$U$3:$U$84,"&gt;=10.00%",'UMUR 2021'!$U$3:$U$84,"&lt;20.00%",'UMUR 2021'!$AC$3:$AC$84,"="&amp;B136)</f>
        <v>0</v>
      </c>
      <c r="F136" s="41">
        <f>COUNTIFS('UMUR 2021'!$U$3:$U$84,"&gt;=20.00%",'UMUR 2021'!$U$3:$U$84,"&lt;30.00%",'UMUR 2021'!$AC$3:$AC$84,"="&amp;B136)</f>
        <v>0</v>
      </c>
      <c r="G136" s="41">
        <f>COUNTIFS('UMUR 2021'!$U$3:$U$84,"&gt;=30.00%",'UMUR 2021'!$U$3:$U$84,"&lt;40.00%",'UMUR 2021'!$AC$3:$AC$84,"="&amp;B136)</f>
        <v>0</v>
      </c>
      <c r="H136" s="41">
        <f>COUNTIFS('UMUR 2021'!$U$3:$U$84,"&gt;=40.00%",'UMUR 2021'!$U$3:$U$84,"&lt;50.00%",'UMUR 2021'!$AC$3:$AC$84,"="&amp;B136)</f>
        <v>0</v>
      </c>
      <c r="I136" s="41">
        <f>COUNTIFS('UMUR 2021'!$U$3:$U$84,"&gt;=50.00%",'UMUR 2021'!$AC$3:$AC$84,"="&amp;B136)</f>
        <v>0</v>
      </c>
      <c r="J136" s="63">
        <f t="shared" si="4"/>
        <v>0</v>
      </c>
    </row>
    <row r="137" spans="2:10" ht="15">
      <c r="B137" s="29" t="s">
        <v>251</v>
      </c>
      <c r="C137" s="29" t="s">
        <v>251</v>
      </c>
      <c r="D137" s="41">
        <f>COUNTIFS('UMUR 2021'!$U$3:$U$84,"&lt;10.00%",'UMUR 2021'!$AC$3:$AC$84,"="&amp;B137)</f>
        <v>0</v>
      </c>
      <c r="E137" s="41">
        <f>COUNTIFS('UMUR 2021'!$U$3:$U$84,"&gt;=10.00%",'UMUR 2021'!$U$3:$U$84,"&lt;20.00%",'UMUR 2021'!$AC$3:$AC$84,"="&amp;B137)</f>
        <v>0</v>
      </c>
      <c r="F137" s="41">
        <f>COUNTIFS('UMUR 2021'!$U$3:$U$84,"&gt;=20.00%",'UMUR 2021'!$U$3:$U$84,"&lt;30.00%",'UMUR 2021'!$AC$3:$AC$84,"="&amp;B137)</f>
        <v>0</v>
      </c>
      <c r="G137" s="41">
        <f>COUNTIFS('UMUR 2021'!$U$3:$U$84,"&gt;=30.00%",'UMUR 2021'!$U$3:$U$84,"&lt;40.00%",'UMUR 2021'!$AC$3:$AC$84,"="&amp;B137)</f>
        <v>0</v>
      </c>
      <c r="H137" s="41">
        <f>COUNTIFS('UMUR 2021'!$U$3:$U$84,"&gt;=40.00%",'UMUR 2021'!$U$3:$U$84,"&lt;50.00%",'UMUR 2021'!$AC$3:$AC$84,"="&amp;B137)</f>
        <v>0</v>
      </c>
      <c r="I137" s="41">
        <f>COUNTIFS('UMUR 2021'!$U$3:$U$84,"&gt;=50.00%",'UMUR 2021'!$AC$3:$AC$84,"="&amp;B137)</f>
        <v>0</v>
      </c>
      <c r="J137" s="63">
        <f t="shared" si="4"/>
        <v>0</v>
      </c>
    </row>
    <row r="139" spans="2:10" ht="15">
      <c r="I139" s="70" t="s">
        <v>235</v>
      </c>
      <c r="J139" s="63">
        <f>SUM(J121:J137)</f>
        <v>82</v>
      </c>
    </row>
    <row r="145" spans="2:10">
      <c r="B145" s="89" t="s">
        <v>351</v>
      </c>
      <c r="C145" s="89"/>
      <c r="D145" s="89"/>
      <c r="E145" s="89"/>
      <c r="F145" s="89"/>
      <c r="G145" s="89"/>
      <c r="H145" s="89"/>
      <c r="I145" s="89"/>
      <c r="J145" s="89"/>
    </row>
    <row r="146" spans="2:10">
      <c r="B146" s="89"/>
      <c r="C146" s="89"/>
      <c r="D146" s="89"/>
      <c r="E146" s="89"/>
      <c r="F146" s="89"/>
      <c r="G146" s="89"/>
      <c r="H146" s="89"/>
      <c r="I146" s="89"/>
      <c r="J146" s="89"/>
    </row>
    <row r="148" spans="2:10" ht="15">
      <c r="B148" s="26" t="s">
        <v>236</v>
      </c>
      <c r="C148" s="26" t="s">
        <v>237</v>
      </c>
      <c r="D148" s="29" t="s">
        <v>316</v>
      </c>
      <c r="E148" s="29" t="s">
        <v>317</v>
      </c>
      <c r="F148" s="29" t="s">
        <v>318</v>
      </c>
      <c r="G148" s="29" t="s">
        <v>319</v>
      </c>
      <c r="H148" s="29" t="s">
        <v>320</v>
      </c>
      <c r="I148" s="29" t="s">
        <v>321</v>
      </c>
      <c r="J148" s="71" t="s">
        <v>235</v>
      </c>
    </row>
    <row r="149" spans="2:10" ht="15">
      <c r="B149" s="29" t="s">
        <v>243</v>
      </c>
      <c r="C149" s="29" t="s">
        <v>241</v>
      </c>
      <c r="D149" s="41">
        <f>COUNTIFS('UMUR 2021'!$U$3:$U$84,"&lt;10.00%",'UMUR 2021'!$AG$3:$AG$84,"="&amp;B149)</f>
        <v>0</v>
      </c>
      <c r="E149" s="41">
        <f>COUNTIFS('UMUR 2021'!$U$3:$U$84,"&gt;=10.00%",'UMUR 2021'!$U$3:$U$84,"&lt;20.00%",'UMUR 2021'!$AG$3:$AG$84,"="&amp;B149)</f>
        <v>0</v>
      </c>
      <c r="F149" s="41">
        <f>COUNTIFS('UMUR 2021'!$U$3:$U$84,"&gt;=20.00%",'UMUR 2021'!$U$3:$U$84,"&lt;30.00%",'UMUR 2021'!$AG$3:$AG$84,"="&amp;B149)</f>
        <v>0</v>
      </c>
      <c r="G149" s="41">
        <f>COUNTIFS('UMUR 2021'!$U$3:$U$84,"&gt;=30.00%",'UMUR 2021'!$U$3:$U$84,"&lt;40.00%",'UMUR 2021'!$AG$3:$AG$84,"="&amp;B149)</f>
        <v>0</v>
      </c>
      <c r="H149" s="41">
        <f>COUNTIFS('UMUR 2021'!$U$3:$U$84,"&gt;=40.00%",'UMUR 2021'!$U$3:$U$84,"&lt;50.00%",'UMUR 2021'!$AG$3:$AG$84,"="&amp;B149)</f>
        <v>0</v>
      </c>
      <c r="I149" s="41">
        <f>COUNTIFS('UMUR 2021'!$U$3:$U$84,"&gt;=50.00%",'UMUR 2021'!$AG$3:$AG$84,"="&amp;B149)</f>
        <v>0</v>
      </c>
      <c r="J149" s="63">
        <f>SUM(D149:I149)</f>
        <v>0</v>
      </c>
    </row>
    <row r="150" spans="2:10" ht="15">
      <c r="B150" s="29" t="s">
        <v>239</v>
      </c>
      <c r="C150" s="29" t="s">
        <v>241</v>
      </c>
      <c r="D150" s="41">
        <f>COUNTIFS('UMUR 2021'!$U$3:$U$84,"&lt;10.00%",'UMUR 2021'!$AG$3:$AG$84,"="&amp;B150)</f>
        <v>1</v>
      </c>
      <c r="E150" s="41">
        <f>COUNTIFS('UMUR 2021'!$U$3:$U$84,"&gt;=10.00%",'UMUR 2021'!$U$3:$U$84,"&lt;20.00%",'UMUR 2021'!$AG$3:$AG$84,"="&amp;B150)</f>
        <v>1</v>
      </c>
      <c r="F150" s="41">
        <f>COUNTIFS('UMUR 2021'!$U$3:$U$84,"&gt;=20.00%",'UMUR 2021'!$U$3:$U$84,"&lt;30.00%",'UMUR 2021'!$AG$3:$AG$84,"="&amp;B150)</f>
        <v>3</v>
      </c>
      <c r="G150" s="41">
        <f>COUNTIFS('UMUR 2021'!$U$3:$U$84,"&gt;=30.00%",'UMUR 2021'!$U$3:$U$84,"&lt;40.00%",'UMUR 2021'!$AG$3:$AG$84,"="&amp;B150)</f>
        <v>0</v>
      </c>
      <c r="H150" s="41">
        <f>COUNTIFS('UMUR 2021'!$U$3:$U$84,"&gt;=40.00%",'UMUR 2021'!$U$3:$U$84,"&lt;50.00%",'UMUR 2021'!$AG$3:$AG$84,"="&amp;B150)</f>
        <v>0</v>
      </c>
      <c r="I150" s="41">
        <f>COUNTIFS('UMUR 2021'!$U$3:$U$84,"&gt;=50.00%",'UMUR 2021'!$AG$3:$AG$84,"="&amp;B150)</f>
        <v>0</v>
      </c>
      <c r="J150" s="63">
        <f t="shared" ref="J150:J165" si="5">SUM(D150:I150)</f>
        <v>5</v>
      </c>
    </row>
    <row r="151" spans="2:10" ht="15">
      <c r="B151" s="29" t="s">
        <v>240</v>
      </c>
      <c r="C151" s="29" t="s">
        <v>241</v>
      </c>
      <c r="D151" s="41">
        <f>COUNTIFS('UMUR 2021'!$U$3:$U$84,"&lt;10.00%",'UMUR 2021'!$AG$3:$AG$84,"="&amp;B151)</f>
        <v>0</v>
      </c>
      <c r="E151" s="41">
        <f>COUNTIFS('UMUR 2021'!$U$3:$U$84,"&gt;=10.00%",'UMUR 2021'!$U$3:$U$84,"&lt;20.00%",'UMUR 2021'!$AG$3:$AG$84,"="&amp;B151)</f>
        <v>0</v>
      </c>
      <c r="F151" s="41">
        <f>COUNTIFS('UMUR 2021'!$U$3:$U$84,"&gt;=20.00%",'UMUR 2021'!$U$3:$U$84,"&lt;30.00%",'UMUR 2021'!$AG$3:$AG$84,"="&amp;B151)</f>
        <v>0</v>
      </c>
      <c r="G151" s="41">
        <f>COUNTIFS('UMUR 2021'!$U$3:$U$84,"&gt;=30.00%",'UMUR 2021'!$U$3:$U$84,"&lt;40.00%",'UMUR 2021'!$AG$3:$AG$84,"="&amp;B151)</f>
        <v>1</v>
      </c>
      <c r="H151" s="41">
        <f>COUNTIFS('UMUR 2021'!$U$3:$U$84,"&gt;=40.00%",'UMUR 2021'!$U$3:$U$84,"&lt;50.00%",'UMUR 2021'!$AG$3:$AG$84,"="&amp;B151)</f>
        <v>0</v>
      </c>
      <c r="I151" s="41">
        <f>COUNTIFS('UMUR 2021'!$U$3:$U$84,"&gt;=50.00%",'UMUR 2021'!$AG$3:$AG$84,"="&amp;B151)</f>
        <v>0</v>
      </c>
      <c r="J151" s="63">
        <f t="shared" si="5"/>
        <v>1</v>
      </c>
    </row>
    <row r="152" spans="2:10" ht="15">
      <c r="B152" s="29" t="s">
        <v>249</v>
      </c>
      <c r="C152" s="29" t="s">
        <v>241</v>
      </c>
      <c r="D152" s="41">
        <f>COUNTIFS('UMUR 2021'!$U$3:$U$84,"&lt;10.00%",'UMUR 2021'!$AG$3:$AG$84,"="&amp;B152)</f>
        <v>0</v>
      </c>
      <c r="E152" s="41">
        <f>COUNTIFS('UMUR 2021'!$U$3:$U$84,"&gt;=10.00%",'UMUR 2021'!$U$3:$U$84,"&lt;20.00%",'UMUR 2021'!$AG$3:$AG$84,"="&amp;B152)</f>
        <v>0</v>
      </c>
      <c r="F152" s="41">
        <f>COUNTIFS('UMUR 2021'!$U$3:$U$84,"&gt;=20.00%",'UMUR 2021'!$U$3:$U$84,"&lt;30.00%",'UMUR 2021'!$AG$3:$AG$84,"="&amp;B152)</f>
        <v>0</v>
      </c>
      <c r="G152" s="41">
        <f>COUNTIFS('UMUR 2021'!$U$3:$U$84,"&gt;=30.00%",'UMUR 2021'!$U$3:$U$84,"&lt;40.00%",'UMUR 2021'!$AG$3:$AG$84,"="&amp;B152)</f>
        <v>0</v>
      </c>
      <c r="H152" s="41">
        <f>COUNTIFS('UMUR 2021'!$U$3:$U$84,"&gt;=40.00%",'UMUR 2021'!$U$3:$U$84,"&lt;50.00%",'UMUR 2021'!$AG$3:$AG$84,"="&amp;B152)</f>
        <v>0</v>
      </c>
      <c r="I152" s="41">
        <f>COUNTIFS('UMUR 2021'!$U$3:$U$84,"&gt;=50.00%",'UMUR 2021'!$AG$3:$AG$84,"="&amp;B152)</f>
        <v>0</v>
      </c>
      <c r="J152" s="63">
        <f t="shared" si="5"/>
        <v>0</v>
      </c>
    </row>
    <row r="153" spans="2:10" ht="15">
      <c r="B153" s="29" t="s">
        <v>244</v>
      </c>
      <c r="C153" s="29" t="s">
        <v>245</v>
      </c>
      <c r="D153" s="41">
        <f>COUNTIFS('UMUR 2021'!$U$3:$U$84,"&lt;10.00%",'UMUR 2021'!$AG$3:$AG$84,"="&amp;B153)</f>
        <v>0</v>
      </c>
      <c r="E153" s="41">
        <f>COUNTIFS('UMUR 2021'!$U$3:$U$84,"&gt;=10.00%",'UMUR 2021'!$U$3:$U$84,"&lt;20.00%",'UMUR 2021'!$AG$3:$AG$84,"="&amp;B153)</f>
        <v>0</v>
      </c>
      <c r="F153" s="41">
        <f>COUNTIFS('UMUR 2021'!$U$3:$U$84,"&gt;=20.00%",'UMUR 2021'!$U$3:$U$84,"&lt;30.00%",'UMUR 2021'!$AG$3:$AG$84,"="&amp;B153)</f>
        <v>3</v>
      </c>
      <c r="G153" s="41">
        <f>COUNTIFS('UMUR 2021'!$U$3:$U$84,"&gt;=30.00%",'UMUR 2021'!$U$3:$U$84,"&lt;40.00%",'UMUR 2021'!$AG$3:$AG$84,"="&amp;B153)</f>
        <v>9</v>
      </c>
      <c r="H153" s="41">
        <f>COUNTIFS('UMUR 2021'!$U$3:$U$84,"&gt;=40.00%",'UMUR 2021'!$U$3:$U$84,"&lt;50.00%",'UMUR 2021'!$AG$3:$AG$84,"="&amp;B153)</f>
        <v>0</v>
      </c>
      <c r="I153" s="41">
        <f>COUNTIFS('UMUR 2021'!$U$3:$U$84,"&gt;=50.00%",'UMUR 2021'!$AG$3:$AG$84,"="&amp;B153)</f>
        <v>0</v>
      </c>
      <c r="J153" s="63">
        <f t="shared" si="5"/>
        <v>12</v>
      </c>
    </row>
    <row r="154" spans="2:10" ht="15">
      <c r="B154" s="29" t="s">
        <v>253</v>
      </c>
      <c r="C154" s="29" t="s">
        <v>245</v>
      </c>
      <c r="D154" s="41">
        <f>COUNTIFS('UMUR 2021'!$U$3:$U$84,"&lt;10.00%",'UMUR 2021'!$AG$3:$AG$84,"="&amp;B154)</f>
        <v>0</v>
      </c>
      <c r="E154" s="41">
        <f>COUNTIFS('UMUR 2021'!$U$3:$U$84,"&gt;=10.00%",'UMUR 2021'!$U$3:$U$84,"&lt;20.00%",'UMUR 2021'!$AG$3:$AG$84,"="&amp;B154)</f>
        <v>0</v>
      </c>
      <c r="F154" s="41">
        <f>COUNTIFS('UMUR 2021'!$U$3:$U$84,"&gt;=20.00%",'UMUR 2021'!$U$3:$U$84,"&lt;30.00%",'UMUR 2021'!$AG$3:$AG$84,"="&amp;B154)</f>
        <v>2</v>
      </c>
      <c r="G154" s="41">
        <f>COUNTIFS('UMUR 2021'!$U$3:$U$84,"&gt;=30.00%",'UMUR 2021'!$U$3:$U$84,"&lt;40.00%",'UMUR 2021'!$AG$3:$AG$84,"="&amp;B154)</f>
        <v>2</v>
      </c>
      <c r="H154" s="41">
        <f>COUNTIFS('UMUR 2021'!$U$3:$U$84,"&gt;=40.00%",'UMUR 2021'!$U$3:$U$84,"&lt;50.00%",'UMUR 2021'!$AG$3:$AG$84,"="&amp;B154)</f>
        <v>0</v>
      </c>
      <c r="I154" s="41">
        <f>COUNTIFS('UMUR 2021'!$U$3:$U$84,"&gt;=50.00%",'UMUR 2021'!$AG$3:$AG$84,"="&amp;B154)</f>
        <v>0</v>
      </c>
      <c r="J154" s="63">
        <f t="shared" si="5"/>
        <v>4</v>
      </c>
    </row>
    <row r="155" spans="2:10" ht="15">
      <c r="B155" s="29" t="s">
        <v>254</v>
      </c>
      <c r="C155" s="29" t="s">
        <v>245</v>
      </c>
      <c r="D155" s="41">
        <f>COUNTIFS('UMUR 2021'!$U$3:$U$84,"&lt;10.00%",'UMUR 2021'!$AG$3:$AG$84,"="&amp;B155)</f>
        <v>0</v>
      </c>
      <c r="E155" s="41">
        <f>COUNTIFS('UMUR 2021'!$U$3:$U$84,"&gt;=10.00%",'UMUR 2021'!$U$3:$U$84,"&lt;20.00%",'UMUR 2021'!$AG$3:$AG$84,"="&amp;B155)</f>
        <v>0</v>
      </c>
      <c r="F155" s="41">
        <f>COUNTIFS('UMUR 2021'!$U$3:$U$84,"&gt;=20.00%",'UMUR 2021'!$U$3:$U$84,"&lt;30.00%",'UMUR 2021'!$AG$3:$AG$84,"="&amp;B155)</f>
        <v>1</v>
      </c>
      <c r="G155" s="41">
        <f>COUNTIFS('UMUR 2021'!$U$3:$U$84,"&gt;=30.00%",'UMUR 2021'!$U$3:$U$84,"&lt;40.00%",'UMUR 2021'!$AG$3:$AG$84,"="&amp;B155)</f>
        <v>1</v>
      </c>
      <c r="H155" s="41">
        <f>COUNTIFS('UMUR 2021'!$U$3:$U$84,"&gt;=40.00%",'UMUR 2021'!$U$3:$U$84,"&lt;50.00%",'UMUR 2021'!$AG$3:$AG$84,"="&amp;B155)</f>
        <v>0</v>
      </c>
      <c r="I155" s="41">
        <f>COUNTIFS('UMUR 2021'!$U$3:$U$84,"&gt;=50.00%",'UMUR 2021'!$AG$3:$AG$84,"="&amp;B155)</f>
        <v>0</v>
      </c>
      <c r="J155" s="63">
        <f t="shared" si="5"/>
        <v>2</v>
      </c>
    </row>
    <row r="156" spans="2:10" ht="15">
      <c r="B156" s="29" t="s">
        <v>252</v>
      </c>
      <c r="C156" s="29" t="s">
        <v>252</v>
      </c>
      <c r="D156" s="41">
        <f>COUNTIFS('UMUR 2021'!$U$3:$U$84,"&lt;10.00%",'UMUR 2021'!$AG$3:$AG$84,"="&amp;B156)</f>
        <v>0</v>
      </c>
      <c r="E156" s="41">
        <f>COUNTIFS('UMUR 2021'!$U$3:$U$84,"&gt;=10.00%",'UMUR 2021'!$U$3:$U$84,"&lt;20.00%",'UMUR 2021'!$AG$3:$AG$84,"="&amp;B156)</f>
        <v>0</v>
      </c>
      <c r="F156" s="41">
        <f>COUNTIFS('UMUR 2021'!$U$3:$U$84,"&gt;=20.00%",'UMUR 2021'!$U$3:$U$84,"&lt;30.00%",'UMUR 2021'!$AG$3:$AG$84,"="&amp;B156)</f>
        <v>24</v>
      </c>
      <c r="G156" s="41">
        <f>COUNTIFS('UMUR 2021'!$U$3:$U$84,"&gt;=30.00%",'UMUR 2021'!$U$3:$U$84,"&lt;40.00%",'UMUR 2021'!$AG$3:$AG$84,"="&amp;B156)</f>
        <v>23</v>
      </c>
      <c r="H156" s="41">
        <f>COUNTIFS('UMUR 2021'!$U$3:$U$84,"&gt;=40.00%",'UMUR 2021'!$U$3:$U$84,"&lt;50.00%",'UMUR 2021'!$AG$3:$AG$84,"="&amp;B156)</f>
        <v>2</v>
      </c>
      <c r="I156" s="41">
        <f>COUNTIFS('UMUR 2021'!$U$3:$U$84,"&gt;=50.00%",'UMUR 2021'!$AG$3:$AG$84,"="&amp;B156)</f>
        <v>0</v>
      </c>
      <c r="J156" s="63">
        <f t="shared" si="5"/>
        <v>49</v>
      </c>
    </row>
    <row r="157" spans="2:10" ht="15">
      <c r="B157" s="29" t="s">
        <v>301</v>
      </c>
      <c r="C157" s="29" t="s">
        <v>279</v>
      </c>
      <c r="D157" s="41">
        <f>COUNTIFS('UMUR 2021'!$U$3:$U$84,"&lt;10.00%",'UMUR 2021'!$AG$3:$AG$84,"="&amp;B157)</f>
        <v>0</v>
      </c>
      <c r="E157" s="41">
        <f>COUNTIFS('UMUR 2021'!$U$3:$U$84,"&gt;=10.00%",'UMUR 2021'!$U$3:$U$84,"&lt;20.00%",'UMUR 2021'!$AG$3:$AG$84,"="&amp;B157)</f>
        <v>0</v>
      </c>
      <c r="F157" s="41">
        <f>COUNTIFS('UMUR 2021'!$U$3:$U$84,"&gt;=20.00%",'UMUR 2021'!$U$3:$U$84,"&lt;30.00%",'UMUR 2021'!$AG$3:$AG$84,"="&amp;B157)</f>
        <v>1</v>
      </c>
      <c r="G157" s="41">
        <f>COUNTIFS('UMUR 2021'!$U$3:$U$84,"&gt;=30.00%",'UMUR 2021'!$U$3:$U$84,"&lt;40.00%",'UMUR 2021'!$AG$3:$AG$84,"="&amp;B157)</f>
        <v>1</v>
      </c>
      <c r="H157" s="41">
        <f>COUNTIFS('UMUR 2021'!$U$3:$U$84,"&gt;=40.00%",'UMUR 2021'!$U$3:$U$84,"&lt;50.00%",'UMUR 2021'!$AG$3:$AG$84,"="&amp;B157)</f>
        <v>0</v>
      </c>
      <c r="I157" s="41">
        <f>COUNTIFS('UMUR 2021'!$U$3:$U$84,"&gt;=50.00%",'UMUR 2021'!$AG$3:$AG$84,"="&amp;B157)</f>
        <v>0</v>
      </c>
      <c r="J157" s="63">
        <f t="shared" si="5"/>
        <v>2</v>
      </c>
    </row>
    <row r="158" spans="2:10" ht="15">
      <c r="B158" s="29" t="s">
        <v>302</v>
      </c>
      <c r="C158" s="29" t="s">
        <v>279</v>
      </c>
      <c r="D158" s="41">
        <f>COUNTIFS('UMUR 2021'!$U$3:$U$84,"&lt;10.00%",'UMUR 2021'!$AG$3:$AG$84,"="&amp;B158)</f>
        <v>0</v>
      </c>
      <c r="E158" s="41">
        <f>COUNTIFS('UMUR 2021'!$U$3:$U$84,"&gt;=10.00%",'UMUR 2021'!$U$3:$U$84,"&lt;20.00%",'UMUR 2021'!$AG$3:$AG$84,"="&amp;B158)</f>
        <v>0</v>
      </c>
      <c r="F158" s="41">
        <f>COUNTIFS('UMUR 2021'!$U$3:$U$84,"&gt;=20.00%",'UMUR 2021'!$U$3:$U$84,"&lt;30.00%",'UMUR 2021'!$AG$3:$AG$84,"="&amp;B158)</f>
        <v>0</v>
      </c>
      <c r="G158" s="41">
        <f>COUNTIFS('UMUR 2021'!$U$3:$U$84,"&gt;=30.00%",'UMUR 2021'!$U$3:$U$84,"&lt;40.00%",'UMUR 2021'!$AG$3:$AG$84,"="&amp;B158)</f>
        <v>0</v>
      </c>
      <c r="H158" s="41">
        <f>COUNTIFS('UMUR 2021'!$U$3:$U$84,"&gt;=40.00%",'UMUR 2021'!$U$3:$U$84,"&lt;50.00%",'UMUR 2021'!$AG$3:$AG$84,"="&amp;B158)</f>
        <v>0</v>
      </c>
      <c r="I158" s="41">
        <f>COUNTIFS('UMUR 2021'!$U$3:$U$84,"&gt;=50.00%",'UMUR 2021'!$AG$3:$AG$84,"="&amp;B158)</f>
        <v>0</v>
      </c>
      <c r="J158" s="63">
        <f t="shared" si="5"/>
        <v>0</v>
      </c>
    </row>
    <row r="159" spans="2:10" ht="15">
      <c r="B159" s="29" t="s">
        <v>303</v>
      </c>
      <c r="C159" s="29" t="s">
        <v>279</v>
      </c>
      <c r="D159" s="41">
        <f>COUNTIFS('UMUR 2021'!$U$3:$U$84,"&lt;10.00%",'UMUR 2021'!$AG$3:$AG$84,"="&amp;B159)</f>
        <v>0</v>
      </c>
      <c r="E159" s="41">
        <f>COUNTIFS('UMUR 2021'!$U$3:$U$84,"&gt;=10.00%",'UMUR 2021'!$U$3:$U$84,"&lt;20.00%",'UMUR 2021'!$AG$3:$AG$84,"="&amp;B159)</f>
        <v>0</v>
      </c>
      <c r="F159" s="41">
        <f>COUNTIFS('UMUR 2021'!$U$3:$U$84,"&gt;=20.00%",'UMUR 2021'!$U$3:$U$84,"&lt;30.00%",'UMUR 2021'!$AG$3:$AG$84,"="&amp;B159)</f>
        <v>0</v>
      </c>
      <c r="G159" s="41">
        <f>COUNTIFS('UMUR 2021'!$U$3:$U$84,"&gt;=30.00%",'UMUR 2021'!$U$3:$U$84,"&lt;40.00%",'UMUR 2021'!$AG$3:$AG$84,"="&amp;B159)</f>
        <v>0</v>
      </c>
      <c r="H159" s="41">
        <f>COUNTIFS('UMUR 2021'!$U$3:$U$84,"&gt;=40.00%",'UMUR 2021'!$U$3:$U$84,"&lt;50.00%",'UMUR 2021'!$AG$3:$AG$84,"="&amp;B159)</f>
        <v>0</v>
      </c>
      <c r="I159" s="41">
        <f>COUNTIFS('UMUR 2021'!$U$3:$U$84,"&gt;=50.00%",'UMUR 2021'!$AG$3:$AG$84,"="&amp;B159)</f>
        <v>0</v>
      </c>
      <c r="J159" s="63">
        <f t="shared" si="5"/>
        <v>0</v>
      </c>
    </row>
    <row r="160" spans="2:10" ht="15">
      <c r="B160" s="29" t="s">
        <v>304</v>
      </c>
      <c r="C160" s="29" t="s">
        <v>279</v>
      </c>
      <c r="D160" s="41">
        <f>COUNTIFS('UMUR 2021'!$U$3:$U$84,"&lt;10.00%",'UMUR 2021'!$AG$3:$AG$84,"="&amp;B160)</f>
        <v>0</v>
      </c>
      <c r="E160" s="41">
        <f>COUNTIFS('UMUR 2021'!$U$3:$U$84,"&gt;=10.00%",'UMUR 2021'!$U$3:$U$84,"&lt;20.00%",'UMUR 2021'!$AG$3:$AG$84,"="&amp;B160)</f>
        <v>0</v>
      </c>
      <c r="F160" s="41">
        <f>COUNTIFS('UMUR 2021'!$U$3:$U$84,"&gt;=20.00%",'UMUR 2021'!$U$3:$U$84,"&lt;30.00%",'UMUR 2021'!$AG$3:$AG$84,"="&amp;B160)</f>
        <v>0</v>
      </c>
      <c r="G160" s="41">
        <f>COUNTIFS('UMUR 2021'!$U$3:$U$84,"&gt;=30.00%",'UMUR 2021'!$U$3:$U$84,"&lt;40.00%",'UMUR 2021'!$AG$3:$AG$84,"="&amp;B160)</f>
        <v>0</v>
      </c>
      <c r="H160" s="41">
        <f>COUNTIFS('UMUR 2021'!$U$3:$U$84,"&gt;=40.00%",'UMUR 2021'!$U$3:$U$84,"&lt;50.00%",'UMUR 2021'!$AG$3:$AG$84,"="&amp;B160)</f>
        <v>0</v>
      </c>
      <c r="I160" s="41">
        <f>COUNTIFS('UMUR 2021'!$U$3:$U$84,"&gt;=50.00%",'UMUR 2021'!$AG$3:$AG$84,"="&amp;B160)</f>
        <v>0</v>
      </c>
      <c r="J160" s="63">
        <f t="shared" si="5"/>
        <v>0</v>
      </c>
    </row>
    <row r="161" spans="2:10" ht="15">
      <c r="B161" s="29" t="s">
        <v>250</v>
      </c>
      <c r="C161" s="29" t="s">
        <v>246</v>
      </c>
      <c r="D161" s="41">
        <f>COUNTIFS('UMUR 2021'!$U$3:$U$84,"&lt;10.00%",'UMUR 2021'!$AG$3:$AG$84,"="&amp;B161)</f>
        <v>0</v>
      </c>
      <c r="E161" s="41">
        <f>COUNTIFS('UMUR 2021'!$U$3:$U$84,"&gt;=10.00%",'UMUR 2021'!$U$3:$U$84,"&lt;20.00%",'UMUR 2021'!$AG$3:$AG$84,"="&amp;B161)</f>
        <v>0</v>
      </c>
      <c r="F161" s="41">
        <f>COUNTIFS('UMUR 2021'!$U$3:$U$84,"&gt;=20.00%",'UMUR 2021'!$U$3:$U$84,"&lt;30.00%",'UMUR 2021'!$AG$3:$AG$84,"="&amp;B161)</f>
        <v>0</v>
      </c>
      <c r="G161" s="41">
        <f>COUNTIFS('UMUR 2021'!$U$3:$U$84,"&gt;=30.00%",'UMUR 2021'!$U$3:$U$84,"&lt;40.00%",'UMUR 2021'!$AG$3:$AG$84,"="&amp;B161)</f>
        <v>1</v>
      </c>
      <c r="H161" s="41">
        <f>COUNTIFS('UMUR 2021'!$U$3:$U$84,"&gt;=40.00%",'UMUR 2021'!$U$3:$U$84,"&lt;50.00%",'UMUR 2021'!$AG$3:$AG$84,"="&amp;B161)</f>
        <v>0</v>
      </c>
      <c r="I161" s="41">
        <f>COUNTIFS('UMUR 2021'!$U$3:$U$84,"&gt;=50.00%",'UMUR 2021'!$AG$3:$AG$84,"="&amp;B161)</f>
        <v>0</v>
      </c>
      <c r="J161" s="63">
        <f t="shared" si="5"/>
        <v>1</v>
      </c>
    </row>
    <row r="162" spans="2:10" ht="15">
      <c r="B162" s="29" t="s">
        <v>248</v>
      </c>
      <c r="C162" s="29" t="s">
        <v>246</v>
      </c>
      <c r="D162" s="41">
        <f>COUNTIFS('UMUR 2021'!$U$3:$U$84,"&lt;10.00%",'UMUR 2021'!$AG$3:$AG$84,"="&amp;B162)</f>
        <v>0</v>
      </c>
      <c r="E162" s="41">
        <f>COUNTIFS('UMUR 2021'!$U$3:$U$84,"&gt;=10.00%",'UMUR 2021'!$U$3:$U$84,"&lt;20.00%",'UMUR 2021'!$AG$3:$AG$84,"="&amp;B162)</f>
        <v>0</v>
      </c>
      <c r="F162" s="41">
        <f>COUNTIFS('UMUR 2021'!$U$3:$U$84,"&gt;=20.00%",'UMUR 2021'!$U$3:$U$84,"&lt;30.00%",'UMUR 2021'!$AG$3:$AG$84,"="&amp;B162)</f>
        <v>0</v>
      </c>
      <c r="G162" s="41">
        <f>COUNTIFS('UMUR 2021'!$U$3:$U$84,"&gt;=30.00%",'UMUR 2021'!$U$3:$U$84,"&lt;40.00%",'UMUR 2021'!$AG$3:$AG$84,"="&amp;B162)</f>
        <v>0</v>
      </c>
      <c r="H162" s="41">
        <f>COUNTIFS('UMUR 2021'!$U$3:$U$84,"&gt;=40.00%",'UMUR 2021'!$U$3:$U$84,"&lt;50.00%",'UMUR 2021'!$AG$3:$AG$84,"="&amp;B162)</f>
        <v>0</v>
      </c>
      <c r="I162" s="41">
        <f>COUNTIFS('UMUR 2021'!$U$3:$U$84,"&gt;=50.00%",'UMUR 2021'!$AG$3:$AG$84,"="&amp;B162)</f>
        <v>0</v>
      </c>
      <c r="J162" s="63">
        <f t="shared" si="5"/>
        <v>0</v>
      </c>
    </row>
    <row r="163" spans="2:10" ht="15">
      <c r="B163" s="29" t="s">
        <v>305</v>
      </c>
      <c r="C163" s="29" t="s">
        <v>305</v>
      </c>
      <c r="D163" s="41">
        <f>COUNTIFS('UMUR 2021'!$U$3:$U$84,"&lt;10.00%",'UMUR 2021'!$AG$3:$AG$84,"="&amp;B163)</f>
        <v>0</v>
      </c>
      <c r="E163" s="41">
        <f>COUNTIFS('UMUR 2021'!$U$3:$U$84,"&gt;=10.00%",'UMUR 2021'!$U$3:$U$84,"&lt;20.00%",'UMUR 2021'!$AG$3:$AG$84,"="&amp;B163)</f>
        <v>0</v>
      </c>
      <c r="F163" s="41">
        <f>COUNTIFS('UMUR 2021'!$U$3:$U$84,"&gt;=20.00%",'UMUR 2021'!$U$3:$U$84,"&lt;30.00%",'UMUR 2021'!$AG$3:$AG$84,"="&amp;B163)</f>
        <v>0</v>
      </c>
      <c r="G163" s="41">
        <f>COUNTIFS('UMUR 2021'!$U$3:$U$84,"&gt;=30.00%",'UMUR 2021'!$U$3:$U$84,"&lt;40.00%",'UMUR 2021'!$AG$3:$AG$84,"="&amp;B163)</f>
        <v>0</v>
      </c>
      <c r="H163" s="41">
        <f>COUNTIFS('UMUR 2021'!$U$3:$U$84,"&gt;=40.00%",'UMUR 2021'!$U$3:$U$84,"&lt;50.00%",'UMUR 2021'!$AG$3:$AG$84,"="&amp;B163)</f>
        <v>0</v>
      </c>
      <c r="I163" s="41">
        <f>COUNTIFS('UMUR 2021'!$U$3:$U$84,"&gt;=50.00%",'UMUR 2021'!$AG$3:$AG$84,"="&amp;B163)</f>
        <v>0</v>
      </c>
      <c r="J163" s="63">
        <f t="shared" si="5"/>
        <v>0</v>
      </c>
    </row>
    <row r="164" spans="2:10" ht="15">
      <c r="B164" s="29" t="s">
        <v>306</v>
      </c>
      <c r="C164" s="29" t="s">
        <v>306</v>
      </c>
      <c r="D164" s="41">
        <f>COUNTIFS('UMUR 2021'!$U$3:$U$84,"&lt;10.00%",'UMUR 2021'!$AG$3:$AG$84,"="&amp;B164)</f>
        <v>0</v>
      </c>
      <c r="E164" s="41">
        <f>COUNTIFS('UMUR 2021'!$U$3:$U$84,"&gt;=10.00%",'UMUR 2021'!$U$3:$U$84,"&lt;20.00%",'UMUR 2021'!$AG$3:$AG$84,"="&amp;B164)</f>
        <v>0</v>
      </c>
      <c r="F164" s="41">
        <f>COUNTIFS('UMUR 2021'!$U$3:$U$84,"&gt;=20.00%",'UMUR 2021'!$U$3:$U$84,"&lt;30.00%",'UMUR 2021'!$AG$3:$AG$84,"="&amp;B164)</f>
        <v>0</v>
      </c>
      <c r="G164" s="41">
        <f>COUNTIFS('UMUR 2021'!$U$3:$U$84,"&gt;=30.00%",'UMUR 2021'!$U$3:$U$84,"&lt;40.00%",'UMUR 2021'!$AG$3:$AG$84,"="&amp;B164)</f>
        <v>0</v>
      </c>
      <c r="H164" s="41">
        <f>COUNTIFS('UMUR 2021'!$U$3:$U$84,"&gt;=40.00%",'UMUR 2021'!$U$3:$U$84,"&lt;50.00%",'UMUR 2021'!$AG$3:$AG$84,"="&amp;B164)</f>
        <v>0</v>
      </c>
      <c r="I164" s="41">
        <f>COUNTIFS('UMUR 2021'!$U$3:$U$84,"&gt;=50.00%",'UMUR 2021'!$AG$3:$AG$84,"="&amp;B164)</f>
        <v>0</v>
      </c>
      <c r="J164" s="63">
        <f t="shared" si="5"/>
        <v>0</v>
      </c>
    </row>
    <row r="165" spans="2:10" ht="15">
      <c r="B165" s="29" t="s">
        <v>251</v>
      </c>
      <c r="C165" s="29" t="s">
        <v>251</v>
      </c>
      <c r="D165" s="41">
        <f>COUNTIFS('UMUR 2021'!$U$3:$U$84,"&lt;10.00%",'UMUR 2021'!$AG$3:$AG$84,"="&amp;B165)</f>
        <v>0</v>
      </c>
      <c r="E165" s="41">
        <f>COUNTIFS('UMUR 2021'!$U$3:$U$84,"&gt;=10.00%",'UMUR 2021'!$U$3:$U$84,"&lt;20.00%",'UMUR 2021'!$AG$3:$AG$84,"="&amp;B165)</f>
        <v>0</v>
      </c>
      <c r="F165" s="41">
        <f>COUNTIFS('UMUR 2021'!$U$3:$U$84,"&gt;=20.00%",'UMUR 2021'!$U$3:$U$84,"&lt;30.00%",'UMUR 2021'!$AG$3:$AG$84,"="&amp;B165)</f>
        <v>1</v>
      </c>
      <c r="G165" s="41">
        <f>COUNTIFS('UMUR 2021'!$U$3:$U$84,"&gt;=30.00%",'UMUR 2021'!$U$3:$U$84,"&lt;40.00%",'UMUR 2021'!$AG$3:$AG$84,"="&amp;B165)</f>
        <v>5</v>
      </c>
      <c r="H165" s="41">
        <f>COUNTIFS('UMUR 2021'!$U$3:$U$84,"&gt;=40.00%",'UMUR 2021'!$U$3:$U$84,"&lt;50.00%",'UMUR 2021'!$AG$3:$AG$84,"="&amp;B165)</f>
        <v>0</v>
      </c>
      <c r="I165" s="41">
        <f>COUNTIFS('UMUR 2021'!$U$3:$U$84,"&gt;=50.00%",'UMUR 2021'!$AG$3:$AG$84,"="&amp;B165)</f>
        <v>0</v>
      </c>
      <c r="J165" s="63">
        <f t="shared" si="5"/>
        <v>6</v>
      </c>
    </row>
    <row r="167" spans="2:10" ht="15">
      <c r="I167" s="70" t="s">
        <v>235</v>
      </c>
      <c r="J167" s="63">
        <f>SUM(J149:J165)</f>
        <v>82</v>
      </c>
    </row>
    <row r="173" spans="2:10">
      <c r="B173" s="89" t="s">
        <v>352</v>
      </c>
      <c r="C173" s="89"/>
      <c r="D173" s="89"/>
      <c r="E173" s="89"/>
      <c r="F173" s="89"/>
      <c r="G173" s="89"/>
      <c r="H173" s="89"/>
      <c r="I173" s="89"/>
      <c r="J173" s="89"/>
    </row>
    <row r="174" spans="2:10">
      <c r="B174" s="89"/>
      <c r="C174" s="89"/>
      <c r="D174" s="89"/>
      <c r="E174" s="89"/>
      <c r="F174" s="89"/>
      <c r="G174" s="89"/>
      <c r="H174" s="89"/>
      <c r="I174" s="89"/>
      <c r="J174" s="89"/>
    </row>
    <row r="176" spans="2:10" ht="15">
      <c r="B176" s="26" t="s">
        <v>236</v>
      </c>
      <c r="C176" s="26" t="s">
        <v>237</v>
      </c>
      <c r="D176" s="29" t="s">
        <v>329</v>
      </c>
      <c r="E176" s="29" t="s">
        <v>319</v>
      </c>
      <c r="F176" s="29" t="s">
        <v>320</v>
      </c>
      <c r="G176" s="29" t="s">
        <v>330</v>
      </c>
      <c r="H176" s="29" t="s">
        <v>331</v>
      </c>
      <c r="I176" s="29" t="s">
        <v>332</v>
      </c>
      <c r="J176" s="71" t="s">
        <v>235</v>
      </c>
    </row>
    <row r="177" spans="2:10" ht="15">
      <c r="B177" s="29" t="s">
        <v>243</v>
      </c>
      <c r="C177" s="29" t="s">
        <v>241</v>
      </c>
      <c r="D177" s="41">
        <f>COUNTIFS('UMUR 2021'!$X$3:$X$84,"&lt;30.00%",'UMUR 2021'!$AC$3:$AC$84,"="&amp;B177)</f>
        <v>0</v>
      </c>
      <c r="E177" s="41">
        <f>COUNTIFS('UMUR 2021'!$X$3:$X$84,"&gt;=30.00%",'UMUR 2021'!$X$3:$X$84,"&lt;40.00%",'UMUR 2021'!$AC$3:$AC$84,"="&amp;B177)</f>
        <v>0</v>
      </c>
      <c r="F177" s="41">
        <f>COUNTIFS('UMUR 2021'!$X$3:$X$84,"&gt;=40.00%",'UMUR 2021'!$X$3:$X$84,"&lt;50.00%",'UMUR 2021'!$AC$3:$AC$84,"="&amp;B177)</f>
        <v>1</v>
      </c>
      <c r="G177" s="41">
        <f>COUNTIFS('UMUR 2021'!$X$3:$X$84,"&gt;=50.00%",'UMUR 2021'!$X$3:$X$84,"&lt;60.00%",'UMUR 2021'!$AC$3:$AC$84,"="&amp;B177)</f>
        <v>8</v>
      </c>
      <c r="H177" s="41">
        <f>COUNTIFS('UMUR 2021'!$X$3:$X$84,"&gt;=60.00%",'UMUR 2021'!$X$3:$X$84,"&lt;70.00%",'UMUR 2021'!$AC$3:$AC$84,"="&amp;B177)</f>
        <v>27</v>
      </c>
      <c r="I177" s="41">
        <f>COUNTIFS('UMUR 2021'!$X$3:$X$84,"&gt;=70.00%",'UMUR 2021'!$AC$3:$AC$84,"="&amp;B177)</f>
        <v>11</v>
      </c>
      <c r="J177" s="63">
        <f>SUM(D177:I177)</f>
        <v>47</v>
      </c>
    </row>
    <row r="178" spans="2:10" ht="15">
      <c r="B178" s="29" t="s">
        <v>239</v>
      </c>
      <c r="C178" s="29" t="s">
        <v>241</v>
      </c>
      <c r="D178" s="41">
        <f>COUNTIFS('UMUR 2021'!$X$3:$X$84,"&lt;30.00%",'UMUR 2021'!$AC$3:$AC$84,"="&amp;B178)</f>
        <v>0</v>
      </c>
      <c r="E178" s="41">
        <f>COUNTIFS('UMUR 2021'!$X$3:$X$84,"&gt;=30.00%",'UMUR 2021'!$X$3:$X$84,"&lt;40.00%",'UMUR 2021'!$AC$3:$AC$84,"="&amp;B178)</f>
        <v>0</v>
      </c>
      <c r="F178" s="41">
        <f>COUNTIFS('UMUR 2021'!$X$3:$X$84,"&gt;=40.00%",'UMUR 2021'!$X$3:$X$84,"&lt;50.00%",'UMUR 2021'!$AC$3:$AC$84,"="&amp;B178)</f>
        <v>5</v>
      </c>
      <c r="G178" s="41">
        <f>COUNTIFS('UMUR 2021'!$X$3:$X$84,"&gt;=50.00%",'UMUR 2021'!$X$3:$X$84,"&lt;60.00%",'UMUR 2021'!$AC$3:$AC$84,"="&amp;B178)</f>
        <v>5</v>
      </c>
      <c r="H178" s="41">
        <f>COUNTIFS('UMUR 2021'!$X$3:$X$84,"&gt;=60.00%",'UMUR 2021'!$X$3:$X$84,"&lt;70.00%",'UMUR 2021'!$AC$3:$AC$84,"="&amp;B178)</f>
        <v>3</v>
      </c>
      <c r="I178" s="41">
        <f>COUNTIFS('UMUR 2021'!$X$3:$X$84,"&gt;=70.00%",'UMUR 2021'!$AC$3:$AC$84,"="&amp;B178)</f>
        <v>0</v>
      </c>
      <c r="J178" s="63">
        <f t="shared" ref="J178:J193" si="6">SUM(D178:I178)</f>
        <v>13</v>
      </c>
    </row>
    <row r="179" spans="2:10" ht="15">
      <c r="B179" s="29" t="s">
        <v>240</v>
      </c>
      <c r="C179" s="29" t="s">
        <v>241</v>
      </c>
      <c r="D179" s="41">
        <f>COUNTIFS('UMUR 2021'!$X$3:$X$84,"&lt;30.00%",'UMUR 2021'!$AC$3:$AC$84,"="&amp;B179)</f>
        <v>0</v>
      </c>
      <c r="E179" s="41">
        <f>COUNTIFS('UMUR 2021'!$X$3:$X$84,"&gt;=30.00%",'UMUR 2021'!$X$3:$X$84,"&lt;40.00%",'UMUR 2021'!$AC$3:$AC$84,"="&amp;B179)</f>
        <v>0</v>
      </c>
      <c r="F179" s="41">
        <f>COUNTIFS('UMUR 2021'!$X$3:$X$84,"&gt;=40.00%",'UMUR 2021'!$X$3:$X$84,"&lt;50.00%",'UMUR 2021'!$AC$3:$AC$84,"="&amp;B179)</f>
        <v>0</v>
      </c>
      <c r="G179" s="41">
        <f>COUNTIFS('UMUR 2021'!$X$3:$X$84,"&gt;=50.00%",'UMUR 2021'!$X$3:$X$84,"&lt;60.00%",'UMUR 2021'!$AC$3:$AC$84,"="&amp;B179)</f>
        <v>1</v>
      </c>
      <c r="H179" s="41">
        <f>COUNTIFS('UMUR 2021'!$X$3:$X$84,"&gt;=60.00%",'UMUR 2021'!$X$3:$X$84,"&lt;70.00%",'UMUR 2021'!$AC$3:$AC$84,"="&amp;B179)</f>
        <v>4</v>
      </c>
      <c r="I179" s="41">
        <f>COUNTIFS('UMUR 2021'!$X$3:$X$84,"&gt;=70.00%",'UMUR 2021'!$AC$3:$AC$84,"="&amp;B179)</f>
        <v>0</v>
      </c>
      <c r="J179" s="63">
        <f t="shared" si="6"/>
        <v>5</v>
      </c>
    </row>
    <row r="180" spans="2:10" ht="15">
      <c r="B180" s="29" t="s">
        <v>249</v>
      </c>
      <c r="C180" s="29" t="s">
        <v>241</v>
      </c>
      <c r="D180" s="41">
        <f>COUNTIFS('UMUR 2021'!$X$3:$X$84,"&lt;30.00%",'UMUR 2021'!$AC$3:$AC$84,"="&amp;B180)</f>
        <v>0</v>
      </c>
      <c r="E180" s="41">
        <f>COUNTIFS('UMUR 2021'!$X$3:$X$84,"&gt;=30.00%",'UMUR 2021'!$X$3:$X$84,"&lt;40.00%",'UMUR 2021'!$AC$3:$AC$84,"="&amp;B180)</f>
        <v>0</v>
      </c>
      <c r="F180" s="41">
        <f>COUNTIFS('UMUR 2021'!$X$3:$X$84,"&gt;=40.00%",'UMUR 2021'!$X$3:$X$84,"&lt;50.00%",'UMUR 2021'!$AC$3:$AC$84,"="&amp;B180)</f>
        <v>0</v>
      </c>
      <c r="G180" s="41">
        <f>COUNTIFS('UMUR 2021'!$X$3:$X$84,"&gt;=50.00%",'UMUR 2021'!$X$3:$X$84,"&lt;60.00%",'UMUR 2021'!$AC$3:$AC$84,"="&amp;B180)</f>
        <v>1</v>
      </c>
      <c r="H180" s="41">
        <f>COUNTIFS('UMUR 2021'!$X$3:$X$84,"&gt;=60.00%",'UMUR 2021'!$X$3:$X$84,"&lt;70.00%",'UMUR 2021'!$AC$3:$AC$84,"="&amp;B180)</f>
        <v>3</v>
      </c>
      <c r="I180" s="41">
        <f>COUNTIFS('UMUR 2021'!$X$3:$X$84,"&gt;=70.00%",'UMUR 2021'!$AC$3:$AC$84,"="&amp;B180)</f>
        <v>7</v>
      </c>
      <c r="J180" s="63">
        <f t="shared" si="6"/>
        <v>11</v>
      </c>
    </row>
    <row r="181" spans="2:10" ht="15">
      <c r="B181" s="29" t="s">
        <v>244</v>
      </c>
      <c r="C181" s="29" t="s">
        <v>245</v>
      </c>
      <c r="D181" s="41">
        <f>COUNTIFS('UMUR 2021'!$X$3:$X$84,"&lt;30.00%",'UMUR 2021'!$AC$3:$AC$84,"="&amp;B181)</f>
        <v>0</v>
      </c>
      <c r="E181" s="41">
        <f>COUNTIFS('UMUR 2021'!$X$3:$X$84,"&gt;=30.00%",'UMUR 2021'!$X$3:$X$84,"&lt;40.00%",'UMUR 2021'!$AC$3:$AC$84,"="&amp;B181)</f>
        <v>0</v>
      </c>
      <c r="F181" s="41">
        <f>COUNTIFS('UMUR 2021'!$X$3:$X$84,"&gt;=40.00%",'UMUR 2021'!$X$3:$X$84,"&lt;50.00%",'UMUR 2021'!$AC$3:$AC$84,"="&amp;B181)</f>
        <v>2</v>
      </c>
      <c r="G181" s="41">
        <f>COUNTIFS('UMUR 2021'!$X$3:$X$84,"&gt;=50.00%",'UMUR 2021'!$X$3:$X$84,"&lt;60.00%",'UMUR 2021'!$AC$3:$AC$84,"="&amp;B181)</f>
        <v>0</v>
      </c>
      <c r="H181" s="41">
        <f>COUNTIFS('UMUR 2021'!$X$3:$X$84,"&gt;=60.00%",'UMUR 2021'!$X$3:$X$84,"&lt;70.00%",'UMUR 2021'!$AC$3:$AC$84,"="&amp;B181)</f>
        <v>0</v>
      </c>
      <c r="I181" s="41">
        <f>COUNTIFS('UMUR 2021'!$X$3:$X$84,"&gt;=70.00%",'UMUR 2021'!$AC$3:$AC$84,"="&amp;B181)</f>
        <v>0</v>
      </c>
      <c r="J181" s="63">
        <f t="shared" si="6"/>
        <v>2</v>
      </c>
    </row>
    <row r="182" spans="2:10" ht="15">
      <c r="B182" s="29" t="s">
        <v>253</v>
      </c>
      <c r="C182" s="29" t="s">
        <v>245</v>
      </c>
      <c r="D182" s="41">
        <f>COUNTIFS('UMUR 2021'!$X$3:$X$84,"&lt;30.00%",'UMUR 2021'!$AC$3:$AC$84,"="&amp;B182)</f>
        <v>0</v>
      </c>
      <c r="E182" s="41">
        <f>COUNTIFS('UMUR 2021'!$X$3:$X$84,"&gt;=30.00%",'UMUR 2021'!$X$3:$X$84,"&lt;40.00%",'UMUR 2021'!$AC$3:$AC$84,"="&amp;B182)</f>
        <v>0</v>
      </c>
      <c r="F182" s="41">
        <f>COUNTIFS('UMUR 2021'!$X$3:$X$84,"&gt;=40.00%",'UMUR 2021'!$X$3:$X$84,"&lt;50.00%",'UMUR 2021'!$AC$3:$AC$84,"="&amp;B182)</f>
        <v>0</v>
      </c>
      <c r="G182" s="41">
        <f>COUNTIFS('UMUR 2021'!$X$3:$X$84,"&gt;=50.00%",'UMUR 2021'!$X$3:$X$84,"&lt;60.00%",'UMUR 2021'!$AC$3:$AC$84,"="&amp;B182)</f>
        <v>0</v>
      </c>
      <c r="H182" s="41">
        <f>COUNTIFS('UMUR 2021'!$X$3:$X$84,"&gt;=60.00%",'UMUR 2021'!$X$3:$X$84,"&lt;70.00%",'UMUR 2021'!$AC$3:$AC$84,"="&amp;B182)</f>
        <v>0</v>
      </c>
      <c r="I182" s="41">
        <f>COUNTIFS('UMUR 2021'!$X$3:$X$84,"&gt;=70.00%",'UMUR 2021'!$AC$3:$AC$84,"="&amp;B182)</f>
        <v>0</v>
      </c>
      <c r="J182" s="63">
        <f t="shared" si="6"/>
        <v>0</v>
      </c>
    </row>
    <row r="183" spans="2:10" ht="15">
      <c r="B183" s="29" t="s">
        <v>254</v>
      </c>
      <c r="C183" s="29" t="s">
        <v>245</v>
      </c>
      <c r="D183" s="41">
        <f>COUNTIFS('UMUR 2021'!$X$3:$X$84,"&lt;30.00%",'UMUR 2021'!$AC$3:$AC$84,"="&amp;B183)</f>
        <v>0</v>
      </c>
      <c r="E183" s="41">
        <f>COUNTIFS('UMUR 2021'!$X$3:$X$84,"&gt;=30.00%",'UMUR 2021'!$X$3:$X$84,"&lt;40.00%",'UMUR 2021'!$AC$3:$AC$84,"="&amp;B183)</f>
        <v>0</v>
      </c>
      <c r="F183" s="41">
        <f>COUNTIFS('UMUR 2021'!$X$3:$X$84,"&gt;=40.00%",'UMUR 2021'!$X$3:$X$84,"&lt;50.00%",'UMUR 2021'!$AC$3:$AC$84,"="&amp;B183)</f>
        <v>0</v>
      </c>
      <c r="G183" s="41">
        <f>COUNTIFS('UMUR 2021'!$X$3:$X$84,"&gt;=50.00%",'UMUR 2021'!$X$3:$X$84,"&lt;60.00%",'UMUR 2021'!$AC$3:$AC$84,"="&amp;B183)</f>
        <v>0</v>
      </c>
      <c r="H183" s="41">
        <f>COUNTIFS('UMUR 2021'!$X$3:$X$84,"&gt;=60.00%",'UMUR 2021'!$X$3:$X$84,"&lt;70.00%",'UMUR 2021'!$AC$3:$AC$84,"="&amp;B183)</f>
        <v>0</v>
      </c>
      <c r="I183" s="41">
        <f>COUNTIFS('UMUR 2021'!$X$3:$X$84,"&gt;=70.00%",'UMUR 2021'!$AC$3:$AC$84,"="&amp;B183)</f>
        <v>0</v>
      </c>
      <c r="J183" s="63">
        <f t="shared" si="6"/>
        <v>0</v>
      </c>
    </row>
    <row r="184" spans="2:10" ht="15">
      <c r="B184" s="29" t="s">
        <v>252</v>
      </c>
      <c r="C184" s="29" t="s">
        <v>252</v>
      </c>
      <c r="D184" s="41">
        <f>COUNTIFS('UMUR 2021'!$X$3:$X$84,"&lt;30.00%",'UMUR 2021'!$AC$3:$AC$84,"="&amp;B184)</f>
        <v>0</v>
      </c>
      <c r="E184" s="41">
        <f>COUNTIFS('UMUR 2021'!$X$3:$X$84,"&gt;=30.00%",'UMUR 2021'!$X$3:$X$84,"&lt;40.00%",'UMUR 2021'!$AC$3:$AC$84,"="&amp;B184)</f>
        <v>0</v>
      </c>
      <c r="F184" s="41">
        <f>COUNTIFS('UMUR 2021'!$X$3:$X$84,"&gt;=40.00%",'UMUR 2021'!$X$3:$X$84,"&lt;50.00%",'UMUR 2021'!$AC$3:$AC$84,"="&amp;B184)</f>
        <v>1</v>
      </c>
      <c r="G184" s="41">
        <f>COUNTIFS('UMUR 2021'!$X$3:$X$84,"&gt;=50.00%",'UMUR 2021'!$X$3:$X$84,"&lt;60.00%",'UMUR 2021'!$AC$3:$AC$84,"="&amp;B184)</f>
        <v>1</v>
      </c>
      <c r="H184" s="41">
        <f>COUNTIFS('UMUR 2021'!$X$3:$X$84,"&gt;=60.00%",'UMUR 2021'!$X$3:$X$84,"&lt;70.00%",'UMUR 2021'!$AC$3:$AC$84,"="&amp;B184)</f>
        <v>1</v>
      </c>
      <c r="I184" s="41">
        <f>COUNTIFS('UMUR 2021'!$X$3:$X$84,"&gt;=70.00%",'UMUR 2021'!$AC$3:$AC$84,"="&amp;B184)</f>
        <v>1</v>
      </c>
      <c r="J184" s="63">
        <f t="shared" si="6"/>
        <v>4</v>
      </c>
    </row>
    <row r="185" spans="2:10" ht="15">
      <c r="B185" s="29" t="s">
        <v>301</v>
      </c>
      <c r="C185" s="29" t="s">
        <v>279</v>
      </c>
      <c r="D185" s="41">
        <f>COUNTIFS('UMUR 2021'!$X$3:$X$84,"&lt;30.00%",'UMUR 2021'!$AC$3:$AC$84,"="&amp;B185)</f>
        <v>0</v>
      </c>
      <c r="E185" s="41">
        <f>COUNTIFS('UMUR 2021'!$X$3:$X$84,"&gt;=30.00%",'UMUR 2021'!$X$3:$X$84,"&lt;40.00%",'UMUR 2021'!$AC$3:$AC$84,"="&amp;B185)</f>
        <v>0</v>
      </c>
      <c r="F185" s="41">
        <f>COUNTIFS('UMUR 2021'!$X$3:$X$84,"&gt;=40.00%",'UMUR 2021'!$X$3:$X$84,"&lt;50.00%",'UMUR 2021'!$AC$3:$AC$84,"="&amp;B185)</f>
        <v>0</v>
      </c>
      <c r="G185" s="41">
        <f>COUNTIFS('UMUR 2021'!$X$3:$X$84,"&gt;=50.00%",'UMUR 2021'!$X$3:$X$84,"&lt;60.00%",'UMUR 2021'!$AC$3:$AC$84,"="&amp;B185)</f>
        <v>0</v>
      </c>
      <c r="H185" s="41">
        <f>COUNTIFS('UMUR 2021'!$X$3:$X$84,"&gt;=60.00%",'UMUR 2021'!$X$3:$X$84,"&lt;70.00%",'UMUR 2021'!$AC$3:$AC$84,"="&amp;B185)</f>
        <v>0</v>
      </c>
      <c r="I185" s="41">
        <f>COUNTIFS('UMUR 2021'!$X$3:$X$84,"&gt;=70.00%",'UMUR 2021'!$AC$3:$AC$84,"="&amp;B185)</f>
        <v>0</v>
      </c>
      <c r="J185" s="63">
        <f t="shared" si="6"/>
        <v>0</v>
      </c>
    </row>
    <row r="186" spans="2:10" ht="15">
      <c r="B186" s="29" t="s">
        <v>302</v>
      </c>
      <c r="C186" s="29" t="s">
        <v>279</v>
      </c>
      <c r="D186" s="41">
        <f>COUNTIFS('UMUR 2021'!$X$3:$X$84,"&lt;30.00%",'UMUR 2021'!$AC$3:$AC$84,"="&amp;B186)</f>
        <v>0</v>
      </c>
      <c r="E186" s="41">
        <f>COUNTIFS('UMUR 2021'!$X$3:$X$84,"&gt;=30.00%",'UMUR 2021'!$X$3:$X$84,"&lt;40.00%",'UMUR 2021'!$AC$3:$AC$84,"="&amp;B186)</f>
        <v>0</v>
      </c>
      <c r="F186" s="41">
        <f>COUNTIFS('UMUR 2021'!$X$3:$X$84,"&gt;=40.00%",'UMUR 2021'!$X$3:$X$84,"&lt;50.00%",'UMUR 2021'!$AC$3:$AC$84,"="&amp;B186)</f>
        <v>0</v>
      </c>
      <c r="G186" s="41">
        <f>COUNTIFS('UMUR 2021'!$X$3:$X$84,"&gt;=50.00%",'UMUR 2021'!$X$3:$X$84,"&lt;60.00%",'UMUR 2021'!$AC$3:$AC$84,"="&amp;B186)</f>
        <v>0</v>
      </c>
      <c r="H186" s="41">
        <f>COUNTIFS('UMUR 2021'!$X$3:$X$84,"&gt;=60.00%",'UMUR 2021'!$X$3:$X$84,"&lt;70.00%",'UMUR 2021'!$AC$3:$AC$84,"="&amp;B186)</f>
        <v>0</v>
      </c>
      <c r="I186" s="41">
        <f>COUNTIFS('UMUR 2021'!$X$3:$X$84,"&gt;=70.00%",'UMUR 2021'!$AC$3:$AC$84,"="&amp;B186)</f>
        <v>0</v>
      </c>
      <c r="J186" s="63">
        <f t="shared" si="6"/>
        <v>0</v>
      </c>
    </row>
    <row r="187" spans="2:10" ht="15">
      <c r="B187" s="29" t="s">
        <v>303</v>
      </c>
      <c r="C187" s="29" t="s">
        <v>279</v>
      </c>
      <c r="D187" s="41">
        <f>COUNTIFS('UMUR 2021'!$X$3:$X$84,"&lt;30.00%",'UMUR 2021'!$AC$3:$AC$84,"="&amp;B187)</f>
        <v>0</v>
      </c>
      <c r="E187" s="41">
        <f>COUNTIFS('UMUR 2021'!$X$3:$X$84,"&gt;=30.00%",'UMUR 2021'!$X$3:$X$84,"&lt;40.00%",'UMUR 2021'!$AC$3:$AC$84,"="&amp;B187)</f>
        <v>0</v>
      </c>
      <c r="F187" s="41">
        <f>COUNTIFS('UMUR 2021'!$X$3:$X$84,"&gt;=40.00%",'UMUR 2021'!$X$3:$X$84,"&lt;50.00%",'UMUR 2021'!$AC$3:$AC$84,"="&amp;B187)</f>
        <v>0</v>
      </c>
      <c r="G187" s="41">
        <f>COUNTIFS('UMUR 2021'!$X$3:$X$84,"&gt;=50.00%",'UMUR 2021'!$X$3:$X$84,"&lt;60.00%",'UMUR 2021'!$AC$3:$AC$84,"="&amp;B187)</f>
        <v>0</v>
      </c>
      <c r="H187" s="41">
        <f>COUNTIFS('UMUR 2021'!$X$3:$X$84,"&gt;=60.00%",'UMUR 2021'!$X$3:$X$84,"&lt;70.00%",'UMUR 2021'!$AC$3:$AC$84,"="&amp;B187)</f>
        <v>0</v>
      </c>
      <c r="I187" s="41">
        <f>COUNTIFS('UMUR 2021'!$X$3:$X$84,"&gt;=70.00%",'UMUR 2021'!$AC$3:$AC$84,"="&amp;B187)</f>
        <v>0</v>
      </c>
      <c r="J187" s="63">
        <f t="shared" si="6"/>
        <v>0</v>
      </c>
    </row>
    <row r="188" spans="2:10" ht="15">
      <c r="B188" s="29" t="s">
        <v>304</v>
      </c>
      <c r="C188" s="29" t="s">
        <v>279</v>
      </c>
      <c r="D188" s="41">
        <f>COUNTIFS('UMUR 2021'!$X$3:$X$84,"&lt;30.00%",'UMUR 2021'!$AC$3:$AC$84,"="&amp;B188)</f>
        <v>0</v>
      </c>
      <c r="E188" s="41">
        <f>COUNTIFS('UMUR 2021'!$X$3:$X$84,"&gt;=30.00%",'UMUR 2021'!$X$3:$X$84,"&lt;40.00%",'UMUR 2021'!$AC$3:$AC$84,"="&amp;B188)</f>
        <v>0</v>
      </c>
      <c r="F188" s="41">
        <f>COUNTIFS('UMUR 2021'!$X$3:$X$84,"&gt;=40.00%",'UMUR 2021'!$X$3:$X$84,"&lt;50.00%",'UMUR 2021'!$AC$3:$AC$84,"="&amp;B188)</f>
        <v>0</v>
      </c>
      <c r="G188" s="41">
        <f>COUNTIFS('UMUR 2021'!$X$3:$X$84,"&gt;=50.00%",'UMUR 2021'!$X$3:$X$84,"&lt;60.00%",'UMUR 2021'!$AC$3:$AC$84,"="&amp;B188)</f>
        <v>0</v>
      </c>
      <c r="H188" s="41">
        <f>COUNTIFS('UMUR 2021'!$X$3:$X$84,"&gt;=60.00%",'UMUR 2021'!$X$3:$X$84,"&lt;70.00%",'UMUR 2021'!$AC$3:$AC$84,"="&amp;B188)</f>
        <v>0</v>
      </c>
      <c r="I188" s="41">
        <f>COUNTIFS('UMUR 2021'!$X$3:$X$84,"&gt;=70.00%",'UMUR 2021'!$AC$3:$AC$84,"="&amp;B188)</f>
        <v>0</v>
      </c>
      <c r="J188" s="63">
        <f t="shared" si="6"/>
        <v>0</v>
      </c>
    </row>
    <row r="189" spans="2:10" ht="15">
      <c r="B189" s="29" t="s">
        <v>250</v>
      </c>
      <c r="C189" s="29" t="s">
        <v>246</v>
      </c>
      <c r="D189" s="41">
        <f>COUNTIFS('UMUR 2021'!$X$3:$X$84,"&lt;30.00%",'UMUR 2021'!$AC$3:$AC$84,"="&amp;B189)</f>
        <v>0</v>
      </c>
      <c r="E189" s="41">
        <f>COUNTIFS('UMUR 2021'!$X$3:$X$84,"&gt;=30.00%",'UMUR 2021'!$X$3:$X$84,"&lt;40.00%",'UMUR 2021'!$AC$3:$AC$84,"="&amp;B189)</f>
        <v>0</v>
      </c>
      <c r="F189" s="41">
        <f>COUNTIFS('UMUR 2021'!$X$3:$X$84,"&gt;=40.00%",'UMUR 2021'!$X$3:$X$84,"&lt;50.00%",'UMUR 2021'!$AC$3:$AC$84,"="&amp;B189)</f>
        <v>0</v>
      </c>
      <c r="G189" s="41">
        <f>COUNTIFS('UMUR 2021'!$X$3:$X$84,"&gt;=50.00%",'UMUR 2021'!$X$3:$X$84,"&lt;60.00%",'UMUR 2021'!$AC$3:$AC$84,"="&amp;B189)</f>
        <v>0</v>
      </c>
      <c r="H189" s="41">
        <f>COUNTIFS('UMUR 2021'!$X$3:$X$84,"&gt;=60.00%",'UMUR 2021'!$X$3:$X$84,"&lt;70.00%",'UMUR 2021'!$AC$3:$AC$84,"="&amp;B189)</f>
        <v>0</v>
      </c>
      <c r="I189" s="41">
        <f>COUNTIFS('UMUR 2021'!$X$3:$X$84,"&gt;=70.00%",'UMUR 2021'!$AC$3:$AC$84,"="&amp;B189)</f>
        <v>0</v>
      </c>
      <c r="J189" s="63">
        <f t="shared" si="6"/>
        <v>0</v>
      </c>
    </row>
    <row r="190" spans="2:10" ht="15">
      <c r="B190" s="29" t="s">
        <v>248</v>
      </c>
      <c r="C190" s="29" t="s">
        <v>246</v>
      </c>
      <c r="D190" s="41">
        <f>COUNTIFS('UMUR 2021'!$X$3:$X$84,"&lt;30.00%",'UMUR 2021'!$AC$3:$AC$84,"="&amp;B190)</f>
        <v>0</v>
      </c>
      <c r="E190" s="41">
        <f>COUNTIFS('UMUR 2021'!$X$3:$X$84,"&gt;=30.00%",'UMUR 2021'!$X$3:$X$84,"&lt;40.00%",'UMUR 2021'!$AC$3:$AC$84,"="&amp;B190)</f>
        <v>0</v>
      </c>
      <c r="F190" s="41">
        <f>COUNTIFS('UMUR 2021'!$X$3:$X$84,"&gt;=40.00%",'UMUR 2021'!$X$3:$X$84,"&lt;50.00%",'UMUR 2021'!$AC$3:$AC$84,"="&amp;B190)</f>
        <v>0</v>
      </c>
      <c r="G190" s="41">
        <f>COUNTIFS('UMUR 2021'!$X$3:$X$84,"&gt;=50.00%",'UMUR 2021'!$X$3:$X$84,"&lt;60.00%",'UMUR 2021'!$AC$3:$AC$84,"="&amp;B190)</f>
        <v>0</v>
      </c>
      <c r="H190" s="41">
        <f>COUNTIFS('UMUR 2021'!$X$3:$X$84,"&gt;=60.00%",'UMUR 2021'!$X$3:$X$84,"&lt;70.00%",'UMUR 2021'!$AC$3:$AC$84,"="&amp;B190)</f>
        <v>0</v>
      </c>
      <c r="I190" s="41">
        <f>COUNTIFS('UMUR 2021'!$X$3:$X$84,"&gt;=70.00%",'UMUR 2021'!$AC$3:$AC$84,"="&amp;B190)</f>
        <v>0</v>
      </c>
      <c r="J190" s="63">
        <f t="shared" si="6"/>
        <v>0</v>
      </c>
    </row>
    <row r="191" spans="2:10" ht="15">
      <c r="B191" s="29" t="s">
        <v>305</v>
      </c>
      <c r="C191" s="29" t="s">
        <v>305</v>
      </c>
      <c r="D191" s="41">
        <f>COUNTIFS('UMUR 2021'!$X$3:$X$84,"&lt;30.00%",'UMUR 2021'!$AC$3:$AC$84,"="&amp;B191)</f>
        <v>0</v>
      </c>
      <c r="E191" s="41">
        <f>COUNTIFS('UMUR 2021'!$X$3:$X$84,"&gt;=30.00%",'UMUR 2021'!$X$3:$X$84,"&lt;40.00%",'UMUR 2021'!$AC$3:$AC$84,"="&amp;B191)</f>
        <v>0</v>
      </c>
      <c r="F191" s="41">
        <f>COUNTIFS('UMUR 2021'!$X$3:$X$84,"&gt;=40.00%",'UMUR 2021'!$X$3:$X$84,"&lt;50.00%",'UMUR 2021'!$AC$3:$AC$84,"="&amp;B191)</f>
        <v>0</v>
      </c>
      <c r="G191" s="41">
        <f>COUNTIFS('UMUR 2021'!$X$3:$X$84,"&gt;=50.00%",'UMUR 2021'!$X$3:$X$84,"&lt;60.00%",'UMUR 2021'!$AC$3:$AC$84,"="&amp;B191)</f>
        <v>0</v>
      </c>
      <c r="H191" s="41">
        <f>COUNTIFS('UMUR 2021'!$X$3:$X$84,"&gt;=60.00%",'UMUR 2021'!$X$3:$X$84,"&lt;70.00%",'UMUR 2021'!$AC$3:$AC$84,"="&amp;B191)</f>
        <v>0</v>
      </c>
      <c r="I191" s="41">
        <f>COUNTIFS('UMUR 2021'!$X$3:$X$84,"&gt;=70.00%",'UMUR 2021'!$AC$3:$AC$84,"="&amp;B191)</f>
        <v>0</v>
      </c>
      <c r="J191" s="63">
        <f t="shared" si="6"/>
        <v>0</v>
      </c>
    </row>
    <row r="192" spans="2:10" ht="15">
      <c r="B192" s="29" t="s">
        <v>306</v>
      </c>
      <c r="C192" s="29" t="s">
        <v>306</v>
      </c>
      <c r="D192" s="41">
        <f>COUNTIFS('UMUR 2021'!$X$3:$X$84,"&lt;30.00%",'UMUR 2021'!$AC$3:$AC$84,"="&amp;B192)</f>
        <v>0</v>
      </c>
      <c r="E192" s="41">
        <f>COUNTIFS('UMUR 2021'!$X$3:$X$84,"&gt;=30.00%",'UMUR 2021'!$X$3:$X$84,"&lt;40.00%",'UMUR 2021'!$AC$3:$AC$84,"="&amp;B192)</f>
        <v>0</v>
      </c>
      <c r="F192" s="41">
        <f>COUNTIFS('UMUR 2021'!$X$3:$X$84,"&gt;=40.00%",'UMUR 2021'!$X$3:$X$84,"&lt;50.00%",'UMUR 2021'!$AC$3:$AC$84,"="&amp;B192)</f>
        <v>0</v>
      </c>
      <c r="G192" s="41">
        <f>COUNTIFS('UMUR 2021'!$X$3:$X$84,"&gt;=50.00%",'UMUR 2021'!$X$3:$X$84,"&lt;60.00%",'UMUR 2021'!$AC$3:$AC$84,"="&amp;B192)</f>
        <v>0</v>
      </c>
      <c r="H192" s="41">
        <f>COUNTIFS('UMUR 2021'!$X$3:$X$84,"&gt;=60.00%",'UMUR 2021'!$X$3:$X$84,"&lt;70.00%",'UMUR 2021'!$AC$3:$AC$84,"="&amp;B192)</f>
        <v>0</v>
      </c>
      <c r="I192" s="41">
        <f>COUNTIFS('UMUR 2021'!$X$3:$X$84,"&gt;=70.00%",'UMUR 2021'!$AC$3:$AC$84,"="&amp;B192)</f>
        <v>0</v>
      </c>
      <c r="J192" s="63">
        <f t="shared" si="6"/>
        <v>0</v>
      </c>
    </row>
    <row r="193" spans="2:10" ht="15">
      <c r="B193" s="29" t="s">
        <v>251</v>
      </c>
      <c r="C193" s="29" t="s">
        <v>251</v>
      </c>
      <c r="D193" s="41">
        <f>COUNTIFS('UMUR 2021'!$X$3:$X$84,"&lt;30.00%",'UMUR 2021'!$AC$3:$AC$84,"="&amp;B193)</f>
        <v>0</v>
      </c>
      <c r="E193" s="41">
        <f>COUNTIFS('UMUR 2021'!$X$3:$X$84,"&gt;=30.00%",'UMUR 2021'!$X$3:$X$84,"&lt;40.00%",'UMUR 2021'!$AC$3:$AC$84,"="&amp;B193)</f>
        <v>0</v>
      </c>
      <c r="F193" s="41">
        <f>COUNTIFS('UMUR 2021'!$X$3:$X$84,"&gt;=40.00%",'UMUR 2021'!$X$3:$X$84,"&lt;50.00%",'UMUR 2021'!$AC$3:$AC$84,"="&amp;B193)</f>
        <v>0</v>
      </c>
      <c r="G193" s="41">
        <f>COUNTIFS('UMUR 2021'!$X$3:$X$84,"&gt;=50.00%",'UMUR 2021'!$X$3:$X$84,"&lt;60.00%",'UMUR 2021'!$AC$3:$AC$84,"="&amp;B193)</f>
        <v>0</v>
      </c>
      <c r="H193" s="41">
        <f>COUNTIFS('UMUR 2021'!$X$3:$X$84,"&gt;=60.00%",'UMUR 2021'!$X$3:$X$84,"&lt;70.00%",'UMUR 2021'!$AC$3:$AC$84,"="&amp;B193)</f>
        <v>0</v>
      </c>
      <c r="I193" s="41">
        <f>COUNTIFS('UMUR 2021'!$X$3:$X$84,"&gt;=70.00%",'UMUR 2021'!$AC$3:$AC$84,"="&amp;B193)</f>
        <v>0</v>
      </c>
      <c r="J193" s="63">
        <f t="shared" si="6"/>
        <v>0</v>
      </c>
    </row>
    <row r="195" spans="2:10" ht="15">
      <c r="I195" s="70" t="s">
        <v>235</v>
      </c>
      <c r="J195" s="63">
        <f>SUM(J177:J193)</f>
        <v>82</v>
      </c>
    </row>
    <row r="200" spans="2:10">
      <c r="B200" s="89" t="s">
        <v>353</v>
      </c>
      <c r="C200" s="89"/>
      <c r="D200" s="89"/>
      <c r="E200" s="89"/>
      <c r="F200" s="89"/>
      <c r="G200" s="89"/>
      <c r="H200" s="89"/>
      <c r="I200" s="89"/>
      <c r="J200" s="89"/>
    </row>
    <row r="201" spans="2:10">
      <c r="B201" s="89"/>
      <c r="C201" s="89"/>
      <c r="D201" s="89"/>
      <c r="E201" s="89"/>
      <c r="F201" s="89"/>
      <c r="G201" s="89"/>
      <c r="H201" s="89"/>
      <c r="I201" s="89"/>
      <c r="J201" s="89"/>
    </row>
    <row r="203" spans="2:10" ht="15">
      <c r="B203" s="26" t="s">
        <v>236</v>
      </c>
      <c r="C203" s="26" t="s">
        <v>237</v>
      </c>
      <c r="D203" s="29" t="s">
        <v>329</v>
      </c>
      <c r="E203" s="29" t="s">
        <v>319</v>
      </c>
      <c r="F203" s="29" t="s">
        <v>320</v>
      </c>
      <c r="G203" s="29" t="s">
        <v>330</v>
      </c>
      <c r="H203" s="29" t="s">
        <v>331</v>
      </c>
      <c r="I203" s="29" t="s">
        <v>332</v>
      </c>
      <c r="J203" s="71" t="s">
        <v>235</v>
      </c>
    </row>
    <row r="204" spans="2:10" ht="15">
      <c r="B204" s="29" t="s">
        <v>243</v>
      </c>
      <c r="C204" s="29" t="s">
        <v>241</v>
      </c>
      <c r="D204" s="41">
        <f>COUNTIFS('UMUR 2021'!$X$3:$X$84,"&lt;30.00%",'UMUR 2021'!$AG$3:$AG$84,"="&amp;B204)</f>
        <v>0</v>
      </c>
      <c r="E204" s="41">
        <f>COUNTIFS('UMUR 2021'!$X$3:$X$84,"&gt;=30.00%",'UMUR 2021'!$X$3:$X$84,"&lt;40.00%",'UMUR 2021'!$AG$3:$AG$84,"="&amp;B204)</f>
        <v>0</v>
      </c>
      <c r="F204" s="41">
        <f>COUNTIFS('UMUR 2021'!$X$3:$X$84,"&gt;=40.00%",'UMUR 2021'!$X$3:$X$84,"&lt;50.00%",'UMUR 2021'!$AG$3:$AG$84,"="&amp;B204)</f>
        <v>0</v>
      </c>
      <c r="G204" s="41">
        <f>COUNTIFS('UMUR 2021'!$X$3:$X$84,"&gt;=50.00%",'UMUR 2021'!$X$3:$X$84,"&lt;60.00%",'UMUR 2021'!$AG$3:$AG$84,"="&amp;B204)</f>
        <v>0</v>
      </c>
      <c r="H204" s="41">
        <f>COUNTIFS('UMUR 2021'!$X$3:$X$84,"&gt;=60.00%",'UMUR 2021'!$X$3:$X$84,"&lt;70.00%",'UMUR 2021'!$AG$3:$AG$84,"="&amp;B204)</f>
        <v>0</v>
      </c>
      <c r="I204" s="41">
        <f>COUNTIFS('UMUR 2021'!$X$3:$X$84,"&gt;=70.00%",'UMUR 2021'!$AG$3:$AG$84,"="&amp;B204)</f>
        <v>0</v>
      </c>
      <c r="J204" s="63">
        <f>SUM(D204:I204)</f>
        <v>0</v>
      </c>
    </row>
    <row r="205" spans="2:10" ht="15">
      <c r="B205" s="29" t="s">
        <v>239</v>
      </c>
      <c r="C205" s="29" t="s">
        <v>241</v>
      </c>
      <c r="D205" s="41">
        <f>COUNTIFS('UMUR 2021'!$X$3:$X$84,"&lt;30.00%",'UMUR 2021'!$AG$3:$AG$84,"="&amp;B205)</f>
        <v>0</v>
      </c>
      <c r="E205" s="41">
        <f>COUNTIFS('UMUR 2021'!$X$3:$X$84,"&gt;=30.00%",'UMUR 2021'!$X$3:$X$84,"&lt;40.00%",'UMUR 2021'!$AG$3:$AG$84,"="&amp;B205)</f>
        <v>0</v>
      </c>
      <c r="F205" s="41">
        <f>COUNTIFS('UMUR 2021'!$X$3:$X$84,"&gt;=40.00%",'UMUR 2021'!$X$3:$X$84,"&lt;50.00%",'UMUR 2021'!$AG$3:$AG$84,"="&amp;B205)</f>
        <v>3</v>
      </c>
      <c r="G205" s="41">
        <f>COUNTIFS('UMUR 2021'!$X$3:$X$84,"&gt;=50.00%",'UMUR 2021'!$X$3:$X$84,"&lt;60.00%",'UMUR 2021'!$AG$3:$AG$84,"="&amp;B205)</f>
        <v>0</v>
      </c>
      <c r="H205" s="41">
        <f>COUNTIFS('UMUR 2021'!$X$3:$X$84,"&gt;=60.00%",'UMUR 2021'!$X$3:$X$84,"&lt;70.00%",'UMUR 2021'!$AG$3:$AG$84,"="&amp;B205)</f>
        <v>1</v>
      </c>
      <c r="I205" s="41">
        <f>COUNTIFS('UMUR 2021'!$X$3:$X$84,"&gt;=70.00%",'UMUR 2021'!$AG$3:$AG$84,"="&amp;B205)</f>
        <v>1</v>
      </c>
      <c r="J205" s="63">
        <f t="shared" ref="J205:J220" si="7">SUM(D205:I205)</f>
        <v>5</v>
      </c>
    </row>
    <row r="206" spans="2:10" ht="15">
      <c r="B206" s="29" t="s">
        <v>240</v>
      </c>
      <c r="C206" s="29" t="s">
        <v>241</v>
      </c>
      <c r="D206" s="41">
        <f>COUNTIFS('UMUR 2021'!$X$3:$X$84,"&lt;30.00%",'UMUR 2021'!$AG$3:$AG$84,"="&amp;B206)</f>
        <v>0</v>
      </c>
      <c r="E206" s="41">
        <f>COUNTIFS('UMUR 2021'!$X$3:$X$84,"&gt;=30.00%",'UMUR 2021'!$X$3:$X$84,"&lt;40.00%",'UMUR 2021'!$AG$3:$AG$84,"="&amp;B206)</f>
        <v>0</v>
      </c>
      <c r="F206" s="41">
        <f>COUNTIFS('UMUR 2021'!$X$3:$X$84,"&gt;=40.00%",'UMUR 2021'!$X$3:$X$84,"&lt;50.00%",'UMUR 2021'!$AG$3:$AG$84,"="&amp;B206)</f>
        <v>0</v>
      </c>
      <c r="G206" s="41">
        <f>COUNTIFS('UMUR 2021'!$X$3:$X$84,"&gt;=50.00%",'UMUR 2021'!$X$3:$X$84,"&lt;60.00%",'UMUR 2021'!$AG$3:$AG$84,"="&amp;B206)</f>
        <v>1</v>
      </c>
      <c r="H206" s="41">
        <f>COUNTIFS('UMUR 2021'!$X$3:$X$84,"&gt;=60.00%",'UMUR 2021'!$X$3:$X$84,"&lt;70.00%",'UMUR 2021'!$AG$3:$AG$84,"="&amp;B206)</f>
        <v>0</v>
      </c>
      <c r="I206" s="41">
        <f>COUNTIFS('UMUR 2021'!$X$3:$X$84,"&gt;=70.00%",'UMUR 2021'!$AG$3:$AG$84,"="&amp;B206)</f>
        <v>0</v>
      </c>
      <c r="J206" s="63">
        <f t="shared" si="7"/>
        <v>1</v>
      </c>
    </row>
    <row r="207" spans="2:10" ht="15">
      <c r="B207" s="29" t="s">
        <v>249</v>
      </c>
      <c r="C207" s="29" t="s">
        <v>241</v>
      </c>
      <c r="D207" s="41">
        <f>COUNTIFS('UMUR 2021'!$X$3:$X$84,"&lt;30.00%",'UMUR 2021'!$AG$3:$AG$84,"="&amp;B207)</f>
        <v>0</v>
      </c>
      <c r="E207" s="41">
        <f>COUNTIFS('UMUR 2021'!$X$3:$X$84,"&gt;=30.00%",'UMUR 2021'!$X$3:$X$84,"&lt;40.00%",'UMUR 2021'!$AG$3:$AG$84,"="&amp;B207)</f>
        <v>0</v>
      </c>
      <c r="F207" s="41">
        <f>COUNTIFS('UMUR 2021'!$X$3:$X$84,"&gt;=40.00%",'UMUR 2021'!$X$3:$X$84,"&lt;50.00%",'UMUR 2021'!$AG$3:$AG$84,"="&amp;B207)</f>
        <v>0</v>
      </c>
      <c r="G207" s="41">
        <f>COUNTIFS('UMUR 2021'!$X$3:$X$84,"&gt;=50.00%",'UMUR 2021'!$X$3:$X$84,"&lt;60.00%",'UMUR 2021'!$AG$3:$AG$84,"="&amp;B207)</f>
        <v>0</v>
      </c>
      <c r="H207" s="41">
        <f>COUNTIFS('UMUR 2021'!$X$3:$X$84,"&gt;=60.00%",'UMUR 2021'!$X$3:$X$84,"&lt;70.00%",'UMUR 2021'!$AG$3:$AG$84,"="&amp;B207)</f>
        <v>0</v>
      </c>
      <c r="I207" s="41">
        <f>COUNTIFS('UMUR 2021'!$X$3:$X$84,"&gt;=70.00%",'UMUR 2021'!$AG$3:$AG$84,"="&amp;B207)</f>
        <v>0</v>
      </c>
      <c r="J207" s="63">
        <f t="shared" si="7"/>
        <v>0</v>
      </c>
    </row>
    <row r="208" spans="2:10" ht="15">
      <c r="B208" s="29" t="s">
        <v>244</v>
      </c>
      <c r="C208" s="29" t="s">
        <v>245</v>
      </c>
      <c r="D208" s="41">
        <f>COUNTIFS('UMUR 2021'!$X$3:$X$84,"&lt;30.00%",'UMUR 2021'!$AG$3:$AG$84,"="&amp;B208)</f>
        <v>0</v>
      </c>
      <c r="E208" s="41">
        <f>COUNTIFS('UMUR 2021'!$X$3:$X$84,"&gt;=30.00%",'UMUR 2021'!$X$3:$X$84,"&lt;40.00%",'UMUR 2021'!$AG$3:$AG$84,"="&amp;B208)</f>
        <v>0</v>
      </c>
      <c r="F208" s="41">
        <f>COUNTIFS('UMUR 2021'!$X$3:$X$84,"&gt;=40.00%",'UMUR 2021'!$X$3:$X$84,"&lt;50.00%",'UMUR 2021'!$AG$3:$AG$84,"="&amp;B208)</f>
        <v>5</v>
      </c>
      <c r="G208" s="41">
        <f>COUNTIFS('UMUR 2021'!$X$3:$X$84,"&gt;=50.00%",'UMUR 2021'!$X$3:$X$84,"&lt;60.00%",'UMUR 2021'!$AG$3:$AG$84,"="&amp;B208)</f>
        <v>6</v>
      </c>
      <c r="H208" s="41">
        <f>COUNTIFS('UMUR 2021'!$X$3:$X$84,"&gt;=60.00%",'UMUR 2021'!$X$3:$X$84,"&lt;70.00%",'UMUR 2021'!$AG$3:$AG$84,"="&amp;B208)</f>
        <v>1</v>
      </c>
      <c r="I208" s="41">
        <f>COUNTIFS('UMUR 2021'!$X$3:$X$84,"&gt;=70.00%",'UMUR 2021'!$AG$3:$AG$84,"="&amp;B208)</f>
        <v>0</v>
      </c>
      <c r="J208" s="63">
        <f t="shared" si="7"/>
        <v>12</v>
      </c>
    </row>
    <row r="209" spans="2:10" ht="15">
      <c r="B209" s="29" t="s">
        <v>253</v>
      </c>
      <c r="C209" s="29" t="s">
        <v>245</v>
      </c>
      <c r="D209" s="41">
        <f>COUNTIFS('UMUR 2021'!$X$3:$X$84,"&lt;30.00%",'UMUR 2021'!$AG$3:$AG$84,"="&amp;B209)</f>
        <v>0</v>
      </c>
      <c r="E209" s="41">
        <f>COUNTIFS('UMUR 2021'!$X$3:$X$84,"&gt;=30.00%",'UMUR 2021'!$X$3:$X$84,"&lt;40.00%",'UMUR 2021'!$AG$3:$AG$84,"="&amp;B209)</f>
        <v>0</v>
      </c>
      <c r="F209" s="41">
        <f>COUNTIFS('UMUR 2021'!$X$3:$X$84,"&gt;=40.00%",'UMUR 2021'!$X$3:$X$84,"&lt;50.00%",'UMUR 2021'!$AG$3:$AG$84,"="&amp;B209)</f>
        <v>0</v>
      </c>
      <c r="G209" s="41">
        <f>COUNTIFS('UMUR 2021'!$X$3:$X$84,"&gt;=50.00%",'UMUR 2021'!$X$3:$X$84,"&lt;60.00%",'UMUR 2021'!$AG$3:$AG$84,"="&amp;B209)</f>
        <v>2</v>
      </c>
      <c r="H209" s="41">
        <f>COUNTIFS('UMUR 2021'!$X$3:$X$84,"&gt;=60.00%",'UMUR 2021'!$X$3:$X$84,"&lt;70.00%",'UMUR 2021'!$AG$3:$AG$84,"="&amp;B209)</f>
        <v>1</v>
      </c>
      <c r="I209" s="41">
        <f>COUNTIFS('UMUR 2021'!$X$3:$X$84,"&gt;=70.00%",'UMUR 2021'!$AG$3:$AG$84,"="&amp;B209)</f>
        <v>1</v>
      </c>
      <c r="J209" s="63">
        <f t="shared" si="7"/>
        <v>4</v>
      </c>
    </row>
    <row r="210" spans="2:10" ht="15">
      <c r="B210" s="29" t="s">
        <v>254</v>
      </c>
      <c r="C210" s="29" t="s">
        <v>245</v>
      </c>
      <c r="D210" s="41">
        <f>COUNTIFS('UMUR 2021'!$X$3:$X$84,"&lt;30.00%",'UMUR 2021'!$AG$3:$AG$84,"="&amp;B210)</f>
        <v>0</v>
      </c>
      <c r="E210" s="41">
        <f>COUNTIFS('UMUR 2021'!$X$3:$X$84,"&gt;=30.00%",'UMUR 2021'!$X$3:$X$84,"&lt;40.00%",'UMUR 2021'!$AG$3:$AG$84,"="&amp;B210)</f>
        <v>0</v>
      </c>
      <c r="F210" s="41">
        <f>COUNTIFS('UMUR 2021'!$X$3:$X$84,"&gt;=40.00%",'UMUR 2021'!$X$3:$X$84,"&lt;50.00%",'UMUR 2021'!$AG$3:$AG$84,"="&amp;B210)</f>
        <v>0</v>
      </c>
      <c r="G210" s="41">
        <f>COUNTIFS('UMUR 2021'!$X$3:$X$84,"&gt;=50.00%",'UMUR 2021'!$X$3:$X$84,"&lt;60.00%",'UMUR 2021'!$AG$3:$AG$84,"="&amp;B210)</f>
        <v>0</v>
      </c>
      <c r="H210" s="41">
        <f>COUNTIFS('UMUR 2021'!$X$3:$X$84,"&gt;=60.00%",'UMUR 2021'!$X$3:$X$84,"&lt;70.00%",'UMUR 2021'!$AG$3:$AG$84,"="&amp;B210)</f>
        <v>2</v>
      </c>
      <c r="I210" s="41">
        <f>COUNTIFS('UMUR 2021'!$X$3:$X$84,"&gt;=70.00%",'UMUR 2021'!$AG$3:$AG$84,"="&amp;B210)</f>
        <v>0</v>
      </c>
      <c r="J210" s="63">
        <f t="shared" si="7"/>
        <v>2</v>
      </c>
    </row>
    <row r="211" spans="2:10" ht="15">
      <c r="B211" s="29" t="s">
        <v>252</v>
      </c>
      <c r="C211" s="29" t="s">
        <v>252</v>
      </c>
      <c r="D211" s="41">
        <f>COUNTIFS('UMUR 2021'!$X$3:$X$84,"&lt;30.00%",'UMUR 2021'!$AG$3:$AG$84,"="&amp;B211)</f>
        <v>0</v>
      </c>
      <c r="E211" s="41">
        <f>COUNTIFS('UMUR 2021'!$X$3:$X$84,"&gt;=30.00%",'UMUR 2021'!$X$3:$X$84,"&lt;40.00%",'UMUR 2021'!$AG$3:$AG$84,"="&amp;B211)</f>
        <v>0</v>
      </c>
      <c r="F211" s="41">
        <f>COUNTIFS('UMUR 2021'!$X$3:$X$84,"&gt;=40.00%",'UMUR 2021'!$X$3:$X$84,"&lt;50.00%",'UMUR 2021'!$AG$3:$AG$84,"="&amp;B211)</f>
        <v>1</v>
      </c>
      <c r="G211" s="41">
        <f>COUNTIFS('UMUR 2021'!$X$3:$X$84,"&gt;=50.00%",'UMUR 2021'!$X$3:$X$84,"&lt;60.00%",'UMUR 2021'!$AG$3:$AG$84,"="&amp;B211)</f>
        <v>7</v>
      </c>
      <c r="H211" s="41">
        <f>COUNTIFS('UMUR 2021'!$X$3:$X$84,"&gt;=60.00%",'UMUR 2021'!$X$3:$X$84,"&lt;70.00%",'UMUR 2021'!$AG$3:$AG$84,"="&amp;B211)</f>
        <v>27</v>
      </c>
      <c r="I211" s="41">
        <f>COUNTIFS('UMUR 2021'!$X$3:$X$84,"&gt;=70.00%",'UMUR 2021'!$AG$3:$AG$84,"="&amp;B211)</f>
        <v>14</v>
      </c>
      <c r="J211" s="63">
        <f t="shared" si="7"/>
        <v>49</v>
      </c>
    </row>
    <row r="212" spans="2:10" ht="15">
      <c r="B212" s="29" t="s">
        <v>301</v>
      </c>
      <c r="C212" s="29" t="s">
        <v>279</v>
      </c>
      <c r="D212" s="41">
        <f>COUNTIFS('UMUR 2021'!$X$3:$X$84,"&lt;30.00%",'UMUR 2021'!$AG$3:$AG$84,"="&amp;B212)</f>
        <v>0</v>
      </c>
      <c r="E212" s="41">
        <f>COUNTIFS('UMUR 2021'!$X$3:$X$84,"&gt;=30.00%",'UMUR 2021'!$X$3:$X$84,"&lt;40.00%",'UMUR 2021'!$AG$3:$AG$84,"="&amp;B212)</f>
        <v>0</v>
      </c>
      <c r="F212" s="41">
        <f>COUNTIFS('UMUR 2021'!$X$3:$X$84,"&gt;=40.00%",'UMUR 2021'!$X$3:$X$84,"&lt;50.00%",'UMUR 2021'!$AG$3:$AG$84,"="&amp;B212)</f>
        <v>0</v>
      </c>
      <c r="G212" s="41">
        <f>COUNTIFS('UMUR 2021'!$X$3:$X$84,"&gt;=50.00%",'UMUR 2021'!$X$3:$X$84,"&lt;60.00%",'UMUR 2021'!$AG$3:$AG$84,"="&amp;B212)</f>
        <v>0</v>
      </c>
      <c r="H212" s="41">
        <f>COUNTIFS('UMUR 2021'!$X$3:$X$84,"&gt;=60.00%",'UMUR 2021'!$X$3:$X$84,"&lt;70.00%",'UMUR 2021'!$AG$3:$AG$84,"="&amp;B212)</f>
        <v>2</v>
      </c>
      <c r="I212" s="41">
        <f>COUNTIFS('UMUR 2021'!$X$3:$X$84,"&gt;=70.00%",'UMUR 2021'!$AG$3:$AG$84,"="&amp;B212)</f>
        <v>0</v>
      </c>
      <c r="J212" s="63">
        <f t="shared" si="7"/>
        <v>2</v>
      </c>
    </row>
    <row r="213" spans="2:10" ht="15">
      <c r="B213" s="29" t="s">
        <v>302</v>
      </c>
      <c r="C213" s="29" t="s">
        <v>279</v>
      </c>
      <c r="D213" s="41">
        <f>COUNTIFS('UMUR 2021'!$X$3:$X$84,"&lt;30.00%",'UMUR 2021'!$AG$3:$AG$84,"="&amp;B213)</f>
        <v>0</v>
      </c>
      <c r="E213" s="41">
        <f>COUNTIFS('UMUR 2021'!$X$3:$X$84,"&gt;=30.00%",'UMUR 2021'!$X$3:$X$84,"&lt;40.00%",'UMUR 2021'!$AG$3:$AG$84,"="&amp;B213)</f>
        <v>0</v>
      </c>
      <c r="F213" s="41">
        <f>COUNTIFS('UMUR 2021'!$X$3:$X$84,"&gt;=40.00%",'UMUR 2021'!$X$3:$X$84,"&lt;50.00%",'UMUR 2021'!$AG$3:$AG$84,"="&amp;B213)</f>
        <v>0</v>
      </c>
      <c r="G213" s="41">
        <f>COUNTIFS('UMUR 2021'!$X$3:$X$84,"&gt;=50.00%",'UMUR 2021'!$X$3:$X$84,"&lt;60.00%",'UMUR 2021'!$AG$3:$AG$84,"="&amp;B213)</f>
        <v>0</v>
      </c>
      <c r="H213" s="41">
        <f>COUNTIFS('UMUR 2021'!$X$3:$X$84,"&gt;=60.00%",'UMUR 2021'!$X$3:$X$84,"&lt;70.00%",'UMUR 2021'!$AG$3:$AG$84,"="&amp;B213)</f>
        <v>0</v>
      </c>
      <c r="I213" s="41">
        <f>COUNTIFS('UMUR 2021'!$X$3:$X$84,"&gt;=70.00%",'UMUR 2021'!$AG$3:$AG$84,"="&amp;B213)</f>
        <v>0</v>
      </c>
      <c r="J213" s="63">
        <f t="shared" si="7"/>
        <v>0</v>
      </c>
    </row>
    <row r="214" spans="2:10" ht="15">
      <c r="B214" s="29" t="s">
        <v>303</v>
      </c>
      <c r="C214" s="29" t="s">
        <v>279</v>
      </c>
      <c r="D214" s="41">
        <f>COUNTIFS('UMUR 2021'!$X$3:$X$84,"&lt;30.00%",'UMUR 2021'!$AG$3:$AG$84,"="&amp;B214)</f>
        <v>0</v>
      </c>
      <c r="E214" s="41">
        <f>COUNTIFS('UMUR 2021'!$X$3:$X$84,"&gt;=30.00%",'UMUR 2021'!$X$3:$X$84,"&lt;40.00%",'UMUR 2021'!$AG$3:$AG$84,"="&amp;B214)</f>
        <v>0</v>
      </c>
      <c r="F214" s="41">
        <f>COUNTIFS('UMUR 2021'!$X$3:$X$84,"&gt;=40.00%",'UMUR 2021'!$X$3:$X$84,"&lt;50.00%",'UMUR 2021'!$AG$3:$AG$84,"="&amp;B214)</f>
        <v>0</v>
      </c>
      <c r="G214" s="41">
        <f>COUNTIFS('UMUR 2021'!$X$3:$X$84,"&gt;=50.00%",'UMUR 2021'!$X$3:$X$84,"&lt;60.00%",'UMUR 2021'!$AG$3:$AG$84,"="&amp;B214)</f>
        <v>0</v>
      </c>
      <c r="H214" s="41">
        <f>COUNTIFS('UMUR 2021'!$X$3:$X$84,"&gt;=60.00%",'UMUR 2021'!$X$3:$X$84,"&lt;70.00%",'UMUR 2021'!$AG$3:$AG$84,"="&amp;B214)</f>
        <v>0</v>
      </c>
      <c r="I214" s="41">
        <f>COUNTIFS('UMUR 2021'!$X$3:$X$84,"&gt;=70.00%",'UMUR 2021'!$AG$3:$AG$84,"="&amp;B214)</f>
        <v>0</v>
      </c>
      <c r="J214" s="63">
        <f t="shared" si="7"/>
        <v>0</v>
      </c>
    </row>
    <row r="215" spans="2:10" ht="15">
      <c r="B215" s="29" t="s">
        <v>304</v>
      </c>
      <c r="C215" s="29" t="s">
        <v>279</v>
      </c>
      <c r="D215" s="41">
        <f>COUNTIFS('UMUR 2021'!$X$3:$X$84,"&lt;30.00%",'UMUR 2021'!$AG$3:$AG$84,"="&amp;B215)</f>
        <v>0</v>
      </c>
      <c r="E215" s="41">
        <f>COUNTIFS('UMUR 2021'!$X$3:$X$84,"&gt;=30.00%",'UMUR 2021'!$X$3:$X$84,"&lt;40.00%",'UMUR 2021'!$AG$3:$AG$84,"="&amp;B215)</f>
        <v>0</v>
      </c>
      <c r="F215" s="41">
        <f>COUNTIFS('UMUR 2021'!$X$3:$X$84,"&gt;=40.00%",'UMUR 2021'!$X$3:$X$84,"&lt;50.00%",'UMUR 2021'!$AG$3:$AG$84,"="&amp;B215)</f>
        <v>0</v>
      </c>
      <c r="G215" s="41">
        <f>COUNTIFS('UMUR 2021'!$X$3:$X$84,"&gt;=50.00%",'UMUR 2021'!$X$3:$X$84,"&lt;60.00%",'UMUR 2021'!$AG$3:$AG$84,"="&amp;B215)</f>
        <v>0</v>
      </c>
      <c r="H215" s="41">
        <f>COUNTIFS('UMUR 2021'!$X$3:$X$84,"&gt;=60.00%",'UMUR 2021'!$X$3:$X$84,"&lt;70.00%",'UMUR 2021'!$AG$3:$AG$84,"="&amp;B215)</f>
        <v>0</v>
      </c>
      <c r="I215" s="41">
        <f>COUNTIFS('UMUR 2021'!$X$3:$X$84,"&gt;=70.00%",'UMUR 2021'!$AG$3:$AG$84,"="&amp;B215)</f>
        <v>0</v>
      </c>
      <c r="J215" s="63">
        <f t="shared" si="7"/>
        <v>0</v>
      </c>
    </row>
    <row r="216" spans="2:10" ht="15">
      <c r="B216" s="29" t="s">
        <v>250</v>
      </c>
      <c r="C216" s="29" t="s">
        <v>246</v>
      </c>
      <c r="D216" s="41">
        <f>COUNTIFS('UMUR 2021'!$X$3:$X$84,"&lt;30.00%",'UMUR 2021'!$AG$3:$AG$84,"="&amp;B216)</f>
        <v>0</v>
      </c>
      <c r="E216" s="41">
        <f>COUNTIFS('UMUR 2021'!$X$3:$X$84,"&gt;=30.00%",'UMUR 2021'!$X$3:$X$84,"&lt;40.00%",'UMUR 2021'!$AG$3:$AG$84,"="&amp;B216)</f>
        <v>0</v>
      </c>
      <c r="F216" s="41">
        <f>COUNTIFS('UMUR 2021'!$X$3:$X$84,"&gt;=40.00%",'UMUR 2021'!$X$3:$X$84,"&lt;50.00%",'UMUR 2021'!$AG$3:$AG$84,"="&amp;B216)</f>
        <v>0</v>
      </c>
      <c r="G216" s="41">
        <f>COUNTIFS('UMUR 2021'!$X$3:$X$84,"&gt;=50.00%",'UMUR 2021'!$X$3:$X$84,"&lt;60.00%",'UMUR 2021'!$AG$3:$AG$84,"="&amp;B216)</f>
        <v>0</v>
      </c>
      <c r="H216" s="41">
        <f>COUNTIFS('UMUR 2021'!$X$3:$X$84,"&gt;=60.00%",'UMUR 2021'!$X$3:$X$84,"&lt;70.00%",'UMUR 2021'!$AG$3:$AG$84,"="&amp;B216)</f>
        <v>1</v>
      </c>
      <c r="I216" s="41">
        <f>COUNTIFS('UMUR 2021'!$X$3:$X$84,"&gt;=70.00%",'UMUR 2021'!$AG$3:$AG$84,"="&amp;B216)</f>
        <v>0</v>
      </c>
      <c r="J216" s="63">
        <f t="shared" si="7"/>
        <v>1</v>
      </c>
    </row>
    <row r="217" spans="2:10" ht="15">
      <c r="B217" s="29" t="s">
        <v>248</v>
      </c>
      <c r="C217" s="29" t="s">
        <v>246</v>
      </c>
      <c r="D217" s="41">
        <f>COUNTIFS('UMUR 2021'!$X$3:$X$84,"&lt;30.00%",'UMUR 2021'!$AG$3:$AG$84,"="&amp;B217)</f>
        <v>0</v>
      </c>
      <c r="E217" s="41">
        <f>COUNTIFS('UMUR 2021'!$X$3:$X$84,"&gt;=30.00%",'UMUR 2021'!$X$3:$X$84,"&lt;40.00%",'UMUR 2021'!$AG$3:$AG$84,"="&amp;B217)</f>
        <v>0</v>
      </c>
      <c r="F217" s="41">
        <f>COUNTIFS('UMUR 2021'!$X$3:$X$84,"&gt;=40.00%",'UMUR 2021'!$X$3:$X$84,"&lt;50.00%",'UMUR 2021'!$AG$3:$AG$84,"="&amp;B217)</f>
        <v>0</v>
      </c>
      <c r="G217" s="41">
        <f>COUNTIFS('UMUR 2021'!$X$3:$X$84,"&gt;=50.00%",'UMUR 2021'!$X$3:$X$84,"&lt;60.00%",'UMUR 2021'!$AG$3:$AG$84,"="&amp;B217)</f>
        <v>0</v>
      </c>
      <c r="H217" s="41">
        <f>COUNTIFS('UMUR 2021'!$X$3:$X$84,"&gt;=60.00%",'UMUR 2021'!$X$3:$X$84,"&lt;70.00%",'UMUR 2021'!$AG$3:$AG$84,"="&amp;B217)</f>
        <v>0</v>
      </c>
      <c r="I217" s="41">
        <f>COUNTIFS('UMUR 2021'!$X$3:$X$84,"&gt;=70.00%",'UMUR 2021'!$AG$3:$AG$84,"="&amp;B217)</f>
        <v>0</v>
      </c>
      <c r="J217" s="63">
        <f t="shared" si="7"/>
        <v>0</v>
      </c>
    </row>
    <row r="218" spans="2:10" ht="15">
      <c r="B218" s="29" t="s">
        <v>305</v>
      </c>
      <c r="C218" s="29" t="s">
        <v>305</v>
      </c>
      <c r="D218" s="41">
        <f>COUNTIFS('UMUR 2021'!$X$3:$X$84,"&lt;30.00%",'UMUR 2021'!$AG$3:$AG$84,"="&amp;B218)</f>
        <v>0</v>
      </c>
      <c r="E218" s="41">
        <f>COUNTIFS('UMUR 2021'!$X$3:$X$84,"&gt;=30.00%",'UMUR 2021'!$X$3:$X$84,"&lt;40.00%",'UMUR 2021'!$AG$3:$AG$84,"="&amp;B218)</f>
        <v>0</v>
      </c>
      <c r="F218" s="41">
        <f>COUNTIFS('UMUR 2021'!$X$3:$X$84,"&gt;=40.00%",'UMUR 2021'!$X$3:$X$84,"&lt;50.00%",'UMUR 2021'!$AG$3:$AG$84,"="&amp;B218)</f>
        <v>0</v>
      </c>
      <c r="G218" s="41">
        <f>COUNTIFS('UMUR 2021'!$X$3:$X$84,"&gt;=50.00%",'UMUR 2021'!$X$3:$X$84,"&lt;60.00%",'UMUR 2021'!$AG$3:$AG$84,"="&amp;B218)</f>
        <v>0</v>
      </c>
      <c r="H218" s="41">
        <f>COUNTIFS('UMUR 2021'!$X$3:$X$84,"&gt;=60.00%",'UMUR 2021'!$X$3:$X$84,"&lt;70.00%",'UMUR 2021'!$AG$3:$AG$84,"="&amp;B218)</f>
        <v>0</v>
      </c>
      <c r="I218" s="41">
        <f>COUNTIFS('UMUR 2021'!$X$3:$X$84,"&gt;=70.00%",'UMUR 2021'!$AG$3:$AG$84,"="&amp;B218)</f>
        <v>0</v>
      </c>
      <c r="J218" s="63">
        <f t="shared" si="7"/>
        <v>0</v>
      </c>
    </row>
    <row r="219" spans="2:10" ht="15">
      <c r="B219" s="29" t="s">
        <v>306</v>
      </c>
      <c r="C219" s="29" t="s">
        <v>306</v>
      </c>
      <c r="D219" s="41">
        <f>COUNTIFS('UMUR 2021'!$X$3:$X$84,"&lt;30.00%",'UMUR 2021'!$AG$3:$AG$84,"="&amp;B219)</f>
        <v>0</v>
      </c>
      <c r="E219" s="41">
        <f>COUNTIFS('UMUR 2021'!$X$3:$X$84,"&gt;=30.00%",'UMUR 2021'!$X$3:$X$84,"&lt;40.00%",'UMUR 2021'!$AG$3:$AG$84,"="&amp;B219)</f>
        <v>0</v>
      </c>
      <c r="F219" s="41">
        <f>COUNTIFS('UMUR 2021'!$X$3:$X$84,"&gt;=40.00%",'UMUR 2021'!$X$3:$X$84,"&lt;50.00%",'UMUR 2021'!$AG$3:$AG$84,"="&amp;B219)</f>
        <v>0</v>
      </c>
      <c r="G219" s="41">
        <f>COUNTIFS('UMUR 2021'!$X$3:$X$84,"&gt;=50.00%",'UMUR 2021'!$X$3:$X$84,"&lt;60.00%",'UMUR 2021'!$AG$3:$AG$84,"="&amp;B219)</f>
        <v>0</v>
      </c>
      <c r="H219" s="41">
        <f>COUNTIFS('UMUR 2021'!$X$3:$X$84,"&gt;=60.00%",'UMUR 2021'!$X$3:$X$84,"&lt;70.00%",'UMUR 2021'!$AG$3:$AG$84,"="&amp;B219)</f>
        <v>0</v>
      </c>
      <c r="I219" s="41">
        <f>COUNTIFS('UMUR 2021'!$X$3:$X$84,"&gt;=70.00%",'UMUR 2021'!$AG$3:$AG$84,"="&amp;B219)</f>
        <v>0</v>
      </c>
      <c r="J219" s="63">
        <f t="shared" si="7"/>
        <v>0</v>
      </c>
    </row>
    <row r="220" spans="2:10" ht="15">
      <c r="B220" s="29" t="s">
        <v>251</v>
      </c>
      <c r="C220" s="29" t="s">
        <v>251</v>
      </c>
      <c r="D220" s="41">
        <f>COUNTIFS('UMUR 2021'!$X$3:$X$84,"&lt;30.00%",'UMUR 2021'!$AG$3:$AG$84,"="&amp;B220)</f>
        <v>0</v>
      </c>
      <c r="E220" s="41">
        <f>COUNTIFS('UMUR 2021'!$X$3:$X$84,"&gt;=30.00%",'UMUR 2021'!$X$3:$X$84,"&lt;40.00%",'UMUR 2021'!$AG$3:$AG$84,"="&amp;B220)</f>
        <v>0</v>
      </c>
      <c r="F220" s="41">
        <f>COUNTIFS('UMUR 2021'!$X$3:$X$84,"&gt;=40.00%",'UMUR 2021'!$X$3:$X$84,"&lt;50.00%",'UMUR 2021'!$AG$3:$AG$84,"="&amp;B220)</f>
        <v>0</v>
      </c>
      <c r="G220" s="41">
        <f>COUNTIFS('UMUR 2021'!$X$3:$X$84,"&gt;=50.00%",'UMUR 2021'!$X$3:$X$84,"&lt;60.00%",'UMUR 2021'!$AG$3:$AG$84,"="&amp;B220)</f>
        <v>0</v>
      </c>
      <c r="H220" s="41">
        <f>COUNTIFS('UMUR 2021'!$X$3:$X$84,"&gt;=60.00%",'UMUR 2021'!$X$3:$X$84,"&lt;70.00%",'UMUR 2021'!$AG$3:$AG$84,"="&amp;B220)</f>
        <v>3</v>
      </c>
      <c r="I220" s="41">
        <f>COUNTIFS('UMUR 2021'!$X$3:$X$84,"&gt;=70.00%",'UMUR 2021'!$AG$3:$AG$84,"="&amp;B220)</f>
        <v>3</v>
      </c>
      <c r="J220" s="63">
        <f t="shared" si="7"/>
        <v>6</v>
      </c>
    </row>
    <row r="222" spans="2:10" ht="15">
      <c r="I222" s="70" t="s">
        <v>235</v>
      </c>
      <c r="J222" s="63">
        <f>SUM(J204:J220)</f>
        <v>82</v>
      </c>
    </row>
    <row r="228" spans="2:12" ht="14.25" customHeight="1">
      <c r="B228" s="89" t="s">
        <v>354</v>
      </c>
      <c r="C228" s="89"/>
      <c r="D228" s="89"/>
      <c r="E228" s="89"/>
      <c r="F228" s="89"/>
      <c r="G228" s="89"/>
      <c r="H228" s="89"/>
      <c r="I228" s="89"/>
      <c r="J228" s="89"/>
      <c r="K228" s="89"/>
      <c r="L228" s="89"/>
    </row>
    <row r="229" spans="2:12" ht="14.25" customHeight="1"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</row>
    <row r="231" spans="2:12" ht="15">
      <c r="B231" s="26" t="s">
        <v>236</v>
      </c>
      <c r="C231" s="26" t="s">
        <v>237</v>
      </c>
      <c r="D231" s="29" t="s">
        <v>329</v>
      </c>
      <c r="E231" s="29" t="s">
        <v>319</v>
      </c>
      <c r="F231" s="29" t="s">
        <v>320</v>
      </c>
      <c r="G231" s="29" t="s">
        <v>330</v>
      </c>
      <c r="H231" s="29" t="s">
        <v>331</v>
      </c>
      <c r="I231" s="29" t="s">
        <v>355</v>
      </c>
      <c r="J231" s="29" t="s">
        <v>356</v>
      </c>
      <c r="K231" s="29" t="s">
        <v>357</v>
      </c>
      <c r="L231" s="71" t="s">
        <v>235</v>
      </c>
    </row>
    <row r="232" spans="2:12" ht="15">
      <c r="B232" s="29" t="s">
        <v>243</v>
      </c>
      <c r="C232" s="29" t="s">
        <v>241</v>
      </c>
      <c r="D232" s="41">
        <f>COUNTIFS('UMUR 2021'!$AF$3:$AF$84,"&lt;30.00%",'UMUR 2021'!$AC$3:$AC$84,"="&amp;B232)</f>
        <v>0</v>
      </c>
      <c r="E232" s="41">
        <f>COUNTIFS('UMUR 2021'!$AF$3:$AF$84,"&gt;=30.00%",'UMUR 2021'!$AF$3:$AF$84,"&lt;40.00%",'UMUR 2021'!$AC$3:$AC$84,"="&amp;B232)</f>
        <v>0</v>
      </c>
      <c r="F232" s="41">
        <f>COUNTIFS('UMUR 2021'!$AF$3:$AF$84,"&gt;=40.00%",'UMUR 2021'!$AF$3:$AF$84,"&lt;50.00%",'UMUR 2021'!$AC$3:$AC$84,"="&amp;B232)</f>
        <v>1</v>
      </c>
      <c r="G232" s="41">
        <f>COUNTIFS('UMUR 2021'!$AF$3:$AF$84,"&gt;=50.00%",'UMUR 2021'!$AF$3:$AF$84,"&lt;60.00%",'UMUR 2021'!$AC$3:$AC$84,"="&amp;B232)</f>
        <v>7</v>
      </c>
      <c r="H232" s="41">
        <f>COUNTIFS('UMUR 2021'!$AF$3:$AF$84,"&gt;=60.00%",'UMUR 2021'!$AF$3:$AF$84,"&lt;70.00%",'UMUR 2021'!$AC$3:$AC$84,"="&amp;B232)</f>
        <v>14</v>
      </c>
      <c r="I232" s="41">
        <f>COUNTIFS('UMUR 2021'!$AF$3:$AF$84,"&gt;=70.00%",'UMUR 2021'!$AF$3:$AF$84,"&lt;80.00%",'UMUR 2021'!$AC$3:$AC$84,"="&amp;B232)</f>
        <v>14</v>
      </c>
      <c r="J232" s="41">
        <f>COUNTIFS('UMUR 2021'!$AF$3:$AF$84,"&gt;=80.00%",'UMUR 2021'!$AF$3:$AF$84,"&lt;90.00%",'UMUR 2021'!$AC$3:$AC$84,"="&amp;B232)</f>
        <v>9</v>
      </c>
      <c r="K232" s="41">
        <f>COUNTIFS('UMUR 2021'!$AF$3:$AF$84,"&gt;=90.00%",'UMUR 2021'!$AC$3:$AC$84,"="&amp;B232)</f>
        <v>2</v>
      </c>
      <c r="L232" s="63">
        <f>SUM(D232:K232)</f>
        <v>47</v>
      </c>
    </row>
    <row r="233" spans="2:12" ht="15">
      <c r="B233" s="29" t="s">
        <v>239</v>
      </c>
      <c r="C233" s="29" t="s">
        <v>241</v>
      </c>
      <c r="D233" s="41">
        <f>COUNTIFS('UMUR 2021'!$AF$3:$AF$84,"&lt;30.00%",'UMUR 2021'!$AC$3:$AC$84,"="&amp;B233)</f>
        <v>1</v>
      </c>
      <c r="E233" s="41">
        <f>COUNTIFS('UMUR 2021'!$AF$3:$AF$84,"&gt;=30.00%",'UMUR 2021'!$AF$3:$AF$84,"&lt;40.00%",'UMUR 2021'!$AC$3:$AC$84,"="&amp;B233)</f>
        <v>2</v>
      </c>
      <c r="F233" s="41">
        <f>COUNTIFS('UMUR 2021'!$AF$3:$AF$84,"&gt;=40.00%",'UMUR 2021'!$AF$3:$AF$84,"&lt;50.00%",'UMUR 2021'!$AC$3:$AC$84,"="&amp;B233)</f>
        <v>4</v>
      </c>
      <c r="G233" s="41">
        <f>COUNTIFS('UMUR 2021'!$AF$3:$AF$84,"&gt;=50.00%",'UMUR 2021'!$AF$3:$AF$84,"&lt;60.00%",'UMUR 2021'!$AC$3:$AC$84,"="&amp;B233)</f>
        <v>2</v>
      </c>
      <c r="H233" s="41">
        <f>COUNTIFS('UMUR 2021'!$AF$3:$AF$84,"&gt;=60.00%",'UMUR 2021'!$AF$3:$AF$84,"&lt;70.00%",'UMUR 2021'!$AC$3:$AC$84,"="&amp;B233)</f>
        <v>2</v>
      </c>
      <c r="I233" s="41">
        <f>COUNTIFS('UMUR 2021'!$AF$3:$AF$84,"&gt;=70.00%",'UMUR 2021'!$AF$3:$AF$84,"&lt;80.00%",'UMUR 2021'!$AC$3:$AC$84,"="&amp;B233)</f>
        <v>2</v>
      </c>
      <c r="J233" s="41">
        <f>COUNTIFS('UMUR 2021'!$AF$3:$AF$84,"&gt;=80.00%",'UMUR 2021'!$AF$3:$AF$84,"&lt;90.00%",'UMUR 2021'!$AC$3:$AC$84,"="&amp;B233)</f>
        <v>0</v>
      </c>
      <c r="K233" s="41">
        <f>COUNTIFS('UMUR 2021'!$AF$3:$AF$84,"&gt;=90.00%",'UMUR 2021'!$AC$3:$AC$84,"="&amp;B233)</f>
        <v>0</v>
      </c>
      <c r="L233" s="63">
        <f t="shared" ref="L233:L248" si="8">SUM(D233:K233)</f>
        <v>13</v>
      </c>
    </row>
    <row r="234" spans="2:12" ht="15">
      <c r="B234" s="29" t="s">
        <v>240</v>
      </c>
      <c r="C234" s="29" t="s">
        <v>241</v>
      </c>
      <c r="D234" s="41">
        <f>COUNTIFS('UMUR 2021'!$AF$3:$AF$84,"&lt;30.00%",'UMUR 2021'!$AC$3:$AC$84,"="&amp;B234)</f>
        <v>0</v>
      </c>
      <c r="E234" s="41">
        <f>COUNTIFS('UMUR 2021'!$AF$3:$AF$84,"&gt;=30.00%",'UMUR 2021'!$AF$3:$AF$84,"&lt;40.00%",'UMUR 2021'!$AC$3:$AC$84,"="&amp;B234)</f>
        <v>0</v>
      </c>
      <c r="F234" s="41">
        <f>COUNTIFS('UMUR 2021'!$AF$3:$AF$84,"&gt;=40.00%",'UMUR 2021'!$AF$3:$AF$84,"&lt;50.00%",'UMUR 2021'!$AC$3:$AC$84,"="&amp;B234)</f>
        <v>2</v>
      </c>
      <c r="G234" s="41">
        <f>COUNTIFS('UMUR 2021'!$AF$3:$AF$84,"&gt;=50.00%",'UMUR 2021'!$AF$3:$AF$84,"&lt;60.00%",'UMUR 2021'!$AC$3:$AC$84,"="&amp;B234)</f>
        <v>2</v>
      </c>
      <c r="H234" s="41">
        <f>COUNTIFS('UMUR 2021'!$AF$3:$AF$84,"&gt;=60.00%",'UMUR 2021'!$AF$3:$AF$84,"&lt;70.00%",'UMUR 2021'!$AC$3:$AC$84,"="&amp;B234)</f>
        <v>0</v>
      </c>
      <c r="I234" s="41">
        <f>COUNTIFS('UMUR 2021'!$AF$3:$AF$84,"&gt;=70.00%",'UMUR 2021'!$AF$3:$AF$84,"&lt;80.00%",'UMUR 2021'!$AC$3:$AC$84,"="&amp;B234)</f>
        <v>1</v>
      </c>
      <c r="J234" s="41">
        <f>COUNTIFS('UMUR 2021'!$AF$3:$AF$84,"&gt;=80.00%",'UMUR 2021'!$AF$3:$AF$84,"&lt;90.00%",'UMUR 2021'!$AC$3:$AC$84,"="&amp;B234)</f>
        <v>0</v>
      </c>
      <c r="K234" s="41">
        <f>COUNTIFS('UMUR 2021'!$AF$3:$AF$84,"&gt;=90.00%",'UMUR 2021'!$AC$3:$AC$84,"="&amp;B234)</f>
        <v>0</v>
      </c>
      <c r="L234" s="63">
        <f t="shared" si="8"/>
        <v>5</v>
      </c>
    </row>
    <row r="235" spans="2:12" ht="15">
      <c r="B235" s="29" t="s">
        <v>249</v>
      </c>
      <c r="C235" s="29" t="s">
        <v>241</v>
      </c>
      <c r="D235" s="41">
        <f>COUNTIFS('UMUR 2021'!$AF$3:$AF$84,"&lt;30.00%",'UMUR 2021'!$AC$3:$AC$84,"="&amp;B235)</f>
        <v>0</v>
      </c>
      <c r="E235" s="41">
        <f>COUNTIFS('UMUR 2021'!$AF$3:$AF$84,"&gt;=30.00%",'UMUR 2021'!$AF$3:$AF$84,"&lt;40.00%",'UMUR 2021'!$AC$3:$AC$84,"="&amp;B235)</f>
        <v>0</v>
      </c>
      <c r="F235" s="41">
        <f>COUNTIFS('UMUR 2021'!$AF$3:$AF$84,"&gt;=40.00%",'UMUR 2021'!$AF$3:$AF$84,"&lt;50.00%",'UMUR 2021'!$AC$3:$AC$84,"="&amp;B235)</f>
        <v>2</v>
      </c>
      <c r="G235" s="41">
        <f>COUNTIFS('UMUR 2021'!$AF$3:$AF$84,"&gt;=50.00%",'UMUR 2021'!$AF$3:$AF$84,"&lt;60.00%",'UMUR 2021'!$AC$3:$AC$84,"="&amp;B235)</f>
        <v>4</v>
      </c>
      <c r="H235" s="41">
        <f>COUNTIFS('UMUR 2021'!$AF$3:$AF$84,"&gt;=60.00%",'UMUR 2021'!$AF$3:$AF$84,"&lt;70.00%",'UMUR 2021'!$AC$3:$AC$84,"="&amp;B235)</f>
        <v>4</v>
      </c>
      <c r="I235" s="41">
        <f>COUNTIFS('UMUR 2021'!$AF$3:$AF$84,"&gt;=70.00%",'UMUR 2021'!$AF$3:$AF$84,"&lt;80.00%",'UMUR 2021'!$AC$3:$AC$84,"="&amp;B235)</f>
        <v>1</v>
      </c>
      <c r="J235" s="41">
        <f>COUNTIFS('UMUR 2021'!$AF$3:$AF$84,"&gt;=80.00%",'UMUR 2021'!$AF$3:$AF$84,"&lt;90.00%",'UMUR 2021'!$AC$3:$AC$84,"="&amp;B235)</f>
        <v>0</v>
      </c>
      <c r="K235" s="41">
        <f>COUNTIFS('UMUR 2021'!$AF$3:$AF$84,"&gt;=90.00%",'UMUR 2021'!$AC$3:$AC$84,"="&amp;B235)</f>
        <v>0</v>
      </c>
      <c r="L235" s="63">
        <f t="shared" si="8"/>
        <v>11</v>
      </c>
    </row>
    <row r="236" spans="2:12" ht="15">
      <c r="B236" s="29" t="s">
        <v>244</v>
      </c>
      <c r="C236" s="29" t="s">
        <v>245</v>
      </c>
      <c r="D236" s="41">
        <f>COUNTIFS('UMUR 2021'!$AF$3:$AF$84,"&lt;30.00%",'UMUR 2021'!$AC$3:$AC$84,"="&amp;B236)</f>
        <v>0</v>
      </c>
      <c r="E236" s="41">
        <f>COUNTIFS('UMUR 2021'!$AF$3:$AF$84,"&gt;=30.00%",'UMUR 2021'!$AF$3:$AF$84,"&lt;40.00%",'UMUR 2021'!$AC$3:$AC$84,"="&amp;B236)</f>
        <v>0</v>
      </c>
      <c r="F236" s="41">
        <f>COUNTIFS('UMUR 2021'!$AF$3:$AF$84,"&gt;=40.00%",'UMUR 2021'!$AF$3:$AF$84,"&lt;50.00%",'UMUR 2021'!$AC$3:$AC$84,"="&amp;B236)</f>
        <v>1</v>
      </c>
      <c r="G236" s="41">
        <f>COUNTIFS('UMUR 2021'!$AF$3:$AF$84,"&gt;=50.00%",'UMUR 2021'!$AF$3:$AF$84,"&lt;60.00%",'UMUR 2021'!$AC$3:$AC$84,"="&amp;B236)</f>
        <v>1</v>
      </c>
      <c r="H236" s="41">
        <f>COUNTIFS('UMUR 2021'!$AF$3:$AF$84,"&gt;=60.00%",'UMUR 2021'!$AF$3:$AF$84,"&lt;70.00%",'UMUR 2021'!$AC$3:$AC$84,"="&amp;B236)</f>
        <v>0</v>
      </c>
      <c r="I236" s="41">
        <f>COUNTIFS('UMUR 2021'!$AF$3:$AF$84,"&gt;=70.00%",'UMUR 2021'!$AF$3:$AF$84,"&lt;80.00%",'UMUR 2021'!$AC$3:$AC$84,"="&amp;B236)</f>
        <v>0</v>
      </c>
      <c r="J236" s="41">
        <f>COUNTIFS('UMUR 2021'!$AF$3:$AF$84,"&gt;=80.00%",'UMUR 2021'!$AF$3:$AF$84,"&lt;90.00%",'UMUR 2021'!$AC$3:$AC$84,"="&amp;B236)</f>
        <v>0</v>
      </c>
      <c r="K236" s="41">
        <f>COUNTIFS('UMUR 2021'!$AF$3:$AF$84,"&gt;=90.00%",'UMUR 2021'!$AC$3:$AC$84,"="&amp;B236)</f>
        <v>0</v>
      </c>
      <c r="L236" s="63">
        <f t="shared" si="8"/>
        <v>2</v>
      </c>
    </row>
    <row r="237" spans="2:12" ht="15">
      <c r="B237" s="29" t="s">
        <v>253</v>
      </c>
      <c r="C237" s="29" t="s">
        <v>245</v>
      </c>
      <c r="D237" s="41">
        <f>COUNTIFS('UMUR 2021'!$AF$3:$AF$84,"&lt;30.00%",'UMUR 2021'!$AC$3:$AC$84,"="&amp;B237)</f>
        <v>0</v>
      </c>
      <c r="E237" s="41">
        <f>COUNTIFS('UMUR 2021'!$AF$3:$AF$84,"&gt;=30.00%",'UMUR 2021'!$AF$3:$AF$84,"&lt;40.00%",'UMUR 2021'!$AC$3:$AC$84,"="&amp;B237)</f>
        <v>0</v>
      </c>
      <c r="F237" s="41">
        <f>COUNTIFS('UMUR 2021'!$AF$3:$AF$84,"&gt;=40.00%",'UMUR 2021'!$AF$3:$AF$84,"&lt;50.00%",'UMUR 2021'!$AC$3:$AC$84,"="&amp;B237)</f>
        <v>0</v>
      </c>
      <c r="G237" s="41">
        <f>COUNTIFS('UMUR 2021'!$AF$3:$AF$84,"&gt;=50.00%",'UMUR 2021'!$AF$3:$AF$84,"&lt;60.00%",'UMUR 2021'!$AC$3:$AC$84,"="&amp;B237)</f>
        <v>0</v>
      </c>
      <c r="H237" s="41">
        <f>COUNTIFS('UMUR 2021'!$AF$3:$AF$84,"&gt;=60.00%",'UMUR 2021'!$AF$3:$AF$84,"&lt;70.00%",'UMUR 2021'!$AC$3:$AC$84,"="&amp;B237)</f>
        <v>0</v>
      </c>
      <c r="I237" s="41">
        <f>COUNTIFS('UMUR 2021'!$AF$3:$AF$84,"&gt;=70.00%",'UMUR 2021'!$AF$3:$AF$84,"&lt;80.00%",'UMUR 2021'!$AC$3:$AC$84,"="&amp;B237)</f>
        <v>0</v>
      </c>
      <c r="J237" s="41">
        <f>COUNTIFS('UMUR 2021'!$AF$3:$AF$84,"&gt;=80.00%",'UMUR 2021'!$AF$3:$AF$84,"&lt;90.00%",'UMUR 2021'!$AC$3:$AC$84,"="&amp;B237)</f>
        <v>0</v>
      </c>
      <c r="K237" s="41">
        <f>COUNTIFS('UMUR 2021'!$AF$3:$AF$84,"&gt;=90.00%",'UMUR 2021'!$AC$3:$AC$84,"="&amp;B237)</f>
        <v>0</v>
      </c>
      <c r="L237" s="63">
        <f t="shared" si="8"/>
        <v>0</v>
      </c>
    </row>
    <row r="238" spans="2:12" ht="15">
      <c r="B238" s="29" t="s">
        <v>254</v>
      </c>
      <c r="C238" s="29" t="s">
        <v>245</v>
      </c>
      <c r="D238" s="41">
        <f>COUNTIFS('UMUR 2021'!$AF$3:$AF$84,"&lt;30.00%",'UMUR 2021'!$AC$3:$AC$84,"="&amp;B238)</f>
        <v>0</v>
      </c>
      <c r="E238" s="41">
        <f>COUNTIFS('UMUR 2021'!$AF$3:$AF$84,"&gt;=30.00%",'UMUR 2021'!$AF$3:$AF$84,"&lt;40.00%",'UMUR 2021'!$AC$3:$AC$84,"="&amp;B238)</f>
        <v>0</v>
      </c>
      <c r="F238" s="41">
        <f>COUNTIFS('UMUR 2021'!$AF$3:$AF$84,"&gt;=40.00%",'UMUR 2021'!$AF$3:$AF$84,"&lt;50.00%",'UMUR 2021'!$AC$3:$AC$84,"="&amp;B238)</f>
        <v>0</v>
      </c>
      <c r="G238" s="41">
        <f>COUNTIFS('UMUR 2021'!$AF$3:$AF$84,"&gt;=50.00%",'UMUR 2021'!$AF$3:$AF$84,"&lt;60.00%",'UMUR 2021'!$AC$3:$AC$84,"="&amp;B238)</f>
        <v>0</v>
      </c>
      <c r="H238" s="41">
        <f>COUNTIFS('UMUR 2021'!$AF$3:$AF$84,"&gt;=60.00%",'UMUR 2021'!$AF$3:$AF$84,"&lt;70.00%",'UMUR 2021'!$AC$3:$AC$84,"="&amp;B238)</f>
        <v>0</v>
      </c>
      <c r="I238" s="41">
        <f>COUNTIFS('UMUR 2021'!$AF$3:$AF$84,"&gt;=70.00%",'UMUR 2021'!$AF$3:$AF$84,"&lt;80.00%",'UMUR 2021'!$AC$3:$AC$84,"="&amp;B238)</f>
        <v>0</v>
      </c>
      <c r="J238" s="41">
        <f>COUNTIFS('UMUR 2021'!$AF$3:$AF$84,"&gt;=80.00%",'UMUR 2021'!$AF$3:$AF$84,"&lt;90.00%",'UMUR 2021'!$AC$3:$AC$84,"="&amp;B238)</f>
        <v>0</v>
      </c>
      <c r="K238" s="41">
        <f>COUNTIFS('UMUR 2021'!$AF$3:$AF$84,"&gt;=90.00%",'UMUR 2021'!$AC$3:$AC$84,"="&amp;B238)</f>
        <v>0</v>
      </c>
      <c r="L238" s="63">
        <f t="shared" si="8"/>
        <v>0</v>
      </c>
    </row>
    <row r="239" spans="2:12" ht="15">
      <c r="B239" s="29" t="s">
        <v>252</v>
      </c>
      <c r="C239" s="29" t="s">
        <v>252</v>
      </c>
      <c r="D239" s="41">
        <f>COUNTIFS('UMUR 2021'!$AF$3:$AF$84,"&lt;30.00%",'UMUR 2021'!$AC$3:$AC$84,"="&amp;B239)</f>
        <v>0</v>
      </c>
      <c r="E239" s="41">
        <f>COUNTIFS('UMUR 2021'!$AF$3:$AF$84,"&gt;=30.00%",'UMUR 2021'!$AF$3:$AF$84,"&lt;40.00%",'UMUR 2021'!$AC$3:$AC$84,"="&amp;B239)</f>
        <v>1</v>
      </c>
      <c r="F239" s="41">
        <f>COUNTIFS('UMUR 2021'!$AF$3:$AF$84,"&gt;=40.00%",'UMUR 2021'!$AF$3:$AF$84,"&lt;50.00%",'UMUR 2021'!$AC$3:$AC$84,"="&amp;B239)</f>
        <v>2</v>
      </c>
      <c r="G239" s="41">
        <f>COUNTIFS('UMUR 2021'!$AF$3:$AF$84,"&gt;=50.00%",'UMUR 2021'!$AF$3:$AF$84,"&lt;60.00%",'UMUR 2021'!$AC$3:$AC$84,"="&amp;B239)</f>
        <v>1</v>
      </c>
      <c r="H239" s="41">
        <f>COUNTIFS('UMUR 2021'!$AF$3:$AF$84,"&gt;=60.00%",'UMUR 2021'!$AF$3:$AF$84,"&lt;70.00%",'UMUR 2021'!$AC$3:$AC$84,"="&amp;B239)</f>
        <v>0</v>
      </c>
      <c r="I239" s="41">
        <f>COUNTIFS('UMUR 2021'!$AF$3:$AF$84,"&gt;=70.00%",'UMUR 2021'!$AF$3:$AF$84,"&lt;80.00%",'UMUR 2021'!$AC$3:$AC$84,"="&amp;B239)</f>
        <v>0</v>
      </c>
      <c r="J239" s="41">
        <f>COUNTIFS('UMUR 2021'!$AF$3:$AF$84,"&gt;=80.00%",'UMUR 2021'!$AF$3:$AF$84,"&lt;90.00%",'UMUR 2021'!$AC$3:$AC$84,"="&amp;B239)</f>
        <v>0</v>
      </c>
      <c r="K239" s="41">
        <f>COUNTIFS('UMUR 2021'!$AF$3:$AF$84,"&gt;=90.00%",'UMUR 2021'!$AC$3:$AC$84,"="&amp;B239)</f>
        <v>0</v>
      </c>
      <c r="L239" s="63">
        <f t="shared" si="8"/>
        <v>4</v>
      </c>
    </row>
    <row r="240" spans="2:12" ht="15">
      <c r="B240" s="29" t="s">
        <v>301</v>
      </c>
      <c r="C240" s="29" t="s">
        <v>279</v>
      </c>
      <c r="D240" s="41">
        <f>COUNTIFS('UMUR 2021'!$AF$3:$AF$84,"&lt;30.00%",'UMUR 2021'!$AC$3:$AC$84,"="&amp;B240)</f>
        <v>0</v>
      </c>
      <c r="E240" s="41">
        <f>COUNTIFS('UMUR 2021'!$AF$3:$AF$84,"&gt;=30.00%",'UMUR 2021'!$AF$3:$AF$84,"&lt;40.00%",'UMUR 2021'!$AC$3:$AC$84,"="&amp;B240)</f>
        <v>0</v>
      </c>
      <c r="F240" s="41">
        <f>COUNTIFS('UMUR 2021'!$AF$3:$AF$84,"&gt;=40.00%",'UMUR 2021'!$AF$3:$AF$84,"&lt;50.00%",'UMUR 2021'!$AC$3:$AC$84,"="&amp;B240)</f>
        <v>0</v>
      </c>
      <c r="G240" s="41">
        <f>COUNTIFS('UMUR 2021'!$AF$3:$AF$84,"&gt;=50.00%",'UMUR 2021'!$AF$3:$AF$84,"&lt;60.00%",'UMUR 2021'!$AC$3:$AC$84,"="&amp;B240)</f>
        <v>0</v>
      </c>
      <c r="H240" s="41">
        <f>COUNTIFS('UMUR 2021'!$AF$3:$AF$84,"&gt;=60.00%",'UMUR 2021'!$AF$3:$AF$84,"&lt;70.00%",'UMUR 2021'!$AC$3:$AC$84,"="&amp;B240)</f>
        <v>0</v>
      </c>
      <c r="I240" s="41">
        <f>COUNTIFS('UMUR 2021'!$AF$3:$AF$84,"&gt;=70.00%",'UMUR 2021'!$AF$3:$AF$84,"&lt;80.00%",'UMUR 2021'!$AC$3:$AC$84,"="&amp;B240)</f>
        <v>0</v>
      </c>
      <c r="J240" s="41">
        <f>COUNTIFS('UMUR 2021'!$AF$3:$AF$84,"&gt;=80.00%",'UMUR 2021'!$AF$3:$AF$84,"&lt;90.00%",'UMUR 2021'!$AC$3:$AC$84,"="&amp;B240)</f>
        <v>0</v>
      </c>
      <c r="K240" s="41">
        <f>COUNTIFS('UMUR 2021'!$AF$3:$AF$84,"&gt;=90.00%",'UMUR 2021'!$AC$3:$AC$84,"="&amp;B240)</f>
        <v>0</v>
      </c>
      <c r="L240" s="63">
        <f t="shared" si="8"/>
        <v>0</v>
      </c>
    </row>
    <row r="241" spans="2:12" ht="15">
      <c r="B241" s="29" t="s">
        <v>302</v>
      </c>
      <c r="C241" s="29" t="s">
        <v>279</v>
      </c>
      <c r="D241" s="41">
        <f>COUNTIFS('UMUR 2021'!$AF$3:$AF$84,"&lt;30.00%",'UMUR 2021'!$AC$3:$AC$84,"="&amp;B241)</f>
        <v>0</v>
      </c>
      <c r="E241" s="41">
        <f>COUNTIFS('UMUR 2021'!$AF$3:$AF$84,"&gt;=30.00%",'UMUR 2021'!$AF$3:$AF$84,"&lt;40.00%",'UMUR 2021'!$AC$3:$AC$84,"="&amp;B241)</f>
        <v>0</v>
      </c>
      <c r="F241" s="41">
        <f>COUNTIFS('UMUR 2021'!$AF$3:$AF$84,"&gt;=40.00%",'UMUR 2021'!$AF$3:$AF$84,"&lt;50.00%",'UMUR 2021'!$AC$3:$AC$84,"="&amp;B241)</f>
        <v>0</v>
      </c>
      <c r="G241" s="41">
        <f>COUNTIFS('UMUR 2021'!$AF$3:$AF$84,"&gt;=50.00%",'UMUR 2021'!$AF$3:$AF$84,"&lt;60.00%",'UMUR 2021'!$AC$3:$AC$84,"="&amp;B241)</f>
        <v>0</v>
      </c>
      <c r="H241" s="41">
        <f>COUNTIFS('UMUR 2021'!$AF$3:$AF$84,"&gt;=60.00%",'UMUR 2021'!$AF$3:$AF$84,"&lt;70.00%",'UMUR 2021'!$AC$3:$AC$84,"="&amp;B241)</f>
        <v>0</v>
      </c>
      <c r="I241" s="41">
        <f>COUNTIFS('UMUR 2021'!$AF$3:$AF$84,"&gt;=70.00%",'UMUR 2021'!$AF$3:$AF$84,"&lt;80.00%",'UMUR 2021'!$AC$3:$AC$84,"="&amp;B241)</f>
        <v>0</v>
      </c>
      <c r="J241" s="41">
        <f>COUNTIFS('UMUR 2021'!$AF$3:$AF$84,"&gt;=80.00%",'UMUR 2021'!$AF$3:$AF$84,"&lt;90.00%",'UMUR 2021'!$AC$3:$AC$84,"="&amp;B241)</f>
        <v>0</v>
      </c>
      <c r="K241" s="41">
        <f>COUNTIFS('UMUR 2021'!$AF$3:$AF$84,"&gt;=90.00%",'UMUR 2021'!$AC$3:$AC$84,"="&amp;B241)</f>
        <v>0</v>
      </c>
      <c r="L241" s="63">
        <f t="shared" si="8"/>
        <v>0</v>
      </c>
    </row>
    <row r="242" spans="2:12" ht="15">
      <c r="B242" s="29" t="s">
        <v>303</v>
      </c>
      <c r="C242" s="29" t="s">
        <v>279</v>
      </c>
      <c r="D242" s="41">
        <f>COUNTIFS('UMUR 2021'!$AF$3:$AF$84,"&lt;30.00%",'UMUR 2021'!$AC$3:$AC$84,"="&amp;B242)</f>
        <v>0</v>
      </c>
      <c r="E242" s="41">
        <f>COUNTIFS('UMUR 2021'!$AF$3:$AF$84,"&gt;=30.00%",'UMUR 2021'!$AF$3:$AF$84,"&lt;40.00%",'UMUR 2021'!$AC$3:$AC$84,"="&amp;B242)</f>
        <v>0</v>
      </c>
      <c r="F242" s="41">
        <f>COUNTIFS('UMUR 2021'!$AF$3:$AF$84,"&gt;=40.00%",'UMUR 2021'!$AF$3:$AF$84,"&lt;50.00%",'UMUR 2021'!$AC$3:$AC$84,"="&amp;B242)</f>
        <v>0</v>
      </c>
      <c r="G242" s="41">
        <f>COUNTIFS('UMUR 2021'!$AF$3:$AF$84,"&gt;=50.00%",'UMUR 2021'!$AF$3:$AF$84,"&lt;60.00%",'UMUR 2021'!$AC$3:$AC$84,"="&amp;B242)</f>
        <v>0</v>
      </c>
      <c r="H242" s="41">
        <f>COUNTIFS('UMUR 2021'!$AF$3:$AF$84,"&gt;=60.00%",'UMUR 2021'!$AF$3:$AF$84,"&lt;70.00%",'UMUR 2021'!$AC$3:$AC$84,"="&amp;B242)</f>
        <v>0</v>
      </c>
      <c r="I242" s="41">
        <f>COUNTIFS('UMUR 2021'!$AF$3:$AF$84,"&gt;=70.00%",'UMUR 2021'!$AF$3:$AF$84,"&lt;80.00%",'UMUR 2021'!$AC$3:$AC$84,"="&amp;B242)</f>
        <v>0</v>
      </c>
      <c r="J242" s="41">
        <f>COUNTIFS('UMUR 2021'!$AF$3:$AF$84,"&gt;=80.00%",'UMUR 2021'!$AF$3:$AF$84,"&lt;90.00%",'UMUR 2021'!$AC$3:$AC$84,"="&amp;B242)</f>
        <v>0</v>
      </c>
      <c r="K242" s="41">
        <f>COUNTIFS('UMUR 2021'!$AF$3:$AF$84,"&gt;=90.00%",'UMUR 2021'!$AC$3:$AC$84,"="&amp;B242)</f>
        <v>0</v>
      </c>
      <c r="L242" s="63">
        <f t="shared" si="8"/>
        <v>0</v>
      </c>
    </row>
    <row r="243" spans="2:12" ht="15">
      <c r="B243" s="29" t="s">
        <v>304</v>
      </c>
      <c r="C243" s="29" t="s">
        <v>279</v>
      </c>
      <c r="D243" s="41">
        <f>COUNTIFS('UMUR 2021'!$AF$3:$AF$84,"&lt;30.00%",'UMUR 2021'!$AC$3:$AC$84,"="&amp;B243)</f>
        <v>0</v>
      </c>
      <c r="E243" s="41">
        <f>COUNTIFS('UMUR 2021'!$AF$3:$AF$84,"&gt;=30.00%",'UMUR 2021'!$AF$3:$AF$84,"&lt;40.00%",'UMUR 2021'!$AC$3:$AC$84,"="&amp;B243)</f>
        <v>0</v>
      </c>
      <c r="F243" s="41">
        <f>COUNTIFS('UMUR 2021'!$AF$3:$AF$84,"&gt;=40.00%",'UMUR 2021'!$AF$3:$AF$84,"&lt;50.00%",'UMUR 2021'!$AC$3:$AC$84,"="&amp;B243)</f>
        <v>0</v>
      </c>
      <c r="G243" s="41">
        <f>COUNTIFS('UMUR 2021'!$AF$3:$AF$84,"&gt;=50.00%",'UMUR 2021'!$AF$3:$AF$84,"&lt;60.00%",'UMUR 2021'!$AC$3:$AC$84,"="&amp;B243)</f>
        <v>0</v>
      </c>
      <c r="H243" s="41">
        <f>COUNTIFS('UMUR 2021'!$AF$3:$AF$84,"&gt;=60.00%",'UMUR 2021'!$AF$3:$AF$84,"&lt;70.00%",'UMUR 2021'!$AC$3:$AC$84,"="&amp;B243)</f>
        <v>0</v>
      </c>
      <c r="I243" s="41">
        <f>COUNTIFS('UMUR 2021'!$AF$3:$AF$84,"&gt;=70.00%",'UMUR 2021'!$AF$3:$AF$84,"&lt;80.00%",'UMUR 2021'!$AC$3:$AC$84,"="&amp;B243)</f>
        <v>0</v>
      </c>
      <c r="J243" s="41">
        <f>COUNTIFS('UMUR 2021'!$AF$3:$AF$84,"&gt;=80.00%",'UMUR 2021'!$AF$3:$AF$84,"&lt;90.00%",'UMUR 2021'!$AC$3:$AC$84,"="&amp;B243)</f>
        <v>0</v>
      </c>
      <c r="K243" s="41">
        <f>COUNTIFS('UMUR 2021'!$AF$3:$AF$84,"&gt;=90.00%",'UMUR 2021'!$AC$3:$AC$84,"="&amp;B243)</f>
        <v>0</v>
      </c>
      <c r="L243" s="63">
        <f t="shared" si="8"/>
        <v>0</v>
      </c>
    </row>
    <row r="244" spans="2:12" ht="15">
      <c r="B244" s="29" t="s">
        <v>250</v>
      </c>
      <c r="C244" s="29" t="s">
        <v>246</v>
      </c>
      <c r="D244" s="41">
        <f>COUNTIFS('UMUR 2021'!$AF$3:$AF$84,"&lt;30.00%",'UMUR 2021'!$AC$3:$AC$84,"="&amp;B244)</f>
        <v>0</v>
      </c>
      <c r="E244" s="41">
        <f>COUNTIFS('UMUR 2021'!$AF$3:$AF$84,"&gt;=30.00%",'UMUR 2021'!$AF$3:$AF$84,"&lt;40.00%",'UMUR 2021'!$AC$3:$AC$84,"="&amp;B244)</f>
        <v>0</v>
      </c>
      <c r="F244" s="41">
        <f>COUNTIFS('UMUR 2021'!$AF$3:$AF$84,"&gt;=40.00%",'UMUR 2021'!$AF$3:$AF$84,"&lt;50.00%",'UMUR 2021'!$AC$3:$AC$84,"="&amp;B244)</f>
        <v>0</v>
      </c>
      <c r="G244" s="41">
        <f>COUNTIFS('UMUR 2021'!$AF$3:$AF$84,"&gt;=50.00%",'UMUR 2021'!$AF$3:$AF$84,"&lt;60.00%",'UMUR 2021'!$AC$3:$AC$84,"="&amp;B244)</f>
        <v>0</v>
      </c>
      <c r="H244" s="41">
        <f>COUNTIFS('UMUR 2021'!$AF$3:$AF$84,"&gt;=60.00%",'UMUR 2021'!$AF$3:$AF$84,"&lt;70.00%",'UMUR 2021'!$AC$3:$AC$84,"="&amp;B244)</f>
        <v>0</v>
      </c>
      <c r="I244" s="41">
        <f>COUNTIFS('UMUR 2021'!$AF$3:$AF$84,"&gt;=70.00%",'UMUR 2021'!$AF$3:$AF$84,"&lt;80.00%",'UMUR 2021'!$AC$3:$AC$84,"="&amp;B244)</f>
        <v>0</v>
      </c>
      <c r="J244" s="41">
        <f>COUNTIFS('UMUR 2021'!$AF$3:$AF$84,"&gt;=80.00%",'UMUR 2021'!$AF$3:$AF$84,"&lt;90.00%",'UMUR 2021'!$AC$3:$AC$84,"="&amp;B244)</f>
        <v>0</v>
      </c>
      <c r="K244" s="41">
        <f>COUNTIFS('UMUR 2021'!$AF$3:$AF$84,"&gt;=90.00%",'UMUR 2021'!$AC$3:$AC$84,"="&amp;B244)</f>
        <v>0</v>
      </c>
      <c r="L244" s="63">
        <f t="shared" si="8"/>
        <v>0</v>
      </c>
    </row>
    <row r="245" spans="2:12" ht="15">
      <c r="B245" s="29" t="s">
        <v>248</v>
      </c>
      <c r="C245" s="29" t="s">
        <v>246</v>
      </c>
      <c r="D245" s="41">
        <f>COUNTIFS('UMUR 2021'!$AF$3:$AF$84,"&lt;30.00%",'UMUR 2021'!$AC$3:$AC$84,"="&amp;B245)</f>
        <v>0</v>
      </c>
      <c r="E245" s="41">
        <f>COUNTIFS('UMUR 2021'!$AF$3:$AF$84,"&gt;=30.00%",'UMUR 2021'!$AF$3:$AF$84,"&lt;40.00%",'UMUR 2021'!$AC$3:$AC$84,"="&amp;B245)</f>
        <v>0</v>
      </c>
      <c r="F245" s="41">
        <f>COUNTIFS('UMUR 2021'!$AF$3:$AF$84,"&gt;=40.00%",'UMUR 2021'!$AF$3:$AF$84,"&lt;50.00%",'UMUR 2021'!$AC$3:$AC$84,"="&amp;B245)</f>
        <v>0</v>
      </c>
      <c r="G245" s="41">
        <f>COUNTIFS('UMUR 2021'!$AF$3:$AF$84,"&gt;=50.00%",'UMUR 2021'!$AF$3:$AF$84,"&lt;60.00%",'UMUR 2021'!$AC$3:$AC$84,"="&amp;B245)</f>
        <v>0</v>
      </c>
      <c r="H245" s="41">
        <f>COUNTIFS('UMUR 2021'!$AF$3:$AF$84,"&gt;=60.00%",'UMUR 2021'!$AF$3:$AF$84,"&lt;70.00%",'UMUR 2021'!$AC$3:$AC$84,"="&amp;B245)</f>
        <v>0</v>
      </c>
      <c r="I245" s="41">
        <f>COUNTIFS('UMUR 2021'!$AF$3:$AF$84,"&gt;=70.00%",'UMUR 2021'!$AF$3:$AF$84,"&lt;80.00%",'UMUR 2021'!$AC$3:$AC$84,"="&amp;B245)</f>
        <v>0</v>
      </c>
      <c r="J245" s="41">
        <f>COUNTIFS('UMUR 2021'!$AF$3:$AF$84,"&gt;=80.00%",'UMUR 2021'!$AF$3:$AF$84,"&lt;90.00%",'UMUR 2021'!$AC$3:$AC$84,"="&amp;B245)</f>
        <v>0</v>
      </c>
      <c r="K245" s="41">
        <f>COUNTIFS('UMUR 2021'!$AF$3:$AF$84,"&gt;=90.00%",'UMUR 2021'!$AC$3:$AC$84,"="&amp;B245)</f>
        <v>0</v>
      </c>
      <c r="L245" s="63">
        <f t="shared" si="8"/>
        <v>0</v>
      </c>
    </row>
    <row r="246" spans="2:12" ht="15">
      <c r="B246" s="29" t="s">
        <v>305</v>
      </c>
      <c r="C246" s="29" t="s">
        <v>305</v>
      </c>
      <c r="D246" s="41">
        <f>COUNTIFS('UMUR 2021'!$AF$3:$AF$84,"&lt;30.00%",'UMUR 2021'!$AC$3:$AC$84,"="&amp;B246)</f>
        <v>0</v>
      </c>
      <c r="E246" s="41">
        <f>COUNTIFS('UMUR 2021'!$AF$3:$AF$84,"&gt;=30.00%",'UMUR 2021'!$AF$3:$AF$84,"&lt;40.00%",'UMUR 2021'!$AC$3:$AC$84,"="&amp;B246)</f>
        <v>0</v>
      </c>
      <c r="F246" s="41">
        <f>COUNTIFS('UMUR 2021'!$AF$3:$AF$84,"&gt;=40.00%",'UMUR 2021'!$AF$3:$AF$84,"&lt;50.00%",'UMUR 2021'!$AC$3:$AC$84,"="&amp;B246)</f>
        <v>0</v>
      </c>
      <c r="G246" s="41">
        <f>COUNTIFS('UMUR 2021'!$AF$3:$AF$84,"&gt;=50.00%",'UMUR 2021'!$AF$3:$AF$84,"&lt;60.00%",'UMUR 2021'!$AC$3:$AC$84,"="&amp;B246)</f>
        <v>0</v>
      </c>
      <c r="H246" s="41">
        <f>COUNTIFS('UMUR 2021'!$AF$3:$AF$84,"&gt;=60.00%",'UMUR 2021'!$AF$3:$AF$84,"&lt;70.00%",'UMUR 2021'!$AC$3:$AC$84,"="&amp;B246)</f>
        <v>0</v>
      </c>
      <c r="I246" s="41">
        <f>COUNTIFS('UMUR 2021'!$AF$3:$AF$84,"&gt;=70.00%",'UMUR 2021'!$AF$3:$AF$84,"&lt;80.00%",'UMUR 2021'!$AC$3:$AC$84,"="&amp;B246)</f>
        <v>0</v>
      </c>
      <c r="J246" s="41">
        <f>COUNTIFS('UMUR 2021'!$AF$3:$AF$84,"&gt;=80.00%",'UMUR 2021'!$AF$3:$AF$84,"&lt;90.00%",'UMUR 2021'!$AC$3:$AC$84,"="&amp;B246)</f>
        <v>0</v>
      </c>
      <c r="K246" s="41">
        <f>COUNTIFS('UMUR 2021'!$AF$3:$AF$84,"&gt;=90.00%",'UMUR 2021'!$AC$3:$AC$84,"="&amp;B246)</f>
        <v>0</v>
      </c>
      <c r="L246" s="63">
        <f t="shared" si="8"/>
        <v>0</v>
      </c>
    </row>
    <row r="247" spans="2:12" ht="15">
      <c r="B247" s="29" t="s">
        <v>306</v>
      </c>
      <c r="C247" s="29" t="s">
        <v>306</v>
      </c>
      <c r="D247" s="41">
        <f>COUNTIFS('UMUR 2021'!$AF$3:$AF$84,"&lt;30.00%",'UMUR 2021'!$AC$3:$AC$84,"="&amp;B247)</f>
        <v>0</v>
      </c>
      <c r="E247" s="41">
        <f>COUNTIFS('UMUR 2021'!$AF$3:$AF$84,"&gt;=30.00%",'UMUR 2021'!$AF$3:$AF$84,"&lt;40.00%",'UMUR 2021'!$AC$3:$AC$84,"="&amp;B247)</f>
        <v>0</v>
      </c>
      <c r="F247" s="41">
        <f>COUNTIFS('UMUR 2021'!$AF$3:$AF$84,"&gt;=40.00%",'UMUR 2021'!$AF$3:$AF$84,"&lt;50.00%",'UMUR 2021'!$AC$3:$AC$84,"="&amp;B247)</f>
        <v>0</v>
      </c>
      <c r="G247" s="41">
        <f>COUNTIFS('UMUR 2021'!$AF$3:$AF$84,"&gt;=50.00%",'UMUR 2021'!$AF$3:$AF$84,"&lt;60.00%",'UMUR 2021'!$AC$3:$AC$84,"="&amp;B247)</f>
        <v>0</v>
      </c>
      <c r="H247" s="41">
        <f>COUNTIFS('UMUR 2021'!$AF$3:$AF$84,"&gt;=60.00%",'UMUR 2021'!$AF$3:$AF$84,"&lt;70.00%",'UMUR 2021'!$AC$3:$AC$84,"="&amp;B247)</f>
        <v>0</v>
      </c>
      <c r="I247" s="41">
        <f>COUNTIFS('UMUR 2021'!$AF$3:$AF$84,"&gt;=70.00%",'UMUR 2021'!$AF$3:$AF$84,"&lt;80.00%",'UMUR 2021'!$AC$3:$AC$84,"="&amp;B247)</f>
        <v>0</v>
      </c>
      <c r="J247" s="41">
        <f>COUNTIFS('UMUR 2021'!$AF$3:$AF$84,"&gt;=80.00%",'UMUR 2021'!$AF$3:$AF$84,"&lt;90.00%",'UMUR 2021'!$AC$3:$AC$84,"="&amp;B247)</f>
        <v>0</v>
      </c>
      <c r="K247" s="41">
        <f>COUNTIFS('UMUR 2021'!$AF$3:$AF$84,"&gt;=90.00%",'UMUR 2021'!$AC$3:$AC$84,"="&amp;B247)</f>
        <v>0</v>
      </c>
      <c r="L247" s="63">
        <f t="shared" si="8"/>
        <v>0</v>
      </c>
    </row>
    <row r="248" spans="2:12" ht="15">
      <c r="B248" s="29" t="s">
        <v>251</v>
      </c>
      <c r="C248" s="29" t="s">
        <v>251</v>
      </c>
      <c r="D248" s="41">
        <f>COUNTIFS('UMUR 2021'!$AF$3:$AF$84,"&lt;30.00%",'UMUR 2021'!$AC$3:$AC$84,"="&amp;B248)</f>
        <v>0</v>
      </c>
      <c r="E248" s="41">
        <f>COUNTIFS('UMUR 2021'!$AF$3:$AF$84,"&gt;=30.00%",'UMUR 2021'!$AF$3:$AF$84,"&lt;40.00%",'UMUR 2021'!$AC$3:$AC$84,"="&amp;B248)</f>
        <v>0</v>
      </c>
      <c r="F248" s="41">
        <f>COUNTIFS('UMUR 2021'!$AF$3:$AF$84,"&gt;=40.00%",'UMUR 2021'!$AF$3:$AF$84,"&lt;50.00%",'UMUR 2021'!$AC$3:$AC$84,"="&amp;B248)</f>
        <v>0</v>
      </c>
      <c r="G248" s="41">
        <f>COUNTIFS('UMUR 2021'!$AF$3:$AF$84,"&gt;=50.00%",'UMUR 2021'!$AF$3:$AF$84,"&lt;60.00%",'UMUR 2021'!$AC$3:$AC$84,"="&amp;B248)</f>
        <v>0</v>
      </c>
      <c r="H248" s="41">
        <f>COUNTIFS('UMUR 2021'!$AF$3:$AF$84,"&gt;=60.00%",'UMUR 2021'!$AF$3:$AF$84,"&lt;70.00%",'UMUR 2021'!$AC$3:$AC$84,"="&amp;B248)</f>
        <v>0</v>
      </c>
      <c r="I248" s="41">
        <f>COUNTIFS('UMUR 2021'!$AF$3:$AF$84,"&gt;=70.00%",'UMUR 2021'!$AF$3:$AF$84,"&lt;80.00%",'UMUR 2021'!$AC$3:$AC$84,"="&amp;B248)</f>
        <v>0</v>
      </c>
      <c r="J248" s="41">
        <f>COUNTIFS('UMUR 2021'!$AF$3:$AF$84,"&gt;=80.00%",'UMUR 2021'!$AF$3:$AF$84,"&lt;90.00%",'UMUR 2021'!$AC$3:$AC$84,"="&amp;B248)</f>
        <v>0</v>
      </c>
      <c r="K248" s="41">
        <f>COUNTIFS('UMUR 2021'!$AF$3:$AF$84,"&gt;=90.00%",'UMUR 2021'!$AC$3:$AC$84,"="&amp;B248)</f>
        <v>0</v>
      </c>
      <c r="L248" s="63">
        <f t="shared" si="8"/>
        <v>0</v>
      </c>
    </row>
    <row r="250" spans="2:12" ht="15">
      <c r="K250" s="70" t="s">
        <v>235</v>
      </c>
      <c r="L250" s="63">
        <f>SUM(L232:L248)</f>
        <v>82</v>
      </c>
    </row>
    <row r="255" spans="2:12">
      <c r="B255" s="89" t="s">
        <v>358</v>
      </c>
      <c r="C255" s="89"/>
      <c r="D255" s="89"/>
      <c r="E255" s="89"/>
      <c r="F255" s="89"/>
      <c r="G255" s="89"/>
      <c r="H255" s="89"/>
      <c r="I255" s="89"/>
      <c r="J255" s="89"/>
      <c r="K255" s="89"/>
      <c r="L255" s="89"/>
    </row>
    <row r="256" spans="2:12"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</row>
    <row r="258" spans="2:12" ht="15">
      <c r="B258" s="26" t="s">
        <v>236</v>
      </c>
      <c r="C258" s="26" t="s">
        <v>237</v>
      </c>
      <c r="D258" s="29" t="s">
        <v>359</v>
      </c>
      <c r="E258" s="29" t="s">
        <v>360</v>
      </c>
      <c r="F258" s="29" t="s">
        <v>323</v>
      </c>
      <c r="G258" s="29" t="s">
        <v>324</v>
      </c>
      <c r="H258" s="29" t="s">
        <v>325</v>
      </c>
      <c r="I258" s="29" t="s">
        <v>326</v>
      </c>
      <c r="J258" s="29" t="s">
        <v>361</v>
      </c>
      <c r="K258" s="29" t="s">
        <v>362</v>
      </c>
      <c r="L258" s="71" t="s">
        <v>235</v>
      </c>
    </row>
    <row r="259" spans="2:12" ht="15">
      <c r="B259" s="29" t="s">
        <v>243</v>
      </c>
      <c r="C259" s="29" t="s">
        <v>241</v>
      </c>
      <c r="D259" s="41">
        <f>COUNTIFS('UMUR 2021'!$V$3:$V$84,"&lt;50",'UMUR 2021'!$AC$3:$AC$84,"="&amp;B259)</f>
        <v>0</v>
      </c>
      <c r="E259" s="41">
        <f>COUNTIFS('UMUR 2021'!$V$3:$V$84,"&gt;=50",'UMUR 2021'!$V$3:$V$84,"&lt;100",'UMUR 2021'!$AC$3:$AC$84,"="&amp;B259)</f>
        <v>0</v>
      </c>
      <c r="F259" s="41">
        <f>COUNTIFS('UMUR 2021'!$V$3:$V$84,"&gt;=100",'UMUR 2021'!$V$3:$V$84,"&lt;300",'UMUR 2021'!$AC$3:$AC$84,"="&amp;B259)</f>
        <v>0</v>
      </c>
      <c r="G259" s="41">
        <f>COUNTIFS('UMUR 2021'!$V$3:$V$84,"&gt;=300",'UMUR 2021'!$V$3:$V$84,"&lt;500",'UMUR 2021'!$AC$3:$AC$84,"="&amp;B259)</f>
        <v>0</v>
      </c>
      <c r="H259" s="41">
        <f>COUNTIFS('UMUR 2021'!$V$3:$V$84,"&gt;=500",'UMUR 2021'!$V$3:$V$84,"&lt;1000",'UMUR 2021'!$AC$3:$AC$84,"="&amp;B259)</f>
        <v>2</v>
      </c>
      <c r="I259" s="41">
        <f>COUNTIFS('UMUR 2021'!$V$3:$V$84,"&gt;=1000",'UMUR 2021'!$V$3:$V$84,"&lt;3000",'UMUR 2021'!$AC$3:$AC$84,"="&amp;B259)</f>
        <v>12</v>
      </c>
      <c r="J259" s="41">
        <f>COUNTIFS('UMUR 2021'!$V$3:$V$84,"&gt;=3000",'UMUR 2021'!$V$3:$V$84,"&lt;10000",'UMUR 2021'!$AC$3:$AC$84,"="&amp;B259)</f>
        <v>30</v>
      </c>
      <c r="K259" s="41">
        <f>COUNTIFS('UMUR 2021'!$V$3:$V$84,"&gt;=10000",'UMUR 2021'!$AC$3:$AC$84,"="&amp;B259)</f>
        <v>3</v>
      </c>
      <c r="L259" s="63">
        <f>SUM(D259:K259)</f>
        <v>47</v>
      </c>
    </row>
    <row r="260" spans="2:12" ht="15">
      <c r="B260" s="29" t="s">
        <v>239</v>
      </c>
      <c r="C260" s="29" t="s">
        <v>241</v>
      </c>
      <c r="D260" s="41">
        <f>COUNTIFS('UMUR 2021'!$V$3:$V$84,"&lt;50",'UMUR 2021'!$AC$3:$AC$84,"="&amp;B260)</f>
        <v>1</v>
      </c>
      <c r="E260" s="41">
        <f>COUNTIFS('UMUR 2021'!$V$3:$V$84,"&gt;=50",'UMUR 2021'!$V$3:$V$84,"&lt;100",'UMUR 2021'!$AC$3:$AC$84,"="&amp;B260)</f>
        <v>0</v>
      </c>
      <c r="F260" s="41">
        <f>COUNTIFS('UMUR 2021'!$V$3:$V$84,"&gt;=100",'UMUR 2021'!$V$3:$V$84,"&lt;300",'UMUR 2021'!$AC$3:$AC$84,"="&amp;B260)</f>
        <v>2</v>
      </c>
      <c r="G260" s="41">
        <f>COUNTIFS('UMUR 2021'!$V$3:$V$84,"&gt;=300",'UMUR 2021'!$V$3:$V$84,"&lt;500",'UMUR 2021'!$AC$3:$AC$84,"="&amp;B260)</f>
        <v>0</v>
      </c>
      <c r="H260" s="41">
        <f>COUNTIFS('UMUR 2021'!$V$3:$V$84,"&gt;=500",'UMUR 2021'!$V$3:$V$84,"&lt;1000",'UMUR 2021'!$AC$3:$AC$84,"="&amp;B260)</f>
        <v>1</v>
      </c>
      <c r="I260" s="41">
        <f>COUNTIFS('UMUR 2021'!$V$3:$V$84,"&gt;=1000",'UMUR 2021'!$V$3:$V$84,"&lt;3000",'UMUR 2021'!$AC$3:$AC$84,"="&amp;B260)</f>
        <v>3</v>
      </c>
      <c r="J260" s="41">
        <f>COUNTIFS('UMUR 2021'!$V$3:$V$84,"&gt;=3000",'UMUR 2021'!$V$3:$V$84,"&lt;10000",'UMUR 2021'!$AC$3:$AC$84,"="&amp;B260)</f>
        <v>6</v>
      </c>
      <c r="K260" s="41">
        <f>COUNTIFS('UMUR 2021'!$V$3:$V$84,"&gt;=10000",'UMUR 2021'!$AC$3:$AC$84,"="&amp;B260)</f>
        <v>0</v>
      </c>
      <c r="L260" s="63">
        <f t="shared" ref="L260:L275" si="9">SUM(D260:K260)</f>
        <v>13</v>
      </c>
    </row>
    <row r="261" spans="2:12" ht="15">
      <c r="B261" s="29" t="s">
        <v>240</v>
      </c>
      <c r="C261" s="29" t="s">
        <v>241</v>
      </c>
      <c r="D261" s="41">
        <f>COUNTIFS('UMUR 2021'!$V$3:$V$84,"&lt;50",'UMUR 2021'!$AC$3:$AC$84,"="&amp;B261)</f>
        <v>0</v>
      </c>
      <c r="E261" s="41">
        <f>COUNTIFS('UMUR 2021'!$V$3:$V$84,"&gt;=50",'UMUR 2021'!$V$3:$V$84,"&lt;100",'UMUR 2021'!$AC$3:$AC$84,"="&amp;B261)</f>
        <v>0</v>
      </c>
      <c r="F261" s="41">
        <f>COUNTIFS('UMUR 2021'!$V$3:$V$84,"&gt;=100",'UMUR 2021'!$V$3:$V$84,"&lt;300",'UMUR 2021'!$AC$3:$AC$84,"="&amp;B261)</f>
        <v>0</v>
      </c>
      <c r="G261" s="41">
        <f>COUNTIFS('UMUR 2021'!$V$3:$V$84,"&gt;=300",'UMUR 2021'!$V$3:$V$84,"&lt;500",'UMUR 2021'!$AC$3:$AC$84,"="&amp;B261)</f>
        <v>0</v>
      </c>
      <c r="H261" s="41">
        <f>COUNTIFS('UMUR 2021'!$V$3:$V$84,"&gt;=500",'UMUR 2021'!$V$3:$V$84,"&lt;1000",'UMUR 2021'!$AC$3:$AC$84,"="&amp;B261)</f>
        <v>2</v>
      </c>
      <c r="I261" s="41">
        <f>COUNTIFS('UMUR 2021'!$V$3:$V$84,"&gt;=1000",'UMUR 2021'!$V$3:$V$84,"&lt;3000",'UMUR 2021'!$AC$3:$AC$84,"="&amp;B261)</f>
        <v>0</v>
      </c>
      <c r="J261" s="41">
        <f>COUNTIFS('UMUR 2021'!$V$3:$V$84,"&gt;=3000",'UMUR 2021'!$V$3:$V$84,"&lt;10000",'UMUR 2021'!$AC$3:$AC$84,"="&amp;B261)</f>
        <v>3</v>
      </c>
      <c r="K261" s="41">
        <f>COUNTIFS('UMUR 2021'!$V$3:$V$84,"&gt;=10000",'UMUR 2021'!$AC$3:$AC$84,"="&amp;B261)</f>
        <v>0</v>
      </c>
      <c r="L261" s="63">
        <f t="shared" si="9"/>
        <v>5</v>
      </c>
    </row>
    <row r="262" spans="2:12" ht="15">
      <c r="B262" s="29" t="s">
        <v>249</v>
      </c>
      <c r="C262" s="29" t="s">
        <v>241</v>
      </c>
      <c r="D262" s="41">
        <f>COUNTIFS('UMUR 2021'!$V$3:$V$84,"&lt;50",'UMUR 2021'!$AC$3:$AC$84,"="&amp;B262)</f>
        <v>0</v>
      </c>
      <c r="E262" s="41">
        <f>COUNTIFS('UMUR 2021'!$V$3:$V$84,"&gt;=50",'UMUR 2021'!$V$3:$V$84,"&lt;100",'UMUR 2021'!$AC$3:$AC$84,"="&amp;B262)</f>
        <v>0</v>
      </c>
      <c r="F262" s="41">
        <f>COUNTIFS('UMUR 2021'!$V$3:$V$84,"&gt;=100",'UMUR 2021'!$V$3:$V$84,"&lt;300",'UMUR 2021'!$AC$3:$AC$84,"="&amp;B262)</f>
        <v>1</v>
      </c>
      <c r="G262" s="41">
        <f>COUNTIFS('UMUR 2021'!$V$3:$V$84,"&gt;=300",'UMUR 2021'!$V$3:$V$84,"&lt;500",'UMUR 2021'!$AC$3:$AC$84,"="&amp;B262)</f>
        <v>0</v>
      </c>
      <c r="H262" s="41">
        <f>COUNTIFS('UMUR 2021'!$V$3:$V$84,"&gt;=500",'UMUR 2021'!$V$3:$V$84,"&lt;1000",'UMUR 2021'!$AC$3:$AC$84,"="&amp;B262)</f>
        <v>1</v>
      </c>
      <c r="I262" s="41">
        <f>COUNTIFS('UMUR 2021'!$V$3:$V$84,"&gt;=1000",'UMUR 2021'!$V$3:$V$84,"&lt;3000",'UMUR 2021'!$AC$3:$AC$84,"="&amp;B262)</f>
        <v>7</v>
      </c>
      <c r="J262" s="41">
        <f>COUNTIFS('UMUR 2021'!$V$3:$V$84,"&gt;=3000",'UMUR 2021'!$V$3:$V$84,"&lt;10000",'UMUR 2021'!$AC$3:$AC$84,"="&amp;B262)</f>
        <v>2</v>
      </c>
      <c r="K262" s="41">
        <f>COUNTIFS('UMUR 2021'!$V$3:$V$84,"&gt;=10000",'UMUR 2021'!$AC$3:$AC$84,"="&amp;B262)</f>
        <v>0</v>
      </c>
      <c r="L262" s="63">
        <f t="shared" si="9"/>
        <v>11</v>
      </c>
    </row>
    <row r="263" spans="2:12" ht="15">
      <c r="B263" s="29" t="s">
        <v>244</v>
      </c>
      <c r="C263" s="29" t="s">
        <v>245</v>
      </c>
      <c r="D263" s="41">
        <f>COUNTIFS('UMUR 2021'!$V$3:$V$84,"&lt;50",'UMUR 2021'!$AC$3:$AC$84,"="&amp;B263)</f>
        <v>0</v>
      </c>
      <c r="E263" s="41">
        <f>COUNTIFS('UMUR 2021'!$V$3:$V$84,"&gt;=50",'UMUR 2021'!$V$3:$V$84,"&lt;100",'UMUR 2021'!$AC$3:$AC$84,"="&amp;B263)</f>
        <v>0</v>
      </c>
      <c r="F263" s="41">
        <f>COUNTIFS('UMUR 2021'!$V$3:$V$84,"&gt;=100",'UMUR 2021'!$V$3:$V$84,"&lt;300",'UMUR 2021'!$AC$3:$AC$84,"="&amp;B263)</f>
        <v>0</v>
      </c>
      <c r="G263" s="41">
        <f>COUNTIFS('UMUR 2021'!$V$3:$V$84,"&gt;=300",'UMUR 2021'!$V$3:$V$84,"&lt;500",'UMUR 2021'!$AC$3:$AC$84,"="&amp;B263)</f>
        <v>0</v>
      </c>
      <c r="H263" s="41">
        <f>COUNTIFS('UMUR 2021'!$V$3:$V$84,"&gt;=500",'UMUR 2021'!$V$3:$V$84,"&lt;1000",'UMUR 2021'!$AC$3:$AC$84,"="&amp;B263)</f>
        <v>1</v>
      </c>
      <c r="I263" s="41">
        <f>COUNTIFS('UMUR 2021'!$V$3:$V$84,"&gt;=1000",'UMUR 2021'!$V$3:$V$84,"&lt;3000",'UMUR 2021'!$AC$3:$AC$84,"="&amp;B263)</f>
        <v>1</v>
      </c>
      <c r="J263" s="41">
        <f>COUNTIFS('UMUR 2021'!$V$3:$V$84,"&gt;=3000",'UMUR 2021'!$V$3:$V$84,"&lt;10000",'UMUR 2021'!$AC$3:$AC$84,"="&amp;B263)</f>
        <v>0</v>
      </c>
      <c r="K263" s="41">
        <f>COUNTIFS('UMUR 2021'!$V$3:$V$84,"&gt;=10000",'UMUR 2021'!$AC$3:$AC$84,"="&amp;B263)</f>
        <v>0</v>
      </c>
      <c r="L263" s="63">
        <f t="shared" si="9"/>
        <v>2</v>
      </c>
    </row>
    <row r="264" spans="2:12" ht="15">
      <c r="B264" s="29" t="s">
        <v>253</v>
      </c>
      <c r="C264" s="29" t="s">
        <v>245</v>
      </c>
      <c r="D264" s="41">
        <f>COUNTIFS('UMUR 2021'!$V$3:$V$84,"&lt;50",'UMUR 2021'!$AC$3:$AC$84,"="&amp;B264)</f>
        <v>0</v>
      </c>
      <c r="E264" s="41">
        <f>COUNTIFS('UMUR 2021'!$V$3:$V$84,"&gt;=50",'UMUR 2021'!$V$3:$V$84,"&lt;100",'UMUR 2021'!$AC$3:$AC$84,"="&amp;B264)</f>
        <v>0</v>
      </c>
      <c r="F264" s="41">
        <f>COUNTIFS('UMUR 2021'!$V$3:$V$84,"&gt;=100",'UMUR 2021'!$V$3:$V$84,"&lt;300",'UMUR 2021'!$AC$3:$AC$84,"="&amp;B264)</f>
        <v>0</v>
      </c>
      <c r="G264" s="41">
        <f>COUNTIFS('UMUR 2021'!$V$3:$V$84,"&gt;=300",'UMUR 2021'!$V$3:$V$84,"&lt;500",'UMUR 2021'!$AC$3:$AC$84,"="&amp;B264)</f>
        <v>0</v>
      </c>
      <c r="H264" s="41">
        <f>COUNTIFS('UMUR 2021'!$V$3:$V$84,"&gt;=500",'UMUR 2021'!$V$3:$V$84,"&lt;1000",'UMUR 2021'!$AC$3:$AC$84,"="&amp;B264)</f>
        <v>0</v>
      </c>
      <c r="I264" s="41">
        <f>COUNTIFS('UMUR 2021'!$V$3:$V$84,"&gt;=1000",'UMUR 2021'!$V$3:$V$84,"&lt;3000",'UMUR 2021'!$AC$3:$AC$84,"="&amp;B264)</f>
        <v>0</v>
      </c>
      <c r="J264" s="41">
        <f>COUNTIFS('UMUR 2021'!$V$3:$V$84,"&gt;=3000",'UMUR 2021'!$V$3:$V$84,"&lt;10000",'UMUR 2021'!$AC$3:$AC$84,"="&amp;B264)</f>
        <v>0</v>
      </c>
      <c r="K264" s="41">
        <f>COUNTIFS('UMUR 2021'!$V$3:$V$84,"&gt;=10000",'UMUR 2021'!$AC$3:$AC$84,"="&amp;B264)</f>
        <v>0</v>
      </c>
      <c r="L264" s="63">
        <f t="shared" si="9"/>
        <v>0</v>
      </c>
    </row>
    <row r="265" spans="2:12" ht="15">
      <c r="B265" s="29" t="s">
        <v>254</v>
      </c>
      <c r="C265" s="29" t="s">
        <v>245</v>
      </c>
      <c r="D265" s="41">
        <f>COUNTIFS('UMUR 2021'!$V$3:$V$84,"&lt;50",'UMUR 2021'!$AC$3:$AC$84,"="&amp;B265)</f>
        <v>0</v>
      </c>
      <c r="E265" s="41">
        <f>COUNTIFS('UMUR 2021'!$V$3:$V$84,"&gt;=50",'UMUR 2021'!$V$3:$V$84,"&lt;100",'UMUR 2021'!$AC$3:$AC$84,"="&amp;B265)</f>
        <v>0</v>
      </c>
      <c r="F265" s="41">
        <f>COUNTIFS('UMUR 2021'!$V$3:$V$84,"&gt;=100",'UMUR 2021'!$V$3:$V$84,"&lt;300",'UMUR 2021'!$AC$3:$AC$84,"="&amp;B265)</f>
        <v>0</v>
      </c>
      <c r="G265" s="41">
        <f>COUNTIFS('UMUR 2021'!$V$3:$V$84,"&gt;=300",'UMUR 2021'!$V$3:$V$84,"&lt;500",'UMUR 2021'!$AC$3:$AC$84,"="&amp;B265)</f>
        <v>0</v>
      </c>
      <c r="H265" s="41">
        <f>COUNTIFS('UMUR 2021'!$V$3:$V$84,"&gt;=500",'UMUR 2021'!$V$3:$V$84,"&lt;1000",'UMUR 2021'!$AC$3:$AC$84,"="&amp;B265)</f>
        <v>0</v>
      </c>
      <c r="I265" s="41">
        <f>COUNTIFS('UMUR 2021'!$V$3:$V$84,"&gt;=1000",'UMUR 2021'!$V$3:$V$84,"&lt;3000",'UMUR 2021'!$AC$3:$AC$84,"="&amp;B265)</f>
        <v>0</v>
      </c>
      <c r="J265" s="41">
        <f>COUNTIFS('UMUR 2021'!$V$3:$V$84,"&gt;=3000",'UMUR 2021'!$V$3:$V$84,"&lt;10000",'UMUR 2021'!$AC$3:$AC$84,"="&amp;B265)</f>
        <v>0</v>
      </c>
      <c r="K265" s="41">
        <f>COUNTIFS('UMUR 2021'!$V$3:$V$84,"&gt;=10000",'UMUR 2021'!$AC$3:$AC$84,"="&amp;B265)</f>
        <v>0</v>
      </c>
      <c r="L265" s="63">
        <f t="shared" si="9"/>
        <v>0</v>
      </c>
    </row>
    <row r="266" spans="2:12" ht="15">
      <c r="B266" s="29" t="s">
        <v>252</v>
      </c>
      <c r="C266" s="29" t="s">
        <v>252</v>
      </c>
      <c r="D266" s="41">
        <f>COUNTIFS('UMUR 2021'!$V$3:$V$84,"&lt;50",'UMUR 2021'!$AC$3:$AC$84,"="&amp;B266)</f>
        <v>0</v>
      </c>
      <c r="E266" s="41">
        <f>COUNTIFS('UMUR 2021'!$V$3:$V$84,"&gt;=50",'UMUR 2021'!$V$3:$V$84,"&lt;100",'UMUR 2021'!$AC$3:$AC$84,"="&amp;B266)</f>
        <v>1</v>
      </c>
      <c r="F266" s="41">
        <f>COUNTIFS('UMUR 2021'!$V$3:$V$84,"&gt;=100",'UMUR 2021'!$V$3:$V$84,"&lt;300",'UMUR 2021'!$AC$3:$AC$84,"="&amp;B266)</f>
        <v>0</v>
      </c>
      <c r="G266" s="41">
        <f>COUNTIFS('UMUR 2021'!$V$3:$V$84,"&gt;=300",'UMUR 2021'!$V$3:$V$84,"&lt;500",'UMUR 2021'!$AC$3:$AC$84,"="&amp;B266)</f>
        <v>0</v>
      </c>
      <c r="H266" s="41">
        <f>COUNTIFS('UMUR 2021'!$V$3:$V$84,"&gt;=500",'UMUR 2021'!$V$3:$V$84,"&lt;1000",'UMUR 2021'!$AC$3:$AC$84,"="&amp;B266)</f>
        <v>2</v>
      </c>
      <c r="I266" s="41">
        <f>COUNTIFS('UMUR 2021'!$V$3:$V$84,"&gt;=1000",'UMUR 2021'!$V$3:$V$84,"&lt;3000",'UMUR 2021'!$AC$3:$AC$84,"="&amp;B266)</f>
        <v>1</v>
      </c>
      <c r="J266" s="41">
        <f>COUNTIFS('UMUR 2021'!$V$3:$V$84,"&gt;=3000",'UMUR 2021'!$V$3:$V$84,"&lt;10000",'UMUR 2021'!$AC$3:$AC$84,"="&amp;B266)</f>
        <v>0</v>
      </c>
      <c r="K266" s="41">
        <f>COUNTIFS('UMUR 2021'!$V$3:$V$84,"&gt;=10000",'UMUR 2021'!$AC$3:$AC$84,"="&amp;B266)</f>
        <v>0</v>
      </c>
      <c r="L266" s="63">
        <f t="shared" si="9"/>
        <v>4</v>
      </c>
    </row>
    <row r="267" spans="2:12" ht="15">
      <c r="B267" s="29" t="s">
        <v>301</v>
      </c>
      <c r="C267" s="29" t="s">
        <v>279</v>
      </c>
      <c r="D267" s="41">
        <f>COUNTIFS('UMUR 2021'!$V$3:$V$84,"&lt;50",'UMUR 2021'!$AC$3:$AC$84,"="&amp;B267)</f>
        <v>0</v>
      </c>
      <c r="E267" s="41">
        <f>COUNTIFS('UMUR 2021'!$V$3:$V$84,"&gt;=50",'UMUR 2021'!$V$3:$V$84,"&lt;100",'UMUR 2021'!$AC$3:$AC$84,"="&amp;B267)</f>
        <v>0</v>
      </c>
      <c r="F267" s="41">
        <f>COUNTIFS('UMUR 2021'!$V$3:$V$84,"&gt;=100",'UMUR 2021'!$V$3:$V$84,"&lt;300",'UMUR 2021'!$AC$3:$AC$84,"="&amp;B267)</f>
        <v>0</v>
      </c>
      <c r="G267" s="41">
        <f>COUNTIFS('UMUR 2021'!$V$3:$V$84,"&gt;=300",'UMUR 2021'!$V$3:$V$84,"&lt;500",'UMUR 2021'!$AC$3:$AC$84,"="&amp;B267)</f>
        <v>0</v>
      </c>
      <c r="H267" s="41">
        <f>COUNTIFS('UMUR 2021'!$V$3:$V$84,"&gt;=500",'UMUR 2021'!$V$3:$V$84,"&lt;1000",'UMUR 2021'!$AC$3:$AC$84,"="&amp;B267)</f>
        <v>0</v>
      </c>
      <c r="I267" s="41">
        <f>COUNTIFS('UMUR 2021'!$V$3:$V$84,"&gt;=1000",'UMUR 2021'!$V$3:$V$84,"&lt;3000",'UMUR 2021'!$AC$3:$AC$84,"="&amp;B267)</f>
        <v>0</v>
      </c>
      <c r="J267" s="41">
        <f>COUNTIFS('UMUR 2021'!$V$3:$V$84,"&gt;=3000",'UMUR 2021'!$V$3:$V$84,"&lt;10000",'UMUR 2021'!$AC$3:$AC$84,"="&amp;B267)</f>
        <v>0</v>
      </c>
      <c r="K267" s="41">
        <f>COUNTIFS('UMUR 2021'!$V$3:$V$84,"&gt;=10000",'UMUR 2021'!$AC$3:$AC$84,"="&amp;B267)</f>
        <v>0</v>
      </c>
      <c r="L267" s="63">
        <f t="shared" si="9"/>
        <v>0</v>
      </c>
    </row>
    <row r="268" spans="2:12" ht="15">
      <c r="B268" s="29" t="s">
        <v>302</v>
      </c>
      <c r="C268" s="29" t="s">
        <v>279</v>
      </c>
      <c r="D268" s="41">
        <f>COUNTIFS('UMUR 2021'!$V$3:$V$84,"&lt;50",'UMUR 2021'!$AC$3:$AC$84,"="&amp;B268)</f>
        <v>0</v>
      </c>
      <c r="E268" s="41">
        <f>COUNTIFS('UMUR 2021'!$V$3:$V$84,"&gt;=50",'UMUR 2021'!$V$3:$V$84,"&lt;100",'UMUR 2021'!$AC$3:$AC$84,"="&amp;B268)</f>
        <v>0</v>
      </c>
      <c r="F268" s="41">
        <f>COUNTIFS('UMUR 2021'!$V$3:$V$84,"&gt;=100",'UMUR 2021'!$V$3:$V$84,"&lt;300",'UMUR 2021'!$AC$3:$AC$84,"="&amp;B268)</f>
        <v>0</v>
      </c>
      <c r="G268" s="41">
        <f>COUNTIFS('UMUR 2021'!$V$3:$V$84,"&gt;=300",'UMUR 2021'!$V$3:$V$84,"&lt;500",'UMUR 2021'!$AC$3:$AC$84,"="&amp;B268)</f>
        <v>0</v>
      </c>
      <c r="H268" s="41">
        <f>COUNTIFS('UMUR 2021'!$V$3:$V$84,"&gt;=500",'UMUR 2021'!$V$3:$V$84,"&lt;1000",'UMUR 2021'!$AC$3:$AC$84,"="&amp;B268)</f>
        <v>0</v>
      </c>
      <c r="I268" s="41">
        <f>COUNTIFS('UMUR 2021'!$V$3:$V$84,"&gt;=1000",'UMUR 2021'!$V$3:$V$84,"&lt;3000",'UMUR 2021'!$AC$3:$AC$84,"="&amp;B268)</f>
        <v>0</v>
      </c>
      <c r="J268" s="41">
        <f>COUNTIFS('UMUR 2021'!$V$3:$V$84,"&gt;=3000",'UMUR 2021'!$V$3:$V$84,"&lt;10000",'UMUR 2021'!$AC$3:$AC$84,"="&amp;B268)</f>
        <v>0</v>
      </c>
      <c r="K268" s="41">
        <f>COUNTIFS('UMUR 2021'!$V$3:$V$84,"&gt;=10000",'UMUR 2021'!$AC$3:$AC$84,"="&amp;B268)</f>
        <v>0</v>
      </c>
      <c r="L268" s="63">
        <f t="shared" si="9"/>
        <v>0</v>
      </c>
    </row>
    <row r="269" spans="2:12" ht="15">
      <c r="B269" s="29" t="s">
        <v>303</v>
      </c>
      <c r="C269" s="29" t="s">
        <v>279</v>
      </c>
      <c r="D269" s="41">
        <f>COUNTIFS('UMUR 2021'!$V$3:$V$84,"&lt;50",'UMUR 2021'!$AC$3:$AC$84,"="&amp;B269)</f>
        <v>0</v>
      </c>
      <c r="E269" s="41">
        <f>COUNTIFS('UMUR 2021'!$V$3:$V$84,"&gt;=50",'UMUR 2021'!$V$3:$V$84,"&lt;100",'UMUR 2021'!$AC$3:$AC$84,"="&amp;B269)</f>
        <v>0</v>
      </c>
      <c r="F269" s="41">
        <f>COUNTIFS('UMUR 2021'!$V$3:$V$84,"&gt;=100",'UMUR 2021'!$V$3:$V$84,"&lt;300",'UMUR 2021'!$AC$3:$AC$84,"="&amp;B269)</f>
        <v>0</v>
      </c>
      <c r="G269" s="41">
        <f>COUNTIFS('UMUR 2021'!$V$3:$V$84,"&gt;=300",'UMUR 2021'!$V$3:$V$84,"&lt;500",'UMUR 2021'!$AC$3:$AC$84,"="&amp;B269)</f>
        <v>0</v>
      </c>
      <c r="H269" s="41">
        <f>COUNTIFS('UMUR 2021'!$V$3:$V$84,"&gt;=500",'UMUR 2021'!$V$3:$V$84,"&lt;1000",'UMUR 2021'!$AC$3:$AC$84,"="&amp;B269)</f>
        <v>0</v>
      </c>
      <c r="I269" s="41">
        <f>COUNTIFS('UMUR 2021'!$V$3:$V$84,"&gt;=1000",'UMUR 2021'!$V$3:$V$84,"&lt;3000",'UMUR 2021'!$AC$3:$AC$84,"="&amp;B269)</f>
        <v>0</v>
      </c>
      <c r="J269" s="41">
        <f>COUNTIFS('UMUR 2021'!$V$3:$V$84,"&gt;=3000",'UMUR 2021'!$V$3:$V$84,"&lt;10000",'UMUR 2021'!$AC$3:$AC$84,"="&amp;B269)</f>
        <v>0</v>
      </c>
      <c r="K269" s="41">
        <f>COUNTIFS('UMUR 2021'!$V$3:$V$84,"&gt;=10000",'UMUR 2021'!$AC$3:$AC$84,"="&amp;B269)</f>
        <v>0</v>
      </c>
      <c r="L269" s="63">
        <f t="shared" si="9"/>
        <v>0</v>
      </c>
    </row>
    <row r="270" spans="2:12" ht="15">
      <c r="B270" s="29" t="s">
        <v>304</v>
      </c>
      <c r="C270" s="29" t="s">
        <v>279</v>
      </c>
      <c r="D270" s="41">
        <f>COUNTIFS('UMUR 2021'!$V$3:$V$84,"&lt;50",'UMUR 2021'!$AC$3:$AC$84,"="&amp;B270)</f>
        <v>0</v>
      </c>
      <c r="E270" s="41">
        <f>COUNTIFS('UMUR 2021'!$V$3:$V$84,"&gt;=50",'UMUR 2021'!$V$3:$V$84,"&lt;100",'UMUR 2021'!$AC$3:$AC$84,"="&amp;B270)</f>
        <v>0</v>
      </c>
      <c r="F270" s="41">
        <f>COUNTIFS('UMUR 2021'!$V$3:$V$84,"&gt;=100",'UMUR 2021'!$V$3:$V$84,"&lt;300",'UMUR 2021'!$AC$3:$AC$84,"="&amp;B270)</f>
        <v>0</v>
      </c>
      <c r="G270" s="41">
        <f>COUNTIFS('UMUR 2021'!$V$3:$V$84,"&gt;=300",'UMUR 2021'!$V$3:$V$84,"&lt;500",'UMUR 2021'!$AC$3:$AC$84,"="&amp;B270)</f>
        <v>0</v>
      </c>
      <c r="H270" s="41">
        <f>COUNTIFS('UMUR 2021'!$V$3:$V$84,"&gt;=500",'UMUR 2021'!$V$3:$V$84,"&lt;1000",'UMUR 2021'!$AC$3:$AC$84,"="&amp;B270)</f>
        <v>0</v>
      </c>
      <c r="I270" s="41">
        <f>COUNTIFS('UMUR 2021'!$V$3:$V$84,"&gt;=1000",'UMUR 2021'!$V$3:$V$84,"&lt;3000",'UMUR 2021'!$AC$3:$AC$84,"="&amp;B270)</f>
        <v>0</v>
      </c>
      <c r="J270" s="41">
        <f>COUNTIFS('UMUR 2021'!$V$3:$V$84,"&gt;=3000",'UMUR 2021'!$V$3:$V$84,"&lt;10000",'UMUR 2021'!$AC$3:$AC$84,"="&amp;B270)</f>
        <v>0</v>
      </c>
      <c r="K270" s="41">
        <f>COUNTIFS('UMUR 2021'!$V$3:$V$84,"&gt;=10000",'UMUR 2021'!$AC$3:$AC$84,"="&amp;B270)</f>
        <v>0</v>
      </c>
      <c r="L270" s="63">
        <f t="shared" si="9"/>
        <v>0</v>
      </c>
    </row>
    <row r="271" spans="2:12" ht="15">
      <c r="B271" s="29" t="s">
        <v>250</v>
      </c>
      <c r="C271" s="29" t="s">
        <v>246</v>
      </c>
      <c r="D271" s="41">
        <f>COUNTIFS('UMUR 2021'!$V$3:$V$84,"&lt;50",'UMUR 2021'!$AC$3:$AC$84,"="&amp;B271)</f>
        <v>0</v>
      </c>
      <c r="E271" s="41">
        <f>COUNTIFS('UMUR 2021'!$V$3:$V$84,"&gt;=50",'UMUR 2021'!$V$3:$V$84,"&lt;100",'UMUR 2021'!$AC$3:$AC$84,"="&amp;B271)</f>
        <v>0</v>
      </c>
      <c r="F271" s="41">
        <f>COUNTIFS('UMUR 2021'!$V$3:$V$84,"&gt;=100",'UMUR 2021'!$V$3:$V$84,"&lt;300",'UMUR 2021'!$AC$3:$AC$84,"="&amp;B271)</f>
        <v>0</v>
      </c>
      <c r="G271" s="41">
        <f>COUNTIFS('UMUR 2021'!$V$3:$V$84,"&gt;=300",'UMUR 2021'!$V$3:$V$84,"&lt;500",'UMUR 2021'!$AC$3:$AC$84,"="&amp;B271)</f>
        <v>0</v>
      </c>
      <c r="H271" s="41">
        <f>COUNTIFS('UMUR 2021'!$V$3:$V$84,"&gt;=500",'UMUR 2021'!$V$3:$V$84,"&lt;1000",'UMUR 2021'!$AC$3:$AC$84,"="&amp;B271)</f>
        <v>0</v>
      </c>
      <c r="I271" s="41">
        <f>COUNTIFS('UMUR 2021'!$V$3:$V$84,"&gt;=1000",'UMUR 2021'!$V$3:$V$84,"&lt;3000",'UMUR 2021'!$AC$3:$AC$84,"="&amp;B271)</f>
        <v>0</v>
      </c>
      <c r="J271" s="41">
        <f>COUNTIFS('UMUR 2021'!$V$3:$V$84,"&gt;=3000",'UMUR 2021'!$V$3:$V$84,"&lt;10000",'UMUR 2021'!$AC$3:$AC$84,"="&amp;B271)</f>
        <v>0</v>
      </c>
      <c r="K271" s="41">
        <f>COUNTIFS('UMUR 2021'!$V$3:$V$84,"&gt;=10000",'UMUR 2021'!$AC$3:$AC$84,"="&amp;B271)</f>
        <v>0</v>
      </c>
      <c r="L271" s="63">
        <f t="shared" si="9"/>
        <v>0</v>
      </c>
    </row>
    <row r="272" spans="2:12" ht="15">
      <c r="B272" s="29" t="s">
        <v>248</v>
      </c>
      <c r="C272" s="29" t="s">
        <v>246</v>
      </c>
      <c r="D272" s="41">
        <f>COUNTIFS('UMUR 2021'!$V$3:$V$84,"&lt;50",'UMUR 2021'!$AC$3:$AC$84,"="&amp;B272)</f>
        <v>0</v>
      </c>
      <c r="E272" s="41">
        <f>COUNTIFS('UMUR 2021'!$V$3:$V$84,"&gt;=50",'UMUR 2021'!$V$3:$V$84,"&lt;100",'UMUR 2021'!$AC$3:$AC$84,"="&amp;B272)</f>
        <v>0</v>
      </c>
      <c r="F272" s="41">
        <f>COUNTIFS('UMUR 2021'!$V$3:$V$84,"&gt;=100",'UMUR 2021'!$V$3:$V$84,"&lt;300",'UMUR 2021'!$AC$3:$AC$84,"="&amp;B272)</f>
        <v>0</v>
      </c>
      <c r="G272" s="41">
        <f>COUNTIFS('UMUR 2021'!$V$3:$V$84,"&gt;=300",'UMUR 2021'!$V$3:$V$84,"&lt;500",'UMUR 2021'!$AC$3:$AC$84,"="&amp;B272)</f>
        <v>0</v>
      </c>
      <c r="H272" s="41">
        <f>COUNTIFS('UMUR 2021'!$V$3:$V$84,"&gt;=500",'UMUR 2021'!$V$3:$V$84,"&lt;1000",'UMUR 2021'!$AC$3:$AC$84,"="&amp;B272)</f>
        <v>0</v>
      </c>
      <c r="I272" s="41">
        <f>COUNTIFS('UMUR 2021'!$V$3:$V$84,"&gt;=1000",'UMUR 2021'!$V$3:$V$84,"&lt;3000",'UMUR 2021'!$AC$3:$AC$84,"="&amp;B272)</f>
        <v>0</v>
      </c>
      <c r="J272" s="41">
        <f>COUNTIFS('UMUR 2021'!$V$3:$V$84,"&gt;=3000",'UMUR 2021'!$V$3:$V$84,"&lt;10000",'UMUR 2021'!$AC$3:$AC$84,"="&amp;B272)</f>
        <v>0</v>
      </c>
      <c r="K272" s="41">
        <f>COUNTIFS('UMUR 2021'!$V$3:$V$84,"&gt;=10000",'UMUR 2021'!$AC$3:$AC$84,"="&amp;B272)</f>
        <v>0</v>
      </c>
      <c r="L272" s="63">
        <f t="shared" si="9"/>
        <v>0</v>
      </c>
    </row>
    <row r="273" spans="2:12" ht="15">
      <c r="B273" s="29" t="s">
        <v>305</v>
      </c>
      <c r="C273" s="29" t="s">
        <v>305</v>
      </c>
      <c r="D273" s="41">
        <f>COUNTIFS('UMUR 2021'!$V$3:$V$84,"&lt;50",'UMUR 2021'!$AC$3:$AC$84,"="&amp;B273)</f>
        <v>0</v>
      </c>
      <c r="E273" s="41">
        <f>COUNTIFS('UMUR 2021'!$V$3:$V$84,"&gt;=50",'UMUR 2021'!$V$3:$V$84,"&lt;100",'UMUR 2021'!$AC$3:$AC$84,"="&amp;B273)</f>
        <v>0</v>
      </c>
      <c r="F273" s="41">
        <f>COUNTIFS('UMUR 2021'!$V$3:$V$84,"&gt;=100",'UMUR 2021'!$V$3:$V$84,"&lt;300",'UMUR 2021'!$AC$3:$AC$84,"="&amp;B273)</f>
        <v>0</v>
      </c>
      <c r="G273" s="41">
        <f>COUNTIFS('UMUR 2021'!$V$3:$V$84,"&gt;=300",'UMUR 2021'!$V$3:$V$84,"&lt;500",'UMUR 2021'!$AC$3:$AC$84,"="&amp;B273)</f>
        <v>0</v>
      </c>
      <c r="H273" s="41">
        <f>COUNTIFS('UMUR 2021'!$V$3:$V$84,"&gt;=500",'UMUR 2021'!$V$3:$V$84,"&lt;1000",'UMUR 2021'!$AC$3:$AC$84,"="&amp;B273)</f>
        <v>0</v>
      </c>
      <c r="I273" s="41">
        <f>COUNTIFS('UMUR 2021'!$V$3:$V$84,"&gt;=1000",'UMUR 2021'!$V$3:$V$84,"&lt;3000",'UMUR 2021'!$AC$3:$AC$84,"="&amp;B273)</f>
        <v>0</v>
      </c>
      <c r="J273" s="41">
        <f>COUNTIFS('UMUR 2021'!$V$3:$V$84,"&gt;=3000",'UMUR 2021'!$V$3:$V$84,"&lt;10000",'UMUR 2021'!$AC$3:$AC$84,"="&amp;B273)</f>
        <v>0</v>
      </c>
      <c r="K273" s="41">
        <f>COUNTIFS('UMUR 2021'!$V$3:$V$84,"&gt;=10000",'UMUR 2021'!$AC$3:$AC$84,"="&amp;B273)</f>
        <v>0</v>
      </c>
      <c r="L273" s="63">
        <f t="shared" si="9"/>
        <v>0</v>
      </c>
    </row>
    <row r="274" spans="2:12" ht="15">
      <c r="B274" s="29" t="s">
        <v>306</v>
      </c>
      <c r="C274" s="29" t="s">
        <v>306</v>
      </c>
      <c r="D274" s="41">
        <f>COUNTIFS('UMUR 2021'!$V$3:$V$84,"&lt;50",'UMUR 2021'!$AC$3:$AC$84,"="&amp;B274)</f>
        <v>0</v>
      </c>
      <c r="E274" s="41">
        <f>COUNTIFS('UMUR 2021'!$V$3:$V$84,"&gt;=50",'UMUR 2021'!$V$3:$V$84,"&lt;100",'UMUR 2021'!$AC$3:$AC$84,"="&amp;B274)</f>
        <v>0</v>
      </c>
      <c r="F274" s="41">
        <f>COUNTIFS('UMUR 2021'!$V$3:$V$84,"&gt;=100",'UMUR 2021'!$V$3:$V$84,"&lt;300",'UMUR 2021'!$AC$3:$AC$84,"="&amp;B274)</f>
        <v>0</v>
      </c>
      <c r="G274" s="41">
        <f>COUNTIFS('UMUR 2021'!$V$3:$V$84,"&gt;=300",'UMUR 2021'!$V$3:$V$84,"&lt;500",'UMUR 2021'!$AC$3:$AC$84,"="&amp;B274)</f>
        <v>0</v>
      </c>
      <c r="H274" s="41">
        <f>COUNTIFS('UMUR 2021'!$V$3:$V$84,"&gt;=500",'UMUR 2021'!$V$3:$V$84,"&lt;1000",'UMUR 2021'!$AC$3:$AC$84,"="&amp;B274)</f>
        <v>0</v>
      </c>
      <c r="I274" s="41">
        <f>COUNTIFS('UMUR 2021'!$V$3:$V$84,"&gt;=1000",'UMUR 2021'!$V$3:$V$84,"&lt;3000",'UMUR 2021'!$AC$3:$AC$84,"="&amp;B274)</f>
        <v>0</v>
      </c>
      <c r="J274" s="41">
        <f>COUNTIFS('UMUR 2021'!$V$3:$V$84,"&gt;=3000",'UMUR 2021'!$V$3:$V$84,"&lt;10000",'UMUR 2021'!$AC$3:$AC$84,"="&amp;B274)</f>
        <v>0</v>
      </c>
      <c r="K274" s="41">
        <f>COUNTIFS('UMUR 2021'!$V$3:$V$84,"&gt;=10000",'UMUR 2021'!$AC$3:$AC$84,"="&amp;B274)</f>
        <v>0</v>
      </c>
      <c r="L274" s="63">
        <f t="shared" si="9"/>
        <v>0</v>
      </c>
    </row>
    <row r="275" spans="2:12" ht="15">
      <c r="B275" s="29" t="s">
        <v>251</v>
      </c>
      <c r="C275" s="29" t="s">
        <v>251</v>
      </c>
      <c r="D275" s="41">
        <f>COUNTIFS('UMUR 2021'!$V$3:$V$84,"&lt;50",'UMUR 2021'!$AC$3:$AC$84,"="&amp;B275)</f>
        <v>0</v>
      </c>
      <c r="E275" s="41">
        <f>COUNTIFS('UMUR 2021'!$V$3:$V$84,"&gt;=50",'UMUR 2021'!$V$3:$V$84,"&lt;100",'UMUR 2021'!$AC$3:$AC$84,"="&amp;B275)</f>
        <v>0</v>
      </c>
      <c r="F275" s="41">
        <f>COUNTIFS('UMUR 2021'!$V$3:$V$84,"&gt;=100",'UMUR 2021'!$V$3:$V$84,"&lt;300",'UMUR 2021'!$AC$3:$AC$84,"="&amp;B275)</f>
        <v>0</v>
      </c>
      <c r="G275" s="41">
        <f>COUNTIFS('UMUR 2021'!$V$3:$V$84,"&gt;=300",'UMUR 2021'!$V$3:$V$84,"&lt;500",'UMUR 2021'!$AC$3:$AC$84,"="&amp;B275)</f>
        <v>0</v>
      </c>
      <c r="H275" s="41">
        <f>COUNTIFS('UMUR 2021'!$V$3:$V$84,"&gt;=500",'UMUR 2021'!$V$3:$V$84,"&lt;1000",'UMUR 2021'!$AC$3:$AC$84,"="&amp;B275)</f>
        <v>0</v>
      </c>
      <c r="I275" s="41">
        <f>COUNTIFS('UMUR 2021'!$V$3:$V$84,"&gt;=1000",'UMUR 2021'!$V$3:$V$84,"&lt;3000",'UMUR 2021'!$AC$3:$AC$84,"="&amp;B275)</f>
        <v>0</v>
      </c>
      <c r="J275" s="41">
        <f>COUNTIFS('UMUR 2021'!$V$3:$V$84,"&gt;=3000",'UMUR 2021'!$V$3:$V$84,"&lt;10000",'UMUR 2021'!$AC$3:$AC$84,"="&amp;B275)</f>
        <v>0</v>
      </c>
      <c r="K275" s="41">
        <f>COUNTIFS('UMUR 2021'!$V$3:$V$84,"&gt;=10000",'UMUR 2021'!$AC$3:$AC$84,"="&amp;B275)</f>
        <v>0</v>
      </c>
      <c r="L275" s="63">
        <f t="shared" si="9"/>
        <v>0</v>
      </c>
    </row>
    <row r="277" spans="2:12" ht="15">
      <c r="K277" s="70" t="s">
        <v>235</v>
      </c>
      <c r="L277" s="63">
        <f>SUM(L259:L275)</f>
        <v>82</v>
      </c>
    </row>
    <row r="283" spans="2:12">
      <c r="B283" s="89" t="s">
        <v>363</v>
      </c>
      <c r="C283" s="89"/>
      <c r="D283" s="89"/>
      <c r="E283" s="89"/>
      <c r="F283" s="89"/>
      <c r="G283" s="89"/>
      <c r="H283" s="89"/>
      <c r="I283" s="89"/>
      <c r="J283" s="89"/>
      <c r="K283" s="89"/>
      <c r="L283" s="89"/>
    </row>
    <row r="284" spans="2:12"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</row>
    <row r="286" spans="2:12" ht="15">
      <c r="B286" s="26" t="s">
        <v>236</v>
      </c>
      <c r="C286" s="26" t="s">
        <v>237</v>
      </c>
      <c r="D286" s="29" t="s">
        <v>359</v>
      </c>
      <c r="E286" s="29" t="s">
        <v>360</v>
      </c>
      <c r="F286" s="29" t="s">
        <v>323</v>
      </c>
      <c r="G286" s="29" t="s">
        <v>324</v>
      </c>
      <c r="H286" s="29" t="s">
        <v>325</v>
      </c>
      <c r="I286" s="29" t="s">
        <v>326</v>
      </c>
      <c r="J286" s="29" t="s">
        <v>361</v>
      </c>
      <c r="K286" s="29" t="s">
        <v>362</v>
      </c>
      <c r="L286" s="71" t="s">
        <v>235</v>
      </c>
    </row>
    <row r="287" spans="2:12" ht="15">
      <c r="B287" s="29" t="s">
        <v>243</v>
      </c>
      <c r="C287" s="29" t="s">
        <v>241</v>
      </c>
      <c r="D287" s="41">
        <f>COUNTIFS('UMUR 2021'!$V$3:$V$84,"&lt;50",'UMUR 2021'!$AG$3:$AG$84,"="&amp;B287)</f>
        <v>0</v>
      </c>
      <c r="E287" s="41">
        <f>COUNTIFS('UMUR 2021'!$V$3:$V$84,"&gt;=50",'UMUR 2021'!$V$3:$V$84,"&lt;100",'UMUR 2021'!$AG$3:$AG$84,"="&amp;B287)</f>
        <v>0</v>
      </c>
      <c r="F287" s="41">
        <f>COUNTIFS('UMUR 2021'!$V$3:$V$84,"&gt;=100",'UMUR 2021'!$V$3:$V$84,"&lt;300",'UMUR 2021'!$AG$3:$AG$84,"="&amp;B287)</f>
        <v>0</v>
      </c>
      <c r="G287" s="41">
        <f>COUNTIFS('UMUR 2021'!$V$3:$V$84,"&gt;=300",'UMUR 2021'!$V$3:$V$84,"&lt;500",'UMUR 2021'!$AG$3:$AG$84,"="&amp;B287)</f>
        <v>0</v>
      </c>
      <c r="H287" s="41">
        <f>COUNTIFS('UMUR 2021'!$V$3:$V$84,"&gt;=500",'UMUR 2021'!$V$3:$V$84,"&lt;1000",'UMUR 2021'!$AG$3:$AG$84,"="&amp;B287)</f>
        <v>0</v>
      </c>
      <c r="I287" s="41">
        <f>COUNTIFS('UMUR 2021'!$V$3:$V$84,"&gt;=1000",'UMUR 2021'!$V$3:$V$84,"&lt;3000",'UMUR 2021'!$AG$3:$AG$84,"="&amp;B287)</f>
        <v>0</v>
      </c>
      <c r="J287" s="41">
        <f>COUNTIFS('UMUR 2021'!$V$3:$V$84,"&gt;=3000",'UMUR 2021'!$V$3:$V$84,"&lt;10000",'UMUR 2021'!$AG$3:$AG$84,"="&amp;B287)</f>
        <v>0</v>
      </c>
      <c r="K287" s="41">
        <f>COUNTIFS('UMUR 2021'!$V$3:$V$84,"&gt;=10000",'UMUR 2021'!$AG$3:$AG$84,"="&amp;B287)</f>
        <v>0</v>
      </c>
      <c r="L287" s="63">
        <f>SUM(D287:K287)</f>
        <v>0</v>
      </c>
    </row>
    <row r="288" spans="2:12" ht="15">
      <c r="B288" s="29" t="s">
        <v>239</v>
      </c>
      <c r="C288" s="29" t="s">
        <v>241</v>
      </c>
      <c r="D288" s="41">
        <f>COUNTIFS('UMUR 2021'!$V$3:$V$84,"&lt;50",'UMUR 2021'!$AG$3:$AG$84,"="&amp;B288)</f>
        <v>0</v>
      </c>
      <c r="E288" s="41">
        <f>COUNTIFS('UMUR 2021'!$V$3:$V$84,"&gt;=50",'UMUR 2021'!$V$3:$V$84,"&lt;100",'UMUR 2021'!$AG$3:$AG$84,"="&amp;B288)</f>
        <v>1</v>
      </c>
      <c r="F288" s="41">
        <f>COUNTIFS('UMUR 2021'!$V$3:$V$84,"&gt;=100",'UMUR 2021'!$V$3:$V$84,"&lt;300",'UMUR 2021'!$AG$3:$AG$84,"="&amp;B288)</f>
        <v>0</v>
      </c>
      <c r="G288" s="41">
        <f>COUNTIFS('UMUR 2021'!$V$3:$V$84,"&gt;=300",'UMUR 2021'!$V$3:$V$84,"&lt;500",'UMUR 2021'!$AG$3:$AG$84,"="&amp;B288)</f>
        <v>0</v>
      </c>
      <c r="H288" s="41">
        <f>COUNTIFS('UMUR 2021'!$V$3:$V$84,"&gt;=500",'UMUR 2021'!$V$3:$V$84,"&lt;1000",'UMUR 2021'!$AG$3:$AG$84,"="&amp;B288)</f>
        <v>2</v>
      </c>
      <c r="I288" s="41">
        <f>COUNTIFS('UMUR 2021'!$V$3:$V$84,"&gt;=1000",'UMUR 2021'!$V$3:$V$84,"&lt;3000",'UMUR 2021'!$AG$3:$AG$84,"="&amp;B288)</f>
        <v>2</v>
      </c>
      <c r="J288" s="41">
        <f>COUNTIFS('UMUR 2021'!$V$3:$V$84,"&gt;=3000",'UMUR 2021'!$V$3:$V$84,"&lt;10000",'UMUR 2021'!$AG$3:$AG$84,"="&amp;B288)</f>
        <v>0</v>
      </c>
      <c r="K288" s="41">
        <f>COUNTIFS('UMUR 2021'!$V$3:$V$84,"&gt;=10000",'UMUR 2021'!$AG$3:$AG$84,"="&amp;B288)</f>
        <v>0</v>
      </c>
      <c r="L288" s="63">
        <f t="shared" ref="L288:L303" si="10">SUM(D288:K288)</f>
        <v>5</v>
      </c>
    </row>
    <row r="289" spans="2:12" ht="15">
      <c r="B289" s="29" t="s">
        <v>240</v>
      </c>
      <c r="C289" s="29" t="s">
        <v>241</v>
      </c>
      <c r="D289" s="41">
        <f>COUNTIFS('UMUR 2021'!$V$3:$V$84,"&lt;50",'UMUR 2021'!$AG$3:$AG$84,"="&amp;B289)</f>
        <v>0</v>
      </c>
      <c r="E289" s="41">
        <f>COUNTIFS('UMUR 2021'!$V$3:$V$84,"&gt;=50",'UMUR 2021'!$V$3:$V$84,"&lt;100",'UMUR 2021'!$AG$3:$AG$84,"="&amp;B289)</f>
        <v>0</v>
      </c>
      <c r="F289" s="41">
        <f>COUNTIFS('UMUR 2021'!$V$3:$V$84,"&gt;=100",'UMUR 2021'!$V$3:$V$84,"&lt;300",'UMUR 2021'!$AG$3:$AG$84,"="&amp;B289)</f>
        <v>0</v>
      </c>
      <c r="G289" s="41">
        <f>COUNTIFS('UMUR 2021'!$V$3:$V$84,"&gt;=300",'UMUR 2021'!$V$3:$V$84,"&lt;500",'UMUR 2021'!$AG$3:$AG$84,"="&amp;B289)</f>
        <v>0</v>
      </c>
      <c r="H289" s="41">
        <f>COUNTIFS('UMUR 2021'!$V$3:$V$84,"&gt;=500",'UMUR 2021'!$V$3:$V$84,"&lt;1000",'UMUR 2021'!$AG$3:$AG$84,"="&amp;B289)</f>
        <v>1</v>
      </c>
      <c r="I289" s="41">
        <f>COUNTIFS('UMUR 2021'!$V$3:$V$84,"&gt;=1000",'UMUR 2021'!$V$3:$V$84,"&lt;3000",'UMUR 2021'!$AG$3:$AG$84,"="&amp;B289)</f>
        <v>0</v>
      </c>
      <c r="J289" s="41">
        <f>COUNTIFS('UMUR 2021'!$V$3:$V$84,"&gt;=3000",'UMUR 2021'!$V$3:$V$84,"&lt;10000",'UMUR 2021'!$AG$3:$AG$84,"="&amp;B289)</f>
        <v>0</v>
      </c>
      <c r="K289" s="41">
        <f>COUNTIFS('UMUR 2021'!$V$3:$V$84,"&gt;=10000",'UMUR 2021'!$AG$3:$AG$84,"="&amp;B289)</f>
        <v>0</v>
      </c>
      <c r="L289" s="63">
        <f t="shared" si="10"/>
        <v>1</v>
      </c>
    </row>
    <row r="290" spans="2:12" ht="15">
      <c r="B290" s="29" t="s">
        <v>249</v>
      </c>
      <c r="C290" s="29" t="s">
        <v>241</v>
      </c>
      <c r="D290" s="41">
        <f>COUNTIFS('UMUR 2021'!$V$3:$V$84,"&lt;50",'UMUR 2021'!$AG$3:$AG$84,"="&amp;B290)</f>
        <v>0</v>
      </c>
      <c r="E290" s="41">
        <f>COUNTIFS('UMUR 2021'!$V$3:$V$84,"&gt;=50",'UMUR 2021'!$V$3:$V$84,"&lt;100",'UMUR 2021'!$AG$3:$AG$84,"="&amp;B290)</f>
        <v>0</v>
      </c>
      <c r="F290" s="41">
        <f>COUNTIFS('UMUR 2021'!$V$3:$V$84,"&gt;=100",'UMUR 2021'!$V$3:$V$84,"&lt;300",'UMUR 2021'!$AG$3:$AG$84,"="&amp;B290)</f>
        <v>0</v>
      </c>
      <c r="G290" s="41">
        <f>COUNTIFS('UMUR 2021'!$V$3:$V$84,"&gt;=300",'UMUR 2021'!$V$3:$V$84,"&lt;500",'UMUR 2021'!$AG$3:$AG$84,"="&amp;B290)</f>
        <v>0</v>
      </c>
      <c r="H290" s="41">
        <f>COUNTIFS('UMUR 2021'!$V$3:$V$84,"&gt;=500",'UMUR 2021'!$V$3:$V$84,"&lt;1000",'UMUR 2021'!$AG$3:$AG$84,"="&amp;B290)</f>
        <v>0</v>
      </c>
      <c r="I290" s="41">
        <f>COUNTIFS('UMUR 2021'!$V$3:$V$84,"&gt;=1000",'UMUR 2021'!$V$3:$V$84,"&lt;3000",'UMUR 2021'!$AG$3:$AG$84,"="&amp;B290)</f>
        <v>0</v>
      </c>
      <c r="J290" s="41">
        <f>COUNTIFS('UMUR 2021'!$V$3:$V$84,"&gt;=3000",'UMUR 2021'!$V$3:$V$84,"&lt;10000",'UMUR 2021'!$AG$3:$AG$84,"="&amp;B290)</f>
        <v>0</v>
      </c>
      <c r="K290" s="41">
        <f>COUNTIFS('UMUR 2021'!$V$3:$V$84,"&gt;=10000",'UMUR 2021'!$AG$3:$AG$84,"="&amp;B290)</f>
        <v>0</v>
      </c>
      <c r="L290" s="63">
        <f t="shared" si="10"/>
        <v>0</v>
      </c>
    </row>
    <row r="291" spans="2:12" ht="15">
      <c r="B291" s="29" t="s">
        <v>244</v>
      </c>
      <c r="C291" s="29" t="s">
        <v>245</v>
      </c>
      <c r="D291" s="41">
        <f>COUNTIFS('UMUR 2021'!$V$3:$V$84,"&lt;50",'UMUR 2021'!$AG$3:$AG$84,"="&amp;B291)</f>
        <v>1</v>
      </c>
      <c r="E291" s="41">
        <f>COUNTIFS('UMUR 2021'!$V$3:$V$84,"&gt;=50",'UMUR 2021'!$V$3:$V$84,"&lt;100",'UMUR 2021'!$AG$3:$AG$84,"="&amp;B291)</f>
        <v>0</v>
      </c>
      <c r="F291" s="41">
        <f>COUNTIFS('UMUR 2021'!$V$3:$V$84,"&gt;=100",'UMUR 2021'!$V$3:$V$84,"&lt;300",'UMUR 2021'!$AG$3:$AG$84,"="&amp;B291)</f>
        <v>1</v>
      </c>
      <c r="G291" s="41">
        <f>COUNTIFS('UMUR 2021'!$V$3:$V$84,"&gt;=300",'UMUR 2021'!$V$3:$V$84,"&lt;500",'UMUR 2021'!$AG$3:$AG$84,"="&amp;B291)</f>
        <v>0</v>
      </c>
      <c r="H291" s="41">
        <f>COUNTIFS('UMUR 2021'!$V$3:$V$84,"&gt;=500",'UMUR 2021'!$V$3:$V$84,"&lt;1000",'UMUR 2021'!$AG$3:$AG$84,"="&amp;B291)</f>
        <v>1</v>
      </c>
      <c r="I291" s="41">
        <f>COUNTIFS('UMUR 2021'!$V$3:$V$84,"&gt;=1000",'UMUR 2021'!$V$3:$V$84,"&lt;3000",'UMUR 2021'!$AG$3:$AG$84,"="&amp;B291)</f>
        <v>2</v>
      </c>
      <c r="J291" s="41">
        <f>COUNTIFS('UMUR 2021'!$V$3:$V$84,"&gt;=3000",'UMUR 2021'!$V$3:$V$84,"&lt;10000",'UMUR 2021'!$AG$3:$AG$84,"="&amp;B291)</f>
        <v>7</v>
      </c>
      <c r="K291" s="41">
        <f>COUNTIFS('UMUR 2021'!$V$3:$V$84,"&gt;=10000",'UMUR 2021'!$AG$3:$AG$84,"="&amp;B291)</f>
        <v>0</v>
      </c>
      <c r="L291" s="63">
        <f t="shared" si="10"/>
        <v>12</v>
      </c>
    </row>
    <row r="292" spans="2:12" ht="15">
      <c r="B292" s="29" t="s">
        <v>253</v>
      </c>
      <c r="C292" s="29" t="s">
        <v>245</v>
      </c>
      <c r="D292" s="41">
        <f>COUNTIFS('UMUR 2021'!$V$3:$V$84,"&lt;50",'UMUR 2021'!$AG$3:$AG$84,"="&amp;B292)</f>
        <v>0</v>
      </c>
      <c r="E292" s="41">
        <f>COUNTIFS('UMUR 2021'!$V$3:$V$84,"&gt;=50",'UMUR 2021'!$V$3:$V$84,"&lt;100",'UMUR 2021'!$AG$3:$AG$84,"="&amp;B292)</f>
        <v>0</v>
      </c>
      <c r="F292" s="41">
        <f>COUNTIFS('UMUR 2021'!$V$3:$V$84,"&gt;=100",'UMUR 2021'!$V$3:$V$84,"&lt;300",'UMUR 2021'!$AG$3:$AG$84,"="&amp;B292)</f>
        <v>0</v>
      </c>
      <c r="G292" s="41">
        <f>COUNTIFS('UMUR 2021'!$V$3:$V$84,"&gt;=300",'UMUR 2021'!$V$3:$V$84,"&lt;500",'UMUR 2021'!$AG$3:$AG$84,"="&amp;B292)</f>
        <v>0</v>
      </c>
      <c r="H292" s="41">
        <f>COUNTIFS('UMUR 2021'!$V$3:$V$84,"&gt;=500",'UMUR 2021'!$V$3:$V$84,"&lt;1000",'UMUR 2021'!$AG$3:$AG$84,"="&amp;B292)</f>
        <v>0</v>
      </c>
      <c r="I292" s="41">
        <f>COUNTIFS('UMUR 2021'!$V$3:$V$84,"&gt;=1000",'UMUR 2021'!$V$3:$V$84,"&lt;3000",'UMUR 2021'!$AG$3:$AG$84,"="&amp;B292)</f>
        <v>0</v>
      </c>
      <c r="J292" s="41">
        <f>COUNTIFS('UMUR 2021'!$V$3:$V$84,"&gt;=3000",'UMUR 2021'!$V$3:$V$84,"&lt;10000",'UMUR 2021'!$AG$3:$AG$84,"="&amp;B292)</f>
        <v>3</v>
      </c>
      <c r="K292" s="41">
        <f>COUNTIFS('UMUR 2021'!$V$3:$V$84,"&gt;=10000",'UMUR 2021'!$AG$3:$AG$84,"="&amp;B292)</f>
        <v>1</v>
      </c>
      <c r="L292" s="63">
        <f t="shared" si="10"/>
        <v>4</v>
      </c>
    </row>
    <row r="293" spans="2:12" ht="15">
      <c r="B293" s="29" t="s">
        <v>254</v>
      </c>
      <c r="C293" s="29" t="s">
        <v>245</v>
      </c>
      <c r="D293" s="41">
        <f>COUNTIFS('UMUR 2021'!$V$3:$V$84,"&lt;50",'UMUR 2021'!$AG$3:$AG$84,"="&amp;B293)</f>
        <v>0</v>
      </c>
      <c r="E293" s="41">
        <f>COUNTIFS('UMUR 2021'!$V$3:$V$84,"&gt;=50",'UMUR 2021'!$V$3:$V$84,"&lt;100",'UMUR 2021'!$AG$3:$AG$84,"="&amp;B293)</f>
        <v>0</v>
      </c>
      <c r="F293" s="41">
        <f>COUNTIFS('UMUR 2021'!$V$3:$V$84,"&gt;=100",'UMUR 2021'!$V$3:$V$84,"&lt;300",'UMUR 2021'!$AG$3:$AG$84,"="&amp;B293)</f>
        <v>0</v>
      </c>
      <c r="G293" s="41">
        <f>COUNTIFS('UMUR 2021'!$V$3:$V$84,"&gt;=300",'UMUR 2021'!$V$3:$V$84,"&lt;500",'UMUR 2021'!$AG$3:$AG$84,"="&amp;B293)</f>
        <v>0</v>
      </c>
      <c r="H293" s="41">
        <f>COUNTIFS('UMUR 2021'!$V$3:$V$84,"&gt;=500",'UMUR 2021'!$V$3:$V$84,"&lt;1000",'UMUR 2021'!$AG$3:$AG$84,"="&amp;B293)</f>
        <v>0</v>
      </c>
      <c r="I293" s="41">
        <f>COUNTIFS('UMUR 2021'!$V$3:$V$84,"&gt;=1000",'UMUR 2021'!$V$3:$V$84,"&lt;3000",'UMUR 2021'!$AG$3:$AG$84,"="&amp;B293)</f>
        <v>0</v>
      </c>
      <c r="J293" s="41">
        <f>COUNTIFS('UMUR 2021'!$V$3:$V$84,"&gt;=3000",'UMUR 2021'!$V$3:$V$84,"&lt;10000",'UMUR 2021'!$AG$3:$AG$84,"="&amp;B293)</f>
        <v>1</v>
      </c>
      <c r="K293" s="41">
        <f>COUNTIFS('UMUR 2021'!$V$3:$V$84,"&gt;=10000",'UMUR 2021'!$AG$3:$AG$84,"="&amp;B293)</f>
        <v>1</v>
      </c>
      <c r="L293" s="63">
        <f t="shared" si="10"/>
        <v>2</v>
      </c>
    </row>
    <row r="294" spans="2:12" ht="15">
      <c r="B294" s="29" t="s">
        <v>252</v>
      </c>
      <c r="C294" s="29" t="s">
        <v>252</v>
      </c>
      <c r="D294" s="41">
        <f>COUNTIFS('UMUR 2021'!$V$3:$V$84,"&lt;50",'UMUR 2021'!$AG$3:$AG$84,"="&amp;B294)</f>
        <v>0</v>
      </c>
      <c r="E294" s="41">
        <f>COUNTIFS('UMUR 2021'!$V$3:$V$84,"&gt;=50",'UMUR 2021'!$V$3:$V$84,"&lt;100",'UMUR 2021'!$AG$3:$AG$84,"="&amp;B294)</f>
        <v>0</v>
      </c>
      <c r="F294" s="41">
        <f>COUNTIFS('UMUR 2021'!$V$3:$V$84,"&gt;=100",'UMUR 2021'!$V$3:$V$84,"&lt;300",'UMUR 2021'!$AG$3:$AG$84,"="&amp;B294)</f>
        <v>2</v>
      </c>
      <c r="G294" s="41">
        <f>COUNTIFS('UMUR 2021'!$V$3:$V$84,"&gt;=300",'UMUR 2021'!$V$3:$V$84,"&lt;500",'UMUR 2021'!$AG$3:$AG$84,"="&amp;B294)</f>
        <v>0</v>
      </c>
      <c r="H294" s="41">
        <f>COUNTIFS('UMUR 2021'!$V$3:$V$84,"&gt;=500",'UMUR 2021'!$V$3:$V$84,"&lt;1000",'UMUR 2021'!$AG$3:$AG$84,"="&amp;B294)</f>
        <v>3</v>
      </c>
      <c r="I294" s="41">
        <f>COUNTIFS('UMUR 2021'!$V$3:$V$84,"&gt;=1000",'UMUR 2021'!$V$3:$V$84,"&lt;3000",'UMUR 2021'!$AG$3:$AG$84,"="&amp;B294)</f>
        <v>19</v>
      </c>
      <c r="J294" s="41">
        <f>COUNTIFS('UMUR 2021'!$V$3:$V$84,"&gt;=3000",'UMUR 2021'!$V$3:$V$84,"&lt;10000",'UMUR 2021'!$AG$3:$AG$84,"="&amp;B294)</f>
        <v>24</v>
      </c>
      <c r="K294" s="41">
        <f>COUNTIFS('UMUR 2021'!$V$3:$V$84,"&gt;=10000",'UMUR 2021'!$AG$3:$AG$84,"="&amp;B294)</f>
        <v>1</v>
      </c>
      <c r="L294" s="63">
        <f t="shared" si="10"/>
        <v>49</v>
      </c>
    </row>
    <row r="295" spans="2:12" ht="15">
      <c r="B295" s="29" t="s">
        <v>301</v>
      </c>
      <c r="C295" s="29" t="s">
        <v>279</v>
      </c>
      <c r="D295" s="41">
        <f>COUNTIFS('UMUR 2021'!$V$3:$V$84,"&lt;50",'UMUR 2021'!$AG$3:$AG$84,"="&amp;B295)</f>
        <v>0</v>
      </c>
      <c r="E295" s="41">
        <f>COUNTIFS('UMUR 2021'!$V$3:$V$84,"&gt;=50",'UMUR 2021'!$V$3:$V$84,"&lt;100",'UMUR 2021'!$AG$3:$AG$84,"="&amp;B295)</f>
        <v>0</v>
      </c>
      <c r="F295" s="41">
        <f>COUNTIFS('UMUR 2021'!$V$3:$V$84,"&gt;=100",'UMUR 2021'!$V$3:$V$84,"&lt;300",'UMUR 2021'!$AG$3:$AG$84,"="&amp;B295)</f>
        <v>0</v>
      </c>
      <c r="G295" s="41">
        <f>COUNTIFS('UMUR 2021'!$V$3:$V$84,"&gt;=300",'UMUR 2021'!$V$3:$V$84,"&lt;500",'UMUR 2021'!$AG$3:$AG$84,"="&amp;B295)</f>
        <v>0</v>
      </c>
      <c r="H295" s="41">
        <f>COUNTIFS('UMUR 2021'!$V$3:$V$84,"&gt;=500",'UMUR 2021'!$V$3:$V$84,"&lt;1000",'UMUR 2021'!$AG$3:$AG$84,"="&amp;B295)</f>
        <v>0</v>
      </c>
      <c r="I295" s="41">
        <f>COUNTIFS('UMUR 2021'!$V$3:$V$84,"&gt;=1000",'UMUR 2021'!$V$3:$V$84,"&lt;3000",'UMUR 2021'!$AG$3:$AG$84,"="&amp;B295)</f>
        <v>0</v>
      </c>
      <c r="J295" s="41">
        <f>COUNTIFS('UMUR 2021'!$V$3:$V$84,"&gt;=3000",'UMUR 2021'!$V$3:$V$84,"&lt;10000",'UMUR 2021'!$AG$3:$AG$84,"="&amp;B295)</f>
        <v>2</v>
      </c>
      <c r="K295" s="41">
        <f>COUNTIFS('UMUR 2021'!$V$3:$V$84,"&gt;=10000",'UMUR 2021'!$AG$3:$AG$84,"="&amp;B295)</f>
        <v>0</v>
      </c>
      <c r="L295" s="63">
        <f t="shared" si="10"/>
        <v>2</v>
      </c>
    </row>
    <row r="296" spans="2:12" ht="15">
      <c r="B296" s="29" t="s">
        <v>302</v>
      </c>
      <c r="C296" s="29" t="s">
        <v>279</v>
      </c>
      <c r="D296" s="41">
        <f>COUNTIFS('UMUR 2021'!$V$3:$V$84,"&lt;50",'UMUR 2021'!$AG$3:$AG$84,"="&amp;B296)</f>
        <v>0</v>
      </c>
      <c r="E296" s="41">
        <f>COUNTIFS('UMUR 2021'!$V$3:$V$84,"&gt;=50",'UMUR 2021'!$V$3:$V$84,"&lt;100",'UMUR 2021'!$AG$3:$AG$84,"="&amp;B296)</f>
        <v>0</v>
      </c>
      <c r="F296" s="41">
        <f>COUNTIFS('UMUR 2021'!$V$3:$V$84,"&gt;=100",'UMUR 2021'!$V$3:$V$84,"&lt;300",'UMUR 2021'!$AG$3:$AG$84,"="&amp;B296)</f>
        <v>0</v>
      </c>
      <c r="G296" s="41">
        <f>COUNTIFS('UMUR 2021'!$V$3:$V$84,"&gt;=300",'UMUR 2021'!$V$3:$V$84,"&lt;500",'UMUR 2021'!$AG$3:$AG$84,"="&amp;B296)</f>
        <v>0</v>
      </c>
      <c r="H296" s="41">
        <f>COUNTIFS('UMUR 2021'!$V$3:$V$84,"&gt;=500",'UMUR 2021'!$V$3:$V$84,"&lt;1000",'UMUR 2021'!$AG$3:$AG$84,"="&amp;B296)</f>
        <v>0</v>
      </c>
      <c r="I296" s="41">
        <f>COUNTIFS('UMUR 2021'!$V$3:$V$84,"&gt;=1000",'UMUR 2021'!$V$3:$V$84,"&lt;3000",'UMUR 2021'!$AG$3:$AG$84,"="&amp;B296)</f>
        <v>0</v>
      </c>
      <c r="J296" s="41">
        <f>COUNTIFS('UMUR 2021'!$V$3:$V$84,"&gt;=3000",'UMUR 2021'!$V$3:$V$84,"&lt;10000",'UMUR 2021'!$AG$3:$AG$84,"="&amp;B296)</f>
        <v>0</v>
      </c>
      <c r="K296" s="41">
        <f>COUNTIFS('UMUR 2021'!$V$3:$V$84,"&gt;=10000",'UMUR 2021'!$AG$3:$AG$84,"="&amp;B296)</f>
        <v>0</v>
      </c>
      <c r="L296" s="63">
        <f t="shared" si="10"/>
        <v>0</v>
      </c>
    </row>
    <row r="297" spans="2:12" ht="15">
      <c r="B297" s="29" t="s">
        <v>303</v>
      </c>
      <c r="C297" s="29" t="s">
        <v>279</v>
      </c>
      <c r="D297" s="41">
        <f>COUNTIFS('UMUR 2021'!$V$3:$V$84,"&lt;50",'UMUR 2021'!$AG$3:$AG$84,"="&amp;B297)</f>
        <v>0</v>
      </c>
      <c r="E297" s="41">
        <f>COUNTIFS('UMUR 2021'!$V$3:$V$84,"&gt;=50",'UMUR 2021'!$V$3:$V$84,"&lt;100",'UMUR 2021'!$AG$3:$AG$84,"="&amp;B297)</f>
        <v>0</v>
      </c>
      <c r="F297" s="41">
        <f>COUNTIFS('UMUR 2021'!$V$3:$V$84,"&gt;=100",'UMUR 2021'!$V$3:$V$84,"&lt;300",'UMUR 2021'!$AG$3:$AG$84,"="&amp;B297)</f>
        <v>0</v>
      </c>
      <c r="G297" s="41">
        <f>COUNTIFS('UMUR 2021'!$V$3:$V$84,"&gt;=300",'UMUR 2021'!$V$3:$V$84,"&lt;500",'UMUR 2021'!$AG$3:$AG$84,"="&amp;B297)</f>
        <v>0</v>
      </c>
      <c r="H297" s="41">
        <f>COUNTIFS('UMUR 2021'!$V$3:$V$84,"&gt;=500",'UMUR 2021'!$V$3:$V$84,"&lt;1000",'UMUR 2021'!$AG$3:$AG$84,"="&amp;B297)</f>
        <v>0</v>
      </c>
      <c r="I297" s="41">
        <f>COUNTIFS('UMUR 2021'!$V$3:$V$84,"&gt;=1000",'UMUR 2021'!$V$3:$V$84,"&lt;3000",'UMUR 2021'!$AG$3:$AG$84,"="&amp;B297)</f>
        <v>0</v>
      </c>
      <c r="J297" s="41">
        <f>COUNTIFS('UMUR 2021'!$V$3:$V$84,"&gt;=3000",'UMUR 2021'!$V$3:$V$84,"&lt;10000",'UMUR 2021'!$AG$3:$AG$84,"="&amp;B297)</f>
        <v>0</v>
      </c>
      <c r="K297" s="41">
        <f>COUNTIFS('UMUR 2021'!$V$3:$V$84,"&gt;=10000",'UMUR 2021'!$AG$3:$AG$84,"="&amp;B297)</f>
        <v>0</v>
      </c>
      <c r="L297" s="63">
        <f t="shared" si="10"/>
        <v>0</v>
      </c>
    </row>
    <row r="298" spans="2:12" ht="15">
      <c r="B298" s="29" t="s">
        <v>304</v>
      </c>
      <c r="C298" s="29" t="s">
        <v>279</v>
      </c>
      <c r="D298" s="41">
        <f>COUNTIFS('UMUR 2021'!$V$3:$V$84,"&lt;50",'UMUR 2021'!$AG$3:$AG$84,"="&amp;B298)</f>
        <v>0</v>
      </c>
      <c r="E298" s="41">
        <f>COUNTIFS('UMUR 2021'!$V$3:$V$84,"&gt;=50",'UMUR 2021'!$V$3:$V$84,"&lt;100",'UMUR 2021'!$AG$3:$AG$84,"="&amp;B298)</f>
        <v>0</v>
      </c>
      <c r="F298" s="41">
        <f>COUNTIFS('UMUR 2021'!$V$3:$V$84,"&gt;=100",'UMUR 2021'!$V$3:$V$84,"&lt;300",'UMUR 2021'!$AG$3:$AG$84,"="&amp;B298)</f>
        <v>0</v>
      </c>
      <c r="G298" s="41">
        <f>COUNTIFS('UMUR 2021'!$V$3:$V$84,"&gt;=300",'UMUR 2021'!$V$3:$V$84,"&lt;500",'UMUR 2021'!$AG$3:$AG$84,"="&amp;B298)</f>
        <v>0</v>
      </c>
      <c r="H298" s="41">
        <f>COUNTIFS('UMUR 2021'!$V$3:$V$84,"&gt;=500",'UMUR 2021'!$V$3:$V$84,"&lt;1000",'UMUR 2021'!$AG$3:$AG$84,"="&amp;B298)</f>
        <v>0</v>
      </c>
      <c r="I298" s="41">
        <f>COUNTIFS('UMUR 2021'!$V$3:$V$84,"&gt;=1000",'UMUR 2021'!$V$3:$V$84,"&lt;3000",'UMUR 2021'!$AG$3:$AG$84,"="&amp;B298)</f>
        <v>0</v>
      </c>
      <c r="J298" s="41">
        <f>COUNTIFS('UMUR 2021'!$V$3:$V$84,"&gt;=3000",'UMUR 2021'!$V$3:$V$84,"&lt;10000",'UMUR 2021'!$AG$3:$AG$84,"="&amp;B298)</f>
        <v>0</v>
      </c>
      <c r="K298" s="41">
        <f>COUNTIFS('UMUR 2021'!$V$3:$V$84,"&gt;=10000",'UMUR 2021'!$AG$3:$AG$84,"="&amp;B298)</f>
        <v>0</v>
      </c>
      <c r="L298" s="63">
        <f t="shared" si="10"/>
        <v>0</v>
      </c>
    </row>
    <row r="299" spans="2:12" ht="15">
      <c r="B299" s="29" t="s">
        <v>250</v>
      </c>
      <c r="C299" s="29" t="s">
        <v>246</v>
      </c>
      <c r="D299" s="41">
        <f>COUNTIFS('UMUR 2021'!$V$3:$V$84,"&lt;50",'UMUR 2021'!$AG$3:$AG$84,"="&amp;B299)</f>
        <v>0</v>
      </c>
      <c r="E299" s="41">
        <f>COUNTIFS('UMUR 2021'!$V$3:$V$84,"&gt;=50",'UMUR 2021'!$V$3:$V$84,"&lt;100",'UMUR 2021'!$AG$3:$AG$84,"="&amp;B299)</f>
        <v>0</v>
      </c>
      <c r="F299" s="41">
        <f>COUNTIFS('UMUR 2021'!$V$3:$V$84,"&gt;=100",'UMUR 2021'!$V$3:$V$84,"&lt;300",'UMUR 2021'!$AG$3:$AG$84,"="&amp;B299)</f>
        <v>0</v>
      </c>
      <c r="G299" s="41">
        <f>COUNTIFS('UMUR 2021'!$V$3:$V$84,"&gt;=300",'UMUR 2021'!$V$3:$V$84,"&lt;500",'UMUR 2021'!$AG$3:$AG$84,"="&amp;B299)</f>
        <v>0</v>
      </c>
      <c r="H299" s="41">
        <f>COUNTIFS('UMUR 2021'!$V$3:$V$84,"&gt;=500",'UMUR 2021'!$V$3:$V$84,"&lt;1000",'UMUR 2021'!$AG$3:$AG$84,"="&amp;B299)</f>
        <v>0</v>
      </c>
      <c r="I299" s="41">
        <f>COUNTIFS('UMUR 2021'!$V$3:$V$84,"&gt;=1000",'UMUR 2021'!$V$3:$V$84,"&lt;3000",'UMUR 2021'!$AG$3:$AG$84,"="&amp;B299)</f>
        <v>1</v>
      </c>
      <c r="J299" s="41">
        <f>COUNTIFS('UMUR 2021'!$V$3:$V$84,"&gt;=3000",'UMUR 2021'!$V$3:$V$84,"&lt;10000",'UMUR 2021'!$AG$3:$AG$84,"="&amp;B299)</f>
        <v>0</v>
      </c>
      <c r="K299" s="41">
        <f>COUNTIFS('UMUR 2021'!$V$3:$V$84,"&gt;=10000",'UMUR 2021'!$AG$3:$AG$84,"="&amp;B299)</f>
        <v>0</v>
      </c>
      <c r="L299" s="63">
        <f t="shared" si="10"/>
        <v>1</v>
      </c>
    </row>
    <row r="300" spans="2:12" ht="15">
      <c r="B300" s="29" t="s">
        <v>248</v>
      </c>
      <c r="C300" s="29" t="s">
        <v>246</v>
      </c>
      <c r="D300" s="41">
        <f>COUNTIFS('UMUR 2021'!$V$3:$V$84,"&lt;50",'UMUR 2021'!$AG$3:$AG$84,"="&amp;B300)</f>
        <v>0</v>
      </c>
      <c r="E300" s="41">
        <f>COUNTIFS('UMUR 2021'!$V$3:$V$84,"&gt;=50",'UMUR 2021'!$V$3:$V$84,"&lt;100",'UMUR 2021'!$AG$3:$AG$84,"="&amp;B300)</f>
        <v>0</v>
      </c>
      <c r="F300" s="41">
        <f>COUNTIFS('UMUR 2021'!$V$3:$V$84,"&gt;=100",'UMUR 2021'!$V$3:$V$84,"&lt;300",'UMUR 2021'!$AG$3:$AG$84,"="&amp;B300)</f>
        <v>0</v>
      </c>
      <c r="G300" s="41">
        <f>COUNTIFS('UMUR 2021'!$V$3:$V$84,"&gt;=300",'UMUR 2021'!$V$3:$V$84,"&lt;500",'UMUR 2021'!$AG$3:$AG$84,"="&amp;B300)</f>
        <v>0</v>
      </c>
      <c r="H300" s="41">
        <f>COUNTIFS('UMUR 2021'!$V$3:$V$84,"&gt;=500",'UMUR 2021'!$V$3:$V$84,"&lt;1000",'UMUR 2021'!$AG$3:$AG$84,"="&amp;B300)</f>
        <v>0</v>
      </c>
      <c r="I300" s="41">
        <f>COUNTIFS('UMUR 2021'!$V$3:$V$84,"&gt;=1000",'UMUR 2021'!$V$3:$V$84,"&lt;3000",'UMUR 2021'!$AG$3:$AG$84,"="&amp;B300)</f>
        <v>0</v>
      </c>
      <c r="J300" s="41">
        <f>COUNTIFS('UMUR 2021'!$V$3:$V$84,"&gt;=3000",'UMUR 2021'!$V$3:$V$84,"&lt;10000",'UMUR 2021'!$AG$3:$AG$84,"="&amp;B300)</f>
        <v>0</v>
      </c>
      <c r="K300" s="41">
        <f>COUNTIFS('UMUR 2021'!$V$3:$V$84,"&gt;=10000",'UMUR 2021'!$AG$3:$AG$84,"="&amp;B300)</f>
        <v>0</v>
      </c>
      <c r="L300" s="63">
        <f t="shared" si="10"/>
        <v>0</v>
      </c>
    </row>
    <row r="301" spans="2:12" ht="15">
      <c r="B301" s="29" t="s">
        <v>305</v>
      </c>
      <c r="C301" s="29" t="s">
        <v>305</v>
      </c>
      <c r="D301" s="41">
        <f>COUNTIFS('UMUR 2021'!$V$3:$V$84,"&lt;50",'UMUR 2021'!$AG$3:$AG$84,"="&amp;B301)</f>
        <v>0</v>
      </c>
      <c r="E301" s="41">
        <f>COUNTIFS('UMUR 2021'!$V$3:$V$84,"&gt;=50",'UMUR 2021'!$V$3:$V$84,"&lt;100",'UMUR 2021'!$AG$3:$AG$84,"="&amp;B301)</f>
        <v>0</v>
      </c>
      <c r="F301" s="41">
        <f>COUNTIFS('UMUR 2021'!$V$3:$V$84,"&gt;=100",'UMUR 2021'!$V$3:$V$84,"&lt;300",'UMUR 2021'!$AG$3:$AG$84,"="&amp;B301)</f>
        <v>0</v>
      </c>
      <c r="G301" s="41">
        <f>COUNTIFS('UMUR 2021'!$V$3:$V$84,"&gt;=300",'UMUR 2021'!$V$3:$V$84,"&lt;500",'UMUR 2021'!$AG$3:$AG$84,"="&amp;B301)</f>
        <v>0</v>
      </c>
      <c r="H301" s="41">
        <f>COUNTIFS('UMUR 2021'!$V$3:$V$84,"&gt;=500",'UMUR 2021'!$V$3:$V$84,"&lt;1000",'UMUR 2021'!$AG$3:$AG$84,"="&amp;B301)</f>
        <v>0</v>
      </c>
      <c r="I301" s="41">
        <f>COUNTIFS('UMUR 2021'!$V$3:$V$84,"&gt;=1000",'UMUR 2021'!$V$3:$V$84,"&lt;3000",'UMUR 2021'!$AG$3:$AG$84,"="&amp;B301)</f>
        <v>0</v>
      </c>
      <c r="J301" s="41">
        <f>COUNTIFS('UMUR 2021'!$V$3:$V$84,"&gt;=3000",'UMUR 2021'!$V$3:$V$84,"&lt;10000",'UMUR 2021'!$AG$3:$AG$84,"="&amp;B301)</f>
        <v>0</v>
      </c>
      <c r="K301" s="41">
        <f>COUNTIFS('UMUR 2021'!$V$3:$V$84,"&gt;=10000",'UMUR 2021'!$AG$3:$AG$84,"="&amp;B301)</f>
        <v>0</v>
      </c>
      <c r="L301" s="63">
        <f t="shared" si="10"/>
        <v>0</v>
      </c>
    </row>
    <row r="302" spans="2:12" ht="15">
      <c r="B302" s="29" t="s">
        <v>306</v>
      </c>
      <c r="C302" s="29" t="s">
        <v>306</v>
      </c>
      <c r="D302" s="41">
        <f>COUNTIFS('UMUR 2021'!$V$3:$V$84,"&lt;50",'UMUR 2021'!$AG$3:$AG$84,"="&amp;B302)</f>
        <v>0</v>
      </c>
      <c r="E302" s="41">
        <f>COUNTIFS('UMUR 2021'!$V$3:$V$84,"&gt;=50",'UMUR 2021'!$V$3:$V$84,"&lt;100",'UMUR 2021'!$AG$3:$AG$84,"="&amp;B302)</f>
        <v>0</v>
      </c>
      <c r="F302" s="41">
        <f>COUNTIFS('UMUR 2021'!$V$3:$V$84,"&gt;=100",'UMUR 2021'!$V$3:$V$84,"&lt;300",'UMUR 2021'!$AG$3:$AG$84,"="&amp;B302)</f>
        <v>0</v>
      </c>
      <c r="G302" s="41">
        <f>COUNTIFS('UMUR 2021'!$V$3:$V$84,"&gt;=300",'UMUR 2021'!$V$3:$V$84,"&lt;500",'UMUR 2021'!$AG$3:$AG$84,"="&amp;B302)</f>
        <v>0</v>
      </c>
      <c r="H302" s="41">
        <f>COUNTIFS('UMUR 2021'!$V$3:$V$84,"&gt;=500",'UMUR 2021'!$V$3:$V$84,"&lt;1000",'UMUR 2021'!$AG$3:$AG$84,"="&amp;B302)</f>
        <v>0</v>
      </c>
      <c r="I302" s="41">
        <f>COUNTIFS('UMUR 2021'!$V$3:$V$84,"&gt;=1000",'UMUR 2021'!$V$3:$V$84,"&lt;3000",'UMUR 2021'!$AG$3:$AG$84,"="&amp;B302)</f>
        <v>0</v>
      </c>
      <c r="J302" s="41">
        <f>COUNTIFS('UMUR 2021'!$V$3:$V$84,"&gt;=3000",'UMUR 2021'!$V$3:$V$84,"&lt;10000",'UMUR 2021'!$AG$3:$AG$84,"="&amp;B302)</f>
        <v>0</v>
      </c>
      <c r="K302" s="41">
        <f>COUNTIFS('UMUR 2021'!$V$3:$V$84,"&gt;=10000",'UMUR 2021'!$AG$3:$AG$84,"="&amp;B302)</f>
        <v>0</v>
      </c>
      <c r="L302" s="63">
        <f t="shared" si="10"/>
        <v>0</v>
      </c>
    </row>
    <row r="303" spans="2:12" ht="15">
      <c r="B303" s="29" t="s">
        <v>251</v>
      </c>
      <c r="C303" s="29" t="s">
        <v>251</v>
      </c>
      <c r="D303" s="41">
        <f>COUNTIFS('UMUR 2021'!$V$3:$V$84,"&lt;50",'UMUR 2021'!$AG$3:$AG$84,"="&amp;B303)</f>
        <v>0</v>
      </c>
      <c r="E303" s="41">
        <f>COUNTIFS('UMUR 2021'!$V$3:$V$84,"&gt;=50",'UMUR 2021'!$V$3:$V$84,"&lt;100",'UMUR 2021'!$AG$3:$AG$84,"="&amp;B303)</f>
        <v>0</v>
      </c>
      <c r="F303" s="41">
        <f>COUNTIFS('UMUR 2021'!$V$3:$V$84,"&gt;=100",'UMUR 2021'!$V$3:$V$84,"&lt;300",'UMUR 2021'!$AG$3:$AG$84,"="&amp;B303)</f>
        <v>0</v>
      </c>
      <c r="G303" s="41">
        <f>COUNTIFS('UMUR 2021'!$V$3:$V$84,"&gt;=300",'UMUR 2021'!$V$3:$V$84,"&lt;500",'UMUR 2021'!$AG$3:$AG$84,"="&amp;B303)</f>
        <v>0</v>
      </c>
      <c r="H303" s="41">
        <f>COUNTIFS('UMUR 2021'!$V$3:$V$84,"&gt;=500",'UMUR 2021'!$V$3:$V$84,"&lt;1000",'UMUR 2021'!$AG$3:$AG$84,"="&amp;B303)</f>
        <v>2</v>
      </c>
      <c r="I303" s="41">
        <f>COUNTIFS('UMUR 2021'!$V$3:$V$84,"&gt;=1000",'UMUR 2021'!$V$3:$V$84,"&lt;3000",'UMUR 2021'!$AG$3:$AG$84,"="&amp;B303)</f>
        <v>0</v>
      </c>
      <c r="J303" s="41">
        <f>COUNTIFS('UMUR 2021'!$V$3:$V$84,"&gt;=3000",'UMUR 2021'!$V$3:$V$84,"&lt;10000",'UMUR 2021'!$AG$3:$AG$84,"="&amp;B303)</f>
        <v>4</v>
      </c>
      <c r="K303" s="41">
        <f>COUNTIFS('UMUR 2021'!$V$3:$V$84,"&gt;=10000",'UMUR 2021'!$AG$3:$AG$84,"="&amp;B303)</f>
        <v>0</v>
      </c>
      <c r="L303" s="63">
        <f t="shared" si="10"/>
        <v>6</v>
      </c>
    </row>
    <row r="305" spans="11:12" ht="15">
      <c r="K305" s="70" t="s">
        <v>235</v>
      </c>
      <c r="L305" s="63">
        <f>SUM(L287:L303)</f>
        <v>82</v>
      </c>
    </row>
  </sheetData>
  <mergeCells count="11">
    <mergeCell ref="B3:K4"/>
    <mergeCell ref="B30:K31"/>
    <mergeCell ref="B58:L59"/>
    <mergeCell ref="B87:L88"/>
    <mergeCell ref="B117:J118"/>
    <mergeCell ref="B283:L284"/>
    <mergeCell ref="B145:J146"/>
    <mergeCell ref="B173:J174"/>
    <mergeCell ref="B200:J201"/>
    <mergeCell ref="B228:L229"/>
    <mergeCell ref="B255:L2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55F3-BC39-4013-A579-03BA6245FE3F}">
  <dimension ref="A1:R89"/>
  <sheetViews>
    <sheetView tabSelected="1" workbookViewId="0">
      <selection activeCell="G9" sqref="G9"/>
    </sheetView>
  </sheetViews>
  <sheetFormatPr defaultRowHeight="12.75"/>
  <cols>
    <col min="1" max="1" width="5.25" style="76" customWidth="1"/>
    <col min="2" max="2" width="13.75" style="76" customWidth="1"/>
    <col min="3" max="3" width="8.5" style="76" bestFit="1" customWidth="1"/>
    <col min="4" max="4" width="9.5" style="76" bestFit="1" customWidth="1"/>
    <col min="5" max="5" width="7" style="76" bestFit="1" customWidth="1"/>
    <col min="6" max="7" width="8.5" style="76" customWidth="1"/>
    <col min="8" max="8" width="9.5" style="76" bestFit="1" customWidth="1"/>
    <col min="9" max="9" width="7" style="76" bestFit="1" customWidth="1"/>
    <col min="10" max="10" width="8.5" style="76" customWidth="1"/>
    <col min="11" max="11" width="7.625" style="76" bestFit="1" customWidth="1"/>
    <col min="12" max="12" width="9.625" style="76" customWidth="1"/>
    <col min="13" max="13" width="7.375" style="76" bestFit="1" customWidth="1"/>
    <col min="14" max="14" width="9" style="76"/>
    <col min="15" max="15" width="21.125" style="76" customWidth="1"/>
    <col min="16" max="16" width="10.75" style="76" customWidth="1"/>
    <col min="17" max="17" width="9" style="76"/>
    <col min="18" max="18" width="5.125" style="76" customWidth="1"/>
    <col min="19" max="16384" width="9" style="76"/>
  </cols>
  <sheetData>
    <row r="1" spans="1:18" ht="14.25">
      <c r="A1" s="84" t="s">
        <v>0</v>
      </c>
      <c r="B1" s="84" t="s">
        <v>1</v>
      </c>
      <c r="C1" s="91">
        <v>2016</v>
      </c>
      <c r="D1" s="91"/>
      <c r="E1" s="91"/>
      <c r="F1" s="91"/>
      <c r="G1" s="91">
        <v>2021</v>
      </c>
      <c r="H1" s="91"/>
      <c r="I1" s="91"/>
      <c r="J1" s="91"/>
      <c r="K1" s="92" t="s">
        <v>367</v>
      </c>
      <c r="L1" s="84" t="s">
        <v>368</v>
      </c>
      <c r="M1" s="90" t="s">
        <v>369</v>
      </c>
    </row>
    <row r="2" spans="1:18" ht="30">
      <c r="A2" s="84"/>
      <c r="B2" s="84"/>
      <c r="C2" s="27" t="s">
        <v>236</v>
      </c>
      <c r="D2" s="26" t="s">
        <v>237</v>
      </c>
      <c r="E2" s="26" t="s">
        <v>258</v>
      </c>
      <c r="F2" s="27" t="s">
        <v>364</v>
      </c>
      <c r="G2" s="27" t="s">
        <v>236</v>
      </c>
      <c r="H2" s="26" t="s">
        <v>237</v>
      </c>
      <c r="I2" s="27" t="s">
        <v>258</v>
      </c>
      <c r="J2" s="64" t="s">
        <v>364</v>
      </c>
      <c r="K2" s="92"/>
      <c r="L2" s="84"/>
      <c r="M2" s="90"/>
      <c r="P2" s="77"/>
      <c r="Q2" s="77"/>
    </row>
    <row r="3" spans="1:18" ht="15">
      <c r="A3" s="13" t="s">
        <v>5</v>
      </c>
      <c r="B3" s="14" t="s">
        <v>6</v>
      </c>
      <c r="C3" s="29" t="str">
        <f>IF('PRN 2016'!Q3&lt;&gt;"",'PRN 2016'!Q3,"")</f>
        <v>PSB</v>
      </c>
      <c r="D3" s="29" t="str">
        <f>IF(C3&lt;&gt;"",INDEX('DUN 2016'!$J$3:$J$23,MATCH(C3,'DUN 2016'!$I$3:$I$23,0),1),"")</f>
        <v>PSB</v>
      </c>
      <c r="E3" s="34">
        <f>'PRN 2016'!U3</f>
        <v>0.50061467012703187</v>
      </c>
      <c r="F3" s="34">
        <f>'PRN 2016'!L3</f>
        <v>0.76374305126621367</v>
      </c>
      <c r="G3" s="29" t="str">
        <f>IF('UMUR 2021'!AC3&lt;&gt;"",'UMUR 2021'!AC3,"")</f>
        <v>SUPP</v>
      </c>
      <c r="H3" s="29" t="str">
        <f>IF(G3&lt;&gt;"",INDEX('DUN 2021'!$J$3:$J$23,MATCH(G3,'DUN 2021'!$I$3:$I$23,0),1),"")</f>
        <v>GPS</v>
      </c>
      <c r="I3" s="34">
        <f>'UMUR 2021'!AF3</f>
        <v>0.46772337977757894</v>
      </c>
      <c r="J3" s="78">
        <f>'UMUR 2021'!X3</f>
        <v>0.6958726827562085</v>
      </c>
      <c r="K3" s="78">
        <f>IF(ISERROR(I3-E3)&lt;&gt;TRUE,I3-E3,"N/A")</f>
        <v>-3.2891290349452929E-2</v>
      </c>
      <c r="L3" s="78">
        <f>IF(ISERROR(J3-F3)&lt;&gt;TRUE,J3-F3,"N/A")</f>
        <v>-6.7870368510005163E-2</v>
      </c>
      <c r="M3" s="79" t="str">
        <f>IF(C3=G3,"KEKAL","TUKAR")</f>
        <v>TUKAR</v>
      </c>
      <c r="O3" s="26" t="s">
        <v>333</v>
      </c>
      <c r="P3" s="63">
        <v>2016</v>
      </c>
      <c r="Q3" s="63">
        <v>2021</v>
      </c>
      <c r="R3" s="63" t="s">
        <v>366</v>
      </c>
    </row>
    <row r="4" spans="1:18" ht="14.25">
      <c r="A4" s="13" t="s">
        <v>8</v>
      </c>
      <c r="B4" s="14" t="s">
        <v>7</v>
      </c>
      <c r="C4" s="29" t="str">
        <f>IF('PRN 2016'!Q4&lt;&gt;"",'PRN 2016'!Q4,"")</f>
        <v>PDP</v>
      </c>
      <c r="D4" s="29" t="str">
        <f>IF(C4&lt;&gt;"",INDEX('DUN 2016'!$J$3:$J$23,MATCH(C4,'DUN 2016'!$I$3:$I$23,0),1),"")</f>
        <v>GPS</v>
      </c>
      <c r="E4" s="34">
        <f>'PRN 2016'!U4</f>
        <v>0.55129021981522774</v>
      </c>
      <c r="F4" s="34">
        <f>'PRN 2016'!L4</f>
        <v>0.75095358253623612</v>
      </c>
      <c r="G4" s="29" t="str">
        <f>IF('UMUR 2021'!AC4&lt;&gt;"",'UMUR 2021'!AC4,"")</f>
        <v>PDP</v>
      </c>
      <c r="H4" s="29" t="str">
        <f>IF(G4&lt;&gt;"",INDEX('DUN 2021'!$J$3:$J$23,MATCH(G4,'DUN 2021'!$I$3:$I$23,0),1),"")</f>
        <v>GPS</v>
      </c>
      <c r="I4" s="34">
        <f>'UMUR 2021'!AF4</f>
        <v>0.5370637683620616</v>
      </c>
      <c r="J4" s="78">
        <f>'UMUR 2021'!X4</f>
        <v>0.64135720010686614</v>
      </c>
      <c r="K4" s="78">
        <f t="shared" ref="K4:K67" si="0">IF(ISERROR(I4-E4)&lt;&gt;TRUE,I4-E4,"N/A")</f>
        <v>-1.4226451453166145E-2</v>
      </c>
      <c r="L4" s="78">
        <f t="shared" ref="L4:L67" si="1">IF(ISERROR(J4-F4)&lt;&gt;TRUE,J4-F4,"N/A")</f>
        <v>-0.10959638242936998</v>
      </c>
      <c r="M4" s="79" t="str">
        <f t="shared" ref="M4:M67" si="2">IF(C4=G4,"KEKAL","TUKAR")</f>
        <v>KEKAL</v>
      </c>
      <c r="O4" s="29" t="s">
        <v>329</v>
      </c>
      <c r="P4" s="29">
        <f>COUNTIFS('PRN 2016'!$U$3:$U$84,"&lt;30.00%")</f>
        <v>0</v>
      </c>
      <c r="Q4" s="79">
        <f>COUNTIFS('UMUR 2021'!$AF$3:$AF$84,"&lt;30.00%")</f>
        <v>1</v>
      </c>
      <c r="R4" s="83">
        <f>IF(ISERROR(Q4-P4)&lt;&gt;TRUE,Q4-P4,"N/A")</f>
        <v>1</v>
      </c>
    </row>
    <row r="5" spans="1:18" ht="28.5">
      <c r="A5" s="13" t="s">
        <v>12</v>
      </c>
      <c r="B5" s="14" t="s">
        <v>15</v>
      </c>
      <c r="C5" s="29" t="str">
        <f>IF('PRN 2016'!Q5&lt;&gt;"",'PRN 2016'!Q5,"")</f>
        <v>PBB</v>
      </c>
      <c r="D5" s="29" t="str">
        <f>IF(C5&lt;&gt;"",INDEX('DUN 2016'!$J$3:$J$23,MATCH(C5,'DUN 2016'!$I$3:$I$23,0),1),"")</f>
        <v>GPS</v>
      </c>
      <c r="E5" s="34">
        <f>'PRN 2016'!U5</f>
        <v>0.93145869947275928</v>
      </c>
      <c r="F5" s="34">
        <f>'PRN 2016'!L5</f>
        <v>0.70067683604404485</v>
      </c>
      <c r="G5" s="29" t="str">
        <f>IF('UMUR 2021'!AC5&lt;&gt;"",'UMUR 2021'!AC5,"")</f>
        <v>PBB</v>
      </c>
      <c r="H5" s="29" t="str">
        <f>IF(G5&lt;&gt;"",INDEX('DUN 2021'!$J$3:$J$23,MATCH(G5,'DUN 2021'!$I$3:$I$23,0),1),"")</f>
        <v>GPS</v>
      </c>
      <c r="I5" s="34">
        <f>'UMUR 2021'!AF5</f>
        <v>0.7938808373590982</v>
      </c>
      <c r="J5" s="78">
        <f>'UMUR 2021'!X5</f>
        <v>0.61287772312016864</v>
      </c>
      <c r="K5" s="78">
        <f t="shared" si="0"/>
        <v>-0.13757786211366108</v>
      </c>
      <c r="L5" s="78">
        <f t="shared" si="1"/>
        <v>-8.779911292387621E-2</v>
      </c>
      <c r="M5" s="79" t="str">
        <f t="shared" si="2"/>
        <v>KEKAL</v>
      </c>
      <c r="O5" s="29" t="s">
        <v>319</v>
      </c>
      <c r="P5" s="29">
        <f>COUNTIFS('PRN 2016'!$U$3:$U$84,"&gt;=30.00%",'PRN 2016'!$U$3:$U$84,"&lt;40.00%")</f>
        <v>1</v>
      </c>
      <c r="Q5" s="79">
        <f>COUNTIFS('UMUR 2021'!$AF$3:$AF$84,"&gt;=30.00%",'UMUR 2021'!$AF$3:$AF$84,"&lt;40.00%")</f>
        <v>3</v>
      </c>
      <c r="R5" s="83">
        <f t="shared" ref="R5:R12" si="3">IF(ISERROR(Q5-P5)&lt;&gt;TRUE,Q5-P5,"N/A")</f>
        <v>2</v>
      </c>
    </row>
    <row r="6" spans="1:18" ht="14.25">
      <c r="A6" s="13" t="s">
        <v>13</v>
      </c>
      <c r="B6" s="14" t="s">
        <v>16</v>
      </c>
      <c r="C6" s="29" t="str">
        <f>IF('PRN 2016'!Q6&lt;&gt;"",'PRN 2016'!Q6,"")</f>
        <v>PBB</v>
      </c>
      <c r="D6" s="29" t="str">
        <f>IF(C6&lt;&gt;"",INDEX('DUN 2016'!$J$3:$J$23,MATCH(C6,'DUN 2016'!$I$3:$I$23,0),1),"")</f>
        <v>GPS</v>
      </c>
      <c r="E6" s="34">
        <f>'PRN 2016'!U6</f>
        <v>0.75075834175935285</v>
      </c>
      <c r="F6" s="34">
        <f>'PRN 2016'!L6</f>
        <v>0.71171298922291548</v>
      </c>
      <c r="G6" s="29" t="str">
        <f>IF('UMUR 2021'!AC6&lt;&gt;"",'UMUR 2021'!AC6,"")</f>
        <v>PBB</v>
      </c>
      <c r="H6" s="29" t="str">
        <f>IF(G6&lt;&gt;"",INDEX('DUN 2021'!$J$3:$J$23,MATCH(G6,'DUN 2021'!$I$3:$I$23,0),1),"")</f>
        <v>GPS</v>
      </c>
      <c r="I6" s="34">
        <f>'UMUR 2021'!AF6</f>
        <v>0.82192517477145277</v>
      </c>
      <c r="J6" s="78">
        <f>'UMUR 2021'!X6</f>
        <v>0.64849312396371794</v>
      </c>
      <c r="K6" s="78">
        <f t="shared" si="0"/>
        <v>7.1166833012099917E-2</v>
      </c>
      <c r="L6" s="78">
        <f t="shared" si="1"/>
        <v>-6.3219865259197539E-2</v>
      </c>
      <c r="M6" s="79" t="str">
        <f t="shared" si="2"/>
        <v>KEKAL</v>
      </c>
      <c r="O6" s="29" t="s">
        <v>320</v>
      </c>
      <c r="P6" s="29">
        <f>COUNTIFS('PRN 2016'!$U$3:$U$84,"&gt;=40.00%",'PRN 2016'!$U$3:$U$84,"&lt;50.00%")</f>
        <v>2</v>
      </c>
      <c r="Q6" s="79">
        <f>COUNTIFS('UMUR 2021'!$AF$3:$AF$84,"&gt;=40.00%",'UMUR 2021'!$AF$3:$AF$84,"&lt;50.00%")</f>
        <v>12</v>
      </c>
      <c r="R6" s="83">
        <f t="shared" si="3"/>
        <v>10</v>
      </c>
    </row>
    <row r="7" spans="1:18" ht="14.25">
      <c r="A7" s="13" t="s">
        <v>14</v>
      </c>
      <c r="B7" s="14" t="s">
        <v>17</v>
      </c>
      <c r="C7" s="29" t="str">
        <f>IF('PRN 2016'!Q7&lt;&gt;"",'PRN 2016'!Q7,"")</f>
        <v>PBB</v>
      </c>
      <c r="D7" s="29" t="str">
        <f>IF(C7&lt;&gt;"",INDEX('DUN 2016'!$J$3:$J$23,MATCH(C7,'DUN 2016'!$I$3:$I$23,0),1),"")</f>
        <v>GPS</v>
      </c>
      <c r="E7" s="34">
        <f>'PRN 2016'!U7</f>
        <v>0.88067244224422447</v>
      </c>
      <c r="F7" s="34">
        <f>'PRN 2016'!L7</f>
        <v>0.71431670281995663</v>
      </c>
      <c r="G7" s="29" t="str">
        <f>IF('UMUR 2021'!AC7&lt;&gt;"",'UMUR 2021'!AC7,"")</f>
        <v>PBB</v>
      </c>
      <c r="H7" s="29" t="str">
        <f>IF(G7&lt;&gt;"",INDEX('DUN 2021'!$J$3:$J$23,MATCH(G7,'DUN 2021'!$I$3:$I$23,0),1),"")</f>
        <v>GPS</v>
      </c>
      <c r="I7" s="34">
        <f>'UMUR 2021'!AF7</f>
        <v>0.78245721897735421</v>
      </c>
      <c r="J7" s="78">
        <f>'UMUR 2021'!X7</f>
        <v>0.67670289610477286</v>
      </c>
      <c r="K7" s="78">
        <f t="shared" si="0"/>
        <v>-9.8215223266870266E-2</v>
      </c>
      <c r="L7" s="78">
        <f t="shared" si="1"/>
        <v>-3.7613806715183773E-2</v>
      </c>
      <c r="M7" s="79" t="str">
        <f t="shared" si="2"/>
        <v>KEKAL</v>
      </c>
      <c r="O7" s="29" t="s">
        <v>330</v>
      </c>
      <c r="P7" s="29">
        <f>COUNTIFS('PRN 2016'!$U$3:$U$84,"&gt;=50.00%",'PRN 2016'!$U$3:$U$84,"&lt;60.00%")</f>
        <v>24</v>
      </c>
      <c r="Q7" s="79">
        <f>COUNTIFS('UMUR 2021'!$AF$3:$AF$84,"&gt;=50.00%",'UMUR 2021'!$AF$3:$AF$84,"&lt;60.00%")</f>
        <v>17</v>
      </c>
      <c r="R7" s="83">
        <f t="shared" si="3"/>
        <v>-7</v>
      </c>
    </row>
    <row r="8" spans="1:18" ht="14.25">
      <c r="A8" s="13" t="s">
        <v>20</v>
      </c>
      <c r="B8" s="14" t="s">
        <v>23</v>
      </c>
      <c r="C8" s="29" t="str">
        <f>IF('PRN 2016'!Q8&lt;&gt;"",'PRN 2016'!Q8,"")</f>
        <v>PBB</v>
      </c>
      <c r="D8" s="29" t="str">
        <f>IF(C8&lt;&gt;"",INDEX('DUN 2016'!$J$3:$J$23,MATCH(C8,'DUN 2016'!$I$3:$I$23,0),1),"")</f>
        <v>GPS</v>
      </c>
      <c r="E8" s="34">
        <f>'PRN 2016'!U8</f>
        <v>0.79123580880757827</v>
      </c>
      <c r="F8" s="34">
        <f>'PRN 2016'!L8</f>
        <v>0.65403042001953582</v>
      </c>
      <c r="G8" s="29" t="str">
        <f>IF('UMUR 2021'!AC8&lt;&gt;"",'UMUR 2021'!AC8,"")</f>
        <v>PBB</v>
      </c>
      <c r="H8" s="29" t="str">
        <f>IF(G8&lt;&gt;"",INDEX('DUN 2021'!$J$3:$J$23,MATCH(G8,'DUN 2021'!$I$3:$I$23,0),1),"")</f>
        <v>GPS</v>
      </c>
      <c r="I8" s="34">
        <f>'UMUR 2021'!AF8</f>
        <v>0.85246347264695888</v>
      </c>
      <c r="J8" s="78">
        <f>'UMUR 2021'!X8</f>
        <v>0.57571912013536375</v>
      </c>
      <c r="K8" s="78">
        <f t="shared" si="0"/>
        <v>6.1227663839380608E-2</v>
      </c>
      <c r="L8" s="78">
        <f t="shared" si="1"/>
        <v>-7.831129988417207E-2</v>
      </c>
      <c r="M8" s="79" t="str">
        <f t="shared" si="2"/>
        <v>KEKAL</v>
      </c>
      <c r="O8" s="29" t="s">
        <v>331</v>
      </c>
      <c r="P8" s="29">
        <f>COUNTIFS('PRN 2016'!$U$3:$U$84,"&gt;=60.00%",'PRN 2016'!$U$3:$U$84,"&lt;70.00%")</f>
        <v>15</v>
      </c>
      <c r="Q8" s="79">
        <f>COUNTIFS('UMUR 2021'!$AF$3:$AF$84,"&gt;=60.00%",'UMUR 2021'!$AF$3:$AF$84,"&lt;70.00%")</f>
        <v>20</v>
      </c>
      <c r="R8" s="83">
        <f t="shared" si="3"/>
        <v>5</v>
      </c>
    </row>
    <row r="9" spans="1:18" ht="14.25">
      <c r="A9" s="13" t="s">
        <v>21</v>
      </c>
      <c r="B9" s="14" t="s">
        <v>24</v>
      </c>
      <c r="C9" s="29" t="str">
        <f>IF('PRN 2016'!Q9&lt;&gt;"",'PRN 2016'!Q9,"")</f>
        <v>PBB</v>
      </c>
      <c r="D9" s="29" t="str">
        <f>IF(C9&lt;&gt;"",INDEX('DUN 2016'!$J$3:$J$23,MATCH(C9,'DUN 2016'!$I$3:$I$23,0),1),"")</f>
        <v>GPS</v>
      </c>
      <c r="E9" s="34">
        <f>'PRN 2016'!U9</f>
        <v>0.80162042720353544</v>
      </c>
      <c r="F9" s="34">
        <f>'PRN 2016'!L9</f>
        <v>0.6792876712328767</v>
      </c>
      <c r="G9" s="29" t="str">
        <f>IF('UMUR 2021'!AC9&lt;&gt;"",'UMUR 2021'!AC9,"")</f>
        <v>PBB</v>
      </c>
      <c r="H9" s="29" t="str">
        <f>IF(G9&lt;&gt;"",INDEX('DUN 2021'!$J$3:$J$23,MATCH(G9,'DUN 2021'!$I$3:$I$23,0),1),"")</f>
        <v>GPS</v>
      </c>
      <c r="I9" s="34">
        <f>'UMUR 2021'!AF9</f>
        <v>0.87608024691358022</v>
      </c>
      <c r="J9" s="78">
        <f>'UMUR 2021'!X9</f>
        <v>0.61709497729719609</v>
      </c>
      <c r="K9" s="78">
        <f t="shared" si="0"/>
        <v>7.4459819710044783E-2</v>
      </c>
      <c r="L9" s="78">
        <f t="shared" si="1"/>
        <v>-6.219269393568061E-2</v>
      </c>
      <c r="M9" s="79" t="str">
        <f t="shared" si="2"/>
        <v>KEKAL</v>
      </c>
      <c r="O9" s="29" t="s">
        <v>355</v>
      </c>
      <c r="P9" s="29">
        <f>COUNTIFS('PRN 2016'!$U$3:$U$84,"&gt;=70.00%",'PRN 2016'!$U$3:$U$84,"&lt;80.00%")</f>
        <v>21</v>
      </c>
      <c r="Q9" s="79">
        <f>COUNTIFS('UMUR 2021'!$AF$3:$AF$84,"&gt;=70.00%",'UMUR 2021'!$AF$3:$AF$84,"&lt;80.00%")</f>
        <v>18</v>
      </c>
      <c r="R9" s="83">
        <f t="shared" si="3"/>
        <v>-3</v>
      </c>
    </row>
    <row r="10" spans="1:18" ht="14.25">
      <c r="A10" s="13" t="s">
        <v>22</v>
      </c>
      <c r="B10" s="14" t="s">
        <v>25</v>
      </c>
      <c r="C10" s="29" t="str">
        <f>IF('PRN 2016'!Q10&lt;&gt;"",'PRN 2016'!Q10,"")</f>
        <v>PBB</v>
      </c>
      <c r="D10" s="29" t="str">
        <f>IF(C10&lt;&gt;"",INDEX('DUN 2016'!$J$3:$J$23,MATCH(C10,'DUN 2016'!$I$3:$I$23,0),1),"")</f>
        <v>GPS</v>
      </c>
      <c r="E10" s="34">
        <f>'PRN 2016'!U10</f>
        <v>0.79118088422024702</v>
      </c>
      <c r="F10" s="34">
        <f>'PRN 2016'!L10</f>
        <v>0.64966789667896674</v>
      </c>
      <c r="G10" s="29" t="str">
        <f>IF('UMUR 2021'!AC10&lt;&gt;"",'UMUR 2021'!AC10,"")</f>
        <v>PBB</v>
      </c>
      <c r="H10" s="29" t="str">
        <f>IF(G10&lt;&gt;"",INDEX('DUN 2021'!$J$3:$J$23,MATCH(G10,'DUN 2021'!$I$3:$I$23,0),1),"")</f>
        <v>GPS</v>
      </c>
      <c r="I10" s="34">
        <f>'UMUR 2021'!AF10</f>
        <v>0.83584409373505497</v>
      </c>
      <c r="J10" s="78">
        <f>'UMUR 2021'!X10</f>
        <v>0.59291602626798934</v>
      </c>
      <c r="K10" s="78">
        <f t="shared" si="0"/>
        <v>4.4663209514807956E-2</v>
      </c>
      <c r="L10" s="78">
        <f t="shared" si="1"/>
        <v>-5.6751870410977401E-2</v>
      </c>
      <c r="M10" s="79" t="str">
        <f t="shared" si="2"/>
        <v>KEKAL</v>
      </c>
      <c r="O10" s="79" t="s">
        <v>356</v>
      </c>
      <c r="P10" s="29">
        <f>COUNTIFS('PRN 2016'!$U$3:$U$84,"&gt;=80.00%",'PRN 2016'!$U$3:$U$84,"&lt;90.00%")</f>
        <v>14</v>
      </c>
      <c r="Q10" s="79">
        <f>COUNTIFS('UMUR 2021'!$AF$3:$AF$84,"&gt;=80.00%",'UMUR 2021'!$AF$3:$AF$84,"&lt;90.00%")</f>
        <v>9</v>
      </c>
      <c r="R10" s="83">
        <f t="shared" si="3"/>
        <v>-5</v>
      </c>
    </row>
    <row r="11" spans="1:18" ht="14.25">
      <c r="A11" s="13" t="s">
        <v>28</v>
      </c>
      <c r="B11" s="14" t="s">
        <v>31</v>
      </c>
      <c r="C11" s="29" t="str">
        <f>IF('PRN 2016'!Q11&lt;&gt;"",'PRN 2016'!Q11,"")</f>
        <v>DAP</v>
      </c>
      <c r="D11" s="29" t="str">
        <f>IF(C11&lt;&gt;"",INDEX('DUN 2016'!$J$3:$J$23,MATCH(C11,'DUN 2016'!$I$3:$I$23,0),1),"")</f>
        <v>PH</v>
      </c>
      <c r="E11" s="34">
        <f>'PRN 2016'!U11</f>
        <v>0.64314266023432121</v>
      </c>
      <c r="F11" s="34">
        <f>'PRN 2016'!L11</f>
        <v>0.65476884444643735</v>
      </c>
      <c r="G11" s="29" t="str">
        <f>IF('UMUR 2021'!AC11&lt;&gt;"",'UMUR 2021'!AC11,"")</f>
        <v>DAP</v>
      </c>
      <c r="H11" s="29" t="str">
        <f>IF(G11&lt;&gt;"",INDEX('DUN 2021'!$J$3:$J$23,MATCH(G11,'DUN 2021'!$I$3:$I$23,0),1),"")</f>
        <v>PH</v>
      </c>
      <c r="I11" s="34">
        <f>'UMUR 2021'!AF11</f>
        <v>0.50403355921264925</v>
      </c>
      <c r="J11" s="78">
        <f>'UMUR 2021'!X11</f>
        <v>0.44756312950498828</v>
      </c>
      <c r="K11" s="78">
        <f t="shared" si="0"/>
        <v>-0.13910910102167195</v>
      </c>
      <c r="L11" s="78">
        <f t="shared" si="1"/>
        <v>-0.20720571494144907</v>
      </c>
      <c r="M11" s="79" t="str">
        <f t="shared" si="2"/>
        <v>KEKAL</v>
      </c>
      <c r="O11" s="79" t="s">
        <v>370</v>
      </c>
      <c r="P11" s="29">
        <f>COUNTIFS('PRN 2016'!$U$3:$U$84,"&gt;=90.00%")</f>
        <v>3</v>
      </c>
      <c r="Q11" s="79">
        <f>COUNTIFS('UMUR 2021'!$AF$3:$AF$84,"&gt;=90.00%")</f>
        <v>2</v>
      </c>
      <c r="R11" s="83">
        <f t="shared" si="3"/>
        <v>-1</v>
      </c>
    </row>
    <row r="12" spans="1:18" ht="14.25">
      <c r="A12" s="13" t="s">
        <v>29</v>
      </c>
      <c r="B12" s="14" t="s">
        <v>32</v>
      </c>
      <c r="C12" s="29" t="str">
        <f>IF('PRN 2016'!Q12&lt;&gt;"",'PRN 2016'!Q12,"")</f>
        <v>DAP</v>
      </c>
      <c r="D12" s="29" t="str">
        <f>IF(C12&lt;&gt;"",INDEX('DUN 2016'!$J$3:$J$23,MATCH(C12,'DUN 2016'!$I$3:$I$23,0),1),"")</f>
        <v>PH</v>
      </c>
      <c r="E12" s="34">
        <f>'PRN 2016'!U12</f>
        <v>0.62595496582227583</v>
      </c>
      <c r="F12" s="34">
        <f>'PRN 2016'!L12</f>
        <v>0.65724219364996062</v>
      </c>
      <c r="G12" s="29" t="str">
        <f>IF('UMUR 2021'!AC12&lt;&gt;"",'UMUR 2021'!AC12,"")</f>
        <v>DAP</v>
      </c>
      <c r="H12" s="29" t="str">
        <f>IF(G12&lt;&gt;"",INDEX('DUN 2021'!$J$3:$J$23,MATCH(G12,'DUN 2021'!$I$3:$I$23,0),1),"")</f>
        <v>PH</v>
      </c>
      <c r="I12" s="34">
        <f>'UMUR 2021'!AF12</f>
        <v>0.4029201615408512</v>
      </c>
      <c r="J12" s="78">
        <f>'UMUR 2021'!X12</f>
        <v>0.43762396208020976</v>
      </c>
      <c r="K12" s="78">
        <f t="shared" si="0"/>
        <v>-0.22303480428142464</v>
      </c>
      <c r="L12" s="78">
        <f t="shared" si="1"/>
        <v>-0.21961823156975085</v>
      </c>
      <c r="M12" s="79" t="str">
        <f t="shared" si="2"/>
        <v>KEKAL</v>
      </c>
      <c r="O12" s="79" t="s">
        <v>365</v>
      </c>
      <c r="P12" s="29">
        <f>COUNTIFS('PRN 2016'!$U$3:$U$84,"="&amp;"N/A")</f>
        <v>2</v>
      </c>
      <c r="Q12" s="29">
        <f>COUNTIFS('UMUR 2021'!$AF$3:$AF$84,"="&amp;"N/A")</f>
        <v>0</v>
      </c>
      <c r="R12" s="83">
        <f t="shared" si="3"/>
        <v>-2</v>
      </c>
    </row>
    <row r="13" spans="1:18" ht="14.25">
      <c r="A13" s="13" t="s">
        <v>30</v>
      </c>
      <c r="B13" s="14" t="s">
        <v>33</v>
      </c>
      <c r="C13" s="29" t="str">
        <f>IF('PRN 2016'!Q13&lt;&gt;"",'PRN 2016'!Q13,"")</f>
        <v>PSB</v>
      </c>
      <c r="D13" s="29" t="str">
        <f>IF(C13&lt;&gt;"",INDEX('DUN 2016'!$J$3:$J$23,MATCH(C13,'DUN 2016'!$I$3:$I$23,0),1),"")</f>
        <v>PSB</v>
      </c>
      <c r="E13" s="34">
        <f>'PRN 2016'!U13</f>
        <v>0.6160806322299851</v>
      </c>
      <c r="F13" s="34">
        <f>'PRN 2016'!L13</f>
        <v>0.62668564312399933</v>
      </c>
      <c r="G13" s="29" t="str">
        <f>IF('UMUR 2021'!AC13&lt;&gt;"",'UMUR 2021'!AC13,"")</f>
        <v>PSB</v>
      </c>
      <c r="H13" s="29" t="str">
        <f>IF(G13&lt;&gt;"",INDEX('DUN 2021'!$J$3:$J$23,MATCH(G13,'DUN 2021'!$I$3:$I$23,0),1),"")</f>
        <v>PSB</v>
      </c>
      <c r="I13" s="34">
        <f>'UMUR 2021'!AF13</f>
        <v>0.35856250507017118</v>
      </c>
      <c r="J13" s="78">
        <f>'UMUR 2021'!X13</f>
        <v>0.42082575604499223</v>
      </c>
      <c r="K13" s="78">
        <f t="shared" si="0"/>
        <v>-0.25751812715981393</v>
      </c>
      <c r="L13" s="78">
        <f t="shared" si="1"/>
        <v>-0.2058598870790071</v>
      </c>
      <c r="M13" s="79" t="str">
        <f t="shared" si="2"/>
        <v>KEKAL</v>
      </c>
      <c r="O13" s="62"/>
      <c r="P13" s="62"/>
      <c r="Q13" s="62"/>
      <c r="R13" s="80"/>
    </row>
    <row r="14" spans="1:18" ht="28.5">
      <c r="A14" s="13" t="s">
        <v>36</v>
      </c>
      <c r="B14" s="14" t="s">
        <v>39</v>
      </c>
      <c r="C14" s="29" t="str">
        <f>IF('PRN 2016'!Q14&lt;&gt;"",'PRN 2016'!Q14,"")</f>
        <v>DAP</v>
      </c>
      <c r="D14" s="29" t="str">
        <f>IF(C14&lt;&gt;"",INDEX('DUN 2016'!$J$3:$J$23,MATCH(C14,'DUN 2016'!$I$3:$I$23,0),1),"")</f>
        <v>PH</v>
      </c>
      <c r="E14" s="34">
        <f>'PRN 2016'!U14</f>
        <v>0.58159189580318382</v>
      </c>
      <c r="F14" s="34">
        <f>'PRN 2016'!L14</f>
        <v>0.67912736306820387</v>
      </c>
      <c r="G14" s="29" t="str">
        <f>IF('UMUR 2021'!AC14&lt;&gt;"",'UMUR 2021'!AC14,"")</f>
        <v>SUPP</v>
      </c>
      <c r="H14" s="29" t="str">
        <f>IF(G14&lt;&gt;"",INDEX('DUN 2021'!$J$3:$J$23,MATCH(G14,'DUN 2021'!$I$3:$I$23,0),1),"")</f>
        <v>GPS</v>
      </c>
      <c r="I14" s="34">
        <f>'UMUR 2021'!AF14</f>
        <v>0.43048861866983018</v>
      </c>
      <c r="J14" s="78">
        <f>'UMUR 2021'!X14</f>
        <v>0.48245984784446322</v>
      </c>
      <c r="K14" s="78">
        <f t="shared" si="0"/>
        <v>-0.15110327713335364</v>
      </c>
      <c r="L14" s="78">
        <f t="shared" si="1"/>
        <v>-0.19666751522374065</v>
      </c>
      <c r="M14" s="79" t="str">
        <f t="shared" si="2"/>
        <v>TUKAR</v>
      </c>
      <c r="O14" s="70" t="s">
        <v>235</v>
      </c>
      <c r="P14" s="63">
        <f>SUM(P4:P12)</f>
        <v>82</v>
      </c>
      <c r="Q14" s="63">
        <f>SUM(Q4:Q12)</f>
        <v>82</v>
      </c>
      <c r="R14" s="63">
        <f>Q14-P14</f>
        <v>0</v>
      </c>
    </row>
    <row r="15" spans="1:18" ht="14.25">
      <c r="A15" s="13" t="s">
        <v>37</v>
      </c>
      <c r="B15" s="14" t="s">
        <v>40</v>
      </c>
      <c r="C15" s="29" t="str">
        <f>IF('PRN 2016'!Q15&lt;&gt;"",'PRN 2016'!Q15,"")</f>
        <v>SUPP</v>
      </c>
      <c r="D15" s="29" t="str">
        <f>IF(C15&lt;&gt;"",INDEX('DUN 2016'!$J$3:$J$23,MATCH(C15,'DUN 2016'!$I$3:$I$23,0),1),"")</f>
        <v>GPS</v>
      </c>
      <c r="E15" s="34">
        <f>'PRN 2016'!U15</f>
        <v>0.53482216708023156</v>
      </c>
      <c r="F15" s="34">
        <f>'PRN 2016'!L15</f>
        <v>0.70058305704813084</v>
      </c>
      <c r="G15" s="29" t="str">
        <f>IF('UMUR 2021'!AC15&lt;&gt;"",'UMUR 2021'!AC15,"")</f>
        <v>SUPP</v>
      </c>
      <c r="H15" s="29" t="str">
        <f>IF(G15&lt;&gt;"",INDEX('DUN 2021'!$J$3:$J$23,MATCH(G15,'DUN 2021'!$I$3:$I$23,0),1),"")</f>
        <v>GPS</v>
      </c>
      <c r="I15" s="34">
        <f>'UMUR 2021'!AF15</f>
        <v>0.57661364051929054</v>
      </c>
      <c r="J15" s="78">
        <f>'UMUR 2021'!X15</f>
        <v>0.53294908741594615</v>
      </c>
      <c r="K15" s="78">
        <f t="shared" si="0"/>
        <v>4.1791473439058979E-2</v>
      </c>
      <c r="L15" s="78">
        <f t="shared" si="1"/>
        <v>-0.16763396963218469</v>
      </c>
      <c r="M15" s="79" t="str">
        <f t="shared" si="2"/>
        <v>KEKAL</v>
      </c>
      <c r="O15" s="62"/>
      <c r="P15" s="62"/>
      <c r="Q15" s="62"/>
      <c r="R15" s="62"/>
    </row>
    <row r="16" spans="1:18" ht="14.25">
      <c r="A16" s="13" t="s">
        <v>38</v>
      </c>
      <c r="B16" s="14" t="s">
        <v>41</v>
      </c>
      <c r="C16" s="29" t="str">
        <f>IF('PRN 2016'!Q16&lt;&gt;"",'PRN 2016'!Q16,"")</f>
        <v>SUPP</v>
      </c>
      <c r="D16" s="29" t="str">
        <f>IF(C16&lt;&gt;"",INDEX('DUN 2016'!$J$3:$J$23,MATCH(C16,'DUN 2016'!$I$3:$I$23,0),1),"")</f>
        <v>GPS</v>
      </c>
      <c r="E16" s="34">
        <f>'PRN 2016'!U16</f>
        <v>0.54117448531893353</v>
      </c>
      <c r="F16" s="34">
        <f>'PRN 2016'!L16</f>
        <v>0.70872815019716318</v>
      </c>
      <c r="G16" s="29" t="str">
        <f>IF('UMUR 2021'!AC16&lt;&gt;"",'UMUR 2021'!AC16,"")</f>
        <v>SUPP</v>
      </c>
      <c r="H16" s="29" t="str">
        <f>IF(G16&lt;&gt;"",INDEX('DUN 2021'!$J$3:$J$23,MATCH(G16,'DUN 2021'!$I$3:$I$23,0),1),"")</f>
        <v>GPS</v>
      </c>
      <c r="I16" s="34">
        <f>'UMUR 2021'!AF16</f>
        <v>0.70197309417040354</v>
      </c>
      <c r="J16" s="78">
        <f>'UMUR 2021'!X16</f>
        <v>0.54625018132585468</v>
      </c>
      <c r="K16" s="78">
        <f t="shared" si="0"/>
        <v>0.16079860885147002</v>
      </c>
      <c r="L16" s="78">
        <f t="shared" si="1"/>
        <v>-0.1624779688713085</v>
      </c>
      <c r="M16" s="79" t="str">
        <f t="shared" si="2"/>
        <v>KEKAL</v>
      </c>
      <c r="O16" s="62"/>
      <c r="P16" s="62"/>
      <c r="Q16" s="62"/>
      <c r="R16" s="62"/>
    </row>
    <row r="17" spans="1:18" ht="14.25">
      <c r="A17" s="13" t="s">
        <v>44</v>
      </c>
      <c r="B17" s="14" t="s">
        <v>47</v>
      </c>
      <c r="C17" s="29" t="str">
        <f>IF('PRN 2016'!Q17&lt;&gt;"",'PRN 2016'!Q17,"")</f>
        <v>PBB</v>
      </c>
      <c r="D17" s="29" t="str">
        <f>IF(C17&lt;&gt;"",INDEX('DUN 2016'!$J$3:$J$23,MATCH(C17,'DUN 2016'!$I$3:$I$23,0),1),"")</f>
        <v>GPS</v>
      </c>
      <c r="E17" s="34">
        <f>'PRN 2016'!U17</f>
        <v>0.74721144519883609</v>
      </c>
      <c r="F17" s="34">
        <f>'PRN 2016'!L17</f>
        <v>0.7632898696088265</v>
      </c>
      <c r="G17" s="29" t="str">
        <f>IF('UMUR 2021'!AC17&lt;&gt;"",'UMUR 2021'!AC17,"")</f>
        <v>PBB</v>
      </c>
      <c r="H17" s="29" t="str">
        <f>IF(G17&lt;&gt;"",INDEX('DUN 2021'!$J$3:$J$23,MATCH(G17,'DUN 2021'!$I$3:$I$23,0),1),"")</f>
        <v>GPS</v>
      </c>
      <c r="I17" s="34">
        <f>'UMUR 2021'!AF17</f>
        <v>0.70040619167855966</v>
      </c>
      <c r="J17" s="78">
        <f>'UMUR 2021'!X17</f>
        <v>0.75277350392744347</v>
      </c>
      <c r="K17" s="78">
        <f t="shared" si="0"/>
        <v>-4.6805253520276424E-2</v>
      </c>
      <c r="L17" s="78">
        <f t="shared" si="1"/>
        <v>-1.0516365681383033E-2</v>
      </c>
      <c r="M17" s="79" t="str">
        <f t="shared" si="2"/>
        <v>KEKAL</v>
      </c>
      <c r="O17" s="62"/>
      <c r="P17" s="62"/>
      <c r="Q17" s="62"/>
      <c r="R17" s="62"/>
    </row>
    <row r="18" spans="1:18" ht="28.5">
      <c r="A18" s="13" t="s">
        <v>45</v>
      </c>
      <c r="B18" s="14" t="s">
        <v>48</v>
      </c>
      <c r="C18" s="29" t="str">
        <f>IF('PRN 2016'!Q18&lt;&gt;"",'PRN 2016'!Q18,"")</f>
        <v>PBB</v>
      </c>
      <c r="D18" s="29" t="str">
        <f>IF(C18&lt;&gt;"",INDEX('DUN 2016'!$J$3:$J$23,MATCH(C18,'DUN 2016'!$I$3:$I$23,0),1),"")</f>
        <v>GPS</v>
      </c>
      <c r="E18" s="34">
        <f>'PRN 2016'!U18</f>
        <v>0.81608544380613324</v>
      </c>
      <c r="F18" s="34">
        <f>'PRN 2016'!L18</f>
        <v>0.78388731002100576</v>
      </c>
      <c r="G18" s="29" t="str">
        <f>IF('UMUR 2021'!AC18&lt;&gt;"",'UMUR 2021'!AC18,"")</f>
        <v>PBB</v>
      </c>
      <c r="H18" s="29" t="str">
        <f>IF(G18&lt;&gt;"",INDEX('DUN 2021'!$J$3:$J$23,MATCH(G18,'DUN 2021'!$I$3:$I$23,0),1),"")</f>
        <v>GPS</v>
      </c>
      <c r="I18" s="34">
        <f>'UMUR 2021'!AF18</f>
        <v>0.63626763219431248</v>
      </c>
      <c r="J18" s="78">
        <f>'UMUR 2021'!X18</f>
        <v>0.7294035614674963</v>
      </c>
      <c r="K18" s="78">
        <f t="shared" si="0"/>
        <v>-0.17981781161182075</v>
      </c>
      <c r="L18" s="78">
        <f t="shared" si="1"/>
        <v>-5.4483748553509459E-2</v>
      </c>
      <c r="M18" s="79" t="str">
        <f t="shared" si="2"/>
        <v>KEKAL</v>
      </c>
      <c r="O18" s="26" t="s">
        <v>328</v>
      </c>
      <c r="P18" s="26">
        <v>2016</v>
      </c>
      <c r="Q18" s="26">
        <v>2021</v>
      </c>
      <c r="R18" s="63" t="s">
        <v>366</v>
      </c>
    </row>
    <row r="19" spans="1:18" ht="14.25">
      <c r="A19" s="13" t="s">
        <v>46</v>
      </c>
      <c r="B19" s="14" t="s">
        <v>49</v>
      </c>
      <c r="C19" s="29" t="str">
        <f>IF('PRN 2016'!Q19&lt;&gt;"",'PRN 2016'!Q19,"")</f>
        <v>PBB</v>
      </c>
      <c r="D19" s="29" t="str">
        <f>IF(C19&lt;&gt;"",INDEX('DUN 2016'!$J$3:$J$23,MATCH(C19,'DUN 2016'!$I$3:$I$23,0),1),"")</f>
        <v>GPS</v>
      </c>
      <c r="E19" s="34">
        <f>'PRN 2016'!U19</f>
        <v>0.83223249669749011</v>
      </c>
      <c r="F19" s="34">
        <f>'PRN 2016'!L19</f>
        <v>0.73009564865957155</v>
      </c>
      <c r="G19" s="29" t="str">
        <f>IF('UMUR 2021'!AC19&lt;&gt;"",'UMUR 2021'!AC19,"")</f>
        <v>PBB</v>
      </c>
      <c r="H19" s="29" t="str">
        <f>IF(G19&lt;&gt;"",INDEX('DUN 2021'!$J$3:$J$23,MATCH(G19,'DUN 2021'!$I$3:$I$23,0),1),"")</f>
        <v>GPS</v>
      </c>
      <c r="I19" s="34">
        <f>'UMUR 2021'!AF19</f>
        <v>0.72453874538745389</v>
      </c>
      <c r="J19" s="78">
        <f>'UMUR 2021'!X19</f>
        <v>0.65148305084745761</v>
      </c>
      <c r="K19" s="78">
        <f t="shared" si="0"/>
        <v>-0.10769375131003622</v>
      </c>
      <c r="L19" s="78">
        <f t="shared" si="1"/>
        <v>-7.8612597812113938E-2</v>
      </c>
      <c r="M19" s="79" t="str">
        <f t="shared" si="2"/>
        <v>KEKAL</v>
      </c>
      <c r="O19" s="29" t="s">
        <v>329</v>
      </c>
      <c r="P19" s="29">
        <f>COUNTIFS('PRN 2016'!$L$3:$L$84,"&lt;30.00%")</f>
        <v>0</v>
      </c>
      <c r="Q19" s="29">
        <f>COUNTIFS('UMUR 2021'!$X$3:$X$84,"&lt;30.00%")</f>
        <v>0</v>
      </c>
      <c r="R19" s="83">
        <f>IF(ISERROR(Q19-P19)&lt;&gt;TRUE,Q19-P19,"N/A")</f>
        <v>0</v>
      </c>
    </row>
    <row r="20" spans="1:18" ht="14.25">
      <c r="A20" s="13" t="s">
        <v>52</v>
      </c>
      <c r="B20" s="14" t="s">
        <v>55</v>
      </c>
      <c r="C20" s="29" t="str">
        <f>IF('PRN 2016'!Q20&lt;&gt;"",'PRN 2016'!Q20,"")</f>
        <v>PBB</v>
      </c>
      <c r="D20" s="29" t="str">
        <f>IF(C20&lt;&gt;"",INDEX('DUN 2016'!$J$3:$J$23,MATCH(C20,'DUN 2016'!$I$3:$I$23,0),1),"")</f>
        <v>GPS</v>
      </c>
      <c r="E20" s="34">
        <f>'PRN 2016'!U20</f>
        <v>0.50430971512052591</v>
      </c>
      <c r="F20" s="34">
        <f>'PRN 2016'!L20</f>
        <v>0.77242140099282952</v>
      </c>
      <c r="G20" s="29" t="str">
        <f>IF('UMUR 2021'!AC20&lt;&gt;"",'UMUR 2021'!AC20,"")</f>
        <v>PBB</v>
      </c>
      <c r="H20" s="29" t="str">
        <f>IF(G20&lt;&gt;"",INDEX('DUN 2021'!$J$3:$J$23,MATCH(G20,'DUN 2021'!$I$3:$I$23,0),1),"")</f>
        <v>GPS</v>
      </c>
      <c r="I20" s="34">
        <f>'UMUR 2021'!AF20</f>
        <v>0.57685762904140669</v>
      </c>
      <c r="J20" s="78">
        <f>'UMUR 2021'!X20</f>
        <v>0.72757779133618061</v>
      </c>
      <c r="K20" s="78">
        <f t="shared" si="0"/>
        <v>7.254791392088078E-2</v>
      </c>
      <c r="L20" s="78">
        <f t="shared" si="1"/>
        <v>-4.4843609656648908E-2</v>
      </c>
      <c r="M20" s="79" t="str">
        <f t="shared" si="2"/>
        <v>KEKAL</v>
      </c>
      <c r="O20" s="29" t="s">
        <v>319</v>
      </c>
      <c r="P20" s="29">
        <f>COUNTIFS('UMUR 2021'!$X$3:$X$84,"&gt;=30.00%",'UMUR 2021'!$X$3:$X$84,"&lt;40.00%")</f>
        <v>0</v>
      </c>
      <c r="Q20" s="29">
        <f>COUNTIFS('UMUR 2021'!$X$3:$X$84,"&gt;=30.00%",'UMUR 2021'!$X$3:$X$84,"&lt;40.00%")</f>
        <v>0</v>
      </c>
      <c r="R20" s="83">
        <f t="shared" ref="R20:R26" si="4">IF(ISERROR(Q20-P20)&lt;&gt;TRUE,Q20-P20,"N/A")</f>
        <v>0</v>
      </c>
    </row>
    <row r="21" spans="1:18" ht="14.25">
      <c r="A21" s="13" t="s">
        <v>53</v>
      </c>
      <c r="B21" s="14" t="s">
        <v>56</v>
      </c>
      <c r="C21" s="29" t="str">
        <f>IF('PRN 2016'!Q21&lt;&gt;"",'PRN 2016'!Q21,"")</f>
        <v>PBB</v>
      </c>
      <c r="D21" s="29" t="str">
        <f>IF(C21&lt;&gt;"",INDEX('DUN 2016'!$J$3:$J$23,MATCH(C21,'DUN 2016'!$I$3:$I$23,0),1),"")</f>
        <v>GPS</v>
      </c>
      <c r="E21" s="34">
        <f>'PRN 2016'!U21</f>
        <v>0.52956850610280215</v>
      </c>
      <c r="F21" s="34">
        <f>'PRN 2016'!L21</f>
        <v>0.68151371157038987</v>
      </c>
      <c r="G21" s="29" t="str">
        <f>IF('UMUR 2021'!AC21&lt;&gt;"",'UMUR 2021'!AC21,"")</f>
        <v>PBB</v>
      </c>
      <c r="H21" s="29" t="str">
        <f>IF(G21&lt;&gt;"",INDEX('DUN 2021'!$J$3:$J$23,MATCH(G21,'DUN 2021'!$I$3:$I$23,0),1),"")</f>
        <v>GPS</v>
      </c>
      <c r="I21" s="34">
        <f>'UMUR 2021'!AF21</f>
        <v>0.52003901400957619</v>
      </c>
      <c r="J21" s="78">
        <f>'UMUR 2021'!X21</f>
        <v>0.59446026404348951</v>
      </c>
      <c r="K21" s="78">
        <f t="shared" si="0"/>
        <v>-9.5294920932259553E-3</v>
      </c>
      <c r="L21" s="78">
        <f t="shared" si="1"/>
        <v>-8.7053447526900363E-2</v>
      </c>
      <c r="M21" s="79" t="str">
        <f t="shared" si="2"/>
        <v>KEKAL</v>
      </c>
      <c r="O21" s="29" t="s">
        <v>320</v>
      </c>
      <c r="P21" s="29">
        <f>COUNTIFS('PRN 2016'!$L$3:$L$84,"&gt;=40.00%",'PRN 2016'!$L$3:$L$84,"&lt;50.00%")</f>
        <v>0</v>
      </c>
      <c r="Q21" s="29">
        <f>COUNTIFS('UMUR 2021'!$X$3:$X$84,"&gt;=40.00%",'UMUR 2021'!$X$3:$X$84,"&lt;50.00%")</f>
        <v>9</v>
      </c>
      <c r="R21" s="83">
        <f t="shared" si="4"/>
        <v>9</v>
      </c>
    </row>
    <row r="22" spans="1:18" ht="14.25">
      <c r="A22" s="13" t="s">
        <v>54</v>
      </c>
      <c r="B22" s="14" t="s">
        <v>57</v>
      </c>
      <c r="C22" s="29" t="str">
        <f>IF('PRN 2016'!Q22&lt;&gt;"",'PRN 2016'!Q22,"")</f>
        <v>PBB</v>
      </c>
      <c r="D22" s="29" t="str">
        <f>IF(C22&lt;&gt;"",INDEX('DUN 2016'!$J$3:$J$23,MATCH(C22,'DUN 2016'!$I$3:$I$23,0),1),"")</f>
        <v>GPS</v>
      </c>
      <c r="E22" s="34">
        <f>'PRN 2016'!U22</f>
        <v>0.73612684031710074</v>
      </c>
      <c r="F22" s="34">
        <f>'PRN 2016'!L22</f>
        <v>0.71673479348422919</v>
      </c>
      <c r="G22" s="29" t="str">
        <f>IF('UMUR 2021'!AC22&lt;&gt;"",'UMUR 2021'!AC22,"")</f>
        <v>PBB</v>
      </c>
      <c r="H22" s="29" t="str">
        <f>IF(G22&lt;&gt;"",INDEX('DUN 2021'!$J$3:$J$23,MATCH(G22,'DUN 2021'!$I$3:$I$23,0),1),"")</f>
        <v>GPS</v>
      </c>
      <c r="I22" s="34">
        <f>'UMUR 2021'!AF22</f>
        <v>0.60252131998516867</v>
      </c>
      <c r="J22" s="78">
        <f>'UMUR 2021'!X22</f>
        <v>0.62674267652537108</v>
      </c>
      <c r="K22" s="78">
        <f t="shared" si="0"/>
        <v>-0.13360552033193207</v>
      </c>
      <c r="L22" s="78">
        <f t="shared" si="1"/>
        <v>-8.9992116958858115E-2</v>
      </c>
      <c r="M22" s="79" t="str">
        <f t="shared" si="2"/>
        <v>KEKAL</v>
      </c>
      <c r="O22" s="29" t="s">
        <v>330</v>
      </c>
      <c r="P22" s="29">
        <f>COUNTIFS('PRN 2016'!$L$3:$L$84,"&gt;=50.00%",'PRN 2016'!$L$3:$L$84,"&lt;60.00%")</f>
        <v>1</v>
      </c>
      <c r="Q22" s="29">
        <f>COUNTIFS('UMUR 2021'!$X$3:$X$84,"&gt;=50.00%",'UMUR 2021'!$X$3:$X$84,"&lt;60.00%")</f>
        <v>16</v>
      </c>
      <c r="R22" s="83">
        <f t="shared" si="4"/>
        <v>15</v>
      </c>
    </row>
    <row r="23" spans="1:18" ht="14.25">
      <c r="A23" s="13" t="s">
        <v>60</v>
      </c>
      <c r="B23" s="14" t="s">
        <v>63</v>
      </c>
      <c r="C23" s="29" t="str">
        <f>IF('PRN 2016'!Q23&lt;&gt;"",'PRN 2016'!Q23,"")</f>
        <v>PBB</v>
      </c>
      <c r="D23" s="29" t="str">
        <f>IF(C23&lt;&gt;"",INDEX('DUN 2016'!$J$3:$J$23,MATCH(C23,'DUN 2016'!$I$3:$I$23,0),1),"")</f>
        <v>GPS</v>
      </c>
      <c r="E23" s="34">
        <f>'PRN 2016'!U23</f>
        <v>0.86339631498650393</v>
      </c>
      <c r="F23" s="34">
        <f>'PRN 2016'!L23</f>
        <v>0.75522958076555857</v>
      </c>
      <c r="G23" s="29" t="str">
        <f>IF('UMUR 2021'!AC23&lt;&gt;"",'UMUR 2021'!AC23,"")</f>
        <v>PBB</v>
      </c>
      <c r="H23" s="29" t="str">
        <f>IF(G23&lt;&gt;"",INDEX('DUN 2021'!$J$3:$J$23,MATCH(G23,'DUN 2021'!$I$3:$I$23,0),1),"")</f>
        <v>GPS</v>
      </c>
      <c r="I23" s="34">
        <f>'UMUR 2021'!AF23</f>
        <v>0.61817297165794916</v>
      </c>
      <c r="J23" s="78">
        <f>'UMUR 2021'!X23</f>
        <v>0.69460132890365445</v>
      </c>
      <c r="K23" s="78">
        <f t="shared" si="0"/>
        <v>-0.24522334332855478</v>
      </c>
      <c r="L23" s="78">
        <f t="shared" si="1"/>
        <v>-6.0628251861904126E-2</v>
      </c>
      <c r="M23" s="79" t="str">
        <f t="shared" si="2"/>
        <v>KEKAL</v>
      </c>
      <c r="O23" s="29" t="s">
        <v>331</v>
      </c>
      <c r="P23" s="29">
        <f>COUNTIFS('PRN 2016'!$L$3:$L$84,"&gt;=60.00%",'PRN 2016'!$L$3:$L$84,"&lt;70.00%")</f>
        <v>33</v>
      </c>
      <c r="Q23" s="29">
        <f>COUNTIFS('UMUR 2021'!$X$3:$X$84,"&gt;=60.00%",'UMUR 2021'!$X$3:$X$84,"&lt;70.00%")</f>
        <v>38</v>
      </c>
      <c r="R23" s="83">
        <f t="shared" si="4"/>
        <v>5</v>
      </c>
    </row>
    <row r="24" spans="1:18" ht="14.25">
      <c r="A24" s="13" t="s">
        <v>61</v>
      </c>
      <c r="B24" s="14" t="s">
        <v>64</v>
      </c>
      <c r="C24" s="29" t="str">
        <f>IF('PRN 2016'!Q24&lt;&gt;"",'PRN 2016'!Q24,"")</f>
        <v>PBB</v>
      </c>
      <c r="D24" s="29" t="str">
        <f>IF(C24&lt;&gt;"",INDEX('DUN 2016'!$J$3:$J$23,MATCH(C24,'DUN 2016'!$I$3:$I$23,0),1),"")</f>
        <v>GPS</v>
      </c>
      <c r="E24" s="34">
        <f>'PRN 2016'!U24</f>
        <v>0.73229246001523229</v>
      </c>
      <c r="F24" s="34">
        <f>'PRN 2016'!L24</f>
        <v>0.77145612343297976</v>
      </c>
      <c r="G24" s="29" t="str">
        <f>IF('UMUR 2021'!AC24&lt;&gt;"",'UMUR 2021'!AC24,"")</f>
        <v>PBB</v>
      </c>
      <c r="H24" s="29" t="str">
        <f>IF(G24&lt;&gt;"",INDEX('DUN 2021'!$J$3:$J$23,MATCH(G24,'DUN 2021'!$I$3:$I$23,0),1),"")</f>
        <v>GPS</v>
      </c>
      <c r="I24" s="34">
        <f>'UMUR 2021'!AF24</f>
        <v>0.63339449541284398</v>
      </c>
      <c r="J24" s="78">
        <f>'UMUR 2021'!X24</f>
        <v>0.74299232279950012</v>
      </c>
      <c r="K24" s="78">
        <f t="shared" si="0"/>
        <v>-9.8897964602388311E-2</v>
      </c>
      <c r="L24" s="78">
        <f t="shared" si="1"/>
        <v>-2.8463800633479641E-2</v>
      </c>
      <c r="M24" s="79" t="str">
        <f t="shared" si="2"/>
        <v>KEKAL</v>
      </c>
      <c r="O24" s="29" t="s">
        <v>355</v>
      </c>
      <c r="P24" s="29">
        <f>COUNTIFS('PRN 2016'!$L$3:$L$84,"&gt;=70.00%",'PRN 2016'!$L$3:$L$84,"&lt;80.00%")</f>
        <v>45</v>
      </c>
      <c r="Q24" s="29">
        <f>COUNTIFS('UMUR 2021'!$X$3:$X$84,"&gt;=70.00%",'UMUR 2021'!$X$3:$X$84,"&lt;80.00%")</f>
        <v>18</v>
      </c>
      <c r="R24" s="83">
        <f t="shared" si="4"/>
        <v>-27</v>
      </c>
    </row>
    <row r="25" spans="1:18" ht="28.5">
      <c r="A25" s="13" t="s">
        <v>62</v>
      </c>
      <c r="B25" s="14" t="s">
        <v>65</v>
      </c>
      <c r="C25" s="29" t="str">
        <f>IF('PRN 2016'!Q25&lt;&gt;"",'PRN 2016'!Q25,"")</f>
        <v>PBB</v>
      </c>
      <c r="D25" s="29" t="str">
        <f>IF(C25&lt;&gt;"",INDEX('DUN 2016'!$J$3:$J$23,MATCH(C25,'DUN 2016'!$I$3:$I$23,0),1),"")</f>
        <v>GPS</v>
      </c>
      <c r="E25" s="34">
        <f>'PRN 2016'!U25</f>
        <v>0.59638949671772434</v>
      </c>
      <c r="F25" s="34">
        <f>'PRN 2016'!L25</f>
        <v>0.70722035166479613</v>
      </c>
      <c r="G25" s="29" t="str">
        <f>IF('UMUR 2021'!AC25&lt;&gt;"",'UMUR 2021'!AC25,"")</f>
        <v>PBB</v>
      </c>
      <c r="H25" s="29" t="str">
        <f>IF(G25&lt;&gt;"",INDEX('DUN 2021'!$J$3:$J$23,MATCH(G25,'DUN 2021'!$I$3:$I$23,0),1),"")</f>
        <v>GPS</v>
      </c>
      <c r="I25" s="34">
        <f>'UMUR 2021'!AF25</f>
        <v>0.70063037249283666</v>
      </c>
      <c r="J25" s="78">
        <f>'UMUR 2021'!X25</f>
        <v>0.59914053582219839</v>
      </c>
      <c r="K25" s="78">
        <f t="shared" si="0"/>
        <v>0.10424087577511232</v>
      </c>
      <c r="L25" s="78">
        <f t="shared" si="1"/>
        <v>-0.10807981584259774</v>
      </c>
      <c r="M25" s="79" t="str">
        <f t="shared" si="2"/>
        <v>KEKAL</v>
      </c>
      <c r="O25" s="79" t="s">
        <v>371</v>
      </c>
      <c r="P25" s="29">
        <f>COUNTIFS('PRN 2016'!$L$3:$L$84,"&gt;=80.00%")</f>
        <v>1</v>
      </c>
      <c r="Q25" s="29">
        <f>COUNTIFS('UMUR 2021'!$X$3:$X$84,"&gt;=80.00%")</f>
        <v>1</v>
      </c>
      <c r="R25" s="83">
        <f t="shared" si="4"/>
        <v>0</v>
      </c>
    </row>
    <row r="26" spans="1:18" ht="14.25">
      <c r="A26" s="13" t="s">
        <v>68</v>
      </c>
      <c r="B26" s="14" t="s">
        <v>71</v>
      </c>
      <c r="C26" s="29" t="str">
        <f>IF('PRN 2016'!Q26&lt;&gt;"",'PRN 2016'!Q26,"")</f>
        <v>PBB</v>
      </c>
      <c r="D26" s="29" t="str">
        <f>IF(C26&lt;&gt;"",INDEX('DUN 2016'!$J$3:$J$23,MATCH(C26,'DUN 2016'!$I$3:$I$23,0),1),"")</f>
        <v>GPS</v>
      </c>
      <c r="E26" s="34">
        <f>'PRN 2016'!U26</f>
        <v>0.82216170925848342</v>
      </c>
      <c r="F26" s="34">
        <f>'PRN 2016'!L26</f>
        <v>0.72218106386131276</v>
      </c>
      <c r="G26" s="29" t="str">
        <f>IF('UMUR 2021'!AC26&lt;&gt;"",'UMUR 2021'!AC26,"")</f>
        <v>PBB</v>
      </c>
      <c r="H26" s="29" t="str">
        <f>IF(G26&lt;&gt;"",INDEX('DUN 2021'!$J$3:$J$23,MATCH(G26,'DUN 2021'!$I$3:$I$23,0),1),"")</f>
        <v>GPS</v>
      </c>
      <c r="I26" s="34">
        <f>'UMUR 2021'!AF26</f>
        <v>0.82959984683132304</v>
      </c>
      <c r="J26" s="78">
        <f>'UMUR 2021'!X26</f>
        <v>0.69266954135633085</v>
      </c>
      <c r="K26" s="78">
        <f t="shared" si="0"/>
        <v>7.4381375728396204E-3</v>
      </c>
      <c r="L26" s="78">
        <f t="shared" si="1"/>
        <v>-2.9511522504981902E-2</v>
      </c>
      <c r="M26" s="79" t="str">
        <f t="shared" si="2"/>
        <v>KEKAL</v>
      </c>
      <c r="O26" s="79" t="s">
        <v>365</v>
      </c>
      <c r="P26" s="29">
        <f>COUNTIFS('PRN 2016'!$L$3:$L$84,"="&amp;"N/A")</f>
        <v>2</v>
      </c>
      <c r="Q26" s="29">
        <f>COUNTIFS('UMUR 2021'!$AF$3:$AF$84,"="&amp;"N/A")</f>
        <v>0</v>
      </c>
      <c r="R26" s="83">
        <f t="shared" si="4"/>
        <v>-2</v>
      </c>
    </row>
    <row r="27" spans="1:18" ht="14.25">
      <c r="A27" s="13" t="s">
        <v>69</v>
      </c>
      <c r="B27" s="14" t="s">
        <v>72</v>
      </c>
      <c r="C27" s="29" t="str">
        <f>IF('PRN 2016'!Q27&lt;&gt;"",'PRN 2016'!Q27,"")</f>
        <v>PBB</v>
      </c>
      <c r="D27" s="29" t="str">
        <f>IF(C27&lt;&gt;"",INDEX('DUN 2016'!$J$3:$J$23,MATCH(C27,'DUN 2016'!$I$3:$I$23,0),1),"")</f>
        <v>GPS</v>
      </c>
      <c r="E27" s="34">
        <f>'PRN 2016'!U27</f>
        <v>0.71136166522116218</v>
      </c>
      <c r="F27" s="34">
        <f>'PRN 2016'!L27</f>
        <v>0.76086956521739135</v>
      </c>
      <c r="G27" s="29" t="str">
        <f>IF('UMUR 2021'!AC27&lt;&gt;"",'UMUR 2021'!AC27,"")</f>
        <v>PBB</v>
      </c>
      <c r="H27" s="29" t="str">
        <f>IF(G27&lt;&gt;"",INDEX('DUN 2021'!$J$3:$J$23,MATCH(G27,'DUN 2021'!$I$3:$I$23,0),1),"")</f>
        <v>GPS</v>
      </c>
      <c r="I27" s="34">
        <f>'UMUR 2021'!AF27</f>
        <v>0.73019125683060104</v>
      </c>
      <c r="J27" s="78">
        <f>'UMUR 2021'!X27</f>
        <v>0.72093023255813948</v>
      </c>
      <c r="K27" s="78">
        <f t="shared" si="0"/>
        <v>1.8829591609438867E-2</v>
      </c>
      <c r="L27" s="78">
        <f t="shared" si="1"/>
        <v>-3.9939332659251869E-2</v>
      </c>
      <c r="M27" s="79" t="str">
        <f t="shared" si="2"/>
        <v>KEKAL</v>
      </c>
      <c r="O27" s="62"/>
      <c r="P27" s="62"/>
      <c r="Q27" s="62"/>
      <c r="R27" s="80"/>
    </row>
    <row r="28" spans="1:18" ht="15">
      <c r="A28" s="13" t="s">
        <v>70</v>
      </c>
      <c r="B28" s="14" t="s">
        <v>73</v>
      </c>
      <c r="C28" s="29" t="str">
        <f>IF('PRN 2016'!Q28&lt;&gt;"",'PRN 2016'!Q28,"")</f>
        <v>PBB</v>
      </c>
      <c r="D28" s="29" t="str">
        <f>IF(C28&lt;&gt;"",INDEX('DUN 2016'!$J$3:$J$23,MATCH(C28,'DUN 2016'!$I$3:$I$23,0),1),"")</f>
        <v>GPS</v>
      </c>
      <c r="E28" s="34">
        <f>'PRN 2016'!U28</f>
        <v>0.78774956386896688</v>
      </c>
      <c r="F28" s="34">
        <f>'PRN 2016'!L28</f>
        <v>0.74742486242415695</v>
      </c>
      <c r="G28" s="29" t="str">
        <f>IF('UMUR 2021'!AC28&lt;&gt;"",'UMUR 2021'!AC28,"")</f>
        <v>PBB</v>
      </c>
      <c r="H28" s="29" t="str">
        <f>IF(G28&lt;&gt;"",INDEX('DUN 2021'!$J$3:$J$23,MATCH(G28,'DUN 2021'!$I$3:$I$23,0),1),"")</f>
        <v>GPS</v>
      </c>
      <c r="I28" s="34">
        <f>'UMUR 2021'!AF28</f>
        <v>0.81876899696048633</v>
      </c>
      <c r="J28" s="78">
        <f>'UMUR 2021'!X28</f>
        <v>0.7415371809100999</v>
      </c>
      <c r="K28" s="78">
        <f t="shared" si="0"/>
        <v>3.1019433091519444E-2</v>
      </c>
      <c r="L28" s="78">
        <f t="shared" si="1"/>
        <v>-5.8876815140570526E-3</v>
      </c>
      <c r="M28" s="79" t="str">
        <f t="shared" si="2"/>
        <v>KEKAL</v>
      </c>
      <c r="O28" s="70" t="s">
        <v>235</v>
      </c>
      <c r="P28" s="63">
        <f>SUM(P19:P26)</f>
        <v>82</v>
      </c>
      <c r="Q28" s="63">
        <f>SUM(Q19:Q26)</f>
        <v>82</v>
      </c>
      <c r="R28" s="63">
        <f>Q28-P28</f>
        <v>0</v>
      </c>
    </row>
    <row r="29" spans="1:18" ht="14.25">
      <c r="A29" s="13" t="s">
        <v>76</v>
      </c>
      <c r="B29" s="14" t="s">
        <v>79</v>
      </c>
      <c r="C29" s="29" t="str">
        <f>IF('PRN 2016'!Q29&lt;&gt;"",'PRN 2016'!Q29,"")</f>
        <v>PBB</v>
      </c>
      <c r="D29" s="29" t="str">
        <f>IF(C29&lt;&gt;"",INDEX('DUN 2016'!$J$3:$J$23,MATCH(C29,'DUN 2016'!$I$3:$I$23,0),1),"")</f>
        <v>GPS</v>
      </c>
      <c r="E29" s="34">
        <f>'PRN 2016'!U29</f>
        <v>0.69879703886489819</v>
      </c>
      <c r="F29" s="34">
        <f>'PRN 2016'!L29</f>
        <v>0.73221988718062159</v>
      </c>
      <c r="G29" s="29" t="str">
        <f>IF('UMUR 2021'!AC29&lt;&gt;"",'UMUR 2021'!AC29,"")</f>
        <v>PBB</v>
      </c>
      <c r="H29" s="29" t="str">
        <f>IF(G29&lt;&gt;"",INDEX('DUN 2021'!$J$3:$J$23,MATCH(G29,'DUN 2021'!$I$3:$I$23,0),1),"")</f>
        <v>GPS</v>
      </c>
      <c r="I29" s="34">
        <f>'UMUR 2021'!AF29</f>
        <v>0.7929649855444908</v>
      </c>
      <c r="J29" s="78">
        <f>'UMUR 2021'!X29</f>
        <v>0.68196861321661151</v>
      </c>
      <c r="K29" s="78">
        <f t="shared" si="0"/>
        <v>9.4167946679592607E-2</v>
      </c>
      <c r="L29" s="78">
        <f t="shared" si="1"/>
        <v>-5.0251273964010079E-2</v>
      </c>
      <c r="M29" s="79" t="str">
        <f t="shared" si="2"/>
        <v>KEKAL</v>
      </c>
    </row>
    <row r="30" spans="1:18" ht="14.25">
      <c r="A30" s="13" t="s">
        <v>77</v>
      </c>
      <c r="B30" s="14" t="s">
        <v>80</v>
      </c>
      <c r="C30" s="29" t="str">
        <f>IF('PRN 2016'!Q30&lt;&gt;"",'PRN 2016'!Q30,"")</f>
        <v>PBB</v>
      </c>
      <c r="D30" s="29" t="str">
        <f>IF(C30&lt;&gt;"",INDEX('DUN 2016'!$J$3:$J$23,MATCH(C30,'DUN 2016'!$I$3:$I$23,0),1),"")</f>
        <v>GPS</v>
      </c>
      <c r="E30" s="34">
        <f>'PRN 2016'!U30</f>
        <v>0.66843033509700178</v>
      </c>
      <c r="F30" s="34">
        <f>'PRN 2016'!L30</f>
        <v>0.70649755229194477</v>
      </c>
      <c r="G30" s="29" t="str">
        <f>IF('UMUR 2021'!AC30&lt;&gt;"",'UMUR 2021'!AC30,"")</f>
        <v>PBB</v>
      </c>
      <c r="H30" s="29" t="str">
        <f>IF(G30&lt;&gt;"",INDEX('DUN 2021'!$J$3:$J$23,MATCH(G30,'DUN 2021'!$I$3:$I$23,0),1),"")</f>
        <v>GPS</v>
      </c>
      <c r="I30" s="34">
        <f>'UMUR 2021'!AF30</f>
        <v>0.58103015075376885</v>
      </c>
      <c r="J30" s="78">
        <f>'UMUR 2021'!X30</f>
        <v>0.68072666527458758</v>
      </c>
      <c r="K30" s="78">
        <f t="shared" si="0"/>
        <v>-8.7400184343232934E-2</v>
      </c>
      <c r="L30" s="78">
        <f t="shared" si="1"/>
        <v>-2.5770887017357191E-2</v>
      </c>
      <c r="M30" s="79" t="str">
        <f t="shared" si="2"/>
        <v>KEKAL</v>
      </c>
    </row>
    <row r="31" spans="1:18" ht="14.25">
      <c r="A31" s="13" t="s">
        <v>78</v>
      </c>
      <c r="B31" s="14" t="s">
        <v>81</v>
      </c>
      <c r="C31" s="29" t="str">
        <f>IF('PRN 2016'!Q31&lt;&gt;"",'PRN 2016'!Q31,"")</f>
        <v>PBB</v>
      </c>
      <c r="D31" s="29" t="str">
        <f>IF(C31&lt;&gt;"",INDEX('DUN 2016'!$J$3:$J$23,MATCH(C31,'DUN 2016'!$I$3:$I$23,0),1),"")</f>
        <v>GPS</v>
      </c>
      <c r="E31" s="34">
        <f>'PRN 2016'!U31</f>
        <v>0.60136501516683516</v>
      </c>
      <c r="F31" s="34">
        <f>'PRN 2016'!L31</f>
        <v>0.76713767424097767</v>
      </c>
      <c r="G31" s="29" t="str">
        <f>IF('UMUR 2021'!AC31&lt;&gt;"",'UMUR 2021'!AC31,"")</f>
        <v>PBB</v>
      </c>
      <c r="H31" s="29" t="str">
        <f>IF(G31&lt;&gt;"",INDEX('DUN 2021'!$J$3:$J$23,MATCH(G31,'DUN 2021'!$I$3:$I$23,0),1),"")</f>
        <v>GPS</v>
      </c>
      <c r="I31" s="34">
        <f>'UMUR 2021'!AF31</f>
        <v>0.51615995617638999</v>
      </c>
      <c r="J31" s="78">
        <f>'UMUR 2021'!X31</f>
        <v>0.67748332431945191</v>
      </c>
      <c r="K31" s="78">
        <f t="shared" si="0"/>
        <v>-8.5205058990445171E-2</v>
      </c>
      <c r="L31" s="78">
        <f t="shared" si="1"/>
        <v>-8.9654349921525767E-2</v>
      </c>
      <c r="M31" s="79" t="str">
        <f t="shared" si="2"/>
        <v>KEKAL</v>
      </c>
    </row>
    <row r="32" spans="1:18" ht="14.25">
      <c r="A32" s="13" t="s">
        <v>84</v>
      </c>
      <c r="B32" s="14" t="s">
        <v>87</v>
      </c>
      <c r="C32" s="29" t="str">
        <f>IF('PRN 2016'!Q32&lt;&gt;"",'PRN 2016'!Q32,"")</f>
        <v>PRS</v>
      </c>
      <c r="D32" s="29" t="str">
        <f>IF(C32&lt;&gt;"",INDEX('DUN 2016'!$J$3:$J$23,MATCH(C32,'DUN 2016'!$I$3:$I$23,0),1),"")</f>
        <v>GPS</v>
      </c>
      <c r="E32" s="34">
        <f>'PRN 2016'!U32</f>
        <v>0.58103023225639028</v>
      </c>
      <c r="F32" s="34">
        <f>'PRN 2016'!L32</f>
        <v>0.783710407239819</v>
      </c>
      <c r="G32" s="29" t="str">
        <f>IF('UMUR 2021'!AC32&lt;&gt;"",'UMUR 2021'!AC32,"")</f>
        <v>PRS</v>
      </c>
      <c r="H32" s="29" t="str">
        <f>IF(G32&lt;&gt;"",INDEX('DUN 2021'!$J$3:$J$23,MATCH(G32,'DUN 2021'!$I$3:$I$23,0),1),"")</f>
        <v>GPS</v>
      </c>
      <c r="I32" s="34">
        <f>'UMUR 2021'!AF32</f>
        <v>0.56380238819948492</v>
      </c>
      <c r="J32" s="78">
        <f>'UMUR 2021'!X32</f>
        <v>0.80316930775646367</v>
      </c>
      <c r="K32" s="78">
        <f t="shared" si="0"/>
        <v>-1.7227844056905361E-2</v>
      </c>
      <c r="L32" s="78">
        <f t="shared" si="1"/>
        <v>1.9458900516644673E-2</v>
      </c>
      <c r="M32" s="79" t="str">
        <f t="shared" si="2"/>
        <v>KEKAL</v>
      </c>
    </row>
    <row r="33" spans="1:13" ht="28.5">
      <c r="A33" s="13" t="s">
        <v>85</v>
      </c>
      <c r="B33" s="14" t="s">
        <v>88</v>
      </c>
      <c r="C33" s="29" t="str">
        <f>IF('PRN 2016'!Q33&lt;&gt;"",'PRN 2016'!Q33,"")</f>
        <v>PRS</v>
      </c>
      <c r="D33" s="29" t="str">
        <f>IF(C33&lt;&gt;"",INDEX('DUN 2016'!$J$3:$J$23,MATCH(C33,'DUN 2016'!$I$3:$I$23,0),1),"")</f>
        <v>GPS</v>
      </c>
      <c r="E33" s="34">
        <f>'PRN 2016'!U33</f>
        <v>0.86651053864168615</v>
      </c>
      <c r="F33" s="34">
        <f>'PRN 2016'!L33</f>
        <v>0.69730535733304932</v>
      </c>
      <c r="G33" s="29" t="str">
        <f>IF('UMUR 2021'!AC33&lt;&gt;"",'UMUR 2021'!AC33,"")</f>
        <v>PRS</v>
      </c>
      <c r="H33" s="29" t="str">
        <f>IF(G33&lt;&gt;"",INDEX('DUN 2021'!$J$3:$J$23,MATCH(G33,'DUN 2021'!$I$3:$I$23,0),1),"")</f>
        <v>GPS</v>
      </c>
      <c r="I33" s="34">
        <f>'UMUR 2021'!AF33</f>
        <v>0.58694078471116262</v>
      </c>
      <c r="J33" s="78">
        <f>'UMUR 2021'!X33</f>
        <v>0.72892441860465118</v>
      </c>
      <c r="K33" s="78">
        <f t="shared" si="0"/>
        <v>-0.27956975393052352</v>
      </c>
      <c r="L33" s="78">
        <f t="shared" si="1"/>
        <v>3.1619061271601856E-2</v>
      </c>
      <c r="M33" s="79" t="str">
        <f t="shared" si="2"/>
        <v>KEKAL</v>
      </c>
    </row>
    <row r="34" spans="1:13" ht="14.25">
      <c r="A34" s="13" t="s">
        <v>86</v>
      </c>
      <c r="B34" s="14" t="s">
        <v>89</v>
      </c>
      <c r="C34" s="29" t="str">
        <f>IF('PRN 2016'!Q34&lt;&gt;"",'PRN 2016'!Q34,"")</f>
        <v>SUPP</v>
      </c>
      <c r="D34" s="29" t="str">
        <f>IF(C34&lt;&gt;"",INDEX('DUN 2016'!$J$3:$J$23,MATCH(C34,'DUN 2016'!$I$3:$I$23,0),1),"")</f>
        <v>GPS</v>
      </c>
      <c r="E34" s="34">
        <f>'PRN 2016'!U34</f>
        <v>0.50699690402476782</v>
      </c>
      <c r="F34" s="34">
        <f>'PRN 2016'!L34</f>
        <v>0.71521966527196656</v>
      </c>
      <c r="G34" s="29" t="str">
        <f>IF('UMUR 2021'!AC34&lt;&gt;"",'UMUR 2021'!AC34,"")</f>
        <v>SUPP</v>
      </c>
      <c r="H34" s="29" t="str">
        <f>IF(G34&lt;&gt;"",INDEX('DUN 2021'!$J$3:$J$23,MATCH(G34,'DUN 2021'!$I$3:$I$23,0),1),"")</f>
        <v>GPS</v>
      </c>
      <c r="I34" s="34">
        <f>'UMUR 2021'!AF34</f>
        <v>0.48935643564356435</v>
      </c>
      <c r="J34" s="78">
        <f>'UMUR 2021'!X34</f>
        <v>0.62265577737447064</v>
      </c>
      <c r="K34" s="78">
        <f t="shared" si="0"/>
        <v>-1.7640468381203478E-2</v>
      </c>
      <c r="L34" s="78">
        <f t="shared" si="1"/>
        <v>-9.2563887897495922E-2</v>
      </c>
      <c r="M34" s="79" t="str">
        <f t="shared" si="2"/>
        <v>KEKAL</v>
      </c>
    </row>
    <row r="35" spans="1:13" ht="14.25">
      <c r="A35" s="13" t="s">
        <v>92</v>
      </c>
      <c r="B35" s="14" t="s">
        <v>94</v>
      </c>
      <c r="C35" s="29" t="str">
        <f>IF('PRN 2016'!Q35&lt;&gt;"",'PRN 2016'!Q35,"")</f>
        <v>PSB</v>
      </c>
      <c r="D35" s="29" t="str">
        <f>IF(C35&lt;&gt;"",INDEX('DUN 2016'!$J$3:$J$23,MATCH(C35,'DUN 2016'!$I$3:$I$23,0),1),"")</f>
        <v>PSB</v>
      </c>
      <c r="E35" s="34">
        <f>'PRN 2016'!U35</f>
        <v>0.70752053388090352</v>
      </c>
      <c r="F35" s="34">
        <f>'PRN 2016'!L35</f>
        <v>0.73843849466392064</v>
      </c>
      <c r="G35" s="29" t="str">
        <f>IF('UMUR 2021'!AC35&lt;&gt;"",'UMUR 2021'!AC35,"")</f>
        <v>PSB</v>
      </c>
      <c r="H35" s="29" t="str">
        <f>IF(G35&lt;&gt;"",INDEX('DUN 2021'!$J$3:$J$23,MATCH(G35,'DUN 2021'!$I$3:$I$23,0),1),"")</f>
        <v>PSB</v>
      </c>
      <c r="I35" s="34">
        <f>'UMUR 2021'!AF35</f>
        <v>0.43482920294708638</v>
      </c>
      <c r="J35" s="78">
        <f>'UMUR 2021'!X35</f>
        <v>0.68511640547151009</v>
      </c>
      <c r="K35" s="78">
        <f t="shared" si="0"/>
        <v>-0.27269133093381714</v>
      </c>
      <c r="L35" s="78">
        <f t="shared" si="1"/>
        <v>-5.3322089192410549E-2</v>
      </c>
      <c r="M35" s="79" t="str">
        <f t="shared" si="2"/>
        <v>KEKAL</v>
      </c>
    </row>
    <row r="36" spans="1:13" ht="14.25">
      <c r="A36" s="13" t="s">
        <v>93</v>
      </c>
      <c r="B36" s="14" t="s">
        <v>95</v>
      </c>
      <c r="C36" s="29" t="str">
        <f>IF('PRN 2016'!Q36&lt;&gt;"",'PRN 2016'!Q36,"")</f>
        <v>PRS</v>
      </c>
      <c r="D36" s="29" t="str">
        <f>IF(C36&lt;&gt;"",INDEX('DUN 2016'!$J$3:$J$23,MATCH(C36,'DUN 2016'!$I$3:$I$23,0),1),"")</f>
        <v>GPS</v>
      </c>
      <c r="E36" s="34">
        <f>'PRN 2016'!U36</f>
        <v>0.74202370100273474</v>
      </c>
      <c r="F36" s="34">
        <f>'PRN 2016'!L36</f>
        <v>0.70754319426885803</v>
      </c>
      <c r="G36" s="29" t="str">
        <f>IF('UMUR 2021'!AC36&lt;&gt;"",'UMUR 2021'!AC36,"")</f>
        <v>PRS</v>
      </c>
      <c r="H36" s="29" t="str">
        <f>IF(G36&lt;&gt;"",INDEX('DUN 2021'!$J$3:$J$23,MATCH(G36,'DUN 2021'!$I$3:$I$23,0),1),"")</f>
        <v>GPS</v>
      </c>
      <c r="I36" s="34">
        <f>'UMUR 2021'!AF36</f>
        <v>0.44586518415566367</v>
      </c>
      <c r="J36" s="78">
        <f>'UMUR 2021'!X36</f>
        <v>0.73290361567126594</v>
      </c>
      <c r="K36" s="78">
        <f t="shared" si="0"/>
        <v>-0.29615851684707106</v>
      </c>
      <c r="L36" s="78">
        <f t="shared" si="1"/>
        <v>2.5360421402407907E-2</v>
      </c>
      <c r="M36" s="79" t="str">
        <f t="shared" si="2"/>
        <v>KEKAL</v>
      </c>
    </row>
    <row r="37" spans="1:13" ht="14.25">
      <c r="A37" s="13" t="s">
        <v>98</v>
      </c>
      <c r="B37" s="14" t="s">
        <v>101</v>
      </c>
      <c r="C37" s="29" t="str">
        <f>IF('PRN 2016'!Q37&lt;&gt;"",'PRN 2016'!Q37,"")</f>
        <v>PBB</v>
      </c>
      <c r="D37" s="29" t="str">
        <f>IF(C37&lt;&gt;"",INDEX('DUN 2016'!$J$3:$J$23,MATCH(C37,'DUN 2016'!$I$3:$I$23,0),1),"")</f>
        <v>GPS</v>
      </c>
      <c r="E37" s="34">
        <f>'PRN 2016'!U37</f>
        <v>0.79570322925006676</v>
      </c>
      <c r="F37" s="34">
        <f>'PRN 2016'!L37</f>
        <v>0.79795525862941596</v>
      </c>
      <c r="G37" s="29" t="str">
        <f>IF('UMUR 2021'!AC37&lt;&gt;"",'UMUR 2021'!AC37,"")</f>
        <v>PBB</v>
      </c>
      <c r="H37" s="29" t="str">
        <f>IF(G37&lt;&gt;"",INDEX('DUN 2021'!$J$3:$J$23,MATCH(G37,'DUN 2021'!$I$3:$I$23,0),1),"")</f>
        <v>GPS</v>
      </c>
      <c r="I37" s="34">
        <f>'UMUR 2021'!AF37</f>
        <v>0.65519000255036985</v>
      </c>
      <c r="J37" s="78">
        <f>'UMUR 2021'!X37</f>
        <v>0.73088128186453027</v>
      </c>
      <c r="K37" s="78">
        <f t="shared" si="0"/>
        <v>-0.1405132266996969</v>
      </c>
      <c r="L37" s="78">
        <f t="shared" si="1"/>
        <v>-6.707397676488569E-2</v>
      </c>
      <c r="M37" s="79" t="str">
        <f t="shared" si="2"/>
        <v>KEKAL</v>
      </c>
    </row>
    <row r="38" spans="1:13" ht="14.25">
      <c r="A38" s="13" t="s">
        <v>99</v>
      </c>
      <c r="B38" s="14" t="s">
        <v>102</v>
      </c>
      <c r="C38" s="29" t="str">
        <f>IF('PRN 2016'!Q38&lt;&gt;"",'PRN 2016'!Q38,"")</f>
        <v>PBB</v>
      </c>
      <c r="D38" s="29" t="str">
        <f>IF(C38&lt;&gt;"",INDEX('DUN 2016'!$J$3:$J$23,MATCH(C38,'DUN 2016'!$I$3:$I$23,0),1),"")</f>
        <v>GPS</v>
      </c>
      <c r="E38" s="34">
        <f>'PRN 2016'!U38</f>
        <v>0.61097295617034508</v>
      </c>
      <c r="F38" s="34">
        <f>'PRN 2016'!L38</f>
        <v>0.72377391686826476</v>
      </c>
      <c r="G38" s="29" t="str">
        <f>IF('UMUR 2021'!AC38&lt;&gt;"",'UMUR 2021'!AC38,"")</f>
        <v>PBB</v>
      </c>
      <c r="H38" s="29" t="str">
        <f>IF(G38&lt;&gt;"",INDEX('DUN 2021'!$J$3:$J$23,MATCH(G38,'DUN 2021'!$I$3:$I$23,0),1),"")</f>
        <v>GPS</v>
      </c>
      <c r="I38" s="34">
        <f>'UMUR 2021'!AF38</f>
        <v>0.67752045969005747</v>
      </c>
      <c r="J38" s="78">
        <f>'UMUR 2021'!X38</f>
        <v>0.631669166488108</v>
      </c>
      <c r="K38" s="78">
        <f t="shared" si="0"/>
        <v>6.6547503519712392E-2</v>
      </c>
      <c r="L38" s="78">
        <f t="shared" si="1"/>
        <v>-9.2104750380156752E-2</v>
      </c>
      <c r="M38" s="79" t="str">
        <f t="shared" si="2"/>
        <v>KEKAL</v>
      </c>
    </row>
    <row r="39" spans="1:13" ht="14.25">
      <c r="A39" s="13" t="s">
        <v>100</v>
      </c>
      <c r="B39" s="14" t="s">
        <v>103</v>
      </c>
      <c r="C39" s="29" t="str">
        <f>IF('PRN 2016'!Q39&lt;&gt;"",'PRN 2016'!Q39,"")</f>
        <v>PBB</v>
      </c>
      <c r="D39" s="29" t="str">
        <f>IF(C39&lt;&gt;"",INDEX('DUN 2016'!$J$3:$J$23,MATCH(C39,'DUN 2016'!$I$3:$I$23,0),1),"")</f>
        <v>GPS</v>
      </c>
      <c r="E39" s="34">
        <f>'PRN 2016'!U39</f>
        <v>0.85656690959838733</v>
      </c>
      <c r="F39" s="34">
        <f>'PRN 2016'!L39</f>
        <v>0.7400247274362145</v>
      </c>
      <c r="G39" s="29" t="str">
        <f>IF('UMUR 2021'!AC39&lt;&gt;"",'UMUR 2021'!AC39,"")</f>
        <v>PBB</v>
      </c>
      <c r="H39" s="29" t="str">
        <f>IF(G39&lt;&gt;"",INDEX('DUN 2021'!$J$3:$J$23,MATCH(G39,'DUN 2021'!$I$3:$I$23,0),1),"")</f>
        <v>GPS</v>
      </c>
      <c r="I39" s="34">
        <f>'UMUR 2021'!AF39</f>
        <v>0.77937336814621405</v>
      </c>
      <c r="J39" s="78">
        <f>'UMUR 2021'!X39</f>
        <v>0.73527249816234375</v>
      </c>
      <c r="K39" s="78">
        <f t="shared" si="0"/>
        <v>-7.7193541452173275E-2</v>
      </c>
      <c r="L39" s="78">
        <f t="shared" si="1"/>
        <v>-4.7522292738707561E-3</v>
      </c>
      <c r="M39" s="79" t="str">
        <f t="shared" si="2"/>
        <v>KEKAL</v>
      </c>
    </row>
    <row r="40" spans="1:13" ht="14.25">
      <c r="A40" s="13" t="s">
        <v>106</v>
      </c>
      <c r="B40" s="14" t="s">
        <v>109</v>
      </c>
      <c r="C40" s="29" t="str">
        <f>IF('PRN 2016'!Q40&lt;&gt;"",'PRN 2016'!Q40,"")</f>
        <v>PBB</v>
      </c>
      <c r="D40" s="29" t="str">
        <f>IF(C40&lt;&gt;"",INDEX('DUN 2016'!$J$3:$J$23,MATCH(C40,'DUN 2016'!$I$3:$I$23,0),1),"")</f>
        <v>GPS</v>
      </c>
      <c r="E40" s="34">
        <f>'PRN 2016'!U40</f>
        <v>0.77572456720482397</v>
      </c>
      <c r="F40" s="34">
        <f>'PRN 2016'!L40</f>
        <v>0.7161184659478641</v>
      </c>
      <c r="G40" s="29" t="str">
        <f>IF('UMUR 2021'!AC40&lt;&gt;"",'UMUR 2021'!AC40,"")</f>
        <v>PBB</v>
      </c>
      <c r="H40" s="29" t="str">
        <f>IF(G40&lt;&gt;"",INDEX('DUN 2021'!$J$3:$J$23,MATCH(G40,'DUN 2021'!$I$3:$I$23,0),1),"")</f>
        <v>GPS</v>
      </c>
      <c r="I40" s="34">
        <f>'UMUR 2021'!AF40</f>
        <v>0.72427906976744183</v>
      </c>
      <c r="J40" s="78">
        <f>'UMUR 2021'!X40</f>
        <v>0.68777943368107297</v>
      </c>
      <c r="K40" s="78">
        <f t="shared" si="0"/>
        <v>-5.1445497437382137E-2</v>
      </c>
      <c r="L40" s="78">
        <f t="shared" si="1"/>
        <v>-2.8339032266791131E-2</v>
      </c>
      <c r="M40" s="79" t="str">
        <f t="shared" si="2"/>
        <v>KEKAL</v>
      </c>
    </row>
    <row r="41" spans="1:13" ht="14.25">
      <c r="A41" s="13" t="s">
        <v>107</v>
      </c>
      <c r="B41" s="14" t="s">
        <v>110</v>
      </c>
      <c r="C41" s="29" t="str">
        <f>IF('PRN 2016'!Q41&lt;&gt;"",'PRN 2016'!Q41,"")</f>
        <v>BERSATU</v>
      </c>
      <c r="D41" s="29" t="str">
        <f>IF(C41&lt;&gt;"",INDEX('DUN 2016'!$J$3:$J$23,MATCH(C41,'DUN 2016'!$I$3:$I$23,0),1),"")</f>
        <v>PN</v>
      </c>
      <c r="E41" s="34">
        <f>'PRN 2016'!U41</f>
        <v>0.58975481611208402</v>
      </c>
      <c r="F41" s="34">
        <f>'PRN 2016'!L41</f>
        <v>0.77322518605234547</v>
      </c>
      <c r="G41" s="29" t="str">
        <f>IF('UMUR 2021'!AC41&lt;&gt;"",'UMUR 2021'!AC41,"")</f>
        <v>PDP</v>
      </c>
      <c r="H41" s="29" t="str">
        <f>IF(G41&lt;&gt;"",INDEX('DUN 2021'!$J$3:$J$23,MATCH(G41,'DUN 2021'!$I$3:$I$23,0),1),"")</f>
        <v>GPS</v>
      </c>
      <c r="I41" s="34">
        <f>'UMUR 2021'!AF41</f>
        <v>0.43666404405979542</v>
      </c>
      <c r="J41" s="78">
        <f>'UMUR 2021'!X41</f>
        <v>0.69083677527918008</v>
      </c>
      <c r="K41" s="78">
        <f t="shared" si="0"/>
        <v>-0.1530907720522886</v>
      </c>
      <c r="L41" s="78">
        <f t="shared" si="1"/>
        <v>-8.2388410773165388E-2</v>
      </c>
      <c r="M41" s="79" t="str">
        <f t="shared" si="2"/>
        <v>TUKAR</v>
      </c>
    </row>
    <row r="42" spans="1:13" ht="14.25">
      <c r="A42" s="13" t="s">
        <v>108</v>
      </c>
      <c r="B42" s="14" t="s">
        <v>111</v>
      </c>
      <c r="C42" s="29" t="str">
        <f>IF('PRN 2016'!Q42&lt;&gt;"",'PRN 2016'!Q42,"")</f>
        <v>PBB</v>
      </c>
      <c r="D42" s="29" t="str">
        <f>IF(C42&lt;&gt;"",INDEX('DUN 2016'!$J$3:$J$23,MATCH(C42,'DUN 2016'!$I$3:$I$23,0),1),"")</f>
        <v>GPS</v>
      </c>
      <c r="E42" s="34">
        <f>'PRN 2016'!U42</f>
        <v>0.77353883717381355</v>
      </c>
      <c r="F42" s="34">
        <f>'PRN 2016'!L42</f>
        <v>0.72229998923226013</v>
      </c>
      <c r="G42" s="29" t="str">
        <f>IF('UMUR 2021'!AC42&lt;&gt;"",'UMUR 2021'!AC42,"")</f>
        <v>PBB</v>
      </c>
      <c r="H42" s="29" t="str">
        <f>IF(G42&lt;&gt;"",INDEX('DUN 2021'!$J$3:$J$23,MATCH(G42,'DUN 2021'!$I$3:$I$23,0),1),"")</f>
        <v>GPS</v>
      </c>
      <c r="I42" s="34">
        <f>'UMUR 2021'!AF42</f>
        <v>0.67317964576890643</v>
      </c>
      <c r="J42" s="78">
        <f>'UMUR 2021'!X42</f>
        <v>0.71545841163089707</v>
      </c>
      <c r="K42" s="78">
        <f t="shared" si="0"/>
        <v>-0.10035919140490712</v>
      </c>
      <c r="L42" s="78">
        <f t="shared" si="1"/>
        <v>-6.841577601363058E-3</v>
      </c>
      <c r="M42" s="79" t="str">
        <f t="shared" si="2"/>
        <v>KEKAL</v>
      </c>
    </row>
    <row r="43" spans="1:13" ht="28.5">
      <c r="A43" s="13" t="s">
        <v>114</v>
      </c>
      <c r="B43" s="14" t="s">
        <v>116</v>
      </c>
      <c r="C43" s="29" t="str">
        <f>IF('PRN 2016'!Q43&lt;&gt;"",'PRN 2016'!Q43,"")</f>
        <v>PBB</v>
      </c>
      <c r="D43" s="29" t="str">
        <f>IF(C43&lt;&gt;"",INDEX('DUN 2016'!$J$3:$J$23,MATCH(C43,'DUN 2016'!$I$3:$I$23,0),1),"")</f>
        <v>GPS</v>
      </c>
      <c r="E43" s="34">
        <f>'PRN 2016'!U43</f>
        <v>0.88603097911041639</v>
      </c>
      <c r="F43" s="34">
        <f>'PRN 2016'!L43</f>
        <v>0.7044546252071352</v>
      </c>
      <c r="G43" s="29" t="str">
        <f>IF('UMUR 2021'!AC43&lt;&gt;"",'UMUR 2021'!AC43,"")</f>
        <v>PBB</v>
      </c>
      <c r="H43" s="29" t="str">
        <f>IF(G43&lt;&gt;"",INDEX('DUN 2021'!$J$3:$J$23,MATCH(G43,'DUN 2021'!$I$3:$I$23,0),1),"")</f>
        <v>GPS</v>
      </c>
      <c r="I43" s="34">
        <f>'UMUR 2021'!AF43</f>
        <v>0.70352564102564108</v>
      </c>
      <c r="J43" s="78">
        <f>'UMUR 2021'!X43</f>
        <v>0.67045852292614627</v>
      </c>
      <c r="K43" s="78">
        <f t="shared" si="0"/>
        <v>-0.18250533808477531</v>
      </c>
      <c r="L43" s="78">
        <f t="shared" si="1"/>
        <v>-3.3996102280988927E-2</v>
      </c>
      <c r="M43" s="79" t="str">
        <f t="shared" si="2"/>
        <v>KEKAL</v>
      </c>
    </row>
    <row r="44" spans="1:13" ht="14.25">
      <c r="A44" s="13" t="s">
        <v>115</v>
      </c>
      <c r="B44" s="14" t="s">
        <v>117</v>
      </c>
      <c r="C44" s="29" t="str">
        <f>IF('PRN 2016'!Q44&lt;&gt;"",'PRN 2016'!Q44,"")</f>
        <v>PBB</v>
      </c>
      <c r="D44" s="29" t="str">
        <f>IF(C44&lt;&gt;"",INDEX('DUN 2016'!$J$3:$J$23,MATCH(C44,'DUN 2016'!$I$3:$I$23,0),1),"")</f>
        <v>GPS</v>
      </c>
      <c r="E44" s="34">
        <f>'PRN 2016'!U44</f>
        <v>0.85765239948119321</v>
      </c>
      <c r="F44" s="34">
        <f>'PRN 2016'!L44</f>
        <v>0.65831340334823751</v>
      </c>
      <c r="G44" s="29" t="str">
        <f>IF('UMUR 2021'!AC44&lt;&gt;"",'UMUR 2021'!AC44,"")</f>
        <v>PBB</v>
      </c>
      <c r="H44" s="29" t="str">
        <f>IF(G44&lt;&gt;"",INDEX('DUN 2021'!$J$3:$J$23,MATCH(G44,'DUN 2021'!$I$3:$I$23,0),1),"")</f>
        <v>GPS</v>
      </c>
      <c r="I44" s="34">
        <f>'UMUR 2021'!AF44</f>
        <v>0.64582402858418941</v>
      </c>
      <c r="J44" s="78">
        <f>'UMUR 2021'!X44</f>
        <v>0.66640769156064872</v>
      </c>
      <c r="K44" s="78">
        <f t="shared" si="0"/>
        <v>-0.21182837089700379</v>
      </c>
      <c r="L44" s="78">
        <f t="shared" si="1"/>
        <v>8.0942882124112048E-3</v>
      </c>
      <c r="M44" s="79" t="str">
        <f t="shared" si="2"/>
        <v>KEKAL</v>
      </c>
    </row>
    <row r="45" spans="1:13" ht="14.25">
      <c r="A45" s="13" t="s">
        <v>120</v>
      </c>
      <c r="B45" s="14" t="s">
        <v>122</v>
      </c>
      <c r="C45" s="29" t="str">
        <f>IF('PRN 2016'!Q45&lt;&gt;"",'PRN 2016'!Q45,"")</f>
        <v>PBB</v>
      </c>
      <c r="D45" s="29" t="str">
        <f>IF(C45&lt;&gt;"",INDEX('DUN 2016'!$J$3:$J$23,MATCH(C45,'DUN 2016'!$I$3:$I$23,0),1),"")</f>
        <v>GPS</v>
      </c>
      <c r="E45" s="34">
        <f>'PRN 2016'!U45</f>
        <v>0.89784560143626568</v>
      </c>
      <c r="F45" s="34">
        <f>'PRN 2016'!L45</f>
        <v>0.67530326227770576</v>
      </c>
      <c r="G45" s="29" t="str">
        <f>IF('UMUR 2021'!AC45&lt;&gt;"",'UMUR 2021'!AC45,"")</f>
        <v>PBB</v>
      </c>
      <c r="H45" s="29" t="str">
        <f>IF(G45&lt;&gt;"",INDEX('DUN 2021'!$J$3:$J$23,MATCH(G45,'DUN 2021'!$I$3:$I$23,0),1),"")</f>
        <v>GPS</v>
      </c>
      <c r="I45" s="34">
        <f>'UMUR 2021'!AF45</f>
        <v>0.93182614791447604</v>
      </c>
      <c r="J45" s="78">
        <f>'UMUR 2021'!X45</f>
        <v>0.6340402392604676</v>
      </c>
      <c r="K45" s="78">
        <f t="shared" si="0"/>
        <v>3.3980546478210361E-2</v>
      </c>
      <c r="L45" s="78">
        <f t="shared" si="1"/>
        <v>-4.1263023017238165E-2</v>
      </c>
      <c r="M45" s="79" t="str">
        <f t="shared" si="2"/>
        <v>KEKAL</v>
      </c>
    </row>
    <row r="46" spans="1:13" ht="14.25">
      <c r="A46" s="13" t="s">
        <v>121</v>
      </c>
      <c r="B46" s="14" t="s">
        <v>123</v>
      </c>
      <c r="C46" s="29" t="str">
        <f>IF('PRN 2016'!Q46&lt;&gt;"",'PRN 2016'!Q46,"")</f>
        <v>PBB</v>
      </c>
      <c r="D46" s="29" t="str">
        <f>IF(C46&lt;&gt;"",INDEX('DUN 2016'!$J$3:$J$23,MATCH(C46,'DUN 2016'!$I$3:$I$23,0),1),"")</f>
        <v>GPS</v>
      </c>
      <c r="E46" s="34">
        <f>'PRN 2016'!U46</f>
        <v>0.7742918062747487</v>
      </c>
      <c r="F46" s="34">
        <f>'PRN 2016'!L46</f>
        <v>0.69378286421280544</v>
      </c>
      <c r="G46" s="29" t="str">
        <f>IF('UMUR 2021'!AC46&lt;&gt;"",'UMUR 2021'!AC46,"")</f>
        <v>PBB</v>
      </c>
      <c r="H46" s="29" t="str">
        <f>IF(G46&lt;&gt;"",INDEX('DUN 2021'!$J$3:$J$23,MATCH(G46,'DUN 2021'!$I$3:$I$23,0),1),"")</f>
        <v>GPS</v>
      </c>
      <c r="I46" s="34">
        <f>'UMUR 2021'!AF46</f>
        <v>0.86801481938870018</v>
      </c>
      <c r="J46" s="78">
        <f>'UMUR 2021'!X46</f>
        <v>0.66536183880357325</v>
      </c>
      <c r="K46" s="78">
        <f t="shared" si="0"/>
        <v>9.3723013113951481E-2</v>
      </c>
      <c r="L46" s="78">
        <f t="shared" si="1"/>
        <v>-2.8421025409232192E-2</v>
      </c>
      <c r="M46" s="79" t="str">
        <f t="shared" si="2"/>
        <v>KEKAL</v>
      </c>
    </row>
    <row r="47" spans="1:13" ht="14.25">
      <c r="A47" s="13" t="s">
        <v>126</v>
      </c>
      <c r="B47" s="14" t="s">
        <v>128</v>
      </c>
      <c r="C47" s="29" t="str">
        <f>IF('PRN 2016'!Q47&lt;&gt;"",'PRN 2016'!Q47,"")</f>
        <v>SUPP</v>
      </c>
      <c r="D47" s="29" t="str">
        <f>IF(C47&lt;&gt;"",INDEX('DUN 2016'!$J$3:$J$23,MATCH(C47,'DUN 2016'!$I$3:$I$23,0),1),"")</f>
        <v>GPS</v>
      </c>
      <c r="E47" s="34">
        <f>'PRN 2016'!U47</f>
        <v>0.51960921144452199</v>
      </c>
      <c r="F47" s="34">
        <f>'PRN 2016'!L47</f>
        <v>0.71573804471203673</v>
      </c>
      <c r="G47" s="29" t="str">
        <f>IF('UMUR 2021'!AC47&lt;&gt;"",'UMUR 2021'!AC47,"")</f>
        <v>SUPP</v>
      </c>
      <c r="H47" s="29" t="str">
        <f>IF(G47&lt;&gt;"",INDEX('DUN 2021'!$J$3:$J$23,MATCH(G47,'DUN 2021'!$I$3:$I$23,0),1),"")</f>
        <v>GPS</v>
      </c>
      <c r="I47" s="34">
        <f>'UMUR 2021'!AF47</f>
        <v>0.73152601661565364</v>
      </c>
      <c r="J47" s="78">
        <f>'UMUR 2021'!X47</f>
        <v>0.58977953357971202</v>
      </c>
      <c r="K47" s="78">
        <f t="shared" si="0"/>
        <v>0.21191680517113165</v>
      </c>
      <c r="L47" s="78">
        <f t="shared" si="1"/>
        <v>-0.1259585111323247</v>
      </c>
      <c r="M47" s="79" t="str">
        <f t="shared" si="2"/>
        <v>KEKAL</v>
      </c>
    </row>
    <row r="48" spans="1:13" ht="14.25">
      <c r="A48" s="13" t="s">
        <v>127</v>
      </c>
      <c r="B48" s="14" t="s">
        <v>129</v>
      </c>
      <c r="C48" s="29" t="str">
        <f>IF('PRN 2016'!Q48&lt;&gt;"",'PRN 2016'!Q48,"")</f>
        <v>SUPP</v>
      </c>
      <c r="D48" s="29" t="str">
        <f>IF(C48&lt;&gt;"",INDEX('DUN 2016'!$J$3:$J$23,MATCH(C48,'DUN 2016'!$I$3:$I$23,0),1),"")</f>
        <v>GPS</v>
      </c>
      <c r="E48" s="34">
        <f>'PRN 2016'!U48</f>
        <v>0.56205993122646147</v>
      </c>
      <c r="F48" s="34">
        <f>'PRN 2016'!L48</f>
        <v>0.73528018007345097</v>
      </c>
      <c r="G48" s="29" t="str">
        <f>IF('UMUR 2021'!AC48&lt;&gt;"",'UMUR 2021'!AC48,"")</f>
        <v>SUPP</v>
      </c>
      <c r="H48" s="29" t="str">
        <f>IF(G48&lt;&gt;"",INDEX('DUN 2021'!$J$3:$J$23,MATCH(G48,'DUN 2021'!$I$3:$I$23,0),1),"")</f>
        <v>GPS</v>
      </c>
      <c r="I48" s="34">
        <f>'UMUR 2021'!AF48</f>
        <v>0.58235946430094687</v>
      </c>
      <c r="J48" s="78">
        <f>'UMUR 2021'!X48</f>
        <v>0.65757876184181541</v>
      </c>
      <c r="K48" s="78">
        <f t="shared" si="0"/>
        <v>2.0299533074485399E-2</v>
      </c>
      <c r="L48" s="78">
        <f t="shared" si="1"/>
        <v>-7.7701418231635566E-2</v>
      </c>
      <c r="M48" s="79" t="str">
        <f t="shared" si="2"/>
        <v>KEKAL</v>
      </c>
    </row>
    <row r="49" spans="1:13" ht="14.25">
      <c r="A49" s="13" t="s">
        <v>132</v>
      </c>
      <c r="B49" s="14" t="s">
        <v>134</v>
      </c>
      <c r="C49" s="29" t="str">
        <f>IF('PRN 2016'!Q49&lt;&gt;"",'PRN 2016'!Q49,"")</f>
        <v>PBB</v>
      </c>
      <c r="D49" s="29" t="str">
        <f>IF(C49&lt;&gt;"",INDEX('DUN 2016'!$J$3:$J$23,MATCH(C49,'DUN 2016'!$I$3:$I$23,0),1),"")</f>
        <v>GPS</v>
      </c>
      <c r="E49" s="34">
        <f>'PRN 2016'!U49</f>
        <v>0.50897289041618943</v>
      </c>
      <c r="F49" s="34">
        <f>'PRN 2016'!L49</f>
        <v>0.77436543305560934</v>
      </c>
      <c r="G49" s="29" t="str">
        <f>IF('UMUR 2021'!AC49&lt;&gt;"",'UMUR 2021'!AC49,"")</f>
        <v>PBB</v>
      </c>
      <c r="H49" s="29" t="str">
        <f>IF(G49&lt;&gt;"",INDEX('DUN 2021'!$J$3:$J$23,MATCH(G49,'DUN 2021'!$I$3:$I$23,0),1),"")</f>
        <v>GPS</v>
      </c>
      <c r="I49" s="34">
        <f>'UMUR 2021'!AF49</f>
        <v>0.41132787916928887</v>
      </c>
      <c r="J49" s="78">
        <f>'UMUR 2021'!X49</f>
        <v>0.72252106867491483</v>
      </c>
      <c r="K49" s="78">
        <f t="shared" si="0"/>
        <v>-9.7645011246900559E-2</v>
      </c>
      <c r="L49" s="78">
        <f t="shared" si="1"/>
        <v>-5.1844364380694508E-2</v>
      </c>
      <c r="M49" s="79" t="str">
        <f t="shared" si="2"/>
        <v>KEKAL</v>
      </c>
    </row>
    <row r="50" spans="1:13" ht="14.25">
      <c r="A50" s="13" t="s">
        <v>133</v>
      </c>
      <c r="B50" s="14" t="s">
        <v>135</v>
      </c>
      <c r="C50" s="29" t="str">
        <f>IF('PRN 2016'!Q50&lt;&gt;"",'PRN 2016'!Q50,"")</f>
        <v>PDP</v>
      </c>
      <c r="D50" s="29" t="str">
        <f>IF(C50&lt;&gt;"",INDEX('DUN 2016'!$J$3:$J$23,MATCH(C50,'DUN 2016'!$I$3:$I$23,0),1),"")</f>
        <v>GPS</v>
      </c>
      <c r="E50" s="34">
        <f>'PRN 2016'!U50</f>
        <v>0.37404070737404072</v>
      </c>
      <c r="F50" s="34">
        <f>'PRN 2016'!L50</f>
        <v>0.69755017934824082</v>
      </c>
      <c r="G50" s="29" t="str">
        <f>IF('UMUR 2021'!AC50&lt;&gt;"",'UMUR 2021'!AC50,"")</f>
        <v>PDP</v>
      </c>
      <c r="H50" s="29" t="str">
        <f>IF(G50&lt;&gt;"",INDEX('DUN 2021'!$J$3:$J$23,MATCH(G50,'DUN 2021'!$I$3:$I$23,0),1),"")</f>
        <v>GPS</v>
      </c>
      <c r="I50" s="34">
        <f>'UMUR 2021'!AF50</f>
        <v>0.53211472429812157</v>
      </c>
      <c r="J50" s="78">
        <f>'UMUR 2021'!X50</f>
        <v>0.68393429214095836</v>
      </c>
      <c r="K50" s="78">
        <f t="shared" si="0"/>
        <v>0.15807401692408085</v>
      </c>
      <c r="L50" s="78">
        <f t="shared" si="1"/>
        <v>-1.3615887207282462E-2</v>
      </c>
      <c r="M50" s="79" t="str">
        <f t="shared" si="2"/>
        <v>KEKAL</v>
      </c>
    </row>
    <row r="51" spans="1:13" ht="14.25">
      <c r="A51" s="13" t="s">
        <v>138</v>
      </c>
      <c r="B51" s="14" t="s">
        <v>140</v>
      </c>
      <c r="C51" s="29" t="str">
        <f>IF('PRN 2016'!Q51&lt;&gt;"",'PRN 2016'!Q51,"")</f>
        <v>PRS</v>
      </c>
      <c r="D51" s="29" t="str">
        <f>IF(C51&lt;&gt;"",INDEX('DUN 2016'!$J$3:$J$23,MATCH(C51,'DUN 2016'!$I$3:$I$23,0),1),"")</f>
        <v>GPS</v>
      </c>
      <c r="E51" s="34">
        <f>'PRN 2016'!U51</f>
        <v>0.46126816802427728</v>
      </c>
      <c r="F51" s="34">
        <f>'PRN 2016'!L51</f>
        <v>0.7187324418473986</v>
      </c>
      <c r="G51" s="29" t="str">
        <f>IF('UMUR 2021'!AC51&lt;&gt;"",'UMUR 2021'!AC51,"")</f>
        <v>PRS</v>
      </c>
      <c r="H51" s="29" t="str">
        <f>IF(G51&lt;&gt;"",INDEX('DUN 2021'!$J$3:$J$23,MATCH(G51,'DUN 2021'!$I$3:$I$23,0),1),"")</f>
        <v>GPS</v>
      </c>
      <c r="I51" s="34">
        <f>'UMUR 2021'!AF51</f>
        <v>0.46228463877226</v>
      </c>
      <c r="J51" s="78">
        <f>'UMUR 2021'!X51</f>
        <v>0.71501065665279606</v>
      </c>
      <c r="K51" s="78">
        <f t="shared" si="0"/>
        <v>1.0164707479827229E-3</v>
      </c>
      <c r="L51" s="78">
        <f t="shared" si="1"/>
        <v>-3.7217851946025338E-3</v>
      </c>
      <c r="M51" s="79" t="str">
        <f t="shared" si="2"/>
        <v>KEKAL</v>
      </c>
    </row>
    <row r="52" spans="1:13" ht="14.25">
      <c r="A52" s="13" t="s">
        <v>139</v>
      </c>
      <c r="B52" s="14" t="s">
        <v>141</v>
      </c>
      <c r="C52" s="29" t="str">
        <f>IF('PRN 2016'!Q52&lt;&gt;"",'PRN 2016'!Q52,"")</f>
        <v>PBB</v>
      </c>
      <c r="D52" s="29" t="str">
        <f>IF(C52&lt;&gt;"",INDEX('DUN 2016'!$J$3:$J$23,MATCH(C52,'DUN 2016'!$I$3:$I$23,0),1),"")</f>
        <v>GPS</v>
      </c>
      <c r="E52" s="34">
        <f>'PRN 2016'!U52</f>
        <v>0.6043299242927348</v>
      </c>
      <c r="F52" s="34">
        <f>'PRN 2016'!L52</f>
        <v>0.70375445327486985</v>
      </c>
      <c r="G52" s="29" t="str">
        <f>IF('UMUR 2021'!AC52&lt;&gt;"",'UMUR 2021'!AC52,"")</f>
        <v>PBB</v>
      </c>
      <c r="H52" s="29" t="str">
        <f>IF(G52&lt;&gt;"",INDEX('DUN 2021'!$J$3:$J$23,MATCH(G52,'DUN 2021'!$I$3:$I$23,0),1),"")</f>
        <v>GPS</v>
      </c>
      <c r="I52" s="34">
        <f>'UMUR 2021'!AF52</f>
        <v>0.53661371561410309</v>
      </c>
      <c r="J52" s="78">
        <f>'UMUR 2021'!X52</f>
        <v>0.6710022953328233</v>
      </c>
      <c r="K52" s="78">
        <f t="shared" si="0"/>
        <v>-6.7716208678631706E-2</v>
      </c>
      <c r="L52" s="78">
        <f t="shared" si="1"/>
        <v>-3.2752157942046556E-2</v>
      </c>
      <c r="M52" s="79" t="str">
        <f t="shared" si="2"/>
        <v>KEKAL</v>
      </c>
    </row>
    <row r="53" spans="1:13" ht="14.25">
      <c r="A53" s="13" t="s">
        <v>144</v>
      </c>
      <c r="B53" s="14" t="s">
        <v>146</v>
      </c>
      <c r="C53" s="29" t="str">
        <f>IF('PRN 2016'!Q53&lt;&gt;"",'PRN 2016'!Q53,"")</f>
        <v>DAP</v>
      </c>
      <c r="D53" s="29" t="str">
        <f>IF(C53&lt;&gt;"",INDEX('DUN 2016'!$J$3:$J$23,MATCH(C53,'DUN 2016'!$I$3:$I$23,0),1),"")</f>
        <v>PH</v>
      </c>
      <c r="E53" s="34">
        <f>'PRN 2016'!U53</f>
        <v>0.61047103585016882</v>
      </c>
      <c r="F53" s="34">
        <f>'PRN 2016'!L53</f>
        <v>0.66620796725591902</v>
      </c>
      <c r="G53" s="29" t="str">
        <f>IF('UMUR 2021'!AC53&lt;&gt;"",'UMUR 2021'!AC53,"")</f>
        <v>SUPP</v>
      </c>
      <c r="H53" s="29" t="str">
        <f>IF(G53&lt;&gt;"",INDEX('DUN 2021'!$J$3:$J$23,MATCH(G53,'DUN 2021'!$I$3:$I$23,0),1),"")</f>
        <v>GPS</v>
      </c>
      <c r="I53" s="34">
        <f>'UMUR 2021'!AF53</f>
        <v>0.34944792599224112</v>
      </c>
      <c r="J53" s="78">
        <f>'UMUR 2021'!X53</f>
        <v>0.49287161673179908</v>
      </c>
      <c r="K53" s="78">
        <f t="shared" si="0"/>
        <v>-0.2610231098579277</v>
      </c>
      <c r="L53" s="78">
        <f t="shared" si="1"/>
        <v>-0.17333635052411994</v>
      </c>
      <c r="M53" s="79" t="str">
        <f t="shared" si="2"/>
        <v>TUKAR</v>
      </c>
    </row>
    <row r="54" spans="1:13" ht="14.25">
      <c r="A54" s="13" t="s">
        <v>145</v>
      </c>
      <c r="B54" s="14" t="s">
        <v>147</v>
      </c>
      <c r="C54" s="29" t="str">
        <f>IF('PRN 2016'!Q54&lt;&gt;"",'PRN 2016'!Q54,"")</f>
        <v>PSB</v>
      </c>
      <c r="D54" s="29" t="str">
        <f>IF(C54&lt;&gt;"",INDEX('DUN 2016'!$J$3:$J$23,MATCH(C54,'DUN 2016'!$I$3:$I$23,0),1),"")</f>
        <v>PSB</v>
      </c>
      <c r="E54" s="34">
        <f>'PRN 2016'!U54</f>
        <v>0.4636268043208106</v>
      </c>
      <c r="F54" s="34">
        <f>'PRN 2016'!L54</f>
        <v>0.72974369574204212</v>
      </c>
      <c r="G54" s="29" t="str">
        <f>IF('UMUR 2021'!AC54&lt;&gt;"",'UMUR 2021'!AC54,"")</f>
        <v>PDP</v>
      </c>
      <c r="H54" s="29" t="str">
        <f>IF(G54&lt;&gt;"",INDEX('DUN 2021'!$J$3:$J$23,MATCH(G54,'DUN 2021'!$I$3:$I$23,0),1),"")</f>
        <v>GPS</v>
      </c>
      <c r="I54" s="34">
        <f>'UMUR 2021'!AF54</f>
        <v>0.46985238929196899</v>
      </c>
      <c r="J54" s="78">
        <f>'UMUR 2021'!X54</f>
        <v>0.58232012587612647</v>
      </c>
      <c r="K54" s="78">
        <f t="shared" si="0"/>
        <v>6.2255849711583822E-3</v>
      </c>
      <c r="L54" s="78">
        <f t="shared" si="1"/>
        <v>-0.14742356986591565</v>
      </c>
      <c r="M54" s="79" t="str">
        <f t="shared" si="2"/>
        <v>TUKAR</v>
      </c>
    </row>
    <row r="55" spans="1:13" ht="28.5">
      <c r="A55" s="13" t="s">
        <v>150</v>
      </c>
      <c r="B55" s="14" t="s">
        <v>153</v>
      </c>
      <c r="C55" s="29" t="str">
        <f>IF('PRN 2016'!Q55&lt;&gt;"",'PRN 2016'!Q55,"")</f>
        <v>PSB</v>
      </c>
      <c r="D55" s="29" t="str">
        <f>IF(C55&lt;&gt;"",INDEX('DUN 2016'!$J$3:$J$23,MATCH(C55,'DUN 2016'!$I$3:$I$23,0),1),"")</f>
        <v>PSB</v>
      </c>
      <c r="E55" s="34">
        <f>'PRN 2016'!U55</f>
        <v>0.61615747385687925</v>
      </c>
      <c r="F55" s="34">
        <f>'PRN 2016'!L55</f>
        <v>0.80703380588876772</v>
      </c>
      <c r="G55" s="29" t="str">
        <f>IF('UMUR 2021'!AC55&lt;&gt;"",'UMUR 2021'!AC55,"")</f>
        <v>PSB</v>
      </c>
      <c r="H55" s="29" t="str">
        <f>IF(G55&lt;&gt;"",INDEX('DUN 2021'!$J$3:$J$23,MATCH(G55,'DUN 2021'!$I$3:$I$23,0),1),"")</f>
        <v>PSB</v>
      </c>
      <c r="I55" s="34">
        <f>'UMUR 2021'!AF55</f>
        <v>0.43246385235777085</v>
      </c>
      <c r="J55" s="78">
        <f>'UMUR 2021'!X55</f>
        <v>0.7100254452926209</v>
      </c>
      <c r="K55" s="78">
        <f t="shared" si="0"/>
        <v>-0.18369362149910839</v>
      </c>
      <c r="L55" s="78">
        <f t="shared" si="1"/>
        <v>-9.7008360596146814E-2</v>
      </c>
      <c r="M55" s="79" t="str">
        <f t="shared" si="2"/>
        <v>KEKAL</v>
      </c>
    </row>
    <row r="56" spans="1:13" ht="14.25">
      <c r="A56" s="13" t="s">
        <v>151</v>
      </c>
      <c r="B56" s="14" t="s">
        <v>154</v>
      </c>
      <c r="C56" s="29" t="str">
        <f>IF('PRN 2016'!Q56&lt;&gt;"",'PRN 2016'!Q56,"")</f>
        <v>DAP</v>
      </c>
      <c r="D56" s="29" t="str">
        <f>IF(C56&lt;&gt;"",INDEX('DUN 2016'!$J$3:$J$23,MATCH(C56,'DUN 2016'!$I$3:$I$23,0),1),"")</f>
        <v>PH</v>
      </c>
      <c r="E56" s="34">
        <f>'PRN 2016'!U56</f>
        <v>0.58298727394507699</v>
      </c>
      <c r="F56" s="34">
        <f>'PRN 2016'!L56</f>
        <v>0.70201346446188684</v>
      </c>
      <c r="G56" s="29" t="str">
        <f>IF('UMUR 2021'!AC56&lt;&gt;"",'UMUR 2021'!AC56,"")</f>
        <v>SUPP</v>
      </c>
      <c r="H56" s="29" t="str">
        <f>IF(G56&lt;&gt;"",INDEX('DUN 2021'!$J$3:$J$23,MATCH(G56,'DUN 2021'!$I$3:$I$23,0),1),"")</f>
        <v>GPS</v>
      </c>
      <c r="I56" s="34">
        <f>'UMUR 2021'!AF56</f>
        <v>0.27700709308894605</v>
      </c>
      <c r="J56" s="78">
        <f>'UMUR 2021'!X56</f>
        <v>0.47298787210584342</v>
      </c>
      <c r="K56" s="78">
        <f t="shared" si="0"/>
        <v>-0.30598018085613093</v>
      </c>
      <c r="L56" s="78">
        <f t="shared" si="1"/>
        <v>-0.22902559235604342</v>
      </c>
      <c r="M56" s="79" t="str">
        <f t="shared" si="2"/>
        <v>TUKAR</v>
      </c>
    </row>
    <row r="57" spans="1:13" ht="14.25">
      <c r="A57" s="13" t="s">
        <v>152</v>
      </c>
      <c r="B57" s="14" t="s">
        <v>155</v>
      </c>
      <c r="C57" s="29" t="str">
        <f>IF('PRN 2016'!Q57&lt;&gt;"",'PRN 2016'!Q57,"")</f>
        <v>PBB</v>
      </c>
      <c r="D57" s="29" t="str">
        <f>IF(C57&lt;&gt;"",INDEX('DUN 2016'!$J$3:$J$23,MATCH(C57,'DUN 2016'!$I$3:$I$23,0),1),"")</f>
        <v>GPS</v>
      </c>
      <c r="E57" s="34">
        <f>'PRN 2016'!U57</f>
        <v>0.77619047619047621</v>
      </c>
      <c r="F57" s="34">
        <f>'PRN 2016'!L57</f>
        <v>0.67793603869927443</v>
      </c>
      <c r="G57" s="29" t="str">
        <f>IF('UMUR 2021'!AC57&lt;&gt;"",'UMUR 2021'!AC57,"")</f>
        <v>PBB</v>
      </c>
      <c r="H57" s="29" t="str">
        <f>IF(G57&lt;&gt;"",INDEX('DUN 2021'!$J$3:$J$23,MATCH(G57,'DUN 2021'!$I$3:$I$23,0),1),"")</f>
        <v>GPS</v>
      </c>
      <c r="I57" s="34">
        <f>'UMUR 2021'!AF57</f>
        <v>0.84087581061292793</v>
      </c>
      <c r="J57" s="78">
        <f>'UMUR 2021'!X57</f>
        <v>0.63030486748657544</v>
      </c>
      <c r="K57" s="78">
        <f t="shared" si="0"/>
        <v>6.4685334422451723E-2</v>
      </c>
      <c r="L57" s="78">
        <f t="shared" si="1"/>
        <v>-4.7631171212698997E-2</v>
      </c>
      <c r="M57" s="79" t="str">
        <f t="shared" si="2"/>
        <v>KEKAL</v>
      </c>
    </row>
    <row r="58" spans="1:13" ht="14.25">
      <c r="A58" s="13" t="s">
        <v>158</v>
      </c>
      <c r="B58" s="14" t="s">
        <v>161</v>
      </c>
      <c r="C58" s="29" t="str">
        <f>IF('PRN 2016'!Q58&lt;&gt;"",'PRN 2016'!Q58,"")</f>
        <v>PBB</v>
      </c>
      <c r="D58" s="29" t="str">
        <f>IF(C58&lt;&gt;"",INDEX('DUN 2016'!$J$3:$J$23,MATCH(C58,'DUN 2016'!$I$3:$I$23,0),1),"")</f>
        <v>GPS</v>
      </c>
      <c r="E58" s="34">
        <f>'PRN 2016'!U58</f>
        <v>0.90144596651445963</v>
      </c>
      <c r="F58" s="34">
        <f>'PRN 2016'!L58</f>
        <v>0.70629370629370625</v>
      </c>
      <c r="G58" s="29" t="str">
        <f>IF('UMUR 2021'!AC58&lt;&gt;"",'UMUR 2021'!AC58,"")</f>
        <v>PBB</v>
      </c>
      <c r="H58" s="29" t="str">
        <f>IF(G58&lt;&gt;"",INDEX('DUN 2021'!$J$3:$J$23,MATCH(G58,'DUN 2021'!$I$3:$I$23,0),1),"")</f>
        <v>GPS</v>
      </c>
      <c r="I58" s="34">
        <f>'UMUR 2021'!AF58</f>
        <v>0.93903247183565275</v>
      </c>
      <c r="J58" s="78">
        <f>'UMUR 2021'!X58</f>
        <v>0.61241302087499006</v>
      </c>
      <c r="K58" s="78">
        <f t="shared" si="0"/>
        <v>3.758650532119312E-2</v>
      </c>
      <c r="L58" s="78">
        <f t="shared" si="1"/>
        <v>-9.3880685418716192E-2</v>
      </c>
      <c r="M58" s="79" t="str">
        <f t="shared" si="2"/>
        <v>KEKAL</v>
      </c>
    </row>
    <row r="59" spans="1:13" ht="14.25">
      <c r="A59" s="13" t="s">
        <v>159</v>
      </c>
      <c r="B59" s="14" t="s">
        <v>162</v>
      </c>
      <c r="C59" s="29" t="str">
        <f>IF('PRN 2016'!Q59&lt;&gt;"",'PRN 2016'!Q59,"")</f>
        <v>PBB</v>
      </c>
      <c r="D59" s="29" t="str">
        <f>IF(C59&lt;&gt;"",INDEX('DUN 2016'!$J$3:$J$23,MATCH(C59,'DUN 2016'!$I$3:$I$23,0),1),"")</f>
        <v>GPS</v>
      </c>
      <c r="E59" s="34">
        <f>'PRN 2016'!U59</f>
        <v>0.88423431253259166</v>
      </c>
      <c r="F59" s="34">
        <f>'PRN 2016'!L59</f>
        <v>0.65716849899035223</v>
      </c>
      <c r="G59" s="29" t="str">
        <f>IF('UMUR 2021'!AC59&lt;&gt;"",'UMUR 2021'!AC59,"")</f>
        <v>PBB</v>
      </c>
      <c r="H59" s="29" t="str">
        <f>IF(G59&lt;&gt;"",INDEX('DUN 2021'!$J$3:$J$23,MATCH(G59,'DUN 2021'!$I$3:$I$23,0),1),"")</f>
        <v>GPS</v>
      </c>
      <c r="I59" s="34">
        <f>'UMUR 2021'!AF59</f>
        <v>0.70104780615586115</v>
      </c>
      <c r="J59" s="78">
        <f>'UMUR 2021'!X59</f>
        <v>0.61686052291480264</v>
      </c>
      <c r="K59" s="78">
        <f t="shared" si="0"/>
        <v>-0.18318650637673051</v>
      </c>
      <c r="L59" s="78">
        <f t="shared" si="1"/>
        <v>-4.030797607554959E-2</v>
      </c>
      <c r="M59" s="79" t="str">
        <f t="shared" si="2"/>
        <v>KEKAL</v>
      </c>
    </row>
    <row r="60" spans="1:13" ht="14.25">
      <c r="A60" s="13" t="s">
        <v>160</v>
      </c>
      <c r="B60" s="14" t="s">
        <v>163</v>
      </c>
      <c r="C60" s="29" t="str">
        <f>IF('PRN 2016'!Q60&lt;&gt;"",'PRN 2016'!Q60,"")</f>
        <v>PBB</v>
      </c>
      <c r="D60" s="29" t="str">
        <f>IF(C60&lt;&gt;"",INDEX('DUN 2016'!$J$3:$J$23,MATCH(C60,'DUN 2016'!$I$3:$I$23,0),1),"")</f>
        <v>GPS</v>
      </c>
      <c r="E60" s="34">
        <f>'PRN 2016'!U60</f>
        <v>0.77182685253118122</v>
      </c>
      <c r="F60" s="34">
        <f>'PRN 2016'!L60</f>
        <v>0.69687460775699761</v>
      </c>
      <c r="G60" s="29" t="str">
        <f>IF('UMUR 2021'!AC60&lt;&gt;"",'UMUR 2021'!AC60,"")</f>
        <v>PBB</v>
      </c>
      <c r="H60" s="29" t="str">
        <f>IF(G60&lt;&gt;"",INDEX('DUN 2021'!$J$3:$J$23,MATCH(G60,'DUN 2021'!$I$3:$I$23,0),1),"")</f>
        <v>GPS</v>
      </c>
      <c r="I60" s="34">
        <f>'UMUR 2021'!AF60</f>
        <v>0.71127502634351947</v>
      </c>
      <c r="J60" s="78">
        <f>'UMUR 2021'!X60</f>
        <v>0.66452205882352944</v>
      </c>
      <c r="K60" s="78">
        <f t="shared" si="0"/>
        <v>-6.055182618766175E-2</v>
      </c>
      <c r="L60" s="78">
        <f t="shared" si="1"/>
        <v>-3.2352548933468173E-2</v>
      </c>
      <c r="M60" s="79" t="str">
        <f t="shared" si="2"/>
        <v>KEKAL</v>
      </c>
    </row>
    <row r="61" spans="1:13" ht="14.25">
      <c r="A61" s="13" t="s">
        <v>166</v>
      </c>
      <c r="B61" s="14" t="s">
        <v>168</v>
      </c>
      <c r="C61" s="29" t="str">
        <f>IF('PRN 2016'!Q61&lt;&gt;"",'PRN 2016'!Q61,"")</f>
        <v>PRS</v>
      </c>
      <c r="D61" s="29" t="str">
        <f>IF(C61&lt;&gt;"",INDEX('DUN 2016'!$J$3:$J$23,MATCH(C61,'DUN 2016'!$I$3:$I$23,0),1),"")</f>
        <v>GPS</v>
      </c>
      <c r="E61" s="34">
        <f>'PRN 2016'!U61</f>
        <v>0.54991614440815606</v>
      </c>
      <c r="F61" s="34">
        <f>'PRN 2016'!L61</f>
        <v>0.76986887877976984</v>
      </c>
      <c r="G61" s="29" t="str">
        <f>IF('UMUR 2021'!AC61&lt;&gt;"",'UMUR 2021'!AC61,"")</f>
        <v>PRS</v>
      </c>
      <c r="H61" s="29" t="str">
        <f>IF(G61&lt;&gt;"",INDEX('DUN 2021'!$J$3:$J$23,MATCH(G61,'DUN 2021'!$I$3:$I$23,0),1),"")</f>
        <v>GPS</v>
      </c>
      <c r="I61" s="34">
        <f>'UMUR 2021'!AF61</f>
        <v>0.64989973262032086</v>
      </c>
      <c r="J61" s="78">
        <f>'UMUR 2021'!X61</f>
        <v>0.72801390803908639</v>
      </c>
      <c r="K61" s="78">
        <f t="shared" si="0"/>
        <v>9.9983588212164798E-2</v>
      </c>
      <c r="L61" s="78">
        <f t="shared" si="1"/>
        <v>-4.185497074068345E-2</v>
      </c>
      <c r="M61" s="79" t="str">
        <f t="shared" si="2"/>
        <v>KEKAL</v>
      </c>
    </row>
    <row r="62" spans="1:13" ht="14.25">
      <c r="A62" s="13" t="s">
        <v>167</v>
      </c>
      <c r="B62" s="14" t="s">
        <v>169</v>
      </c>
      <c r="C62" s="29" t="str">
        <f>IF('PRN 2016'!Q62&lt;&gt;"",'PRN 2016'!Q62,"")</f>
        <v>PRS</v>
      </c>
      <c r="D62" s="29" t="str">
        <f>IF(C62&lt;&gt;"",INDEX('DUN 2016'!$J$3:$J$23,MATCH(C62,'DUN 2016'!$I$3:$I$23,0),1),"")</f>
        <v>GPS</v>
      </c>
      <c r="E62" s="34">
        <f>'PRN 2016'!U62</f>
        <v>0.75210576820556563</v>
      </c>
      <c r="F62" s="34">
        <f>'PRN 2016'!L62</f>
        <v>0.74029182428780982</v>
      </c>
      <c r="G62" s="29" t="str">
        <f>IF('UMUR 2021'!AC62&lt;&gt;"",'UMUR 2021'!AC62,"")</f>
        <v>PRS</v>
      </c>
      <c r="H62" s="29" t="str">
        <f>IF(G62&lt;&gt;"",INDEX('DUN 2021'!$J$3:$J$23,MATCH(G62,'DUN 2021'!$I$3:$I$23,0),1),"")</f>
        <v>GPS</v>
      </c>
      <c r="I62" s="34">
        <f>'UMUR 2021'!AF62</f>
        <v>0.52352767090855279</v>
      </c>
      <c r="J62" s="78">
        <f>'UMUR 2021'!X62</f>
        <v>0.71309655937846839</v>
      </c>
      <c r="K62" s="78">
        <f t="shared" si="0"/>
        <v>-0.22857809729701284</v>
      </c>
      <c r="L62" s="78">
        <f t="shared" si="1"/>
        <v>-2.7195264909341432E-2</v>
      </c>
      <c r="M62" s="79" t="str">
        <f t="shared" si="2"/>
        <v>KEKAL</v>
      </c>
    </row>
    <row r="63" spans="1:13" ht="14.25">
      <c r="A63" s="13" t="s">
        <v>172</v>
      </c>
      <c r="B63" s="14" t="s">
        <v>175</v>
      </c>
      <c r="C63" s="29" t="str">
        <f>IF('PRN 2016'!Q63&lt;&gt;"",'PRN 2016'!Q63,"")</f>
        <v>PRS</v>
      </c>
      <c r="D63" s="29" t="str">
        <f>IF(C63&lt;&gt;"",INDEX('DUN 2016'!$J$3:$J$23,MATCH(C63,'DUN 2016'!$I$3:$I$23,0),1),"")</f>
        <v>GPS</v>
      </c>
      <c r="E63" s="34">
        <f>'PRN 2016'!U63</f>
        <v>0.82255606357500544</v>
      </c>
      <c r="F63" s="34">
        <f>'PRN 2016'!L63</f>
        <v>0.64917895908711387</v>
      </c>
      <c r="G63" s="29" t="str">
        <f>IF('UMUR 2021'!AC63&lt;&gt;"",'UMUR 2021'!AC63,"")</f>
        <v>PRS</v>
      </c>
      <c r="H63" s="29" t="str">
        <f>IF(G63&lt;&gt;"",INDEX('DUN 2021'!$J$3:$J$23,MATCH(G63,'DUN 2021'!$I$3:$I$23,0),1),"")</f>
        <v>GPS</v>
      </c>
      <c r="I63" s="34">
        <f>'UMUR 2021'!AF63</f>
        <v>0.56285883983369633</v>
      </c>
      <c r="J63" s="78">
        <f>'UMUR 2021'!X63</f>
        <v>0.65277425893083352</v>
      </c>
      <c r="K63" s="78">
        <f t="shared" si="0"/>
        <v>-0.2596972237413091</v>
      </c>
      <c r="L63" s="78">
        <f t="shared" si="1"/>
        <v>3.5952998437196459E-3</v>
      </c>
      <c r="M63" s="79" t="str">
        <f t="shared" si="2"/>
        <v>KEKAL</v>
      </c>
    </row>
    <row r="64" spans="1:13" ht="14.25">
      <c r="A64" s="13" t="s">
        <v>173</v>
      </c>
      <c r="B64" s="14" t="s">
        <v>176</v>
      </c>
      <c r="C64" s="29" t="str">
        <f>IF('PRN 2016'!Q64&lt;&gt;"",'PRN 2016'!Q64,"")</f>
        <v>PBB</v>
      </c>
      <c r="D64" s="29" t="str">
        <f>IF(C64&lt;&gt;"",INDEX('DUN 2016'!$J$3:$J$23,MATCH(C64,'DUN 2016'!$I$3:$I$23,0),1),"")</f>
        <v>GPS</v>
      </c>
      <c r="E64" s="34">
        <f>'PRN 2016'!U64</f>
        <v>0.74195593596449516</v>
      </c>
      <c r="F64" s="34">
        <f>'PRN 2016'!L64</f>
        <v>0.66770122077384653</v>
      </c>
      <c r="G64" s="29" t="str">
        <f>IF('UMUR 2021'!AC64&lt;&gt;"",'UMUR 2021'!AC64,"")</f>
        <v>PBB</v>
      </c>
      <c r="H64" s="29" t="str">
        <f>IF(G64&lt;&gt;"",INDEX('DUN 2021'!$J$3:$J$23,MATCH(G64,'DUN 2021'!$I$3:$I$23,0),1),"")</f>
        <v>GPS</v>
      </c>
      <c r="I64" s="34">
        <f>'UMUR 2021'!AF64</f>
        <v>0.64624384236453203</v>
      </c>
      <c r="J64" s="78">
        <f>'UMUR 2021'!X64</f>
        <v>0.6295346628679962</v>
      </c>
      <c r="K64" s="78">
        <f t="shared" si="0"/>
        <v>-9.5712093599963133E-2</v>
      </c>
      <c r="L64" s="78">
        <f t="shared" si="1"/>
        <v>-3.8166557905850329E-2</v>
      </c>
      <c r="M64" s="79" t="str">
        <f t="shared" si="2"/>
        <v>KEKAL</v>
      </c>
    </row>
    <row r="65" spans="1:13" ht="14.25">
      <c r="A65" s="13" t="s">
        <v>174</v>
      </c>
      <c r="B65" s="14" t="s">
        <v>177</v>
      </c>
      <c r="C65" s="29" t="str">
        <f>IF('PRN 2016'!Q65&lt;&gt;"",'PRN 2016'!Q65,"")</f>
        <v>PBB</v>
      </c>
      <c r="D65" s="29" t="str">
        <f>IF(C65&lt;&gt;"",INDEX('DUN 2016'!$J$3:$J$23,MATCH(C65,'DUN 2016'!$I$3:$I$23,0),1),"")</f>
        <v>GPS</v>
      </c>
      <c r="E65" s="34">
        <f>'PRN 2016'!U65</f>
        <v>0.69573115349682102</v>
      </c>
      <c r="F65" s="34">
        <f>'PRN 2016'!L65</f>
        <v>0.5874891398783666</v>
      </c>
      <c r="G65" s="29" t="str">
        <f>IF('UMUR 2021'!AC65&lt;&gt;"",'UMUR 2021'!AC65,"")</f>
        <v>PBB</v>
      </c>
      <c r="H65" s="29" t="str">
        <f>IF(G65&lt;&gt;"",INDEX('DUN 2021'!$J$3:$J$23,MATCH(G65,'DUN 2021'!$I$3:$I$23,0),1),"")</f>
        <v>GPS</v>
      </c>
      <c r="I65" s="34">
        <f>'UMUR 2021'!AF65</f>
        <v>0.68453243199742475</v>
      </c>
      <c r="J65" s="78">
        <f>'UMUR 2021'!X65</f>
        <v>0.52510288065843624</v>
      </c>
      <c r="K65" s="78">
        <f t="shared" si="0"/>
        <v>-1.1198721499396269E-2</v>
      </c>
      <c r="L65" s="78">
        <f t="shared" si="1"/>
        <v>-6.2386259219930351E-2</v>
      </c>
      <c r="M65" s="79" t="str">
        <f t="shared" si="2"/>
        <v>KEKAL</v>
      </c>
    </row>
    <row r="66" spans="1:13" ht="14.25">
      <c r="A66" s="13" t="s">
        <v>180</v>
      </c>
      <c r="B66" s="14" t="s">
        <v>183</v>
      </c>
      <c r="C66" s="29" t="str">
        <f>IF('PRN 2016'!Q66&lt;&gt;"",'PRN 2016'!Q66,"")</f>
        <v>PRS</v>
      </c>
      <c r="D66" s="29" t="str">
        <f>IF(C66&lt;&gt;"",INDEX('DUN 2016'!$J$3:$J$23,MATCH(C66,'DUN 2016'!$I$3:$I$23,0),1),"")</f>
        <v>GPS</v>
      </c>
      <c r="E66" s="34">
        <f>'PRN 2016'!U66</f>
        <v>0.91671013736741436</v>
      </c>
      <c r="F66" s="34">
        <f>'PRN 2016'!L66</f>
        <v>0.60473815461346636</v>
      </c>
      <c r="G66" s="29" t="str">
        <f>IF('UMUR 2021'!AC66&lt;&gt;"",'UMUR 2021'!AC66,"")</f>
        <v>PRS</v>
      </c>
      <c r="H66" s="29" t="str">
        <f>IF(G66&lt;&gt;"",INDEX('DUN 2021'!$J$3:$J$23,MATCH(G66,'DUN 2021'!$I$3:$I$23,0),1),"")</f>
        <v>GPS</v>
      </c>
      <c r="I66" s="34">
        <f>'UMUR 2021'!AF66</f>
        <v>0.61851528384279475</v>
      </c>
      <c r="J66" s="78">
        <f>'UMUR 2021'!X66</f>
        <v>0.57531814146197102</v>
      </c>
      <c r="K66" s="78">
        <f t="shared" si="0"/>
        <v>-0.29819485352461961</v>
      </c>
      <c r="L66" s="78">
        <f t="shared" si="1"/>
        <v>-2.9420013151495339E-2</v>
      </c>
      <c r="M66" s="79" t="str">
        <f t="shared" si="2"/>
        <v>KEKAL</v>
      </c>
    </row>
    <row r="67" spans="1:13" ht="14.25">
      <c r="A67" s="13" t="s">
        <v>181</v>
      </c>
      <c r="B67" s="14" t="s">
        <v>184</v>
      </c>
      <c r="C67" s="29" t="str">
        <f>IF('PRN 2016'!Q67&lt;&gt;"",'PRN 2016'!Q67,"")</f>
        <v>PRS</v>
      </c>
      <c r="D67" s="29" t="str">
        <f>IF(C67&lt;&gt;"",INDEX('DUN 2016'!$J$3:$J$23,MATCH(C67,'DUN 2016'!$I$3:$I$23,0),1),"")</f>
        <v>GPS</v>
      </c>
      <c r="E67" s="34">
        <f>'PRN 2016'!U67</f>
        <v>0.89960971379011279</v>
      </c>
      <c r="F67" s="34">
        <f>'PRN 2016'!L67</f>
        <v>0.65868094701240132</v>
      </c>
      <c r="G67" s="29" t="str">
        <f>IF('UMUR 2021'!AC67&lt;&gt;"",'UMUR 2021'!AC67,"")</f>
        <v>PRS</v>
      </c>
      <c r="H67" s="29" t="str">
        <f>IF(G67&lt;&gt;"",INDEX('DUN 2021'!$J$3:$J$23,MATCH(G67,'DUN 2021'!$I$3:$I$23,0),1),"")</f>
        <v>GPS</v>
      </c>
      <c r="I67" s="34">
        <f>'UMUR 2021'!AF67</f>
        <v>0.70518165574746872</v>
      </c>
      <c r="J67" s="78">
        <f>'UMUR 2021'!X67</f>
        <v>0.63676121454454582</v>
      </c>
      <c r="K67" s="78">
        <f t="shared" si="0"/>
        <v>-0.19442805804264407</v>
      </c>
      <c r="L67" s="78">
        <f t="shared" si="1"/>
        <v>-2.1919732467855502E-2</v>
      </c>
      <c r="M67" s="79" t="str">
        <f t="shared" si="2"/>
        <v>KEKAL</v>
      </c>
    </row>
    <row r="68" spans="1:13" ht="14.25">
      <c r="A68" s="13" t="s">
        <v>182</v>
      </c>
      <c r="B68" s="14" t="s">
        <v>185</v>
      </c>
      <c r="C68" s="29" t="str">
        <f>IF('PRN 2016'!Q68&lt;&gt;"",'PRN 2016'!Q68,"")</f>
        <v>PRS</v>
      </c>
      <c r="D68" s="29" t="str">
        <f>IF(C68&lt;&gt;"",INDEX('DUN 2016'!$J$3:$J$23,MATCH(C68,'DUN 2016'!$I$3:$I$23,0),1),"")</f>
        <v>GPS</v>
      </c>
      <c r="E68" s="34">
        <f>'PRN 2016'!U68</f>
        <v>0.54002646377770425</v>
      </c>
      <c r="F68" s="34">
        <f>'PRN 2016'!L68</f>
        <v>0.7545498665372482</v>
      </c>
      <c r="G68" s="29" t="str">
        <f>IF('UMUR 2021'!AC68&lt;&gt;"",'UMUR 2021'!AC68,"")</f>
        <v>PRS</v>
      </c>
      <c r="H68" s="29" t="str">
        <f>IF(G68&lt;&gt;"",INDEX('DUN 2021'!$J$3:$J$23,MATCH(G68,'DUN 2021'!$I$3:$I$23,0),1),"")</f>
        <v>GPS</v>
      </c>
      <c r="I68" s="34">
        <f>'UMUR 2021'!AF68</f>
        <v>0.6623320329432163</v>
      </c>
      <c r="J68" s="78">
        <f>'UMUR 2021'!X68</f>
        <v>0.71944957896898742</v>
      </c>
      <c r="K68" s="78">
        <f t="shared" ref="K68:K84" si="5">IF(ISERROR(I68-E68)&lt;&gt;TRUE,I68-E68,"N/A")</f>
        <v>0.12230556916551205</v>
      </c>
      <c r="L68" s="78">
        <f t="shared" ref="L68:L84" si="6">IF(ISERROR(J68-F68)&lt;&gt;TRUE,J68-F68,"N/A")</f>
        <v>-3.510028756826078E-2</v>
      </c>
      <c r="M68" s="79" t="str">
        <f t="shared" ref="M68:M84" si="7">IF(C68=G68,"KEKAL","TUKAR")</f>
        <v>KEKAL</v>
      </c>
    </row>
    <row r="69" spans="1:13" ht="14.25">
      <c r="A69" s="13" t="s">
        <v>188</v>
      </c>
      <c r="B69" s="14" t="s">
        <v>192</v>
      </c>
      <c r="C69" s="29" t="str">
        <f>IF('PRN 2016'!Q69&lt;&gt;"",'PRN 2016'!Q69,"")</f>
        <v>PBB</v>
      </c>
      <c r="D69" s="29" t="str">
        <f>IF(C69&lt;&gt;"",INDEX('DUN 2016'!$J$3:$J$23,MATCH(C69,'DUN 2016'!$I$3:$I$23,0),1),"")</f>
        <v>GPS</v>
      </c>
      <c r="E69" s="34">
        <f>'PRN 2016'!U69</f>
        <v>0.68822571893651652</v>
      </c>
      <c r="F69" s="34">
        <f>'PRN 2016'!L69</f>
        <v>0.67945463775473203</v>
      </c>
      <c r="G69" s="29" t="str">
        <f>IF('UMUR 2021'!AC69&lt;&gt;"",'UMUR 2021'!AC69,"")</f>
        <v>PBB</v>
      </c>
      <c r="H69" s="29" t="str">
        <f>IF(G69&lt;&gt;"",INDEX('DUN 2021'!$J$3:$J$23,MATCH(G69,'DUN 2021'!$I$3:$I$23,0),1),"")</f>
        <v>GPS</v>
      </c>
      <c r="I69" s="34">
        <f>'UMUR 2021'!AF69</f>
        <v>0.6944352251355238</v>
      </c>
      <c r="J69" s="78">
        <f>'UMUR 2021'!X69</f>
        <v>0.62958410161852074</v>
      </c>
      <c r="K69" s="78">
        <f t="shared" si="5"/>
        <v>6.2095061990072864E-3</v>
      </c>
      <c r="L69" s="78">
        <f t="shared" si="6"/>
        <v>-4.9870536136211285E-2</v>
      </c>
      <c r="M69" s="79" t="str">
        <f t="shared" si="7"/>
        <v>KEKAL</v>
      </c>
    </row>
    <row r="70" spans="1:13" ht="28.5">
      <c r="A70" s="13" t="s">
        <v>189</v>
      </c>
      <c r="B70" s="14" t="s">
        <v>193</v>
      </c>
      <c r="C70" s="29" t="str">
        <f>IF('PRN 2016'!Q70&lt;&gt;"",'PRN 2016'!Q70,"")</f>
        <v>DAP</v>
      </c>
      <c r="D70" s="29" t="str">
        <f>IF(C70&lt;&gt;"",INDEX('DUN 2016'!$J$3:$J$23,MATCH(C70,'DUN 2016'!$I$3:$I$23,0),1),"")</f>
        <v>PH</v>
      </c>
      <c r="E70" s="34">
        <f>'PRN 2016'!U70</f>
        <v>0.59101339847509071</v>
      </c>
      <c r="F70" s="34">
        <f>'PRN 2016'!L70</f>
        <v>0.69223340449323978</v>
      </c>
      <c r="G70" s="29" t="str">
        <f>IF('UMUR 2021'!AC70&lt;&gt;"",'UMUR 2021'!AC70,"")</f>
        <v>SUPP</v>
      </c>
      <c r="H70" s="29" t="str">
        <f>IF(G70&lt;&gt;"",INDEX('DUN 2021'!$J$3:$J$23,MATCH(G70,'DUN 2021'!$I$3:$I$23,0),1),"")</f>
        <v>GPS</v>
      </c>
      <c r="I70" s="34">
        <f>'UMUR 2021'!AF70</f>
        <v>0.35376502118094577</v>
      </c>
      <c r="J70" s="78">
        <f>'UMUR 2021'!X70</f>
        <v>0.51378446115288223</v>
      </c>
      <c r="K70" s="78">
        <f t="shared" si="5"/>
        <v>-0.23724837729414494</v>
      </c>
      <c r="L70" s="78">
        <f t="shared" si="6"/>
        <v>-0.17844894334035755</v>
      </c>
      <c r="M70" s="79" t="str">
        <f t="shared" si="7"/>
        <v>TUKAR</v>
      </c>
    </row>
    <row r="71" spans="1:13" ht="14.25">
      <c r="A71" s="13" t="s">
        <v>190</v>
      </c>
      <c r="B71" s="14" t="s">
        <v>194</v>
      </c>
      <c r="C71" s="29" t="str">
        <f>IF('PRN 2016'!Q71&lt;&gt;"",'PRN 2016'!Q71,"")</f>
        <v>PBB</v>
      </c>
      <c r="D71" s="29" t="str">
        <f>IF(C71&lt;&gt;"",INDEX('DUN 2016'!$J$3:$J$23,MATCH(C71,'DUN 2016'!$I$3:$I$23,0),1),"")</f>
        <v>GPS</v>
      </c>
      <c r="E71" s="34">
        <f>'PRN 2016'!U71</f>
        <v>0.75577973938629672</v>
      </c>
      <c r="F71" s="34">
        <f>'PRN 2016'!L71</f>
        <v>0.7462089138634439</v>
      </c>
      <c r="G71" s="29" t="str">
        <f>IF('UMUR 2021'!AC71&lt;&gt;"",'UMUR 2021'!AC71,"")</f>
        <v>PBB</v>
      </c>
      <c r="H71" s="29" t="str">
        <f>IF(G71&lt;&gt;"",INDEX('DUN 2021'!$J$3:$J$23,MATCH(G71,'DUN 2021'!$I$3:$I$23,0),1),"")</f>
        <v>GPS</v>
      </c>
      <c r="I71" s="34">
        <f>'UMUR 2021'!AF71</f>
        <v>0.62818352987810921</v>
      </c>
      <c r="J71" s="78">
        <f>'UMUR 2021'!X71</f>
        <v>0.71954813359528491</v>
      </c>
      <c r="K71" s="78">
        <f t="shared" si="5"/>
        <v>-0.12759620950818751</v>
      </c>
      <c r="L71" s="78">
        <f t="shared" si="6"/>
        <v>-2.666078026815899E-2</v>
      </c>
      <c r="M71" s="79" t="str">
        <f t="shared" si="7"/>
        <v>KEKAL</v>
      </c>
    </row>
    <row r="72" spans="1:13" ht="14.25">
      <c r="A72" s="13" t="s">
        <v>191</v>
      </c>
      <c r="B72" s="14" t="s">
        <v>195</v>
      </c>
      <c r="C72" s="29" t="str">
        <f>IF('PRN 2016'!Q72&lt;&gt;"",'PRN 2016'!Q72,"")</f>
        <v>PRS</v>
      </c>
      <c r="D72" s="29" t="str">
        <f>IF(C72&lt;&gt;"",INDEX('DUN 2016'!$J$3:$J$23,MATCH(C72,'DUN 2016'!$I$3:$I$23,0),1),"")</f>
        <v>GPS</v>
      </c>
      <c r="E72" s="34">
        <f>'PRN 2016'!U72</f>
        <v>0.61337830241708824</v>
      </c>
      <c r="F72" s="34">
        <f>'PRN 2016'!L72</f>
        <v>0.68115613915930873</v>
      </c>
      <c r="G72" s="29" t="str">
        <f>IF('UMUR 2021'!AC72&lt;&gt;"",'UMUR 2021'!AC72,"")</f>
        <v>PRS</v>
      </c>
      <c r="H72" s="29" t="str">
        <f>IF(G72&lt;&gt;"",INDEX('DUN 2021'!$J$3:$J$23,MATCH(G72,'DUN 2021'!$I$3:$I$23,0),1),"")</f>
        <v>GPS</v>
      </c>
      <c r="I72" s="34">
        <f>'UMUR 2021'!AF72</f>
        <v>0.67054642381163931</v>
      </c>
      <c r="J72" s="78">
        <f>'UMUR 2021'!X72</f>
        <v>0.6368388854902397</v>
      </c>
      <c r="K72" s="78">
        <f t="shared" si="5"/>
        <v>5.7168121394551075E-2</v>
      </c>
      <c r="L72" s="78">
        <f t="shared" si="6"/>
        <v>-4.4317253669069023E-2</v>
      </c>
      <c r="M72" s="79" t="str">
        <f t="shared" si="7"/>
        <v>KEKAL</v>
      </c>
    </row>
    <row r="73" spans="1:13" ht="14.25">
      <c r="A73" s="13" t="s">
        <v>198</v>
      </c>
      <c r="B73" s="14" t="s">
        <v>200</v>
      </c>
      <c r="C73" s="29" t="str">
        <f>IF('PRN 2016'!Q73&lt;&gt;"",'PRN 2016'!Q73,"")</f>
        <v>PBB</v>
      </c>
      <c r="D73" s="29" t="str">
        <f>IF(C73&lt;&gt;"",INDEX('DUN 2016'!$J$3:$J$23,MATCH(C73,'DUN 2016'!$I$3:$I$23,0),1),"")</f>
        <v>GPS</v>
      </c>
      <c r="E73" s="34">
        <f>'PRN 2016'!U73</f>
        <v>0.7168078253608493</v>
      </c>
      <c r="F73" s="34">
        <f>'PRN 2016'!L73</f>
        <v>0.69714285714285718</v>
      </c>
      <c r="G73" s="29" t="str">
        <f>IF('UMUR 2021'!AC73&lt;&gt;"",'UMUR 2021'!AC73,"")</f>
        <v>PBB</v>
      </c>
      <c r="H73" s="29" t="str">
        <f>IF(G73&lt;&gt;"",INDEX('DUN 2021'!$J$3:$J$23,MATCH(G73,'DUN 2021'!$I$3:$I$23,0),1),"")</f>
        <v>GPS</v>
      </c>
      <c r="I73" s="34">
        <f>'UMUR 2021'!AF73</f>
        <v>0.79584168336673344</v>
      </c>
      <c r="J73" s="78">
        <f>'UMUR 2021'!X73</f>
        <v>0.64478459839040558</v>
      </c>
      <c r="K73" s="78">
        <f t="shared" si="5"/>
        <v>7.9033858005884139E-2</v>
      </c>
      <c r="L73" s="78">
        <f t="shared" si="6"/>
        <v>-5.2358258752451592E-2</v>
      </c>
      <c r="M73" s="79" t="str">
        <f t="shared" si="7"/>
        <v>KEKAL</v>
      </c>
    </row>
    <row r="74" spans="1:13" ht="14.25">
      <c r="A74" s="13" t="s">
        <v>199</v>
      </c>
      <c r="B74" s="14" t="s">
        <v>201</v>
      </c>
      <c r="C74" s="29" t="str">
        <f>IF('PRN 2016'!Q74&lt;&gt;"",'PRN 2016'!Q74,"")</f>
        <v>PBB</v>
      </c>
      <c r="D74" s="29" t="str">
        <f>IF(C74&lt;&gt;"",INDEX('DUN 2016'!$J$3:$J$23,MATCH(C74,'DUN 2016'!$I$3:$I$23,0),1),"")</f>
        <v>GPS</v>
      </c>
      <c r="E74" s="34">
        <f>'PRN 2016'!U74</f>
        <v>0.68658491947291367</v>
      </c>
      <c r="F74" s="34">
        <f>'PRN 2016'!L74</f>
        <v>0.63582957850909716</v>
      </c>
      <c r="G74" s="29" t="str">
        <f>IF('UMUR 2021'!AC74&lt;&gt;"",'UMUR 2021'!AC74,"")</f>
        <v>PBB</v>
      </c>
      <c r="H74" s="29" t="str">
        <f>IF(G74&lt;&gt;"",INDEX('DUN 2021'!$J$3:$J$23,MATCH(G74,'DUN 2021'!$I$3:$I$23,0),1),"")</f>
        <v>GPS</v>
      </c>
      <c r="I74" s="34">
        <f>'UMUR 2021'!AF74</f>
        <v>0.68015070394606381</v>
      </c>
      <c r="J74" s="78">
        <f>'UMUR 2021'!X74</f>
        <v>0.51514542623197868</v>
      </c>
      <c r="K74" s="78">
        <f t="shared" si="5"/>
        <v>-6.4342155268498624E-3</v>
      </c>
      <c r="L74" s="78">
        <f t="shared" si="6"/>
        <v>-0.12068415227711848</v>
      </c>
      <c r="M74" s="79" t="str">
        <f t="shared" si="7"/>
        <v>KEKAL</v>
      </c>
    </row>
    <row r="75" spans="1:13" ht="14.25">
      <c r="A75" s="13" t="s">
        <v>204</v>
      </c>
      <c r="B75" s="14" t="s">
        <v>207</v>
      </c>
      <c r="C75" s="29" t="str">
        <f>IF('PRN 2016'!Q75&lt;&gt;"",'PRN 2016'!Q75,"")</f>
        <v>SUPP</v>
      </c>
      <c r="D75" s="29" t="str">
        <f>IF(C75&lt;&gt;"",INDEX('DUN 2016'!$J$3:$J$23,MATCH(C75,'DUN 2016'!$I$3:$I$23,0),1),"")</f>
        <v>GPS</v>
      </c>
      <c r="E75" s="34">
        <f>'PRN 2016'!U75</f>
        <v>0.5783034257748777</v>
      </c>
      <c r="F75" s="34">
        <f>'PRN 2016'!L75</f>
        <v>0.64554924242424239</v>
      </c>
      <c r="G75" s="29" t="str">
        <f>IF('UMUR 2021'!AC75&lt;&gt;"",'UMUR 2021'!AC75,"")</f>
        <v>SUPP</v>
      </c>
      <c r="H75" s="29" t="str">
        <f>IF(G75&lt;&gt;"",INDEX('DUN 2021'!$J$3:$J$23,MATCH(G75,'DUN 2021'!$I$3:$I$23,0),1),"")</f>
        <v>GPS</v>
      </c>
      <c r="I75" s="34">
        <f>'UMUR 2021'!AF75</f>
        <v>0.66607808514812639</v>
      </c>
      <c r="J75" s="78">
        <f>'UMUR 2021'!X75</f>
        <v>0.48070355990082797</v>
      </c>
      <c r="K75" s="78">
        <f t="shared" si="5"/>
        <v>8.7774659373248687E-2</v>
      </c>
      <c r="L75" s="78">
        <f t="shared" si="6"/>
        <v>-0.16484568252341442</v>
      </c>
      <c r="M75" s="79" t="str">
        <f t="shared" si="7"/>
        <v>KEKAL</v>
      </c>
    </row>
    <row r="76" spans="1:13" ht="14.25">
      <c r="A76" s="13" t="s">
        <v>205</v>
      </c>
      <c r="B76" s="14" t="s">
        <v>208</v>
      </c>
      <c r="C76" s="29" t="str">
        <f>IF('PRN 2016'!Q76&lt;&gt;"",'PRN 2016'!Q76,"")</f>
        <v>DAP</v>
      </c>
      <c r="D76" s="29" t="str">
        <f>IF(C76&lt;&gt;"",INDEX('DUN 2016'!$J$3:$J$23,MATCH(C76,'DUN 2016'!$I$3:$I$23,0),1),"")</f>
        <v>PH</v>
      </c>
      <c r="E76" s="34">
        <f>'PRN 2016'!U76</f>
        <v>0.52572812666154667</v>
      </c>
      <c r="F76" s="34">
        <f>'PRN 2016'!L76</f>
        <v>0.65254560720555688</v>
      </c>
      <c r="G76" s="29" t="str">
        <f>IF('UMUR 2021'!AC76&lt;&gt;"",'UMUR 2021'!AC76,"")</f>
        <v>SUPP</v>
      </c>
      <c r="H76" s="29" t="str">
        <f>IF(G76&lt;&gt;"",INDEX('DUN 2021'!$J$3:$J$23,MATCH(G76,'DUN 2021'!$I$3:$I$23,0),1),"")</f>
        <v>GPS</v>
      </c>
      <c r="I76" s="34">
        <f>'UMUR 2021'!AF76</f>
        <v>0.44855136792833511</v>
      </c>
      <c r="J76" s="78">
        <f>'UMUR 2021'!X76</f>
        <v>0.45514564515543948</v>
      </c>
      <c r="K76" s="78">
        <f t="shared" si="5"/>
        <v>-7.7176758733211559E-2</v>
      </c>
      <c r="L76" s="78">
        <f t="shared" si="6"/>
        <v>-0.19739996205011739</v>
      </c>
      <c r="M76" s="79" t="str">
        <f t="shared" si="7"/>
        <v>TUKAR</v>
      </c>
    </row>
    <row r="77" spans="1:13" ht="14.25">
      <c r="A77" s="13" t="s">
        <v>206</v>
      </c>
      <c r="B77" s="14" t="s">
        <v>209</v>
      </c>
      <c r="C77" s="29" t="str">
        <f>IF('PRN 2016'!Q77&lt;&gt;"",'PRN 2016'!Q77,"")</f>
        <v>SUPP</v>
      </c>
      <c r="D77" s="29" t="str">
        <f>IF(C77&lt;&gt;"",INDEX('DUN 2016'!$J$3:$J$23,MATCH(C77,'DUN 2016'!$I$3:$I$23,0),1),"")</f>
        <v>GPS</v>
      </c>
      <c r="E77" s="34">
        <f>'PRN 2016'!U77</f>
        <v>0.58836812248719506</v>
      </c>
      <c r="F77" s="34">
        <f>'PRN 2016'!L77</f>
        <v>0.65860658678338235</v>
      </c>
      <c r="G77" s="29" t="str">
        <f>IF('UMUR 2021'!AC77&lt;&gt;"",'UMUR 2021'!AC77,"")</f>
        <v>SUPP</v>
      </c>
      <c r="H77" s="29" t="str">
        <f>IF(G77&lt;&gt;"",INDEX('DUN 2021'!$J$3:$J$23,MATCH(G77,'DUN 2021'!$I$3:$I$23,0),1),"")</f>
        <v>GPS</v>
      </c>
      <c r="I77" s="34">
        <f>'UMUR 2021'!AF77</f>
        <v>0.62304098409131237</v>
      </c>
      <c r="J77" s="78">
        <f>'UMUR 2021'!X77</f>
        <v>0.50370782894158339</v>
      </c>
      <c r="K77" s="78">
        <f t="shared" si="5"/>
        <v>3.4672861604117311E-2</v>
      </c>
      <c r="L77" s="78">
        <f t="shared" si="6"/>
        <v>-0.15489875784179896</v>
      </c>
      <c r="M77" s="79" t="str">
        <f t="shared" si="7"/>
        <v>KEKAL</v>
      </c>
    </row>
    <row r="78" spans="1:13" ht="14.25">
      <c r="A78" s="13" t="s">
        <v>212</v>
      </c>
      <c r="B78" s="14" t="s">
        <v>215</v>
      </c>
      <c r="C78" s="29" t="str">
        <f>IF('PRN 2016'!Q78&lt;&gt;"",'PRN 2016'!Q78,"")</f>
        <v>PDP</v>
      </c>
      <c r="D78" s="29" t="str">
        <f>IF(C78&lt;&gt;"",INDEX('DUN 2016'!$J$3:$J$23,MATCH(C78,'DUN 2016'!$I$3:$I$23,0),1),"")</f>
        <v>GPS</v>
      </c>
      <c r="E78" s="34">
        <f>'PRN 2016'!U78</f>
        <v>0.56892801657172454</v>
      </c>
      <c r="F78" s="34">
        <f>'PRN 2016'!L78</f>
        <v>0.66004845874276485</v>
      </c>
      <c r="G78" s="29" t="str">
        <f>IF('UMUR 2021'!AC78&lt;&gt;"",'UMUR 2021'!AC78,"")</f>
        <v>PDP</v>
      </c>
      <c r="H78" s="29" t="str">
        <f>IF(G78&lt;&gt;"",INDEX('DUN 2021'!$J$3:$J$23,MATCH(G78,'DUN 2021'!$I$3:$I$23,0),1),"")</f>
        <v>GPS</v>
      </c>
      <c r="I78" s="34">
        <f>'UMUR 2021'!AF78</f>
        <v>0.74534671532846719</v>
      </c>
      <c r="J78" s="78">
        <f>'UMUR 2021'!X78</f>
        <v>0.67587085811384873</v>
      </c>
      <c r="K78" s="78">
        <f t="shared" si="5"/>
        <v>0.17641869875674265</v>
      </c>
      <c r="L78" s="78">
        <f t="shared" si="6"/>
        <v>1.5822399371083873E-2</v>
      </c>
      <c r="M78" s="79" t="str">
        <f t="shared" si="7"/>
        <v>KEKAL</v>
      </c>
    </row>
    <row r="79" spans="1:13" ht="14.25">
      <c r="A79" s="13" t="s">
        <v>213</v>
      </c>
      <c r="B79" s="14" t="s">
        <v>216</v>
      </c>
      <c r="C79" s="29" t="str">
        <f>IF('PRN 2016'!Q79&lt;&gt;"",'PRN 2016'!Q79,"")</f>
        <v>PBB</v>
      </c>
      <c r="D79" s="29" t="str">
        <f>IF(C79&lt;&gt;"",INDEX('DUN 2016'!$J$3:$J$23,MATCH(C79,'DUN 2016'!$I$3:$I$23,0),1),"")</f>
        <v>GPS</v>
      </c>
      <c r="E79" s="34">
        <f>'PRN 2016'!U79</f>
        <v>0.51326449563145349</v>
      </c>
      <c r="F79" s="34">
        <f>'PRN 2016'!L79</f>
        <v>0.63880000000000003</v>
      </c>
      <c r="G79" s="29" t="str">
        <f>IF('UMUR 2021'!AC79&lt;&gt;"",'UMUR 2021'!AC79,"")</f>
        <v>PBB</v>
      </c>
      <c r="H79" s="29" t="str">
        <f>IF(G79&lt;&gt;"",INDEX('DUN 2021'!$J$3:$J$23,MATCH(G79,'DUN 2021'!$I$3:$I$23,0),1),"")</f>
        <v>GPS</v>
      </c>
      <c r="I79" s="34">
        <f>'UMUR 2021'!AF79</f>
        <v>0.59758551307847085</v>
      </c>
      <c r="J79" s="78">
        <f>'UMUR 2021'!X79</f>
        <v>0.57235063235935457</v>
      </c>
      <c r="K79" s="78">
        <f t="shared" si="5"/>
        <v>8.4321017447017366E-2</v>
      </c>
      <c r="L79" s="78">
        <f t="shared" si="6"/>
        <v>-6.6449367640645463E-2</v>
      </c>
      <c r="M79" s="79" t="str">
        <f t="shared" si="7"/>
        <v>KEKAL</v>
      </c>
    </row>
    <row r="80" spans="1:13" ht="14.25">
      <c r="A80" s="13" t="s">
        <v>214</v>
      </c>
      <c r="B80" s="14" t="s">
        <v>217</v>
      </c>
      <c r="C80" s="29" t="str">
        <f>IF('PRN 2016'!Q80&lt;&gt;"",'PRN 2016'!Q80,"")</f>
        <v>PBB</v>
      </c>
      <c r="D80" s="29" t="str">
        <f>IF(C80&lt;&gt;"",INDEX('DUN 2016'!$J$3:$J$23,MATCH(C80,'DUN 2016'!$I$3:$I$23,0),1),"")</f>
        <v>GPS</v>
      </c>
      <c r="E80" s="34">
        <f>'PRN 2016'!U80</f>
        <v>0.61077158135981668</v>
      </c>
      <c r="F80" s="34">
        <f>'PRN 2016'!L80</f>
        <v>0.62279069767441864</v>
      </c>
      <c r="G80" s="29" t="str">
        <f>IF('UMUR 2021'!AC80&lt;&gt;"",'UMUR 2021'!AC80,"")</f>
        <v>PBB</v>
      </c>
      <c r="H80" s="29" t="str">
        <f>IF(G80&lt;&gt;"",INDEX('DUN 2021'!$J$3:$J$23,MATCH(G80,'DUN 2021'!$I$3:$I$23,0),1),"")</f>
        <v>GPS</v>
      </c>
      <c r="I80" s="34">
        <f>'UMUR 2021'!AF80</f>
        <v>0.66672623302358824</v>
      </c>
      <c r="J80" s="78">
        <f>'UMUR 2021'!X80</f>
        <v>0.60614291684078558</v>
      </c>
      <c r="K80" s="78">
        <f t="shared" si="5"/>
        <v>5.595465166377156E-2</v>
      </c>
      <c r="L80" s="78">
        <f t="shared" si="6"/>
        <v>-1.6647780833633052E-2</v>
      </c>
      <c r="M80" s="79" t="str">
        <f t="shared" si="7"/>
        <v>KEKAL</v>
      </c>
    </row>
    <row r="81" spans="1:13" ht="14.25">
      <c r="A81" s="13" t="s">
        <v>221</v>
      </c>
      <c r="B81" s="14" t="s">
        <v>223</v>
      </c>
      <c r="C81" s="29" t="str">
        <f>IF('PRN 2016'!Q81&lt;&gt;"",'PRN 2016'!Q81,"")</f>
        <v>PBB</v>
      </c>
      <c r="D81" s="29" t="str">
        <f>IF(C81&lt;&gt;"",INDEX('DUN 2016'!$J$3:$J$23,MATCH(C81,'DUN 2016'!$I$3:$I$23,0),1),"")</f>
        <v>GPS</v>
      </c>
      <c r="E81" s="34" t="str">
        <f>'PRN 2016'!U81</f>
        <v>N/A</v>
      </c>
      <c r="F81" s="34" t="str">
        <f>'PRN 2016'!L81</f>
        <v>N/A</v>
      </c>
      <c r="G81" s="29" t="str">
        <f>IF('UMUR 2021'!AC81&lt;&gt;"",'UMUR 2021'!AC81,"")</f>
        <v>PBB</v>
      </c>
      <c r="H81" s="29" t="str">
        <f>IF(G81&lt;&gt;"",INDEX('DUN 2021'!$J$3:$J$23,MATCH(G81,'DUN 2021'!$I$3:$I$23,0),1),"")</f>
        <v>GPS</v>
      </c>
      <c r="I81" s="34">
        <f>'UMUR 2021'!AF81</f>
        <v>0.78803418803418801</v>
      </c>
      <c r="J81" s="78">
        <f>'UMUR 2021'!X81</f>
        <v>0.48972017673048601</v>
      </c>
      <c r="K81" s="78" t="str">
        <f t="shared" si="5"/>
        <v>N/A</v>
      </c>
      <c r="L81" s="78" t="str">
        <f t="shared" si="6"/>
        <v>N/A</v>
      </c>
      <c r="M81" s="79" t="str">
        <f t="shared" si="7"/>
        <v>KEKAL</v>
      </c>
    </row>
    <row r="82" spans="1:13" ht="14.25">
      <c r="A82" s="13" t="s">
        <v>222</v>
      </c>
      <c r="B82" s="14" t="s">
        <v>224</v>
      </c>
      <c r="C82" s="29" t="str">
        <f>IF('PRN 2016'!Q82&lt;&gt;"",'PRN 2016'!Q82,"")</f>
        <v>PBB</v>
      </c>
      <c r="D82" s="29" t="str">
        <f>IF(C82&lt;&gt;"",INDEX('DUN 2016'!$J$3:$J$23,MATCH(C82,'DUN 2016'!$I$3:$I$23,0),1),"")</f>
        <v>GPS</v>
      </c>
      <c r="E82" s="34">
        <f>'PRN 2016'!U82</f>
        <v>0.75366822026583813</v>
      </c>
      <c r="F82" s="34">
        <f>'PRN 2016'!L82</f>
        <v>0.68256901929074743</v>
      </c>
      <c r="G82" s="29" t="str">
        <f>IF('UMUR 2021'!AC82&lt;&gt;"",'UMUR 2021'!AC82,"")</f>
        <v>PBB</v>
      </c>
      <c r="H82" s="29" t="str">
        <f>IF(G82&lt;&gt;"",INDEX('DUN 2021'!$J$3:$J$23,MATCH(G82,'DUN 2021'!$I$3:$I$23,0),1),"")</f>
        <v>GPS</v>
      </c>
      <c r="I82" s="34">
        <f>'UMUR 2021'!AF82</f>
        <v>0.53139249386180287</v>
      </c>
      <c r="J82" s="78">
        <f>'UMUR 2021'!X82</f>
        <v>0.61887999999999999</v>
      </c>
      <c r="K82" s="78">
        <f t="shared" si="5"/>
        <v>-0.22227572640403526</v>
      </c>
      <c r="L82" s="78">
        <f t="shared" si="6"/>
        <v>-6.368901929074744E-2</v>
      </c>
      <c r="M82" s="79" t="str">
        <f t="shared" si="7"/>
        <v>KEKAL</v>
      </c>
    </row>
    <row r="83" spans="1:13" ht="14.25">
      <c r="A83" s="13" t="s">
        <v>226</v>
      </c>
      <c r="B83" s="14" t="s">
        <v>228</v>
      </c>
      <c r="C83" s="29" t="str">
        <f>IF('PRN 2016'!Q83&lt;&gt;"",'PRN 2016'!Q83,"")</f>
        <v>PSB</v>
      </c>
      <c r="D83" s="29" t="str">
        <f>IF(C83&lt;&gt;"",INDEX('DUN 2016'!$J$3:$J$23,MATCH(C83,'DUN 2016'!$I$3:$I$23,0),1),"")</f>
        <v>PSB</v>
      </c>
      <c r="E83" s="34">
        <f>'PRN 2016'!U83</f>
        <v>0.55195056006179988</v>
      </c>
      <c r="F83" s="34">
        <f>'PRN 2016'!L83</f>
        <v>0.70901694915254232</v>
      </c>
      <c r="G83" s="29" t="str">
        <f>IF('UMUR 2021'!AC83&lt;&gt;"",'UMUR 2021'!AC83,"")</f>
        <v>PSB</v>
      </c>
      <c r="H83" s="29" t="str">
        <f>IF(G83&lt;&gt;"",INDEX('DUN 2021'!$J$3:$J$23,MATCH(G83,'DUN 2021'!$I$3:$I$23,0),1),"")</f>
        <v>PSB</v>
      </c>
      <c r="I83" s="34">
        <f>'UMUR 2021'!AF83</f>
        <v>0.5465825874694874</v>
      </c>
      <c r="J83" s="78">
        <f>'UMUR 2021'!X83</f>
        <v>0.5884981771139598</v>
      </c>
      <c r="K83" s="78">
        <f t="shared" si="5"/>
        <v>-5.3679725923124755E-3</v>
      </c>
      <c r="L83" s="78">
        <f t="shared" si="6"/>
        <v>-0.12051877203858252</v>
      </c>
      <c r="M83" s="79" t="str">
        <f t="shared" si="7"/>
        <v>KEKAL</v>
      </c>
    </row>
    <row r="84" spans="1:13" ht="14.25">
      <c r="A84" s="13" t="s">
        <v>227</v>
      </c>
      <c r="B84" s="14" t="s">
        <v>229</v>
      </c>
      <c r="C84" s="29" t="str">
        <f>IF('PRN 2016'!Q84&lt;&gt;"",'PRN 2016'!Q84,"")</f>
        <v>PBB</v>
      </c>
      <c r="D84" s="29" t="str">
        <f>IF(C84&lt;&gt;"",INDEX('DUN 2016'!$J$3:$J$23,MATCH(C84,'DUN 2016'!$I$3:$I$23,0),1),"")</f>
        <v>GPS</v>
      </c>
      <c r="E84" s="34" t="str">
        <f>'PRN 2016'!U84</f>
        <v>N/A</v>
      </c>
      <c r="F84" s="34" t="str">
        <f>'PRN 2016'!L84</f>
        <v>N/A</v>
      </c>
      <c r="G84" s="29" t="str">
        <f>IF('UMUR 2021'!AC84&lt;&gt;"",'UMUR 2021'!AC84,"")</f>
        <v>PBB</v>
      </c>
      <c r="H84" s="29" t="str">
        <f>IF(G84&lt;&gt;"",INDEX('DUN 2021'!$J$3:$J$23,MATCH(G84,'DUN 2021'!$I$3:$I$23,0),1),"")</f>
        <v>GPS</v>
      </c>
      <c r="I84" s="34">
        <f>'UMUR 2021'!AF84</f>
        <v>0.87477736676257023</v>
      </c>
      <c r="J84" s="78">
        <f>'UMUR 2021'!X84</f>
        <v>0.57009345794392519</v>
      </c>
      <c r="K84" s="78" t="str">
        <f t="shared" si="5"/>
        <v>N/A</v>
      </c>
      <c r="L84" s="78" t="str">
        <f t="shared" si="6"/>
        <v>N/A</v>
      </c>
      <c r="M84" s="79" t="str">
        <f t="shared" si="7"/>
        <v>KEKAL</v>
      </c>
    </row>
    <row r="85" spans="1:13" ht="14.2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1:13" ht="14.2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</row>
    <row r="87" spans="1:13" ht="14.25">
      <c r="A87" s="62"/>
      <c r="B87" s="62"/>
      <c r="C87" s="62"/>
      <c r="D87" s="62"/>
      <c r="E87" s="62"/>
      <c r="F87" s="80">
        <v>2016</v>
      </c>
      <c r="G87" s="62"/>
      <c r="H87" s="62"/>
      <c r="I87" s="62"/>
      <c r="J87" s="80">
        <v>2021</v>
      </c>
      <c r="K87" s="62"/>
      <c r="L87" s="62"/>
      <c r="M87" s="62"/>
    </row>
    <row r="88" spans="1:13" ht="30">
      <c r="A88" s="62"/>
      <c r="B88" s="62"/>
      <c r="C88" s="62"/>
      <c r="D88" s="62"/>
      <c r="E88" s="62"/>
      <c r="F88" s="27" t="s">
        <v>364</v>
      </c>
      <c r="G88" s="62"/>
      <c r="H88" s="62"/>
      <c r="I88" s="62"/>
      <c r="J88" s="27" t="s">
        <v>364</v>
      </c>
      <c r="K88" s="62"/>
      <c r="L88" s="64" t="s">
        <v>368</v>
      </c>
      <c r="M88" s="62"/>
    </row>
    <row r="89" spans="1:13" ht="15">
      <c r="A89" s="81"/>
      <c r="B89" s="82" t="s">
        <v>271</v>
      </c>
      <c r="C89" s="62"/>
      <c r="D89" s="62"/>
      <c r="E89" s="62"/>
      <c r="F89" s="78">
        <f>'PRN 2016'!L86</f>
        <v>0.68251281576592659</v>
      </c>
      <c r="G89" s="62"/>
      <c r="H89" s="62"/>
      <c r="I89" s="62"/>
      <c r="J89" s="78">
        <f>'UMUR 2021'!X88</f>
        <v>0.60673203334786996</v>
      </c>
      <c r="K89" s="62"/>
      <c r="L89" s="78">
        <f t="shared" ref="L89" si="8">IF(ISERROR(J89-F89)&lt;&gt;TRUE,J89-F89,"N/A")</f>
        <v>-7.5780782418056636E-2</v>
      </c>
      <c r="M89" s="62"/>
    </row>
  </sheetData>
  <mergeCells count="7">
    <mergeCell ref="M1:M2"/>
    <mergeCell ref="A1:A2"/>
    <mergeCell ref="B1:B2"/>
    <mergeCell ref="C1:F1"/>
    <mergeCell ref="G1:J1"/>
    <mergeCell ref="K1:K2"/>
    <mergeCell ref="L1:L2"/>
  </mergeCells>
  <conditionalFormatting sqref="I3:I84">
    <cfRule type="cellIs" dxfId="159" priority="28" operator="equal">
      <formula>"PN"</formula>
    </cfRule>
    <cfRule type="cellIs" dxfId="158" priority="29" operator="equal">
      <formula>"SEDAR"</formula>
    </cfRule>
    <cfRule type="cellIs" dxfId="157" priority="30" operator="equal">
      <formula>"PBDSB"</formula>
    </cfRule>
    <cfRule type="cellIs" dxfId="156" priority="31" operator="equal">
      <formula>"ASPIRASI"</formula>
    </cfRule>
    <cfRule type="cellIs" dxfId="155" priority="32" operator="equal">
      <formula>"PBK"</formula>
    </cfRule>
    <cfRule type="cellIs" dxfId="154" priority="33" operator="equal">
      <formula>"PSB"</formula>
    </cfRule>
    <cfRule type="containsText" dxfId="153" priority="34" operator="containsText" text="BEBAS">
      <formula>NOT(ISERROR(SEARCH("BEBAS",I3)))</formula>
    </cfRule>
    <cfRule type="cellIs" dxfId="152" priority="35" operator="equal">
      <formula>"PH"</formula>
    </cfRule>
    <cfRule type="cellIs" dxfId="151" priority="36" operator="equal">
      <formula>"GPS"</formula>
    </cfRule>
  </conditionalFormatting>
  <conditionalFormatting sqref="D3:F84">
    <cfRule type="cellIs" dxfId="150" priority="37" operator="equal">
      <formula>"PN"</formula>
    </cfRule>
    <cfRule type="cellIs" dxfId="149" priority="38" operator="equal">
      <formula>"SEDAR"</formula>
    </cfRule>
    <cfRule type="cellIs" dxfId="148" priority="39" operator="equal">
      <formula>"PBDSB"</formula>
    </cfRule>
    <cfRule type="cellIs" dxfId="147" priority="40" operator="equal">
      <formula>"ASPIRASI"</formula>
    </cfRule>
    <cfRule type="cellIs" dxfId="146" priority="41" operator="equal">
      <formula>"PBK"</formula>
    </cfRule>
    <cfRule type="cellIs" dxfId="145" priority="42" operator="equal">
      <formula>"PSB"</formula>
    </cfRule>
    <cfRule type="containsText" dxfId="144" priority="43" operator="containsText" text="BEBAS">
      <formula>NOT(ISERROR(SEARCH("BEBAS",D3)))</formula>
    </cfRule>
    <cfRule type="cellIs" dxfId="143" priority="44" operator="equal">
      <formula>"PH"</formula>
    </cfRule>
    <cfRule type="cellIs" dxfId="142" priority="45" operator="equal">
      <formula>"GPS"</formula>
    </cfRule>
  </conditionalFormatting>
  <conditionalFormatting sqref="H3:H84">
    <cfRule type="cellIs" dxfId="141" priority="19" operator="equal">
      <formula>"PN"</formula>
    </cfRule>
    <cfRule type="cellIs" dxfId="140" priority="20" operator="equal">
      <formula>"SEDAR"</formula>
    </cfRule>
    <cfRule type="cellIs" dxfId="139" priority="21" operator="equal">
      <formula>"PBDSB"</formula>
    </cfRule>
    <cfRule type="cellIs" dxfId="138" priority="22" operator="equal">
      <formula>"ASPIRASI"</formula>
    </cfRule>
    <cfRule type="cellIs" dxfId="137" priority="23" operator="equal">
      <formula>"PBK"</formula>
    </cfRule>
    <cfRule type="cellIs" dxfId="136" priority="24" operator="equal">
      <formula>"PSB"</formula>
    </cfRule>
    <cfRule type="containsText" dxfId="135" priority="25" operator="containsText" text="BEBAS">
      <formula>NOT(ISERROR(SEARCH("BEBAS",H3)))</formula>
    </cfRule>
    <cfRule type="cellIs" dxfId="134" priority="26" operator="equal">
      <formula>"PH"</formula>
    </cfRule>
    <cfRule type="cellIs" dxfId="133" priority="27" operator="equal">
      <formula>"GPS"</formula>
    </cfRule>
  </conditionalFormatting>
  <conditionalFormatting sqref="K3:K84">
    <cfRule type="cellIs" dxfId="132" priority="17" operator="greaterThan">
      <formula>0</formula>
    </cfRule>
    <cfRule type="cellIs" dxfId="131" priority="18" operator="lessThan">
      <formula>0</formula>
    </cfRule>
  </conditionalFormatting>
  <conditionalFormatting sqref="K3:K84">
    <cfRule type="cellIs" dxfId="130" priority="16" operator="equal">
      <formula>"N/A"</formula>
    </cfRule>
  </conditionalFormatting>
  <conditionalFormatting sqref="L3:L84">
    <cfRule type="cellIs" dxfId="129" priority="14" operator="greaterThan">
      <formula>0</formula>
    </cfRule>
    <cfRule type="cellIs" dxfId="128" priority="15" operator="lessThan">
      <formula>0</formula>
    </cfRule>
  </conditionalFormatting>
  <conditionalFormatting sqref="L3:L84">
    <cfRule type="cellIs" dxfId="127" priority="13" operator="equal">
      <formula>"N/A"</formula>
    </cfRule>
  </conditionalFormatting>
  <conditionalFormatting sqref="L89">
    <cfRule type="cellIs" dxfId="126" priority="11" operator="greaterThan">
      <formula>0</formula>
    </cfRule>
    <cfRule type="cellIs" dxfId="125" priority="12" operator="lessThan">
      <formula>0</formula>
    </cfRule>
  </conditionalFormatting>
  <conditionalFormatting sqref="L89">
    <cfRule type="cellIs" dxfId="124" priority="10" operator="equal">
      <formula>"N/A"</formula>
    </cfRule>
  </conditionalFormatting>
  <conditionalFormatting sqref="R4:R12">
    <cfRule type="cellIs" dxfId="123" priority="8" operator="greaterThan">
      <formula>0</formula>
    </cfRule>
    <cfRule type="cellIs" dxfId="122" priority="9" operator="lessThan">
      <formula>0</formula>
    </cfRule>
  </conditionalFormatting>
  <conditionalFormatting sqref="R4:R12">
    <cfRule type="cellIs" dxfId="121" priority="7" operator="equal">
      <formula>"N/A"</formula>
    </cfRule>
  </conditionalFormatting>
  <conditionalFormatting sqref="R19:R24">
    <cfRule type="cellIs" dxfId="120" priority="5" operator="greaterThan">
      <formula>0</formula>
    </cfRule>
    <cfRule type="cellIs" dxfId="119" priority="6" operator="lessThan">
      <formula>0</formula>
    </cfRule>
  </conditionalFormatting>
  <conditionalFormatting sqref="R19:R24">
    <cfRule type="cellIs" dxfId="118" priority="4" operator="equal">
      <formula>"N/A"</formula>
    </cfRule>
  </conditionalFormatting>
  <conditionalFormatting sqref="R25:R26">
    <cfRule type="cellIs" dxfId="117" priority="2" operator="greaterThan">
      <formula>0</formula>
    </cfRule>
    <cfRule type="cellIs" dxfId="116" priority="3" operator="lessThan">
      <formula>0</formula>
    </cfRule>
  </conditionalFormatting>
  <conditionalFormatting sqref="R25:R26">
    <cfRule type="cellIs" dxfId="115" priority="1" operator="equal">
      <formula>"N/A"</formula>
    </cfRule>
  </conditionalFormatting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8799-16BD-4DA9-AE91-168244DC4FCA}">
  <dimension ref="A1:X86"/>
  <sheetViews>
    <sheetView zoomScale="93" zoomScaleNormal="93" workbookViewId="0">
      <selection activeCell="R85" sqref="R85"/>
    </sheetView>
  </sheetViews>
  <sheetFormatPr defaultRowHeight="14.25"/>
  <cols>
    <col min="1" max="1" width="5.125" bestFit="1" customWidth="1"/>
    <col min="2" max="2" width="24.5" bestFit="1" customWidth="1"/>
    <col min="3" max="3" width="6.875" bestFit="1" customWidth="1"/>
    <col min="4" max="6" width="7.875" bestFit="1" customWidth="1"/>
    <col min="7" max="9" width="6.875" bestFit="1" customWidth="1"/>
    <col min="10" max="10" width="5.75" bestFit="1" customWidth="1"/>
    <col min="11" max="11" width="6.875" bestFit="1" customWidth="1"/>
    <col min="12" max="14" width="7.875" bestFit="1" customWidth="1"/>
    <col min="15" max="17" width="6.875" bestFit="1" customWidth="1"/>
    <col min="18" max="18" width="5.75" bestFit="1" customWidth="1"/>
    <col min="19" max="19" width="9.5" bestFit="1" customWidth="1"/>
    <col min="21" max="21" width="8.5" style="48" bestFit="1" customWidth="1"/>
    <col min="22" max="22" width="7.875" style="40" bestFit="1" customWidth="1"/>
    <col min="23" max="23" width="12.75" style="40" bestFit="1" customWidth="1"/>
    <col min="24" max="24" width="7.375" style="48" bestFit="1" customWidth="1"/>
  </cols>
  <sheetData>
    <row r="1" spans="1:24" ht="15">
      <c r="A1" s="84" t="s">
        <v>0</v>
      </c>
      <c r="B1" s="84" t="s">
        <v>1</v>
      </c>
      <c r="C1" s="97" t="s">
        <v>296</v>
      </c>
      <c r="D1" s="97"/>
      <c r="E1" s="97"/>
      <c r="F1" s="97"/>
      <c r="G1" s="97"/>
      <c r="H1" s="97"/>
      <c r="I1" s="97"/>
      <c r="J1" s="97"/>
      <c r="K1" s="97" t="s">
        <v>297</v>
      </c>
      <c r="L1" s="97"/>
      <c r="M1" s="97"/>
      <c r="N1" s="97"/>
      <c r="O1" s="97"/>
      <c r="P1" s="97"/>
      <c r="Q1" s="97"/>
      <c r="R1" s="97"/>
      <c r="S1" s="90" t="s">
        <v>235</v>
      </c>
      <c r="V1" s="93" t="s">
        <v>296</v>
      </c>
      <c r="W1" s="95" t="s">
        <v>297</v>
      </c>
    </row>
    <row r="2" spans="1:24">
      <c r="A2" s="84"/>
      <c r="B2" s="84"/>
      <c r="C2" s="41" t="s">
        <v>288</v>
      </c>
      <c r="D2" s="41" t="s">
        <v>289</v>
      </c>
      <c r="E2" s="41" t="s">
        <v>290</v>
      </c>
      <c r="F2" s="41" t="s">
        <v>291</v>
      </c>
      <c r="G2" s="41" t="s">
        <v>292</v>
      </c>
      <c r="H2" s="41" t="s">
        <v>293</v>
      </c>
      <c r="I2" s="41" t="s">
        <v>294</v>
      </c>
      <c r="J2" s="41" t="s">
        <v>295</v>
      </c>
      <c r="K2" s="41" t="s">
        <v>288</v>
      </c>
      <c r="L2" s="41" t="s">
        <v>289</v>
      </c>
      <c r="M2" s="41" t="s">
        <v>290</v>
      </c>
      <c r="N2" s="41" t="s">
        <v>291</v>
      </c>
      <c r="O2" s="41" t="s">
        <v>292</v>
      </c>
      <c r="P2" s="41" t="s">
        <v>293</v>
      </c>
      <c r="Q2" s="41" t="s">
        <v>294</v>
      </c>
      <c r="R2" s="41" t="s">
        <v>295</v>
      </c>
      <c r="S2" s="90"/>
      <c r="V2" s="94"/>
      <c r="W2" s="96"/>
    </row>
    <row r="3" spans="1:24" ht="15">
      <c r="A3" s="13" t="s">
        <v>5</v>
      </c>
      <c r="B3" s="14" t="s">
        <v>6</v>
      </c>
      <c r="C3" s="43">
        <v>390</v>
      </c>
      <c r="D3" s="43">
        <v>1268</v>
      </c>
      <c r="E3" s="43">
        <v>1395</v>
      </c>
      <c r="F3" s="43">
        <v>1386</v>
      </c>
      <c r="G3" s="43">
        <v>874</v>
      </c>
      <c r="H3" s="43">
        <v>377</v>
      </c>
      <c r="I3" s="43">
        <v>80</v>
      </c>
      <c r="J3" s="43">
        <v>20</v>
      </c>
      <c r="K3" s="43">
        <v>427</v>
      </c>
      <c r="L3" s="43">
        <v>1294</v>
      </c>
      <c r="M3" s="43">
        <v>1216</v>
      </c>
      <c r="N3" s="43">
        <v>1273</v>
      </c>
      <c r="O3" s="43">
        <v>814</v>
      </c>
      <c r="P3" s="43">
        <v>452</v>
      </c>
      <c r="Q3" s="43">
        <v>136</v>
      </c>
      <c r="R3" s="43">
        <v>34</v>
      </c>
      <c r="S3" s="42">
        <f>SUM(C3:R3)</f>
        <v>11436</v>
      </c>
      <c r="U3" s="49">
        <f>V3/S3</f>
        <v>0.50629590766002097</v>
      </c>
      <c r="V3" s="44">
        <f>SUM(C3:J3)</f>
        <v>5790</v>
      </c>
      <c r="W3" s="45">
        <f>SUM(K3:R3)</f>
        <v>5646</v>
      </c>
      <c r="X3" s="49">
        <f>W3/S3</f>
        <v>0.49370409233997903</v>
      </c>
    </row>
    <row r="4" spans="1:24" ht="15">
      <c r="A4" s="13" t="s">
        <v>8</v>
      </c>
      <c r="B4" s="14" t="s">
        <v>7</v>
      </c>
      <c r="C4" s="43">
        <v>663</v>
      </c>
      <c r="D4" s="43">
        <v>1807</v>
      </c>
      <c r="E4" s="43">
        <v>1988</v>
      </c>
      <c r="F4" s="43">
        <v>2353</v>
      </c>
      <c r="G4" s="43">
        <v>1693</v>
      </c>
      <c r="H4" s="43">
        <v>675</v>
      </c>
      <c r="I4" s="43">
        <v>196</v>
      </c>
      <c r="J4" s="43">
        <v>44</v>
      </c>
      <c r="K4" s="43">
        <v>691</v>
      </c>
      <c r="L4" s="43">
        <v>1735</v>
      </c>
      <c r="M4" s="43">
        <v>1940</v>
      </c>
      <c r="N4" s="43">
        <v>2117</v>
      </c>
      <c r="O4" s="43">
        <v>1553</v>
      </c>
      <c r="P4" s="43">
        <v>802</v>
      </c>
      <c r="Q4" s="43">
        <v>379</v>
      </c>
      <c r="R4" s="43">
        <v>79</v>
      </c>
      <c r="S4" s="42">
        <f t="shared" ref="S4:S67" si="0">SUM(C4:R4)</f>
        <v>18715</v>
      </c>
      <c r="U4" s="49">
        <f t="shared" ref="U4:U67" si="1">V4/S4</f>
        <v>0.50328613411701839</v>
      </c>
      <c r="V4" s="44">
        <f t="shared" ref="V4:V67" si="2">SUM(C4:J4)</f>
        <v>9419</v>
      </c>
      <c r="W4" s="45">
        <f t="shared" ref="W4:W67" si="3">SUM(K4:R4)</f>
        <v>9296</v>
      </c>
      <c r="X4" s="49">
        <f t="shared" ref="X4:X67" si="4">W4/S4</f>
        <v>0.49671386588298155</v>
      </c>
    </row>
    <row r="5" spans="1:24" ht="15">
      <c r="A5" s="13" t="s">
        <v>12</v>
      </c>
      <c r="B5" s="14" t="s">
        <v>15</v>
      </c>
      <c r="C5" s="43">
        <v>503</v>
      </c>
      <c r="D5" s="43">
        <v>1364</v>
      </c>
      <c r="E5" s="43">
        <v>1236</v>
      </c>
      <c r="F5" s="43">
        <v>1214</v>
      </c>
      <c r="G5" s="43">
        <v>829</v>
      </c>
      <c r="H5" s="43">
        <v>429</v>
      </c>
      <c r="I5" s="43">
        <v>113</v>
      </c>
      <c r="J5" s="43">
        <v>18</v>
      </c>
      <c r="K5" s="43">
        <v>536</v>
      </c>
      <c r="L5" s="43">
        <v>1311</v>
      </c>
      <c r="M5" s="43">
        <v>1155</v>
      </c>
      <c r="N5" s="43">
        <v>1129</v>
      </c>
      <c r="O5" s="43">
        <v>884</v>
      </c>
      <c r="P5" s="43">
        <v>431</v>
      </c>
      <c r="Q5" s="43">
        <v>190</v>
      </c>
      <c r="R5" s="43">
        <v>42</v>
      </c>
      <c r="S5" s="42">
        <f t="shared" si="0"/>
        <v>11384</v>
      </c>
      <c r="U5" s="49">
        <f t="shared" si="1"/>
        <v>0.50122979620520025</v>
      </c>
      <c r="V5" s="44">
        <f t="shared" si="2"/>
        <v>5706</v>
      </c>
      <c r="W5" s="45">
        <f t="shared" si="3"/>
        <v>5678</v>
      </c>
      <c r="X5" s="49">
        <f t="shared" si="4"/>
        <v>0.49877020379479969</v>
      </c>
    </row>
    <row r="6" spans="1:24" ht="15">
      <c r="A6" s="13" t="s">
        <v>13</v>
      </c>
      <c r="B6" s="14" t="s">
        <v>16</v>
      </c>
      <c r="C6" s="43">
        <v>1085</v>
      </c>
      <c r="D6" s="43">
        <v>2420</v>
      </c>
      <c r="E6" s="43">
        <v>2271</v>
      </c>
      <c r="F6" s="43">
        <v>2091</v>
      </c>
      <c r="G6" s="43">
        <v>1279</v>
      </c>
      <c r="H6" s="43">
        <v>542</v>
      </c>
      <c r="I6" s="43">
        <v>131</v>
      </c>
      <c r="J6" s="43">
        <v>20</v>
      </c>
      <c r="K6" s="43">
        <v>1256</v>
      </c>
      <c r="L6" s="43">
        <v>2534</v>
      </c>
      <c r="M6" s="43">
        <v>2563</v>
      </c>
      <c r="N6" s="43">
        <v>2065</v>
      </c>
      <c r="O6" s="43">
        <v>1390</v>
      </c>
      <c r="P6" s="43">
        <v>646</v>
      </c>
      <c r="Q6" s="43">
        <v>167</v>
      </c>
      <c r="R6" s="43">
        <v>46</v>
      </c>
      <c r="S6" s="42">
        <f t="shared" si="0"/>
        <v>20506</v>
      </c>
      <c r="U6" s="49">
        <f t="shared" si="1"/>
        <v>0.47981078708670633</v>
      </c>
      <c r="V6" s="44">
        <f t="shared" si="2"/>
        <v>9839</v>
      </c>
      <c r="W6" s="45">
        <f t="shared" si="3"/>
        <v>10667</v>
      </c>
      <c r="X6" s="49">
        <f t="shared" si="4"/>
        <v>0.52018921291329367</v>
      </c>
    </row>
    <row r="7" spans="1:24" ht="15">
      <c r="A7" s="13" t="s">
        <v>14</v>
      </c>
      <c r="B7" s="14" t="s">
        <v>17</v>
      </c>
      <c r="C7" s="43">
        <v>677</v>
      </c>
      <c r="D7" s="43">
        <v>1862</v>
      </c>
      <c r="E7" s="43">
        <v>1700</v>
      </c>
      <c r="F7" s="43">
        <v>1553</v>
      </c>
      <c r="G7" s="43">
        <v>972</v>
      </c>
      <c r="H7" s="43">
        <v>436</v>
      </c>
      <c r="I7" s="43">
        <v>95</v>
      </c>
      <c r="J7" s="43">
        <v>24</v>
      </c>
      <c r="K7" s="43">
        <v>704</v>
      </c>
      <c r="L7" s="43">
        <v>1917</v>
      </c>
      <c r="M7" s="43">
        <v>1720</v>
      </c>
      <c r="N7" s="43">
        <v>1534</v>
      </c>
      <c r="O7" s="43">
        <v>986</v>
      </c>
      <c r="P7" s="43">
        <v>437</v>
      </c>
      <c r="Q7" s="43">
        <v>149</v>
      </c>
      <c r="R7" s="43">
        <v>47</v>
      </c>
      <c r="S7" s="42">
        <f t="shared" si="0"/>
        <v>14813</v>
      </c>
      <c r="U7" s="49">
        <f t="shared" si="1"/>
        <v>0.49409302639573349</v>
      </c>
      <c r="V7" s="44">
        <f t="shared" si="2"/>
        <v>7319</v>
      </c>
      <c r="W7" s="45">
        <f t="shared" si="3"/>
        <v>7494</v>
      </c>
      <c r="X7" s="49">
        <f t="shared" si="4"/>
        <v>0.50590697360426651</v>
      </c>
    </row>
    <row r="8" spans="1:24" ht="15">
      <c r="A8" s="13" t="s">
        <v>20</v>
      </c>
      <c r="B8" s="14" t="s">
        <v>23</v>
      </c>
      <c r="C8" s="43">
        <v>1404</v>
      </c>
      <c r="D8" s="43">
        <v>3399</v>
      </c>
      <c r="E8" s="43">
        <v>2895</v>
      </c>
      <c r="F8" s="43">
        <v>2442</v>
      </c>
      <c r="G8" s="43">
        <v>1630</v>
      </c>
      <c r="H8" s="43">
        <v>662</v>
      </c>
      <c r="I8" s="43">
        <v>140</v>
      </c>
      <c r="J8" s="43">
        <v>36</v>
      </c>
      <c r="K8" s="43">
        <v>1612</v>
      </c>
      <c r="L8" s="43">
        <v>3347</v>
      </c>
      <c r="M8" s="43">
        <v>3056</v>
      </c>
      <c r="N8" s="43">
        <v>2646</v>
      </c>
      <c r="O8" s="43">
        <v>1762</v>
      </c>
      <c r="P8" s="43">
        <v>685</v>
      </c>
      <c r="Q8" s="43">
        <v>239</v>
      </c>
      <c r="R8" s="43">
        <v>49</v>
      </c>
      <c r="S8" s="42">
        <f t="shared" si="0"/>
        <v>26004</v>
      </c>
      <c r="U8" s="49">
        <f t="shared" si="1"/>
        <v>0.48484848484848486</v>
      </c>
      <c r="V8" s="44">
        <f t="shared" si="2"/>
        <v>12608</v>
      </c>
      <c r="W8" s="45">
        <f t="shared" si="3"/>
        <v>13396</v>
      </c>
      <c r="X8" s="49">
        <f t="shared" si="4"/>
        <v>0.51515151515151514</v>
      </c>
    </row>
    <row r="9" spans="1:24" ht="15">
      <c r="A9" s="13" t="s">
        <v>21</v>
      </c>
      <c r="B9" s="14" t="s">
        <v>24</v>
      </c>
      <c r="C9" s="43">
        <v>1007</v>
      </c>
      <c r="D9" s="43">
        <v>2783</v>
      </c>
      <c r="E9" s="43">
        <v>2378</v>
      </c>
      <c r="F9" s="43">
        <v>1997</v>
      </c>
      <c r="G9" s="43">
        <v>1321</v>
      </c>
      <c r="H9" s="43">
        <v>519</v>
      </c>
      <c r="I9" s="43">
        <v>119</v>
      </c>
      <c r="J9" s="43">
        <v>14</v>
      </c>
      <c r="K9" s="43">
        <v>1155</v>
      </c>
      <c r="L9" s="43">
        <v>2792</v>
      </c>
      <c r="M9" s="43">
        <v>2494</v>
      </c>
      <c r="N9" s="43">
        <v>2312</v>
      </c>
      <c r="O9" s="43">
        <v>1525</v>
      </c>
      <c r="P9" s="43">
        <v>703</v>
      </c>
      <c r="Q9" s="43">
        <v>197</v>
      </c>
      <c r="R9" s="43">
        <v>47</v>
      </c>
      <c r="S9" s="42">
        <f t="shared" si="0"/>
        <v>21363</v>
      </c>
      <c r="U9" s="49">
        <f t="shared" si="1"/>
        <v>0.47455881664560223</v>
      </c>
      <c r="V9" s="44">
        <f t="shared" si="2"/>
        <v>10138</v>
      </c>
      <c r="W9" s="45">
        <f t="shared" si="3"/>
        <v>11225</v>
      </c>
      <c r="X9" s="49">
        <f t="shared" si="4"/>
        <v>0.52544118335439782</v>
      </c>
    </row>
    <row r="10" spans="1:24" ht="15">
      <c r="A10" s="13" t="s">
        <v>22</v>
      </c>
      <c r="B10" s="14" t="s">
        <v>25</v>
      </c>
      <c r="C10" s="43">
        <v>483</v>
      </c>
      <c r="D10" s="43">
        <v>1255</v>
      </c>
      <c r="E10" s="43">
        <v>1500</v>
      </c>
      <c r="F10" s="43">
        <v>1670</v>
      </c>
      <c r="G10" s="43">
        <v>1165</v>
      </c>
      <c r="H10" s="43">
        <v>632</v>
      </c>
      <c r="I10" s="43">
        <v>217</v>
      </c>
      <c r="J10" s="43">
        <v>52</v>
      </c>
      <c r="K10" s="43">
        <v>482</v>
      </c>
      <c r="L10" s="43">
        <v>1112</v>
      </c>
      <c r="M10" s="43">
        <v>1422</v>
      </c>
      <c r="N10" s="43">
        <v>1655</v>
      </c>
      <c r="O10" s="43">
        <v>1325</v>
      </c>
      <c r="P10" s="43">
        <v>837</v>
      </c>
      <c r="Q10" s="43">
        <v>394</v>
      </c>
      <c r="R10" s="43">
        <v>113</v>
      </c>
      <c r="S10" s="42">
        <f t="shared" si="0"/>
        <v>14314</v>
      </c>
      <c r="U10" s="49">
        <f t="shared" si="1"/>
        <v>0.48721531367891574</v>
      </c>
      <c r="V10" s="44">
        <f t="shared" si="2"/>
        <v>6974</v>
      </c>
      <c r="W10" s="45">
        <f t="shared" si="3"/>
        <v>7340</v>
      </c>
      <c r="X10" s="49">
        <f t="shared" si="4"/>
        <v>0.5127846863210842</v>
      </c>
    </row>
    <row r="11" spans="1:24" ht="15">
      <c r="A11" s="13" t="s">
        <v>28</v>
      </c>
      <c r="B11" s="14" t="s">
        <v>31</v>
      </c>
      <c r="C11" s="43">
        <v>202</v>
      </c>
      <c r="D11" s="43">
        <v>885</v>
      </c>
      <c r="E11" s="43">
        <v>1491</v>
      </c>
      <c r="F11" s="43">
        <v>2300</v>
      </c>
      <c r="G11" s="43">
        <v>2738</v>
      </c>
      <c r="H11" s="43">
        <v>1723</v>
      </c>
      <c r="I11" s="43">
        <v>583</v>
      </c>
      <c r="J11" s="43">
        <v>136</v>
      </c>
      <c r="K11" s="43">
        <v>171</v>
      </c>
      <c r="L11" s="43">
        <v>803</v>
      </c>
      <c r="M11" s="43">
        <v>1485</v>
      </c>
      <c r="N11" s="43">
        <v>2436</v>
      </c>
      <c r="O11" s="43">
        <v>3074</v>
      </c>
      <c r="P11" s="43">
        <v>1956</v>
      </c>
      <c r="Q11" s="43">
        <v>733</v>
      </c>
      <c r="R11" s="43">
        <v>233</v>
      </c>
      <c r="S11" s="42">
        <f t="shared" si="0"/>
        <v>20949</v>
      </c>
      <c r="U11" s="49">
        <f t="shared" si="1"/>
        <v>0.4801183827390329</v>
      </c>
      <c r="V11" s="44">
        <f t="shared" si="2"/>
        <v>10058</v>
      </c>
      <c r="W11" s="45">
        <f t="shared" si="3"/>
        <v>10891</v>
      </c>
      <c r="X11" s="49">
        <f t="shared" si="4"/>
        <v>0.51988161726096715</v>
      </c>
    </row>
    <row r="12" spans="1:24" ht="15">
      <c r="A12" s="13" t="s">
        <v>29</v>
      </c>
      <c r="B12" s="14" t="s">
        <v>32</v>
      </c>
      <c r="C12" s="43">
        <v>500</v>
      </c>
      <c r="D12" s="43">
        <v>2072</v>
      </c>
      <c r="E12" s="43">
        <v>2907</v>
      </c>
      <c r="F12" s="43">
        <v>3537</v>
      </c>
      <c r="G12" s="43">
        <v>3525</v>
      </c>
      <c r="H12" s="43">
        <v>1495</v>
      </c>
      <c r="I12" s="43">
        <v>421</v>
      </c>
      <c r="J12" s="43">
        <v>91</v>
      </c>
      <c r="K12" s="43">
        <v>453</v>
      </c>
      <c r="L12" s="43">
        <v>1935</v>
      </c>
      <c r="M12" s="43">
        <v>2893</v>
      </c>
      <c r="N12" s="43">
        <v>3540</v>
      </c>
      <c r="O12" s="43">
        <v>3711</v>
      </c>
      <c r="P12" s="43">
        <v>1791</v>
      </c>
      <c r="Q12" s="43">
        <v>697</v>
      </c>
      <c r="R12" s="43">
        <v>179</v>
      </c>
      <c r="S12" s="42">
        <f t="shared" si="0"/>
        <v>29747</v>
      </c>
      <c r="U12" s="49">
        <f t="shared" si="1"/>
        <v>0.48905772010622922</v>
      </c>
      <c r="V12" s="44">
        <f t="shared" si="2"/>
        <v>14548</v>
      </c>
      <c r="W12" s="45">
        <f t="shared" si="3"/>
        <v>15199</v>
      </c>
      <c r="X12" s="49">
        <f t="shared" si="4"/>
        <v>0.51094227989377083</v>
      </c>
    </row>
    <row r="13" spans="1:24" ht="15">
      <c r="A13" s="13" t="s">
        <v>30</v>
      </c>
      <c r="B13" s="14" t="s">
        <v>33</v>
      </c>
      <c r="C13" s="43">
        <v>823</v>
      </c>
      <c r="D13" s="43">
        <v>2673</v>
      </c>
      <c r="E13" s="43">
        <v>3078</v>
      </c>
      <c r="F13" s="43">
        <v>2894</v>
      </c>
      <c r="G13" s="43">
        <v>2567</v>
      </c>
      <c r="H13" s="43">
        <v>1373</v>
      </c>
      <c r="I13" s="43">
        <v>511</v>
      </c>
      <c r="J13" s="43">
        <v>113</v>
      </c>
      <c r="K13" s="43">
        <v>894</v>
      </c>
      <c r="L13" s="43">
        <v>2708</v>
      </c>
      <c r="M13" s="43">
        <v>3247</v>
      </c>
      <c r="N13" s="43">
        <v>3350</v>
      </c>
      <c r="O13" s="43">
        <v>2931</v>
      </c>
      <c r="P13" s="43">
        <v>1682</v>
      </c>
      <c r="Q13" s="43">
        <v>673</v>
      </c>
      <c r="R13" s="43">
        <v>177</v>
      </c>
      <c r="S13" s="42">
        <f t="shared" si="0"/>
        <v>29694</v>
      </c>
      <c r="U13" s="49">
        <f t="shared" si="1"/>
        <v>0.47255337778675827</v>
      </c>
      <c r="V13" s="44">
        <f t="shared" si="2"/>
        <v>14032</v>
      </c>
      <c r="W13" s="45">
        <f t="shared" si="3"/>
        <v>15662</v>
      </c>
      <c r="X13" s="49">
        <f t="shared" si="4"/>
        <v>0.52744662221324168</v>
      </c>
    </row>
    <row r="14" spans="1:24" ht="15">
      <c r="A14" s="13" t="s">
        <v>36</v>
      </c>
      <c r="B14" s="14" t="s">
        <v>39</v>
      </c>
      <c r="C14" s="43">
        <v>1829</v>
      </c>
      <c r="D14" s="43">
        <v>3722</v>
      </c>
      <c r="E14" s="43">
        <v>3347</v>
      </c>
      <c r="F14" s="43">
        <v>2363</v>
      </c>
      <c r="G14" s="43">
        <v>2033</v>
      </c>
      <c r="H14" s="43">
        <v>968</v>
      </c>
      <c r="I14" s="43">
        <v>274</v>
      </c>
      <c r="J14" s="43">
        <v>49</v>
      </c>
      <c r="K14" s="43">
        <v>1112</v>
      </c>
      <c r="L14" s="43">
        <v>3416</v>
      </c>
      <c r="M14" s="43">
        <v>3296</v>
      </c>
      <c r="N14" s="43">
        <v>2491</v>
      </c>
      <c r="O14" s="43">
        <v>2120</v>
      </c>
      <c r="P14" s="43">
        <v>990</v>
      </c>
      <c r="Q14" s="43">
        <v>317</v>
      </c>
      <c r="R14" s="43">
        <v>65</v>
      </c>
      <c r="S14" s="42">
        <f t="shared" si="0"/>
        <v>28392</v>
      </c>
      <c r="U14" s="49">
        <f t="shared" si="1"/>
        <v>0.5137010425471964</v>
      </c>
      <c r="V14" s="44">
        <f t="shared" si="2"/>
        <v>14585</v>
      </c>
      <c r="W14" s="45">
        <f t="shared" si="3"/>
        <v>13807</v>
      </c>
      <c r="X14" s="49">
        <f t="shared" si="4"/>
        <v>0.4862989574528036</v>
      </c>
    </row>
    <row r="15" spans="1:24" ht="15">
      <c r="A15" s="13" t="s">
        <v>37</v>
      </c>
      <c r="B15" s="14" t="s">
        <v>40</v>
      </c>
      <c r="C15" s="43">
        <v>884</v>
      </c>
      <c r="D15" s="43">
        <v>2312</v>
      </c>
      <c r="E15" s="43">
        <v>2467</v>
      </c>
      <c r="F15" s="43">
        <v>2129</v>
      </c>
      <c r="G15" s="43">
        <v>1483</v>
      </c>
      <c r="H15" s="43">
        <v>709</v>
      </c>
      <c r="I15" s="43">
        <v>215</v>
      </c>
      <c r="J15" s="43">
        <v>46</v>
      </c>
      <c r="K15" s="43">
        <v>935</v>
      </c>
      <c r="L15" s="43">
        <v>2344</v>
      </c>
      <c r="M15" s="43">
        <v>2510</v>
      </c>
      <c r="N15" s="43">
        <v>2127</v>
      </c>
      <c r="O15" s="43">
        <v>1552</v>
      </c>
      <c r="P15" s="43">
        <v>756</v>
      </c>
      <c r="Q15" s="43">
        <v>284</v>
      </c>
      <c r="R15" s="43">
        <v>67</v>
      </c>
      <c r="S15" s="42">
        <f t="shared" si="0"/>
        <v>20820</v>
      </c>
      <c r="U15" s="49">
        <f t="shared" si="1"/>
        <v>0.49207492795389052</v>
      </c>
      <c r="V15" s="44">
        <f t="shared" si="2"/>
        <v>10245</v>
      </c>
      <c r="W15" s="45">
        <f t="shared" si="3"/>
        <v>10575</v>
      </c>
      <c r="X15" s="49">
        <f t="shared" si="4"/>
        <v>0.50792507204610948</v>
      </c>
    </row>
    <row r="16" spans="1:24" ht="15">
      <c r="A16" s="13" t="s">
        <v>38</v>
      </c>
      <c r="B16" s="14" t="s">
        <v>41</v>
      </c>
      <c r="C16" s="43">
        <v>880</v>
      </c>
      <c r="D16" s="43">
        <v>2582</v>
      </c>
      <c r="E16" s="43">
        <v>2771</v>
      </c>
      <c r="F16" s="43">
        <v>2043</v>
      </c>
      <c r="G16" s="43">
        <v>1352</v>
      </c>
      <c r="H16" s="43">
        <v>628</v>
      </c>
      <c r="I16" s="43">
        <v>149</v>
      </c>
      <c r="J16" s="43">
        <v>23</v>
      </c>
      <c r="K16" s="43">
        <v>884</v>
      </c>
      <c r="L16" s="43">
        <v>2511</v>
      </c>
      <c r="M16" s="43">
        <v>2626</v>
      </c>
      <c r="N16" s="43">
        <v>1956</v>
      </c>
      <c r="O16" s="43">
        <v>1385</v>
      </c>
      <c r="P16" s="43">
        <v>643</v>
      </c>
      <c r="Q16" s="43">
        <v>205</v>
      </c>
      <c r="R16" s="43">
        <v>43</v>
      </c>
      <c r="S16" s="42">
        <f t="shared" si="0"/>
        <v>20681</v>
      </c>
      <c r="U16" s="49">
        <f t="shared" si="1"/>
        <v>0.50423093660848117</v>
      </c>
      <c r="V16" s="44">
        <f t="shared" si="2"/>
        <v>10428</v>
      </c>
      <c r="W16" s="45">
        <f t="shared" si="3"/>
        <v>10253</v>
      </c>
      <c r="X16" s="49">
        <f t="shared" si="4"/>
        <v>0.49576906339151877</v>
      </c>
    </row>
    <row r="17" spans="1:24" ht="15">
      <c r="A17" s="13" t="s">
        <v>44</v>
      </c>
      <c r="B17" s="14" t="s">
        <v>47</v>
      </c>
      <c r="C17" s="43">
        <v>485</v>
      </c>
      <c r="D17" s="43">
        <v>1516</v>
      </c>
      <c r="E17" s="43">
        <v>1309</v>
      </c>
      <c r="F17" s="43">
        <v>1282</v>
      </c>
      <c r="G17" s="43">
        <v>931</v>
      </c>
      <c r="H17" s="43">
        <v>481</v>
      </c>
      <c r="I17" s="43">
        <v>113</v>
      </c>
      <c r="J17" s="43">
        <v>29</v>
      </c>
      <c r="K17" s="43">
        <v>548</v>
      </c>
      <c r="L17" s="43">
        <v>1577</v>
      </c>
      <c r="M17" s="43">
        <v>1323</v>
      </c>
      <c r="N17" s="43">
        <v>1219</v>
      </c>
      <c r="O17" s="43">
        <v>877</v>
      </c>
      <c r="P17" s="43">
        <v>443</v>
      </c>
      <c r="Q17" s="43">
        <v>172</v>
      </c>
      <c r="R17" s="43">
        <v>44</v>
      </c>
      <c r="S17" s="42">
        <f t="shared" si="0"/>
        <v>12349</v>
      </c>
      <c r="U17" s="49">
        <f t="shared" si="1"/>
        <v>0.49769212081949954</v>
      </c>
      <c r="V17" s="44">
        <f t="shared" si="2"/>
        <v>6146</v>
      </c>
      <c r="W17" s="45">
        <f t="shared" si="3"/>
        <v>6203</v>
      </c>
      <c r="X17" s="49">
        <f t="shared" si="4"/>
        <v>0.50230787918050046</v>
      </c>
    </row>
    <row r="18" spans="1:24" ht="15">
      <c r="A18" s="13" t="s">
        <v>45</v>
      </c>
      <c r="B18" s="14" t="s">
        <v>48</v>
      </c>
      <c r="C18" s="43">
        <v>774</v>
      </c>
      <c r="D18" s="43">
        <v>2288</v>
      </c>
      <c r="E18" s="43">
        <v>2132</v>
      </c>
      <c r="F18" s="43">
        <v>1881</v>
      </c>
      <c r="G18" s="43">
        <v>1303</v>
      </c>
      <c r="H18" s="43">
        <v>602</v>
      </c>
      <c r="I18" s="43">
        <v>150</v>
      </c>
      <c r="J18" s="43">
        <v>22</v>
      </c>
      <c r="K18" s="43">
        <v>866</v>
      </c>
      <c r="L18" s="43">
        <v>2356</v>
      </c>
      <c r="M18" s="43">
        <v>2148</v>
      </c>
      <c r="N18" s="43">
        <v>1902</v>
      </c>
      <c r="O18" s="43">
        <v>1330</v>
      </c>
      <c r="P18" s="43">
        <v>632</v>
      </c>
      <c r="Q18" s="43">
        <v>228</v>
      </c>
      <c r="R18" s="43">
        <v>30</v>
      </c>
      <c r="S18" s="42">
        <f t="shared" si="0"/>
        <v>18644</v>
      </c>
      <c r="U18" s="49">
        <f t="shared" si="1"/>
        <v>0.49088178502467283</v>
      </c>
      <c r="V18" s="44">
        <f t="shared" si="2"/>
        <v>9152</v>
      </c>
      <c r="W18" s="45">
        <f t="shared" si="3"/>
        <v>9492</v>
      </c>
      <c r="X18" s="49">
        <f t="shared" si="4"/>
        <v>0.50911821497532717</v>
      </c>
    </row>
    <row r="19" spans="1:24" ht="15">
      <c r="A19" s="13" t="s">
        <v>46</v>
      </c>
      <c r="B19" s="14" t="s">
        <v>49</v>
      </c>
      <c r="C19" s="43">
        <v>2048</v>
      </c>
      <c r="D19" s="43">
        <v>2790</v>
      </c>
      <c r="E19" s="43">
        <v>2182</v>
      </c>
      <c r="F19" s="43">
        <v>1180</v>
      </c>
      <c r="G19" s="43">
        <v>664</v>
      </c>
      <c r="H19" s="43">
        <v>284</v>
      </c>
      <c r="I19" s="43">
        <v>75</v>
      </c>
      <c r="J19" s="43">
        <v>17</v>
      </c>
      <c r="K19" s="43">
        <v>883</v>
      </c>
      <c r="L19" s="43">
        <v>2612</v>
      </c>
      <c r="M19" s="43">
        <v>2009</v>
      </c>
      <c r="N19" s="43">
        <v>1153</v>
      </c>
      <c r="O19" s="43">
        <v>678</v>
      </c>
      <c r="P19" s="43">
        <v>293</v>
      </c>
      <c r="Q19" s="43">
        <v>109</v>
      </c>
      <c r="R19" s="43">
        <v>15</v>
      </c>
      <c r="S19" s="42">
        <f t="shared" si="0"/>
        <v>16992</v>
      </c>
      <c r="U19" s="49">
        <f t="shared" si="1"/>
        <v>0.54378531073446323</v>
      </c>
      <c r="V19" s="44">
        <f t="shared" si="2"/>
        <v>9240</v>
      </c>
      <c r="W19" s="45">
        <f t="shared" si="3"/>
        <v>7752</v>
      </c>
      <c r="X19" s="49">
        <f t="shared" si="4"/>
        <v>0.45621468926553671</v>
      </c>
    </row>
    <row r="20" spans="1:24" ht="15">
      <c r="A20" s="13" t="s">
        <v>52</v>
      </c>
      <c r="B20" s="14" t="s">
        <v>55</v>
      </c>
      <c r="C20" s="43">
        <v>321</v>
      </c>
      <c r="D20" s="43">
        <v>1007</v>
      </c>
      <c r="E20" s="43">
        <v>1133</v>
      </c>
      <c r="F20" s="43">
        <v>1234</v>
      </c>
      <c r="G20" s="43">
        <v>802</v>
      </c>
      <c r="H20" s="43">
        <v>331</v>
      </c>
      <c r="I20" s="43">
        <v>105</v>
      </c>
      <c r="J20" s="43">
        <v>20</v>
      </c>
      <c r="K20" s="43">
        <v>326</v>
      </c>
      <c r="L20" s="43">
        <v>996</v>
      </c>
      <c r="M20" s="43">
        <v>1067</v>
      </c>
      <c r="N20" s="43">
        <v>1153</v>
      </c>
      <c r="O20" s="43">
        <v>757</v>
      </c>
      <c r="P20" s="43">
        <v>360</v>
      </c>
      <c r="Q20" s="43">
        <v>184</v>
      </c>
      <c r="R20" s="43">
        <v>38</v>
      </c>
      <c r="S20" s="42">
        <f t="shared" si="0"/>
        <v>9834</v>
      </c>
      <c r="U20" s="49">
        <f t="shared" si="1"/>
        <v>0.50366076876143995</v>
      </c>
      <c r="V20" s="44">
        <f t="shared" si="2"/>
        <v>4953</v>
      </c>
      <c r="W20" s="45">
        <f t="shared" si="3"/>
        <v>4881</v>
      </c>
      <c r="X20" s="49">
        <f t="shared" si="4"/>
        <v>0.49633923123856011</v>
      </c>
    </row>
    <row r="21" spans="1:24" ht="15">
      <c r="A21" s="13" t="s">
        <v>53</v>
      </c>
      <c r="B21" s="14" t="s">
        <v>56</v>
      </c>
      <c r="C21" s="43">
        <v>608</v>
      </c>
      <c r="D21" s="43">
        <v>2273</v>
      </c>
      <c r="E21" s="43">
        <v>2475</v>
      </c>
      <c r="F21" s="43">
        <v>2303</v>
      </c>
      <c r="G21" s="43">
        <v>1581</v>
      </c>
      <c r="H21" s="43">
        <v>683</v>
      </c>
      <c r="I21" s="43">
        <v>155</v>
      </c>
      <c r="J21" s="43">
        <v>36</v>
      </c>
      <c r="K21" s="43">
        <v>566</v>
      </c>
      <c r="L21" s="43">
        <v>1884</v>
      </c>
      <c r="M21" s="43">
        <v>2005</v>
      </c>
      <c r="N21" s="43">
        <v>2067</v>
      </c>
      <c r="O21" s="43">
        <v>1613</v>
      </c>
      <c r="P21" s="43">
        <v>731</v>
      </c>
      <c r="Q21" s="43">
        <v>246</v>
      </c>
      <c r="R21" s="43">
        <v>89</v>
      </c>
      <c r="S21" s="42">
        <f t="shared" si="0"/>
        <v>19315</v>
      </c>
      <c r="U21" s="49">
        <f t="shared" si="1"/>
        <v>0.52363448097333676</v>
      </c>
      <c r="V21" s="44">
        <f t="shared" si="2"/>
        <v>10114</v>
      </c>
      <c r="W21" s="45">
        <f t="shared" si="3"/>
        <v>9201</v>
      </c>
      <c r="X21" s="49">
        <f t="shared" si="4"/>
        <v>0.47636551902666324</v>
      </c>
    </row>
    <row r="22" spans="1:24" ht="15">
      <c r="A22" s="13" t="s">
        <v>54</v>
      </c>
      <c r="B22" s="14" t="s">
        <v>57</v>
      </c>
      <c r="C22" s="43">
        <v>466</v>
      </c>
      <c r="D22" s="43">
        <v>1551</v>
      </c>
      <c r="E22" s="43">
        <v>1943</v>
      </c>
      <c r="F22" s="43">
        <v>2150</v>
      </c>
      <c r="G22" s="43">
        <v>1769</v>
      </c>
      <c r="H22" s="43">
        <v>717</v>
      </c>
      <c r="I22" s="43">
        <v>198</v>
      </c>
      <c r="J22" s="43">
        <v>48</v>
      </c>
      <c r="K22" s="43">
        <v>500</v>
      </c>
      <c r="L22" s="43">
        <v>1645</v>
      </c>
      <c r="M22" s="43">
        <v>1817</v>
      </c>
      <c r="N22" s="43">
        <v>2028</v>
      </c>
      <c r="O22" s="43">
        <v>1671</v>
      </c>
      <c r="P22" s="43">
        <v>814</v>
      </c>
      <c r="Q22" s="43">
        <v>308</v>
      </c>
      <c r="R22" s="43">
        <v>92</v>
      </c>
      <c r="S22" s="42">
        <f t="shared" si="0"/>
        <v>17717</v>
      </c>
      <c r="U22" s="49">
        <f t="shared" si="1"/>
        <v>0.49906869108765595</v>
      </c>
      <c r="V22" s="44">
        <f t="shared" si="2"/>
        <v>8842</v>
      </c>
      <c r="W22" s="45">
        <f t="shared" si="3"/>
        <v>8875</v>
      </c>
      <c r="X22" s="49">
        <f t="shared" si="4"/>
        <v>0.50093130891234405</v>
      </c>
    </row>
    <row r="23" spans="1:24" ht="15">
      <c r="A23" s="13" t="s">
        <v>60</v>
      </c>
      <c r="B23" s="14" t="s">
        <v>63</v>
      </c>
      <c r="C23" s="43">
        <v>223</v>
      </c>
      <c r="D23" s="43">
        <v>1065</v>
      </c>
      <c r="E23" s="43">
        <v>1425</v>
      </c>
      <c r="F23" s="43">
        <v>1640</v>
      </c>
      <c r="G23" s="43">
        <v>1092</v>
      </c>
      <c r="H23" s="43">
        <v>507</v>
      </c>
      <c r="I23" s="43">
        <v>129</v>
      </c>
      <c r="J23" s="43">
        <v>21</v>
      </c>
      <c r="K23" s="43">
        <v>249</v>
      </c>
      <c r="L23" s="43">
        <v>1029</v>
      </c>
      <c r="M23" s="43">
        <v>1255</v>
      </c>
      <c r="N23" s="43">
        <v>1492</v>
      </c>
      <c r="O23" s="43">
        <v>1054</v>
      </c>
      <c r="P23" s="43">
        <v>614</v>
      </c>
      <c r="Q23" s="43">
        <v>191</v>
      </c>
      <c r="R23" s="43">
        <v>54</v>
      </c>
      <c r="S23" s="42">
        <f t="shared" si="0"/>
        <v>12040</v>
      </c>
      <c r="U23" s="49">
        <f t="shared" si="1"/>
        <v>0.50681063122923586</v>
      </c>
      <c r="V23" s="44">
        <f t="shared" si="2"/>
        <v>6102</v>
      </c>
      <c r="W23" s="45">
        <f t="shared" si="3"/>
        <v>5938</v>
      </c>
      <c r="X23" s="49">
        <f t="shared" si="4"/>
        <v>0.49318936877076414</v>
      </c>
    </row>
    <row r="24" spans="1:24" ht="15">
      <c r="A24" s="13" t="s">
        <v>61</v>
      </c>
      <c r="B24" s="14" t="s">
        <v>64</v>
      </c>
      <c r="C24" s="43">
        <v>293</v>
      </c>
      <c r="D24" s="43">
        <v>1084</v>
      </c>
      <c r="E24" s="43">
        <v>1296</v>
      </c>
      <c r="F24" s="43">
        <v>1514</v>
      </c>
      <c r="G24" s="43">
        <v>1117</v>
      </c>
      <c r="H24" s="43">
        <v>416</v>
      </c>
      <c r="I24" s="43">
        <v>108</v>
      </c>
      <c r="J24" s="43">
        <v>22</v>
      </c>
      <c r="K24" s="43">
        <v>256</v>
      </c>
      <c r="L24" s="43">
        <v>974</v>
      </c>
      <c r="M24" s="43">
        <v>1099</v>
      </c>
      <c r="N24" s="43">
        <v>1332</v>
      </c>
      <c r="O24" s="43">
        <v>980</v>
      </c>
      <c r="P24" s="43">
        <v>485</v>
      </c>
      <c r="Q24" s="43">
        <v>155</v>
      </c>
      <c r="R24" s="43">
        <v>71</v>
      </c>
      <c r="S24" s="42">
        <f t="shared" si="0"/>
        <v>11202</v>
      </c>
      <c r="U24" s="49">
        <f t="shared" si="1"/>
        <v>0.52222817354043916</v>
      </c>
      <c r="V24" s="44">
        <f t="shared" si="2"/>
        <v>5850</v>
      </c>
      <c r="W24" s="45">
        <f t="shared" si="3"/>
        <v>5352</v>
      </c>
      <c r="X24" s="49">
        <f t="shared" si="4"/>
        <v>0.47777182645956079</v>
      </c>
    </row>
    <row r="25" spans="1:24" ht="15">
      <c r="A25" s="13" t="s">
        <v>62</v>
      </c>
      <c r="B25" s="14" t="s">
        <v>65</v>
      </c>
      <c r="C25" s="43">
        <v>459</v>
      </c>
      <c r="D25" s="43">
        <v>1441</v>
      </c>
      <c r="E25" s="43">
        <v>1639</v>
      </c>
      <c r="F25" s="43">
        <v>1831</v>
      </c>
      <c r="G25" s="43">
        <v>1345</v>
      </c>
      <c r="H25" s="43">
        <v>580</v>
      </c>
      <c r="I25" s="43">
        <v>120</v>
      </c>
      <c r="J25" s="43">
        <v>27</v>
      </c>
      <c r="K25" s="43">
        <v>465</v>
      </c>
      <c r="L25" s="43">
        <v>1362</v>
      </c>
      <c r="M25" s="43">
        <v>1575</v>
      </c>
      <c r="N25" s="43">
        <v>1757</v>
      </c>
      <c r="O25" s="43">
        <v>1346</v>
      </c>
      <c r="P25" s="43">
        <v>687</v>
      </c>
      <c r="Q25" s="43">
        <v>210</v>
      </c>
      <c r="R25" s="43">
        <v>49</v>
      </c>
      <c r="S25" s="42">
        <f t="shared" si="0"/>
        <v>14893</v>
      </c>
      <c r="U25" s="49">
        <f t="shared" si="1"/>
        <v>0.49969784462499162</v>
      </c>
      <c r="V25" s="44">
        <f t="shared" si="2"/>
        <v>7442</v>
      </c>
      <c r="W25" s="45">
        <f t="shared" si="3"/>
        <v>7451</v>
      </c>
      <c r="X25" s="49">
        <f t="shared" si="4"/>
        <v>0.50030215537500844</v>
      </c>
    </row>
    <row r="26" spans="1:24" ht="15">
      <c r="A26" s="13" t="s">
        <v>68</v>
      </c>
      <c r="B26" s="14" t="s">
        <v>71</v>
      </c>
      <c r="C26" s="43">
        <v>340</v>
      </c>
      <c r="D26" s="43">
        <v>884</v>
      </c>
      <c r="E26" s="43">
        <v>756</v>
      </c>
      <c r="F26" s="43">
        <v>856</v>
      </c>
      <c r="G26" s="43">
        <v>536</v>
      </c>
      <c r="H26" s="43">
        <v>276</v>
      </c>
      <c r="I26" s="43">
        <v>68</v>
      </c>
      <c r="J26" s="43">
        <v>18</v>
      </c>
      <c r="K26" s="43">
        <v>373</v>
      </c>
      <c r="L26" s="43">
        <v>965</v>
      </c>
      <c r="M26" s="43">
        <v>781</v>
      </c>
      <c r="N26" s="43">
        <v>794</v>
      </c>
      <c r="O26" s="43">
        <v>560</v>
      </c>
      <c r="P26" s="43">
        <v>309</v>
      </c>
      <c r="Q26" s="43">
        <v>119</v>
      </c>
      <c r="R26" s="43">
        <v>18</v>
      </c>
      <c r="S26" s="42">
        <f t="shared" si="0"/>
        <v>7653</v>
      </c>
      <c r="U26" s="49">
        <f t="shared" si="1"/>
        <v>0.48791323663922642</v>
      </c>
      <c r="V26" s="44">
        <f t="shared" si="2"/>
        <v>3734</v>
      </c>
      <c r="W26" s="45">
        <f t="shared" si="3"/>
        <v>3919</v>
      </c>
      <c r="X26" s="49">
        <f t="shared" si="4"/>
        <v>0.51208676336077352</v>
      </c>
    </row>
    <row r="27" spans="1:24" ht="15">
      <c r="A27" s="13" t="s">
        <v>69</v>
      </c>
      <c r="B27" s="14" t="s">
        <v>72</v>
      </c>
      <c r="C27" s="43">
        <v>281</v>
      </c>
      <c r="D27" s="43">
        <v>932</v>
      </c>
      <c r="E27" s="43">
        <v>836</v>
      </c>
      <c r="F27" s="43">
        <v>933</v>
      </c>
      <c r="G27" s="43">
        <v>672</v>
      </c>
      <c r="H27" s="43">
        <v>323</v>
      </c>
      <c r="I27" s="43">
        <v>57</v>
      </c>
      <c r="J27" s="43">
        <v>13</v>
      </c>
      <c r="K27" s="43">
        <v>358</v>
      </c>
      <c r="L27" s="43">
        <v>960</v>
      </c>
      <c r="M27" s="43">
        <v>775</v>
      </c>
      <c r="N27" s="43">
        <v>962</v>
      </c>
      <c r="O27" s="43">
        <v>687</v>
      </c>
      <c r="P27" s="43">
        <v>362</v>
      </c>
      <c r="Q27" s="43">
        <v>115</v>
      </c>
      <c r="R27" s="43">
        <v>33</v>
      </c>
      <c r="S27" s="42">
        <f t="shared" si="0"/>
        <v>8299</v>
      </c>
      <c r="U27" s="49">
        <f t="shared" si="1"/>
        <v>0.48764911435112662</v>
      </c>
      <c r="V27" s="44">
        <f t="shared" si="2"/>
        <v>4047</v>
      </c>
      <c r="W27" s="45">
        <f t="shared" si="3"/>
        <v>4252</v>
      </c>
      <c r="X27" s="49">
        <f t="shared" si="4"/>
        <v>0.51235088564887332</v>
      </c>
    </row>
    <row r="28" spans="1:24" ht="15">
      <c r="A28" s="13" t="s">
        <v>70</v>
      </c>
      <c r="B28" s="14" t="s">
        <v>73</v>
      </c>
      <c r="C28" s="43">
        <v>248</v>
      </c>
      <c r="D28" s="43">
        <v>705</v>
      </c>
      <c r="E28" s="43">
        <v>783</v>
      </c>
      <c r="F28" s="43">
        <v>814</v>
      </c>
      <c r="G28" s="43">
        <v>597</v>
      </c>
      <c r="H28" s="43">
        <v>271</v>
      </c>
      <c r="I28" s="43">
        <v>67</v>
      </c>
      <c r="J28" s="43">
        <v>23</v>
      </c>
      <c r="K28" s="43">
        <v>292</v>
      </c>
      <c r="L28" s="43">
        <v>778</v>
      </c>
      <c r="M28" s="43">
        <v>733</v>
      </c>
      <c r="N28" s="43">
        <v>815</v>
      </c>
      <c r="O28" s="43">
        <v>632</v>
      </c>
      <c r="P28" s="43">
        <v>314</v>
      </c>
      <c r="Q28" s="43">
        <v>80</v>
      </c>
      <c r="R28" s="43">
        <v>56</v>
      </c>
      <c r="S28" s="42">
        <f t="shared" si="0"/>
        <v>7208</v>
      </c>
      <c r="U28" s="49">
        <f t="shared" si="1"/>
        <v>0.48668146503884574</v>
      </c>
      <c r="V28" s="44">
        <f t="shared" si="2"/>
        <v>3508</v>
      </c>
      <c r="W28" s="45">
        <f t="shared" si="3"/>
        <v>3700</v>
      </c>
      <c r="X28" s="49">
        <f t="shared" si="4"/>
        <v>0.51331853496115432</v>
      </c>
    </row>
    <row r="29" spans="1:24" ht="15">
      <c r="A29" s="13" t="s">
        <v>76</v>
      </c>
      <c r="B29" s="14" t="s">
        <v>79</v>
      </c>
      <c r="C29" s="43">
        <v>332</v>
      </c>
      <c r="D29" s="43">
        <v>1063</v>
      </c>
      <c r="E29" s="43">
        <v>1002</v>
      </c>
      <c r="F29" s="43">
        <v>1102</v>
      </c>
      <c r="G29" s="43">
        <v>703</v>
      </c>
      <c r="H29" s="43">
        <v>387</v>
      </c>
      <c r="I29" s="43">
        <v>72</v>
      </c>
      <c r="J29" s="43">
        <v>23</v>
      </c>
      <c r="K29" s="43">
        <v>324</v>
      </c>
      <c r="L29" s="43">
        <v>1018</v>
      </c>
      <c r="M29" s="43">
        <v>924</v>
      </c>
      <c r="N29" s="43">
        <v>1057</v>
      </c>
      <c r="O29" s="43">
        <v>770</v>
      </c>
      <c r="P29" s="43">
        <v>396</v>
      </c>
      <c r="Q29" s="43">
        <v>145</v>
      </c>
      <c r="R29" s="43">
        <v>49</v>
      </c>
      <c r="S29" s="42">
        <f t="shared" si="0"/>
        <v>9367</v>
      </c>
      <c r="U29" s="49">
        <f t="shared" si="1"/>
        <v>0.5000533788833138</v>
      </c>
      <c r="V29" s="44">
        <f t="shared" si="2"/>
        <v>4684</v>
      </c>
      <c r="W29" s="45">
        <f t="shared" si="3"/>
        <v>4683</v>
      </c>
      <c r="X29" s="49">
        <f t="shared" si="4"/>
        <v>0.49994662111668625</v>
      </c>
    </row>
    <row r="30" spans="1:24" ht="15">
      <c r="A30" s="13" t="s">
        <v>77</v>
      </c>
      <c r="B30" s="14" t="s">
        <v>80</v>
      </c>
      <c r="C30" s="43">
        <v>410</v>
      </c>
      <c r="D30" s="43">
        <v>888</v>
      </c>
      <c r="E30" s="43">
        <v>909</v>
      </c>
      <c r="F30" s="43">
        <v>1056</v>
      </c>
      <c r="G30" s="43">
        <v>751</v>
      </c>
      <c r="H30" s="43">
        <v>381</v>
      </c>
      <c r="I30" s="43">
        <v>92</v>
      </c>
      <c r="J30" s="43">
        <v>23</v>
      </c>
      <c r="K30" s="43">
        <v>389</v>
      </c>
      <c r="L30" s="43">
        <v>978</v>
      </c>
      <c r="M30" s="43">
        <v>1016</v>
      </c>
      <c r="N30" s="43">
        <v>1143</v>
      </c>
      <c r="O30" s="43">
        <v>874</v>
      </c>
      <c r="P30" s="43">
        <v>465</v>
      </c>
      <c r="Q30" s="43">
        <v>158</v>
      </c>
      <c r="R30" s="43">
        <v>45</v>
      </c>
      <c r="S30" s="42">
        <f t="shared" si="0"/>
        <v>9578</v>
      </c>
      <c r="U30" s="49">
        <f t="shared" si="1"/>
        <v>0.47087074545834201</v>
      </c>
      <c r="V30" s="44">
        <f t="shared" si="2"/>
        <v>4510</v>
      </c>
      <c r="W30" s="45">
        <f t="shared" si="3"/>
        <v>5068</v>
      </c>
      <c r="X30" s="49">
        <f t="shared" si="4"/>
        <v>0.52912925454165793</v>
      </c>
    </row>
    <row r="31" spans="1:24" ht="15">
      <c r="A31" s="13" t="s">
        <v>78</v>
      </c>
      <c r="B31" s="14" t="s">
        <v>81</v>
      </c>
      <c r="C31" s="43">
        <v>592</v>
      </c>
      <c r="D31" s="43">
        <v>1467</v>
      </c>
      <c r="E31" s="43">
        <v>1132</v>
      </c>
      <c r="F31" s="43">
        <v>1232</v>
      </c>
      <c r="G31" s="43">
        <v>710</v>
      </c>
      <c r="H31" s="43">
        <v>280</v>
      </c>
      <c r="I31" s="43">
        <v>74</v>
      </c>
      <c r="J31" s="43">
        <v>25</v>
      </c>
      <c r="K31" s="43">
        <v>690</v>
      </c>
      <c r="L31" s="43">
        <v>1497</v>
      </c>
      <c r="M31" s="43">
        <v>1155</v>
      </c>
      <c r="N31" s="43">
        <v>1167</v>
      </c>
      <c r="O31" s="43">
        <v>643</v>
      </c>
      <c r="P31" s="43">
        <v>292</v>
      </c>
      <c r="Q31" s="43">
        <v>92</v>
      </c>
      <c r="R31" s="43">
        <v>46</v>
      </c>
      <c r="S31" s="42">
        <f t="shared" si="0"/>
        <v>11094</v>
      </c>
      <c r="U31" s="49">
        <f t="shared" si="1"/>
        <v>0.49684514151793763</v>
      </c>
      <c r="V31" s="44">
        <f t="shared" si="2"/>
        <v>5512</v>
      </c>
      <c r="W31" s="45">
        <f t="shared" si="3"/>
        <v>5582</v>
      </c>
      <c r="X31" s="49">
        <f t="shared" si="4"/>
        <v>0.50315485848206243</v>
      </c>
    </row>
    <row r="32" spans="1:24" ht="15">
      <c r="A32" s="13" t="s">
        <v>84</v>
      </c>
      <c r="B32" s="14" t="s">
        <v>87</v>
      </c>
      <c r="C32" s="43">
        <v>346</v>
      </c>
      <c r="D32" s="43">
        <v>931</v>
      </c>
      <c r="E32" s="43">
        <v>1152</v>
      </c>
      <c r="F32" s="43">
        <v>1309</v>
      </c>
      <c r="G32" s="43">
        <v>955</v>
      </c>
      <c r="H32" s="43">
        <v>536</v>
      </c>
      <c r="I32" s="43">
        <v>127</v>
      </c>
      <c r="J32" s="43">
        <v>38</v>
      </c>
      <c r="K32" s="43">
        <v>347</v>
      </c>
      <c r="L32" s="43">
        <v>937</v>
      </c>
      <c r="M32" s="43">
        <v>1090</v>
      </c>
      <c r="N32" s="43">
        <v>1260</v>
      </c>
      <c r="O32" s="43">
        <v>957</v>
      </c>
      <c r="P32" s="43">
        <v>551</v>
      </c>
      <c r="Q32" s="43">
        <v>188</v>
      </c>
      <c r="R32" s="43">
        <v>67</v>
      </c>
      <c r="S32" s="42">
        <f t="shared" si="0"/>
        <v>10791</v>
      </c>
      <c r="U32" s="49">
        <f t="shared" si="1"/>
        <v>0.49986099527383931</v>
      </c>
      <c r="V32" s="44">
        <f t="shared" si="2"/>
        <v>5394</v>
      </c>
      <c r="W32" s="45">
        <f t="shared" si="3"/>
        <v>5397</v>
      </c>
      <c r="X32" s="49">
        <f t="shared" si="4"/>
        <v>0.50013900472616069</v>
      </c>
    </row>
    <row r="33" spans="1:24" ht="15">
      <c r="A33" s="13" t="s">
        <v>85</v>
      </c>
      <c r="B33" s="14" t="s">
        <v>88</v>
      </c>
      <c r="C33" s="43">
        <v>638</v>
      </c>
      <c r="D33" s="43">
        <v>895</v>
      </c>
      <c r="E33" s="43">
        <v>898</v>
      </c>
      <c r="F33" s="43">
        <v>1117</v>
      </c>
      <c r="G33" s="43">
        <v>836</v>
      </c>
      <c r="H33" s="43">
        <v>437</v>
      </c>
      <c r="I33" s="43">
        <v>113</v>
      </c>
      <c r="J33" s="43">
        <v>20</v>
      </c>
      <c r="K33" s="43">
        <v>268</v>
      </c>
      <c r="L33" s="43">
        <v>766</v>
      </c>
      <c r="M33" s="43">
        <v>891</v>
      </c>
      <c r="N33" s="43">
        <v>1055</v>
      </c>
      <c r="O33" s="43">
        <v>891</v>
      </c>
      <c r="P33" s="43">
        <v>597</v>
      </c>
      <c r="Q33" s="43">
        <v>168</v>
      </c>
      <c r="R33" s="43">
        <v>42</v>
      </c>
      <c r="S33" s="42">
        <f t="shared" si="0"/>
        <v>9632</v>
      </c>
      <c r="U33" s="49">
        <f t="shared" si="1"/>
        <v>0.51432724252491691</v>
      </c>
      <c r="V33" s="44">
        <f t="shared" si="2"/>
        <v>4954</v>
      </c>
      <c r="W33" s="45">
        <f t="shared" si="3"/>
        <v>4678</v>
      </c>
      <c r="X33" s="49">
        <f t="shared" si="4"/>
        <v>0.48567275747508304</v>
      </c>
    </row>
    <row r="34" spans="1:24" ht="15">
      <c r="A34" s="13" t="s">
        <v>86</v>
      </c>
      <c r="B34" s="14" t="s">
        <v>89</v>
      </c>
      <c r="C34" s="43">
        <v>605</v>
      </c>
      <c r="D34" s="43">
        <v>1360</v>
      </c>
      <c r="E34" s="43">
        <v>1312</v>
      </c>
      <c r="F34" s="43">
        <v>1373</v>
      </c>
      <c r="G34" s="43">
        <v>1070</v>
      </c>
      <c r="H34" s="43">
        <v>508</v>
      </c>
      <c r="I34" s="43">
        <v>162</v>
      </c>
      <c r="J34" s="43">
        <v>25</v>
      </c>
      <c r="K34" s="43">
        <v>597</v>
      </c>
      <c r="L34" s="43">
        <v>1478</v>
      </c>
      <c r="M34" s="43">
        <v>1398</v>
      </c>
      <c r="N34" s="43">
        <v>1364</v>
      </c>
      <c r="O34" s="43">
        <v>1118</v>
      </c>
      <c r="P34" s="43">
        <v>602</v>
      </c>
      <c r="Q34" s="43">
        <v>203</v>
      </c>
      <c r="R34" s="43">
        <v>49</v>
      </c>
      <c r="S34" s="42">
        <f t="shared" si="0"/>
        <v>13224</v>
      </c>
      <c r="U34" s="49">
        <f t="shared" si="1"/>
        <v>0.4851028433151845</v>
      </c>
      <c r="V34" s="44">
        <f t="shared" si="2"/>
        <v>6415</v>
      </c>
      <c r="W34" s="45">
        <f t="shared" si="3"/>
        <v>6809</v>
      </c>
      <c r="X34" s="49">
        <f t="shared" si="4"/>
        <v>0.5148971566848155</v>
      </c>
    </row>
    <row r="35" spans="1:24" ht="15">
      <c r="A35" s="13" t="s">
        <v>92</v>
      </c>
      <c r="B35" s="14" t="s">
        <v>94</v>
      </c>
      <c r="C35" s="43">
        <v>406</v>
      </c>
      <c r="D35" s="43">
        <v>946</v>
      </c>
      <c r="E35" s="43">
        <v>1166</v>
      </c>
      <c r="F35" s="43">
        <v>1376</v>
      </c>
      <c r="G35" s="43">
        <v>938</v>
      </c>
      <c r="H35" s="43">
        <v>453</v>
      </c>
      <c r="I35" s="43">
        <v>141</v>
      </c>
      <c r="J35" s="43">
        <v>37</v>
      </c>
      <c r="K35" s="43">
        <v>408</v>
      </c>
      <c r="L35" s="43">
        <v>1020</v>
      </c>
      <c r="M35" s="43">
        <v>1137</v>
      </c>
      <c r="N35" s="43">
        <v>1232</v>
      </c>
      <c r="O35" s="43">
        <v>927</v>
      </c>
      <c r="P35" s="43">
        <v>575</v>
      </c>
      <c r="Q35" s="43">
        <v>195</v>
      </c>
      <c r="R35" s="43">
        <v>82</v>
      </c>
      <c r="S35" s="42">
        <f t="shared" si="0"/>
        <v>11039</v>
      </c>
      <c r="U35" s="49">
        <f t="shared" si="1"/>
        <v>0.49488178277017847</v>
      </c>
      <c r="V35" s="44">
        <f t="shared" si="2"/>
        <v>5463</v>
      </c>
      <c r="W35" s="45">
        <f t="shared" si="3"/>
        <v>5576</v>
      </c>
      <c r="X35" s="49">
        <f t="shared" si="4"/>
        <v>0.50511821722982153</v>
      </c>
    </row>
    <row r="36" spans="1:24" ht="15">
      <c r="A36" s="13" t="s">
        <v>93</v>
      </c>
      <c r="B36" s="14" t="s">
        <v>95</v>
      </c>
      <c r="C36" s="43">
        <v>365</v>
      </c>
      <c r="D36" s="43">
        <v>1068</v>
      </c>
      <c r="E36" s="43">
        <v>1145</v>
      </c>
      <c r="F36" s="43">
        <v>1118</v>
      </c>
      <c r="G36" s="43">
        <v>809</v>
      </c>
      <c r="H36" s="43">
        <v>357</v>
      </c>
      <c r="I36" s="43">
        <v>98</v>
      </c>
      <c r="J36" s="43">
        <v>24</v>
      </c>
      <c r="K36" s="43">
        <v>338</v>
      </c>
      <c r="L36" s="43">
        <v>1002</v>
      </c>
      <c r="M36" s="43">
        <v>999</v>
      </c>
      <c r="N36" s="43">
        <v>1146</v>
      </c>
      <c r="O36" s="43">
        <v>717</v>
      </c>
      <c r="P36" s="43">
        <v>491</v>
      </c>
      <c r="Q36" s="43">
        <v>164</v>
      </c>
      <c r="R36" s="43">
        <v>88</v>
      </c>
      <c r="S36" s="42">
        <f t="shared" si="0"/>
        <v>9929</v>
      </c>
      <c r="U36" s="49">
        <f t="shared" si="1"/>
        <v>0.50196394400241717</v>
      </c>
      <c r="V36" s="44">
        <f t="shared" si="2"/>
        <v>4984</v>
      </c>
      <c r="W36" s="45">
        <f t="shared" si="3"/>
        <v>4945</v>
      </c>
      <c r="X36" s="49">
        <f t="shared" si="4"/>
        <v>0.49803605599758283</v>
      </c>
    </row>
    <row r="37" spans="1:24" ht="15">
      <c r="A37" s="13" t="s">
        <v>98</v>
      </c>
      <c r="B37" s="14" t="s">
        <v>101</v>
      </c>
      <c r="C37" s="43">
        <v>615</v>
      </c>
      <c r="D37" s="43">
        <v>1391</v>
      </c>
      <c r="E37" s="43">
        <v>1131</v>
      </c>
      <c r="F37" s="43">
        <v>1114</v>
      </c>
      <c r="G37" s="43">
        <v>772</v>
      </c>
      <c r="H37" s="43">
        <v>288</v>
      </c>
      <c r="I37" s="43">
        <v>81</v>
      </c>
      <c r="J37" s="43">
        <v>21</v>
      </c>
      <c r="K37" s="43">
        <v>627</v>
      </c>
      <c r="L37" s="43">
        <v>1362</v>
      </c>
      <c r="M37" s="43">
        <v>1206</v>
      </c>
      <c r="N37" s="43">
        <v>1122</v>
      </c>
      <c r="O37" s="43">
        <v>740</v>
      </c>
      <c r="P37" s="43">
        <v>357</v>
      </c>
      <c r="Q37" s="43">
        <v>120</v>
      </c>
      <c r="R37" s="43">
        <v>37</v>
      </c>
      <c r="S37" s="42">
        <f t="shared" si="0"/>
        <v>10984</v>
      </c>
      <c r="U37" s="49">
        <f t="shared" si="1"/>
        <v>0.49280772032046616</v>
      </c>
      <c r="V37" s="44">
        <f t="shared" si="2"/>
        <v>5413</v>
      </c>
      <c r="W37" s="45">
        <f t="shared" si="3"/>
        <v>5571</v>
      </c>
      <c r="X37" s="49">
        <f t="shared" si="4"/>
        <v>0.50719227967953384</v>
      </c>
    </row>
    <row r="38" spans="1:24" ht="15">
      <c r="A38" s="13" t="s">
        <v>99</v>
      </c>
      <c r="B38" s="14" t="s">
        <v>102</v>
      </c>
      <c r="C38" s="43">
        <v>365</v>
      </c>
      <c r="D38" s="43">
        <v>980</v>
      </c>
      <c r="E38" s="43">
        <v>914</v>
      </c>
      <c r="F38" s="43">
        <v>1065</v>
      </c>
      <c r="G38" s="43">
        <v>755</v>
      </c>
      <c r="H38" s="43">
        <v>385</v>
      </c>
      <c r="I38" s="43">
        <v>131</v>
      </c>
      <c r="J38" s="43">
        <v>16</v>
      </c>
      <c r="K38" s="43">
        <v>384</v>
      </c>
      <c r="L38" s="43">
        <v>931</v>
      </c>
      <c r="M38" s="43">
        <v>873</v>
      </c>
      <c r="N38" s="43">
        <v>1053</v>
      </c>
      <c r="O38" s="43">
        <v>825</v>
      </c>
      <c r="P38" s="43">
        <v>479</v>
      </c>
      <c r="Q38" s="43">
        <v>157</v>
      </c>
      <c r="R38" s="43">
        <v>21</v>
      </c>
      <c r="S38" s="42">
        <f t="shared" si="0"/>
        <v>9334</v>
      </c>
      <c r="U38" s="49">
        <f t="shared" si="1"/>
        <v>0.49400042854081849</v>
      </c>
      <c r="V38" s="44">
        <f t="shared" si="2"/>
        <v>4611</v>
      </c>
      <c r="W38" s="45">
        <f t="shared" si="3"/>
        <v>4723</v>
      </c>
      <c r="X38" s="49">
        <f t="shared" si="4"/>
        <v>0.50599957145918151</v>
      </c>
    </row>
    <row r="39" spans="1:24" ht="15">
      <c r="A39" s="13" t="s">
        <v>100</v>
      </c>
      <c r="B39" s="14" t="s">
        <v>103</v>
      </c>
      <c r="C39" s="43">
        <v>438</v>
      </c>
      <c r="D39" s="43">
        <v>1072</v>
      </c>
      <c r="E39" s="43">
        <v>950</v>
      </c>
      <c r="F39" s="43">
        <v>1076</v>
      </c>
      <c r="G39" s="43">
        <v>681</v>
      </c>
      <c r="H39" s="43">
        <v>361</v>
      </c>
      <c r="I39" s="43">
        <v>123</v>
      </c>
      <c r="J39" s="43">
        <v>28</v>
      </c>
      <c r="K39" s="43">
        <v>454</v>
      </c>
      <c r="L39" s="43">
        <v>1053</v>
      </c>
      <c r="M39" s="43">
        <v>895</v>
      </c>
      <c r="N39" s="43">
        <v>993</v>
      </c>
      <c r="O39" s="43">
        <v>786</v>
      </c>
      <c r="P39" s="43">
        <v>423</v>
      </c>
      <c r="Q39" s="43">
        <v>158</v>
      </c>
      <c r="R39" s="43">
        <v>32</v>
      </c>
      <c r="S39" s="42">
        <f t="shared" si="0"/>
        <v>9523</v>
      </c>
      <c r="U39" s="49">
        <f t="shared" si="1"/>
        <v>0.49658720991284261</v>
      </c>
      <c r="V39" s="44">
        <f t="shared" si="2"/>
        <v>4729</v>
      </c>
      <c r="W39" s="45">
        <f t="shared" si="3"/>
        <v>4794</v>
      </c>
      <c r="X39" s="49">
        <f t="shared" si="4"/>
        <v>0.50341279008715745</v>
      </c>
    </row>
    <row r="40" spans="1:24" ht="15">
      <c r="A40" s="13" t="s">
        <v>106</v>
      </c>
      <c r="B40" s="14" t="s">
        <v>109</v>
      </c>
      <c r="C40" s="43">
        <v>365</v>
      </c>
      <c r="D40" s="43">
        <v>866</v>
      </c>
      <c r="E40" s="43">
        <v>823</v>
      </c>
      <c r="F40" s="43">
        <v>919</v>
      </c>
      <c r="G40" s="43">
        <v>590</v>
      </c>
      <c r="H40" s="43">
        <v>247</v>
      </c>
      <c r="I40" s="43">
        <v>58</v>
      </c>
      <c r="J40" s="43">
        <v>11</v>
      </c>
      <c r="K40" s="43">
        <v>386</v>
      </c>
      <c r="L40" s="43">
        <v>876</v>
      </c>
      <c r="M40" s="43">
        <v>856</v>
      </c>
      <c r="N40" s="43">
        <v>953</v>
      </c>
      <c r="O40" s="43">
        <v>673</v>
      </c>
      <c r="P40" s="43">
        <v>299</v>
      </c>
      <c r="Q40" s="43">
        <v>102</v>
      </c>
      <c r="R40" s="43">
        <v>28</v>
      </c>
      <c r="S40" s="42">
        <f t="shared" si="0"/>
        <v>8052</v>
      </c>
      <c r="U40" s="49">
        <f t="shared" si="1"/>
        <v>0.48174366616989567</v>
      </c>
      <c r="V40" s="44">
        <f t="shared" si="2"/>
        <v>3879</v>
      </c>
      <c r="W40" s="45">
        <f t="shared" si="3"/>
        <v>4173</v>
      </c>
      <c r="X40" s="49">
        <f t="shared" si="4"/>
        <v>0.51825633383010428</v>
      </c>
    </row>
    <row r="41" spans="1:24" ht="15">
      <c r="A41" s="13" t="s">
        <v>107</v>
      </c>
      <c r="B41" s="14" t="s">
        <v>110</v>
      </c>
      <c r="C41" s="43">
        <v>609</v>
      </c>
      <c r="D41" s="43">
        <v>1372</v>
      </c>
      <c r="E41" s="43">
        <v>1295</v>
      </c>
      <c r="F41" s="43">
        <v>1582</v>
      </c>
      <c r="G41" s="43">
        <v>1139</v>
      </c>
      <c r="H41" s="43">
        <v>472</v>
      </c>
      <c r="I41" s="43">
        <v>122</v>
      </c>
      <c r="J41" s="43">
        <v>15</v>
      </c>
      <c r="K41" s="43">
        <v>597</v>
      </c>
      <c r="L41" s="43">
        <v>1231</v>
      </c>
      <c r="M41" s="43">
        <v>1188</v>
      </c>
      <c r="N41" s="43">
        <v>1520</v>
      </c>
      <c r="O41" s="43">
        <v>1141</v>
      </c>
      <c r="P41" s="43">
        <v>576</v>
      </c>
      <c r="Q41" s="43">
        <v>162</v>
      </c>
      <c r="R41" s="43">
        <v>53</v>
      </c>
      <c r="S41" s="42">
        <f t="shared" si="0"/>
        <v>13074</v>
      </c>
      <c r="U41" s="49">
        <f t="shared" si="1"/>
        <v>0.50527765029830196</v>
      </c>
      <c r="V41" s="44">
        <f t="shared" si="2"/>
        <v>6606</v>
      </c>
      <c r="W41" s="45">
        <f t="shared" si="3"/>
        <v>6468</v>
      </c>
      <c r="X41" s="49">
        <f t="shared" si="4"/>
        <v>0.49472234970169804</v>
      </c>
    </row>
    <row r="42" spans="1:24" ht="15">
      <c r="A42" s="13" t="s">
        <v>108</v>
      </c>
      <c r="B42" s="14" t="s">
        <v>111</v>
      </c>
      <c r="C42" s="43">
        <v>453</v>
      </c>
      <c r="D42" s="43">
        <v>1151</v>
      </c>
      <c r="E42" s="43">
        <v>1052</v>
      </c>
      <c r="F42" s="43">
        <v>1051</v>
      </c>
      <c r="G42" s="43">
        <v>722</v>
      </c>
      <c r="H42" s="43">
        <v>318</v>
      </c>
      <c r="I42" s="43">
        <v>65</v>
      </c>
      <c r="J42" s="43">
        <v>20</v>
      </c>
      <c r="K42" s="43">
        <v>557</v>
      </c>
      <c r="L42" s="43">
        <v>1265</v>
      </c>
      <c r="M42" s="43">
        <v>1050</v>
      </c>
      <c r="N42" s="43">
        <v>1059</v>
      </c>
      <c r="O42" s="43">
        <v>835</v>
      </c>
      <c r="P42" s="43">
        <v>358</v>
      </c>
      <c r="Q42" s="43">
        <v>103</v>
      </c>
      <c r="R42" s="43">
        <v>52</v>
      </c>
      <c r="S42" s="42">
        <f t="shared" si="0"/>
        <v>10111</v>
      </c>
      <c r="U42" s="49">
        <f t="shared" si="1"/>
        <v>0.4778953614874889</v>
      </c>
      <c r="V42" s="44">
        <f t="shared" si="2"/>
        <v>4832</v>
      </c>
      <c r="W42" s="45">
        <f t="shared" si="3"/>
        <v>5279</v>
      </c>
      <c r="X42" s="49">
        <f t="shared" si="4"/>
        <v>0.5221046385125111</v>
      </c>
    </row>
    <row r="43" spans="1:24" ht="15">
      <c r="A43" s="13" t="s">
        <v>114</v>
      </c>
      <c r="B43" s="14" t="s">
        <v>116</v>
      </c>
      <c r="C43" s="43">
        <v>574</v>
      </c>
      <c r="D43" s="43">
        <v>1292</v>
      </c>
      <c r="E43" s="43">
        <v>1217</v>
      </c>
      <c r="F43" s="43">
        <v>1207</v>
      </c>
      <c r="G43" s="43">
        <v>733</v>
      </c>
      <c r="H43" s="43">
        <v>331</v>
      </c>
      <c r="I43" s="43">
        <v>70</v>
      </c>
      <c r="J43" s="43">
        <v>21</v>
      </c>
      <c r="K43" s="43">
        <v>697</v>
      </c>
      <c r="L43" s="43">
        <v>1370</v>
      </c>
      <c r="M43" s="43">
        <v>1319</v>
      </c>
      <c r="N43" s="43">
        <v>1203</v>
      </c>
      <c r="O43" s="43">
        <v>856</v>
      </c>
      <c r="P43" s="43">
        <v>383</v>
      </c>
      <c r="Q43" s="43">
        <v>126</v>
      </c>
      <c r="R43" s="43">
        <v>29</v>
      </c>
      <c r="S43" s="42">
        <f t="shared" si="0"/>
        <v>11428</v>
      </c>
      <c r="U43" s="49">
        <f t="shared" si="1"/>
        <v>0.4764613230661533</v>
      </c>
      <c r="V43" s="44">
        <f t="shared" si="2"/>
        <v>5445</v>
      </c>
      <c r="W43" s="45">
        <f t="shared" si="3"/>
        <v>5983</v>
      </c>
      <c r="X43" s="49">
        <f t="shared" si="4"/>
        <v>0.5235386769338467</v>
      </c>
    </row>
    <row r="44" spans="1:24" ht="15">
      <c r="A44" s="13" t="s">
        <v>115</v>
      </c>
      <c r="B44" s="14" t="s">
        <v>117</v>
      </c>
      <c r="C44" s="43">
        <v>412</v>
      </c>
      <c r="D44" s="43">
        <v>1128</v>
      </c>
      <c r="E44" s="43">
        <v>1169</v>
      </c>
      <c r="F44" s="43">
        <v>1167</v>
      </c>
      <c r="G44" s="43">
        <v>725</v>
      </c>
      <c r="H44" s="43">
        <v>305</v>
      </c>
      <c r="I44" s="43">
        <v>81</v>
      </c>
      <c r="J44" s="43">
        <v>29</v>
      </c>
      <c r="K44" s="43">
        <v>384</v>
      </c>
      <c r="L44" s="43">
        <v>1145</v>
      </c>
      <c r="M44" s="43">
        <v>1167</v>
      </c>
      <c r="N44" s="43">
        <v>1159</v>
      </c>
      <c r="O44" s="43">
        <v>834</v>
      </c>
      <c r="P44" s="43">
        <v>384</v>
      </c>
      <c r="Q44" s="43">
        <v>138</v>
      </c>
      <c r="R44" s="43">
        <v>70</v>
      </c>
      <c r="S44" s="42">
        <f t="shared" si="0"/>
        <v>10297</v>
      </c>
      <c r="U44" s="49">
        <f t="shared" si="1"/>
        <v>0.48713217441973389</v>
      </c>
      <c r="V44" s="44">
        <f t="shared" si="2"/>
        <v>5016</v>
      </c>
      <c r="W44" s="45">
        <f t="shared" si="3"/>
        <v>5281</v>
      </c>
      <c r="X44" s="49">
        <f t="shared" si="4"/>
        <v>0.51286782558026611</v>
      </c>
    </row>
    <row r="45" spans="1:24" ht="15">
      <c r="A45" s="13" t="s">
        <v>120</v>
      </c>
      <c r="B45" s="14" t="s">
        <v>122</v>
      </c>
      <c r="C45" s="43">
        <v>373</v>
      </c>
      <c r="D45" s="43">
        <v>1084</v>
      </c>
      <c r="E45" s="43">
        <v>930</v>
      </c>
      <c r="F45" s="43">
        <v>1012</v>
      </c>
      <c r="G45" s="43">
        <v>669</v>
      </c>
      <c r="H45" s="43">
        <v>277</v>
      </c>
      <c r="I45" s="43">
        <v>79</v>
      </c>
      <c r="J45" s="43">
        <v>10</v>
      </c>
      <c r="K45" s="43">
        <v>430</v>
      </c>
      <c r="L45" s="43">
        <v>1228</v>
      </c>
      <c r="M45" s="43">
        <v>959</v>
      </c>
      <c r="N45" s="43">
        <v>977</v>
      </c>
      <c r="O45" s="43">
        <v>693</v>
      </c>
      <c r="P45" s="43">
        <v>328</v>
      </c>
      <c r="Q45" s="43">
        <v>108</v>
      </c>
      <c r="R45" s="43">
        <v>38</v>
      </c>
      <c r="S45" s="42">
        <f t="shared" si="0"/>
        <v>9195</v>
      </c>
      <c r="U45" s="49">
        <f t="shared" si="1"/>
        <v>0.48221859706362152</v>
      </c>
      <c r="V45" s="44">
        <f t="shared" si="2"/>
        <v>4434</v>
      </c>
      <c r="W45" s="45">
        <f t="shared" si="3"/>
        <v>4761</v>
      </c>
      <c r="X45" s="49">
        <f t="shared" si="4"/>
        <v>0.51778140293637842</v>
      </c>
    </row>
    <row r="46" spans="1:24" ht="15">
      <c r="A46" s="13" t="s">
        <v>121</v>
      </c>
      <c r="B46" s="14" t="s">
        <v>123</v>
      </c>
      <c r="C46" s="43">
        <v>384</v>
      </c>
      <c r="D46" s="43">
        <v>1125</v>
      </c>
      <c r="E46" s="43">
        <v>1062</v>
      </c>
      <c r="F46" s="43">
        <v>1056</v>
      </c>
      <c r="G46" s="43">
        <v>643</v>
      </c>
      <c r="H46" s="43">
        <v>304</v>
      </c>
      <c r="I46" s="43">
        <v>83</v>
      </c>
      <c r="J46" s="43">
        <v>12</v>
      </c>
      <c r="K46" s="43">
        <v>472</v>
      </c>
      <c r="L46" s="43">
        <v>1224</v>
      </c>
      <c r="M46" s="43">
        <v>1133</v>
      </c>
      <c r="N46" s="43">
        <v>1102</v>
      </c>
      <c r="O46" s="43">
        <v>797</v>
      </c>
      <c r="P46" s="43">
        <v>444</v>
      </c>
      <c r="Q46" s="43">
        <v>95</v>
      </c>
      <c r="R46" s="43">
        <v>27</v>
      </c>
      <c r="S46" s="42">
        <f t="shared" si="0"/>
        <v>9963</v>
      </c>
      <c r="U46" s="49">
        <f t="shared" si="1"/>
        <v>0.46863394559871524</v>
      </c>
      <c r="V46" s="44">
        <f t="shared" si="2"/>
        <v>4669</v>
      </c>
      <c r="W46" s="45">
        <f t="shared" si="3"/>
        <v>5294</v>
      </c>
      <c r="X46" s="49">
        <f t="shared" si="4"/>
        <v>0.5313660544012847</v>
      </c>
    </row>
    <row r="47" spans="1:24" ht="15">
      <c r="A47" s="13" t="s">
        <v>126</v>
      </c>
      <c r="B47" s="14" t="s">
        <v>128</v>
      </c>
      <c r="C47" s="43">
        <v>1113</v>
      </c>
      <c r="D47" s="43">
        <v>2652</v>
      </c>
      <c r="E47" s="43">
        <v>2490</v>
      </c>
      <c r="F47" s="43">
        <v>2384</v>
      </c>
      <c r="G47" s="43">
        <v>1950</v>
      </c>
      <c r="H47" s="43">
        <v>819</v>
      </c>
      <c r="I47" s="43">
        <v>241</v>
      </c>
      <c r="J47" s="43">
        <v>64</v>
      </c>
      <c r="K47" s="43">
        <v>1220</v>
      </c>
      <c r="L47" s="43">
        <v>2556</v>
      </c>
      <c r="M47" s="43">
        <v>2416</v>
      </c>
      <c r="N47" s="43">
        <v>2343</v>
      </c>
      <c r="O47" s="43">
        <v>1913</v>
      </c>
      <c r="P47" s="43">
        <v>933</v>
      </c>
      <c r="Q47" s="43">
        <v>344</v>
      </c>
      <c r="R47" s="43">
        <v>103</v>
      </c>
      <c r="S47" s="42">
        <f t="shared" si="0"/>
        <v>23541</v>
      </c>
      <c r="U47" s="49">
        <f t="shared" si="1"/>
        <v>0.49755745295441994</v>
      </c>
      <c r="V47" s="44">
        <f t="shared" si="2"/>
        <v>11713</v>
      </c>
      <c r="W47" s="45">
        <f t="shared" si="3"/>
        <v>11828</v>
      </c>
      <c r="X47" s="49">
        <f t="shared" si="4"/>
        <v>0.50244254704558</v>
      </c>
    </row>
    <row r="48" spans="1:24" ht="15">
      <c r="A48" s="13" t="s">
        <v>127</v>
      </c>
      <c r="B48" s="14" t="s">
        <v>129</v>
      </c>
      <c r="C48" s="43">
        <v>962</v>
      </c>
      <c r="D48" s="43">
        <v>1982</v>
      </c>
      <c r="E48" s="43">
        <v>1967</v>
      </c>
      <c r="F48" s="43">
        <v>1965</v>
      </c>
      <c r="G48" s="43">
        <v>1295</v>
      </c>
      <c r="H48" s="43">
        <v>618</v>
      </c>
      <c r="I48" s="43">
        <v>189</v>
      </c>
      <c r="J48" s="43">
        <v>57</v>
      </c>
      <c r="K48" s="43">
        <v>1082</v>
      </c>
      <c r="L48" s="43">
        <v>1914</v>
      </c>
      <c r="M48" s="43">
        <v>1882</v>
      </c>
      <c r="N48" s="43">
        <v>1776</v>
      </c>
      <c r="O48" s="43">
        <v>1261</v>
      </c>
      <c r="P48" s="43">
        <v>736</v>
      </c>
      <c r="Q48" s="43">
        <v>341</v>
      </c>
      <c r="R48" s="43">
        <v>129</v>
      </c>
      <c r="S48" s="42">
        <f t="shared" si="0"/>
        <v>18156</v>
      </c>
      <c r="U48" s="49">
        <f t="shared" si="1"/>
        <v>0.49763163692443269</v>
      </c>
      <c r="V48" s="44">
        <f t="shared" si="2"/>
        <v>9035</v>
      </c>
      <c r="W48" s="45">
        <f t="shared" si="3"/>
        <v>9121</v>
      </c>
      <c r="X48" s="49">
        <f t="shared" si="4"/>
        <v>0.50236836307556731</v>
      </c>
    </row>
    <row r="49" spans="1:24" ht="15">
      <c r="A49" s="13" t="s">
        <v>132</v>
      </c>
      <c r="B49" s="14" t="s">
        <v>134</v>
      </c>
      <c r="C49" s="43">
        <v>726</v>
      </c>
      <c r="D49" s="43">
        <v>1169</v>
      </c>
      <c r="E49" s="43">
        <v>1288</v>
      </c>
      <c r="F49" s="43">
        <v>1375</v>
      </c>
      <c r="G49" s="43">
        <v>735</v>
      </c>
      <c r="H49" s="43">
        <v>314</v>
      </c>
      <c r="I49" s="43">
        <v>88</v>
      </c>
      <c r="J49" s="43">
        <v>36</v>
      </c>
      <c r="K49" s="43">
        <v>648</v>
      </c>
      <c r="L49" s="43">
        <v>1110</v>
      </c>
      <c r="M49" s="43">
        <v>1117</v>
      </c>
      <c r="N49" s="43">
        <v>1176</v>
      </c>
      <c r="O49" s="43">
        <v>743</v>
      </c>
      <c r="P49" s="43">
        <v>378</v>
      </c>
      <c r="Q49" s="43">
        <v>164</v>
      </c>
      <c r="R49" s="43">
        <v>87</v>
      </c>
      <c r="S49" s="42">
        <f t="shared" si="0"/>
        <v>11154</v>
      </c>
      <c r="U49" s="49">
        <f t="shared" si="1"/>
        <v>0.51380670611439838</v>
      </c>
      <c r="V49" s="44">
        <f t="shared" si="2"/>
        <v>5731</v>
      </c>
      <c r="W49" s="45">
        <f t="shared" si="3"/>
        <v>5423</v>
      </c>
      <c r="X49" s="49">
        <f t="shared" si="4"/>
        <v>0.48619329388560156</v>
      </c>
    </row>
    <row r="50" spans="1:24" ht="15">
      <c r="A50" s="13" t="s">
        <v>133</v>
      </c>
      <c r="B50" s="14" t="s">
        <v>135</v>
      </c>
      <c r="C50" s="43">
        <v>806</v>
      </c>
      <c r="D50" s="43">
        <v>1530</v>
      </c>
      <c r="E50" s="43">
        <v>1738</v>
      </c>
      <c r="F50" s="43">
        <v>1597</v>
      </c>
      <c r="G50" s="43">
        <v>915</v>
      </c>
      <c r="H50" s="43">
        <v>486</v>
      </c>
      <c r="I50" s="43">
        <v>150</v>
      </c>
      <c r="J50" s="43">
        <v>42</v>
      </c>
      <c r="K50" s="43">
        <v>783</v>
      </c>
      <c r="L50" s="43">
        <v>1533</v>
      </c>
      <c r="M50" s="43">
        <v>1648</v>
      </c>
      <c r="N50" s="43">
        <v>1463</v>
      </c>
      <c r="O50" s="43">
        <v>955</v>
      </c>
      <c r="P50" s="43">
        <v>577</v>
      </c>
      <c r="Q50" s="43">
        <v>276</v>
      </c>
      <c r="R50" s="43">
        <v>172</v>
      </c>
      <c r="S50" s="42">
        <f t="shared" si="0"/>
        <v>14671</v>
      </c>
      <c r="U50" s="49">
        <f t="shared" si="1"/>
        <v>0.4951264399154795</v>
      </c>
      <c r="V50" s="44">
        <f t="shared" si="2"/>
        <v>7264</v>
      </c>
      <c r="W50" s="45">
        <f t="shared" si="3"/>
        <v>7407</v>
      </c>
      <c r="X50" s="49">
        <f t="shared" si="4"/>
        <v>0.50487356008452045</v>
      </c>
    </row>
    <row r="51" spans="1:24" ht="15">
      <c r="A51" s="13" t="s">
        <v>138</v>
      </c>
      <c r="B51" s="14" t="s">
        <v>140</v>
      </c>
      <c r="C51" s="43">
        <v>392</v>
      </c>
      <c r="D51" s="43">
        <v>997</v>
      </c>
      <c r="E51" s="43">
        <v>1027</v>
      </c>
      <c r="F51" s="43">
        <v>1079</v>
      </c>
      <c r="G51" s="43">
        <v>773</v>
      </c>
      <c r="H51" s="43">
        <v>344</v>
      </c>
      <c r="I51" s="43">
        <v>103</v>
      </c>
      <c r="J51" s="43">
        <v>28</v>
      </c>
      <c r="K51" s="43">
        <v>433</v>
      </c>
      <c r="L51" s="43">
        <v>1049</v>
      </c>
      <c r="M51" s="43">
        <v>993</v>
      </c>
      <c r="N51" s="43">
        <v>1066</v>
      </c>
      <c r="O51" s="43">
        <v>762</v>
      </c>
      <c r="P51" s="43">
        <v>466</v>
      </c>
      <c r="Q51" s="43">
        <v>209</v>
      </c>
      <c r="R51" s="43">
        <v>132</v>
      </c>
      <c r="S51" s="42">
        <f t="shared" si="0"/>
        <v>9853</v>
      </c>
      <c r="U51" s="49">
        <f t="shared" si="1"/>
        <v>0.48137623058966811</v>
      </c>
      <c r="V51" s="44">
        <f t="shared" si="2"/>
        <v>4743</v>
      </c>
      <c r="W51" s="45">
        <f t="shared" si="3"/>
        <v>5110</v>
      </c>
      <c r="X51" s="49">
        <f t="shared" si="4"/>
        <v>0.51862376941033184</v>
      </c>
    </row>
    <row r="52" spans="1:24" ht="15">
      <c r="A52" s="13" t="s">
        <v>139</v>
      </c>
      <c r="B52" s="14" t="s">
        <v>141</v>
      </c>
      <c r="C52" s="43">
        <v>539</v>
      </c>
      <c r="D52" s="43">
        <v>1172</v>
      </c>
      <c r="E52" s="43">
        <v>1189</v>
      </c>
      <c r="F52" s="43">
        <v>1362</v>
      </c>
      <c r="G52" s="43">
        <v>930</v>
      </c>
      <c r="H52" s="43">
        <v>389</v>
      </c>
      <c r="I52" s="43">
        <v>113</v>
      </c>
      <c r="J52" s="43">
        <v>37</v>
      </c>
      <c r="K52" s="43">
        <v>537</v>
      </c>
      <c r="L52" s="43">
        <v>1204</v>
      </c>
      <c r="M52" s="43">
        <v>1184</v>
      </c>
      <c r="N52" s="43">
        <v>1318</v>
      </c>
      <c r="O52" s="43">
        <v>910</v>
      </c>
      <c r="P52" s="43">
        <v>553</v>
      </c>
      <c r="Q52" s="43">
        <v>214</v>
      </c>
      <c r="R52" s="43">
        <v>112</v>
      </c>
      <c r="S52" s="42">
        <f t="shared" si="0"/>
        <v>11763</v>
      </c>
      <c r="U52" s="49">
        <f t="shared" si="1"/>
        <v>0.48720564481849871</v>
      </c>
      <c r="V52" s="44">
        <f t="shared" si="2"/>
        <v>5731</v>
      </c>
      <c r="W52" s="45">
        <f t="shared" si="3"/>
        <v>6032</v>
      </c>
      <c r="X52" s="49">
        <f t="shared" si="4"/>
        <v>0.51279435518150129</v>
      </c>
    </row>
    <row r="53" spans="1:24" ht="15">
      <c r="A53" s="13" t="s">
        <v>144</v>
      </c>
      <c r="B53" s="14" t="s">
        <v>146</v>
      </c>
      <c r="C53" s="43">
        <v>635</v>
      </c>
      <c r="D53" s="43">
        <v>2252</v>
      </c>
      <c r="E53" s="43">
        <v>2720</v>
      </c>
      <c r="F53" s="43">
        <v>2808</v>
      </c>
      <c r="G53" s="43">
        <v>2797</v>
      </c>
      <c r="H53" s="43">
        <v>1295</v>
      </c>
      <c r="I53" s="43">
        <v>354</v>
      </c>
      <c r="J53" s="43">
        <v>83</v>
      </c>
      <c r="K53" s="43">
        <v>738</v>
      </c>
      <c r="L53" s="43">
        <v>2312</v>
      </c>
      <c r="M53" s="43">
        <v>2899</v>
      </c>
      <c r="N53" s="43">
        <v>3096</v>
      </c>
      <c r="O53" s="43">
        <v>3192</v>
      </c>
      <c r="P53" s="43">
        <v>1622</v>
      </c>
      <c r="Q53" s="43">
        <v>638</v>
      </c>
      <c r="R53" s="43">
        <v>195</v>
      </c>
      <c r="S53" s="42">
        <f t="shared" si="0"/>
        <v>27636</v>
      </c>
      <c r="U53" s="49">
        <f t="shared" si="1"/>
        <v>0.46837458387610365</v>
      </c>
      <c r="V53" s="44">
        <f t="shared" si="2"/>
        <v>12944</v>
      </c>
      <c r="W53" s="45">
        <f t="shared" si="3"/>
        <v>14692</v>
      </c>
      <c r="X53" s="49">
        <f t="shared" si="4"/>
        <v>0.53162541612389635</v>
      </c>
    </row>
    <row r="54" spans="1:24" ht="15">
      <c r="A54" s="13" t="s">
        <v>145</v>
      </c>
      <c r="B54" s="14" t="s">
        <v>147</v>
      </c>
      <c r="C54" s="43">
        <v>2623</v>
      </c>
      <c r="D54" s="43">
        <v>4362</v>
      </c>
      <c r="E54" s="43">
        <v>3740</v>
      </c>
      <c r="F54" s="43">
        <v>3244</v>
      </c>
      <c r="G54" s="43">
        <v>2044</v>
      </c>
      <c r="H54" s="43">
        <v>908</v>
      </c>
      <c r="I54" s="43">
        <v>227</v>
      </c>
      <c r="J54" s="43">
        <v>82</v>
      </c>
      <c r="K54" s="43">
        <v>2368</v>
      </c>
      <c r="L54" s="43">
        <v>4369</v>
      </c>
      <c r="M54" s="43">
        <v>4017</v>
      </c>
      <c r="N54" s="43">
        <v>3234</v>
      </c>
      <c r="O54" s="43">
        <v>2116</v>
      </c>
      <c r="P54" s="43">
        <v>1044</v>
      </c>
      <c r="Q54" s="43">
        <v>402</v>
      </c>
      <c r="R54" s="43">
        <v>175</v>
      </c>
      <c r="S54" s="42">
        <f t="shared" si="0"/>
        <v>34955</v>
      </c>
      <c r="U54" s="49">
        <f t="shared" si="1"/>
        <v>0.49291946788728364</v>
      </c>
      <c r="V54" s="44">
        <f t="shared" si="2"/>
        <v>17230</v>
      </c>
      <c r="W54" s="45">
        <f t="shared" si="3"/>
        <v>17725</v>
      </c>
      <c r="X54" s="49">
        <f t="shared" si="4"/>
        <v>0.50708053211271631</v>
      </c>
    </row>
    <row r="55" spans="1:24" ht="15">
      <c r="A55" s="13" t="s">
        <v>150</v>
      </c>
      <c r="B55" s="14" t="s">
        <v>153</v>
      </c>
      <c r="C55" s="43">
        <v>1033</v>
      </c>
      <c r="D55" s="43">
        <v>1799</v>
      </c>
      <c r="E55" s="43">
        <v>1713</v>
      </c>
      <c r="F55" s="43">
        <v>2091</v>
      </c>
      <c r="G55" s="43">
        <v>1735</v>
      </c>
      <c r="H55" s="43">
        <v>803</v>
      </c>
      <c r="I55" s="43">
        <v>277</v>
      </c>
      <c r="J55" s="43">
        <v>88</v>
      </c>
      <c r="K55" s="43">
        <v>1149</v>
      </c>
      <c r="L55" s="43">
        <v>1850</v>
      </c>
      <c r="M55" s="43">
        <v>1762</v>
      </c>
      <c r="N55" s="43">
        <v>2158</v>
      </c>
      <c r="O55" s="43">
        <v>1740</v>
      </c>
      <c r="P55" s="43">
        <v>892</v>
      </c>
      <c r="Q55" s="43">
        <v>395</v>
      </c>
      <c r="R55" s="43">
        <v>165</v>
      </c>
      <c r="S55" s="42">
        <f t="shared" si="0"/>
        <v>19650</v>
      </c>
      <c r="U55" s="49">
        <f t="shared" si="1"/>
        <v>0.48544529262086517</v>
      </c>
      <c r="V55" s="44">
        <f t="shared" si="2"/>
        <v>9539</v>
      </c>
      <c r="W55" s="45">
        <f t="shared" si="3"/>
        <v>10111</v>
      </c>
      <c r="X55" s="49">
        <f t="shared" si="4"/>
        <v>0.51455470737913489</v>
      </c>
    </row>
    <row r="56" spans="1:24" ht="15">
      <c r="A56" s="13" t="s">
        <v>151</v>
      </c>
      <c r="B56" s="14" t="s">
        <v>154</v>
      </c>
      <c r="C56" s="43">
        <v>1558</v>
      </c>
      <c r="D56" s="43">
        <v>4440</v>
      </c>
      <c r="E56" s="43">
        <v>4077</v>
      </c>
      <c r="F56" s="43">
        <v>3330</v>
      </c>
      <c r="G56" s="43">
        <v>2228</v>
      </c>
      <c r="H56" s="43">
        <v>887</v>
      </c>
      <c r="I56" s="43">
        <v>258</v>
      </c>
      <c r="J56" s="43">
        <v>49</v>
      </c>
      <c r="K56" s="43">
        <v>1634</v>
      </c>
      <c r="L56" s="43">
        <v>4156</v>
      </c>
      <c r="M56" s="43">
        <v>4240</v>
      </c>
      <c r="N56" s="43">
        <v>3521</v>
      </c>
      <c r="O56" s="43">
        <v>2513</v>
      </c>
      <c r="P56" s="43">
        <v>1080</v>
      </c>
      <c r="Q56" s="43">
        <v>403</v>
      </c>
      <c r="R56" s="43">
        <v>92</v>
      </c>
      <c r="S56" s="42">
        <f t="shared" si="0"/>
        <v>34466</v>
      </c>
      <c r="U56" s="49">
        <f t="shared" si="1"/>
        <v>0.4882202750536761</v>
      </c>
      <c r="V56" s="44">
        <f t="shared" si="2"/>
        <v>16827</v>
      </c>
      <c r="W56" s="45">
        <f t="shared" si="3"/>
        <v>17639</v>
      </c>
      <c r="X56" s="49">
        <f t="shared" si="4"/>
        <v>0.51177972494632396</v>
      </c>
    </row>
    <row r="57" spans="1:24" ht="15">
      <c r="A57" s="13" t="s">
        <v>152</v>
      </c>
      <c r="B57" s="14" t="s">
        <v>155</v>
      </c>
      <c r="C57" s="43">
        <v>2375</v>
      </c>
      <c r="D57" s="43">
        <v>2992</v>
      </c>
      <c r="E57" s="43">
        <v>2449</v>
      </c>
      <c r="F57" s="43">
        <v>1730</v>
      </c>
      <c r="G57" s="43">
        <v>1157</v>
      </c>
      <c r="H57" s="43">
        <v>506</v>
      </c>
      <c r="I57" s="43">
        <v>133</v>
      </c>
      <c r="J57" s="43">
        <v>51</v>
      </c>
      <c r="K57" s="43">
        <v>1776</v>
      </c>
      <c r="L57" s="43">
        <v>3163</v>
      </c>
      <c r="M57" s="43">
        <v>2590</v>
      </c>
      <c r="N57" s="43">
        <v>1849</v>
      </c>
      <c r="O57" s="43">
        <v>1328</v>
      </c>
      <c r="P57" s="43">
        <v>663</v>
      </c>
      <c r="Q57" s="43">
        <v>239</v>
      </c>
      <c r="R57" s="43">
        <v>91</v>
      </c>
      <c r="S57" s="42">
        <f t="shared" si="0"/>
        <v>23092</v>
      </c>
      <c r="U57" s="49">
        <f t="shared" si="1"/>
        <v>0.49337432877186904</v>
      </c>
      <c r="V57" s="44">
        <f t="shared" si="2"/>
        <v>11393</v>
      </c>
      <c r="W57" s="45">
        <f t="shared" si="3"/>
        <v>11699</v>
      </c>
      <c r="X57" s="49">
        <f t="shared" si="4"/>
        <v>0.50662567122813096</v>
      </c>
    </row>
    <row r="58" spans="1:24" ht="15">
      <c r="A58" s="13" t="s">
        <v>158</v>
      </c>
      <c r="B58" s="14" t="s">
        <v>161</v>
      </c>
      <c r="C58" s="43">
        <v>653</v>
      </c>
      <c r="D58" s="43">
        <v>1299</v>
      </c>
      <c r="E58" s="43">
        <v>1262</v>
      </c>
      <c r="F58" s="43">
        <v>1366</v>
      </c>
      <c r="G58" s="43">
        <v>905</v>
      </c>
      <c r="H58" s="43">
        <v>454</v>
      </c>
      <c r="I58" s="43">
        <v>112</v>
      </c>
      <c r="J58" s="43">
        <v>10</v>
      </c>
      <c r="K58" s="43">
        <v>721</v>
      </c>
      <c r="L58" s="43">
        <v>1386</v>
      </c>
      <c r="M58" s="43">
        <v>1261</v>
      </c>
      <c r="N58" s="43">
        <v>1364</v>
      </c>
      <c r="O58" s="43">
        <v>1009</v>
      </c>
      <c r="P58" s="43">
        <v>548</v>
      </c>
      <c r="Q58" s="43">
        <v>128</v>
      </c>
      <c r="R58" s="43">
        <v>25</v>
      </c>
      <c r="S58" s="42">
        <f t="shared" si="0"/>
        <v>12503</v>
      </c>
      <c r="U58" s="49">
        <f t="shared" si="1"/>
        <v>0.48476365672238664</v>
      </c>
      <c r="V58" s="44">
        <f t="shared" si="2"/>
        <v>6061</v>
      </c>
      <c r="W58" s="45">
        <f t="shared" si="3"/>
        <v>6442</v>
      </c>
      <c r="X58" s="49">
        <f t="shared" si="4"/>
        <v>0.51523634327761336</v>
      </c>
    </row>
    <row r="59" spans="1:24" ht="15">
      <c r="A59" s="13" t="s">
        <v>159</v>
      </c>
      <c r="B59" s="14" t="s">
        <v>162</v>
      </c>
      <c r="C59" s="43">
        <v>405</v>
      </c>
      <c r="D59" s="43">
        <v>1048</v>
      </c>
      <c r="E59" s="43">
        <v>1126</v>
      </c>
      <c r="F59" s="43">
        <v>1139</v>
      </c>
      <c r="G59" s="43">
        <v>755</v>
      </c>
      <c r="H59" s="43">
        <v>374</v>
      </c>
      <c r="I59" s="43">
        <v>94</v>
      </c>
      <c r="J59" s="43">
        <v>12</v>
      </c>
      <c r="K59" s="43">
        <v>434</v>
      </c>
      <c r="L59" s="43">
        <v>1094</v>
      </c>
      <c r="M59" s="43">
        <v>1057</v>
      </c>
      <c r="N59" s="43">
        <v>1064</v>
      </c>
      <c r="O59" s="43">
        <v>764</v>
      </c>
      <c r="P59" s="43">
        <v>489</v>
      </c>
      <c r="Q59" s="43">
        <v>156</v>
      </c>
      <c r="R59" s="43">
        <v>48</v>
      </c>
      <c r="S59" s="42">
        <f t="shared" si="0"/>
        <v>10059</v>
      </c>
      <c r="U59" s="49">
        <f t="shared" si="1"/>
        <v>0.49239487026543394</v>
      </c>
      <c r="V59" s="44">
        <f t="shared" si="2"/>
        <v>4953</v>
      </c>
      <c r="W59" s="45">
        <f t="shared" si="3"/>
        <v>5106</v>
      </c>
      <c r="X59" s="49">
        <f t="shared" si="4"/>
        <v>0.50760512973456606</v>
      </c>
    </row>
    <row r="60" spans="1:24" ht="15">
      <c r="A60" s="13" t="s">
        <v>160</v>
      </c>
      <c r="B60" s="14" t="s">
        <v>163</v>
      </c>
      <c r="C60" s="43">
        <v>353</v>
      </c>
      <c r="D60" s="43">
        <v>980</v>
      </c>
      <c r="E60" s="43">
        <v>1018</v>
      </c>
      <c r="F60" s="43">
        <v>969</v>
      </c>
      <c r="G60" s="43">
        <v>665</v>
      </c>
      <c r="H60" s="43">
        <v>270</v>
      </c>
      <c r="I60" s="43">
        <v>78</v>
      </c>
      <c r="J60" s="43">
        <v>13</v>
      </c>
      <c r="K60" s="43">
        <v>353</v>
      </c>
      <c r="L60" s="43">
        <v>1023</v>
      </c>
      <c r="M60" s="43">
        <v>947</v>
      </c>
      <c r="N60" s="43">
        <v>867</v>
      </c>
      <c r="O60" s="43">
        <v>675</v>
      </c>
      <c r="P60" s="43">
        <v>354</v>
      </c>
      <c r="Q60" s="43">
        <v>97</v>
      </c>
      <c r="R60" s="43">
        <v>42</v>
      </c>
      <c r="S60" s="42">
        <f t="shared" si="0"/>
        <v>8704</v>
      </c>
      <c r="U60" s="49">
        <f t="shared" si="1"/>
        <v>0.4993106617647059</v>
      </c>
      <c r="V60" s="44">
        <f t="shared" si="2"/>
        <v>4346</v>
      </c>
      <c r="W60" s="45">
        <f t="shared" si="3"/>
        <v>4358</v>
      </c>
      <c r="X60" s="49">
        <f t="shared" si="4"/>
        <v>0.50068933823529416</v>
      </c>
    </row>
    <row r="61" spans="1:24" ht="15">
      <c r="A61" s="13" t="s">
        <v>166</v>
      </c>
      <c r="B61" s="14" t="s">
        <v>168</v>
      </c>
      <c r="C61" s="43">
        <v>829</v>
      </c>
      <c r="D61" s="43">
        <v>1832</v>
      </c>
      <c r="E61" s="43">
        <v>1900</v>
      </c>
      <c r="F61" s="43">
        <v>1773</v>
      </c>
      <c r="G61" s="43">
        <v>1086</v>
      </c>
      <c r="H61" s="43">
        <v>478</v>
      </c>
      <c r="I61" s="43">
        <v>184</v>
      </c>
      <c r="J61" s="43">
        <v>48</v>
      </c>
      <c r="K61" s="43">
        <v>924</v>
      </c>
      <c r="L61" s="43">
        <v>1898</v>
      </c>
      <c r="M61" s="43">
        <v>1889</v>
      </c>
      <c r="N61" s="43">
        <v>1679</v>
      </c>
      <c r="O61" s="43">
        <v>1054</v>
      </c>
      <c r="P61" s="43">
        <v>647</v>
      </c>
      <c r="Q61" s="43">
        <v>288</v>
      </c>
      <c r="R61" s="43">
        <v>172</v>
      </c>
      <c r="S61" s="42">
        <f t="shared" si="0"/>
        <v>16681</v>
      </c>
      <c r="U61" s="49">
        <f t="shared" si="1"/>
        <v>0.48738085246687851</v>
      </c>
      <c r="V61" s="44">
        <f t="shared" si="2"/>
        <v>8130</v>
      </c>
      <c r="W61" s="45">
        <f t="shared" si="3"/>
        <v>8551</v>
      </c>
      <c r="X61" s="49">
        <f t="shared" si="4"/>
        <v>0.51261914753312154</v>
      </c>
    </row>
    <row r="62" spans="1:24" ht="15">
      <c r="A62" s="13" t="s">
        <v>167</v>
      </c>
      <c r="B62" s="14" t="s">
        <v>169</v>
      </c>
      <c r="C62" s="43">
        <v>711</v>
      </c>
      <c r="D62" s="43">
        <v>1627</v>
      </c>
      <c r="E62" s="43">
        <v>1656</v>
      </c>
      <c r="F62" s="43">
        <v>1552</v>
      </c>
      <c r="G62" s="43">
        <v>1039</v>
      </c>
      <c r="H62" s="43">
        <v>479</v>
      </c>
      <c r="I62" s="43">
        <v>134</v>
      </c>
      <c r="J62" s="43">
        <v>43</v>
      </c>
      <c r="K62" s="43">
        <v>651</v>
      </c>
      <c r="L62" s="43">
        <v>1623</v>
      </c>
      <c r="M62" s="43">
        <v>1712</v>
      </c>
      <c r="N62" s="43">
        <v>1427</v>
      </c>
      <c r="O62" s="43">
        <v>961</v>
      </c>
      <c r="P62" s="43">
        <v>528</v>
      </c>
      <c r="Q62" s="43">
        <v>158</v>
      </c>
      <c r="R62" s="43">
        <v>115</v>
      </c>
      <c r="S62" s="42">
        <f t="shared" si="0"/>
        <v>14416</v>
      </c>
      <c r="U62" s="49">
        <f t="shared" si="1"/>
        <v>0.50228912319644836</v>
      </c>
      <c r="V62" s="44">
        <f t="shared" si="2"/>
        <v>7241</v>
      </c>
      <c r="W62" s="45">
        <f t="shared" si="3"/>
        <v>7175</v>
      </c>
      <c r="X62" s="49">
        <f t="shared" si="4"/>
        <v>0.49771087680355158</v>
      </c>
    </row>
    <row r="63" spans="1:24" ht="15">
      <c r="A63" s="13" t="s">
        <v>172</v>
      </c>
      <c r="B63" s="14" t="s">
        <v>175</v>
      </c>
      <c r="C63" s="43">
        <v>412</v>
      </c>
      <c r="D63" s="43">
        <v>925</v>
      </c>
      <c r="E63" s="43">
        <v>841</v>
      </c>
      <c r="F63" s="43">
        <v>807</v>
      </c>
      <c r="G63" s="43">
        <v>487</v>
      </c>
      <c r="H63" s="43">
        <v>240</v>
      </c>
      <c r="I63" s="43">
        <v>70</v>
      </c>
      <c r="J63" s="43">
        <v>27</v>
      </c>
      <c r="K63" s="43">
        <v>446</v>
      </c>
      <c r="L63" s="43">
        <v>973</v>
      </c>
      <c r="M63" s="43">
        <v>855</v>
      </c>
      <c r="N63" s="43">
        <v>798</v>
      </c>
      <c r="O63" s="43">
        <v>462</v>
      </c>
      <c r="P63" s="43">
        <v>319</v>
      </c>
      <c r="Q63" s="43">
        <v>160</v>
      </c>
      <c r="R63" s="43">
        <v>72</v>
      </c>
      <c r="S63" s="42">
        <f t="shared" si="0"/>
        <v>7894</v>
      </c>
      <c r="U63" s="49">
        <f t="shared" si="1"/>
        <v>0.48251836838104889</v>
      </c>
      <c r="V63" s="44">
        <f t="shared" si="2"/>
        <v>3809</v>
      </c>
      <c r="W63" s="45">
        <f t="shared" si="3"/>
        <v>4085</v>
      </c>
      <c r="X63" s="49">
        <f t="shared" si="4"/>
        <v>0.51748163161895111</v>
      </c>
    </row>
    <row r="64" spans="1:24" ht="15">
      <c r="A64" s="13" t="s">
        <v>173</v>
      </c>
      <c r="B64" s="14" t="s">
        <v>176</v>
      </c>
      <c r="C64" s="43">
        <v>407</v>
      </c>
      <c r="D64" s="43">
        <v>1159</v>
      </c>
      <c r="E64" s="43">
        <v>1069</v>
      </c>
      <c r="F64" s="43">
        <v>1123</v>
      </c>
      <c r="G64" s="43">
        <v>781</v>
      </c>
      <c r="H64" s="43">
        <v>364</v>
      </c>
      <c r="I64" s="43">
        <v>107</v>
      </c>
      <c r="J64" s="43">
        <v>48</v>
      </c>
      <c r="K64" s="43">
        <v>395</v>
      </c>
      <c r="L64" s="43">
        <v>1133</v>
      </c>
      <c r="M64" s="43">
        <v>1095</v>
      </c>
      <c r="N64" s="43">
        <v>1161</v>
      </c>
      <c r="O64" s="43">
        <v>829</v>
      </c>
      <c r="P64" s="43">
        <v>500</v>
      </c>
      <c r="Q64" s="43">
        <v>255</v>
      </c>
      <c r="R64" s="43">
        <v>104</v>
      </c>
      <c r="S64" s="42">
        <f t="shared" si="0"/>
        <v>10530</v>
      </c>
      <c r="U64" s="49">
        <f t="shared" si="1"/>
        <v>0.48034188034188036</v>
      </c>
      <c r="V64" s="44">
        <f t="shared" si="2"/>
        <v>5058</v>
      </c>
      <c r="W64" s="45">
        <f t="shared" si="3"/>
        <v>5472</v>
      </c>
      <c r="X64" s="49">
        <f t="shared" si="4"/>
        <v>0.5196581196581197</v>
      </c>
    </row>
    <row r="65" spans="1:24" ht="15">
      <c r="A65" s="13" t="s">
        <v>174</v>
      </c>
      <c r="B65" s="14" t="s">
        <v>177</v>
      </c>
      <c r="C65" s="43">
        <v>455</v>
      </c>
      <c r="D65" s="43">
        <v>1228</v>
      </c>
      <c r="E65" s="43">
        <v>1256</v>
      </c>
      <c r="F65" s="43">
        <v>1308</v>
      </c>
      <c r="G65" s="43">
        <v>806</v>
      </c>
      <c r="H65" s="43">
        <v>371</v>
      </c>
      <c r="I65" s="43">
        <v>120</v>
      </c>
      <c r="J65" s="43">
        <v>35</v>
      </c>
      <c r="K65" s="43">
        <v>559</v>
      </c>
      <c r="L65" s="43">
        <v>1461</v>
      </c>
      <c r="M65" s="43">
        <v>1436</v>
      </c>
      <c r="N65" s="43">
        <v>1431</v>
      </c>
      <c r="O65" s="43">
        <v>862</v>
      </c>
      <c r="P65" s="43">
        <v>514</v>
      </c>
      <c r="Q65" s="43">
        <v>199</v>
      </c>
      <c r="R65" s="43">
        <v>109</v>
      </c>
      <c r="S65" s="42">
        <f t="shared" si="0"/>
        <v>12150</v>
      </c>
      <c r="U65" s="49">
        <f t="shared" si="1"/>
        <v>0.4591769547325103</v>
      </c>
      <c r="V65" s="44">
        <f t="shared" si="2"/>
        <v>5579</v>
      </c>
      <c r="W65" s="45">
        <f t="shared" si="3"/>
        <v>6571</v>
      </c>
      <c r="X65" s="49">
        <f t="shared" si="4"/>
        <v>0.5408230452674897</v>
      </c>
    </row>
    <row r="66" spans="1:24" ht="15">
      <c r="A66" s="13" t="s">
        <v>180</v>
      </c>
      <c r="B66" s="14" t="s">
        <v>183</v>
      </c>
      <c r="C66" s="43">
        <v>382</v>
      </c>
      <c r="D66" s="43">
        <v>1145</v>
      </c>
      <c r="E66" s="43">
        <v>1071</v>
      </c>
      <c r="F66" s="43">
        <v>1036</v>
      </c>
      <c r="G66" s="43">
        <v>667</v>
      </c>
      <c r="H66" s="43">
        <v>368</v>
      </c>
      <c r="I66" s="43">
        <v>126</v>
      </c>
      <c r="J66" s="43">
        <v>68</v>
      </c>
      <c r="K66" s="43">
        <v>403</v>
      </c>
      <c r="L66" s="43">
        <v>1142</v>
      </c>
      <c r="M66" s="43">
        <v>1087</v>
      </c>
      <c r="N66" s="43">
        <v>1034</v>
      </c>
      <c r="O66" s="43">
        <v>654</v>
      </c>
      <c r="P66" s="43">
        <v>521</v>
      </c>
      <c r="Q66" s="43">
        <v>292</v>
      </c>
      <c r="R66" s="43">
        <v>141</v>
      </c>
      <c r="S66" s="42">
        <f t="shared" si="0"/>
        <v>10137</v>
      </c>
      <c r="U66" s="49">
        <f t="shared" si="1"/>
        <v>0.47972773009766201</v>
      </c>
      <c r="V66" s="44">
        <f t="shared" si="2"/>
        <v>4863</v>
      </c>
      <c r="W66" s="45">
        <f t="shared" si="3"/>
        <v>5274</v>
      </c>
      <c r="X66" s="49">
        <f t="shared" si="4"/>
        <v>0.52027226990233799</v>
      </c>
    </row>
    <row r="67" spans="1:24" ht="15">
      <c r="A67" s="13" t="s">
        <v>181</v>
      </c>
      <c r="B67" s="14" t="s">
        <v>184</v>
      </c>
      <c r="C67" s="43">
        <v>356</v>
      </c>
      <c r="D67" s="43">
        <v>876</v>
      </c>
      <c r="E67" s="43">
        <v>934</v>
      </c>
      <c r="F67" s="43">
        <v>917</v>
      </c>
      <c r="G67" s="43">
        <v>519</v>
      </c>
      <c r="H67" s="43">
        <v>253</v>
      </c>
      <c r="I67" s="43">
        <v>91</v>
      </c>
      <c r="J67" s="43">
        <v>70</v>
      </c>
      <c r="K67" s="43">
        <v>337</v>
      </c>
      <c r="L67" s="43">
        <v>884</v>
      </c>
      <c r="M67" s="43">
        <v>829</v>
      </c>
      <c r="N67" s="43">
        <v>860</v>
      </c>
      <c r="O67" s="43">
        <v>558</v>
      </c>
      <c r="P67" s="43">
        <v>251</v>
      </c>
      <c r="Q67" s="43">
        <v>153</v>
      </c>
      <c r="R67" s="43">
        <v>115</v>
      </c>
      <c r="S67" s="42">
        <f t="shared" si="0"/>
        <v>8003</v>
      </c>
      <c r="U67" s="49">
        <f t="shared" si="1"/>
        <v>0.50181182056728724</v>
      </c>
      <c r="V67" s="44">
        <f t="shared" si="2"/>
        <v>4016</v>
      </c>
      <c r="W67" s="45">
        <f t="shared" si="3"/>
        <v>3987</v>
      </c>
      <c r="X67" s="49">
        <f t="shared" si="4"/>
        <v>0.49818817943271271</v>
      </c>
    </row>
    <row r="68" spans="1:24" ht="15">
      <c r="A68" s="13" t="s">
        <v>182</v>
      </c>
      <c r="B68" s="14" t="s">
        <v>185</v>
      </c>
      <c r="C68" s="43">
        <v>557</v>
      </c>
      <c r="D68" s="43">
        <v>1095</v>
      </c>
      <c r="E68" s="43">
        <v>1073</v>
      </c>
      <c r="F68" s="43">
        <v>1048</v>
      </c>
      <c r="G68" s="43">
        <v>608</v>
      </c>
      <c r="H68" s="43">
        <v>297</v>
      </c>
      <c r="I68" s="43">
        <v>128</v>
      </c>
      <c r="J68" s="43">
        <v>78</v>
      </c>
      <c r="K68" s="43">
        <v>516</v>
      </c>
      <c r="L68" s="43">
        <v>1096</v>
      </c>
      <c r="M68" s="43">
        <v>1117</v>
      </c>
      <c r="N68" s="43">
        <v>995</v>
      </c>
      <c r="O68" s="43">
        <v>593</v>
      </c>
      <c r="P68" s="43">
        <v>278</v>
      </c>
      <c r="Q68" s="43">
        <v>160</v>
      </c>
      <c r="R68" s="43">
        <v>99</v>
      </c>
      <c r="S68" s="42">
        <f t="shared" ref="S68:S84" si="5">SUM(C68:R68)</f>
        <v>9738</v>
      </c>
      <c r="U68" s="49">
        <f t="shared" ref="U68:U86" si="6">V68/S68</f>
        <v>0.50154035736290814</v>
      </c>
      <c r="V68" s="44">
        <f t="shared" ref="V68:V84" si="7">SUM(C68:J68)</f>
        <v>4884</v>
      </c>
      <c r="W68" s="45">
        <f t="shared" ref="W68:W84" si="8">SUM(K68:R68)</f>
        <v>4854</v>
      </c>
      <c r="X68" s="49">
        <f t="shared" ref="X68:X86" si="9">W68/S68</f>
        <v>0.4984596426370918</v>
      </c>
    </row>
    <row r="69" spans="1:24" ht="15">
      <c r="A69" s="13" t="s">
        <v>188</v>
      </c>
      <c r="B69" s="14" t="s">
        <v>192</v>
      </c>
      <c r="C69" s="43">
        <v>545</v>
      </c>
      <c r="D69" s="43">
        <v>1623</v>
      </c>
      <c r="E69" s="43">
        <v>1724</v>
      </c>
      <c r="F69" s="43">
        <v>1635</v>
      </c>
      <c r="G69" s="43">
        <v>1241</v>
      </c>
      <c r="H69" s="43">
        <v>441</v>
      </c>
      <c r="I69" s="43">
        <v>92</v>
      </c>
      <c r="J69" s="43">
        <v>23</v>
      </c>
      <c r="K69" s="43">
        <v>630</v>
      </c>
      <c r="L69" s="43">
        <v>1573</v>
      </c>
      <c r="M69" s="43">
        <v>1687</v>
      </c>
      <c r="N69" s="43">
        <v>1590</v>
      </c>
      <c r="O69" s="43">
        <v>1103</v>
      </c>
      <c r="P69" s="43">
        <v>487</v>
      </c>
      <c r="Q69" s="43">
        <v>168</v>
      </c>
      <c r="R69" s="43">
        <v>81</v>
      </c>
      <c r="S69" s="42">
        <f t="shared" si="5"/>
        <v>14643</v>
      </c>
      <c r="U69" s="49">
        <f t="shared" si="6"/>
        <v>0.50017073004165813</v>
      </c>
      <c r="V69" s="44">
        <f t="shared" si="7"/>
        <v>7324</v>
      </c>
      <c r="W69" s="45">
        <f t="shared" si="8"/>
        <v>7319</v>
      </c>
      <c r="X69" s="49">
        <f t="shared" si="9"/>
        <v>0.49982926995834187</v>
      </c>
    </row>
    <row r="70" spans="1:24" ht="15">
      <c r="A70" s="13" t="s">
        <v>189</v>
      </c>
      <c r="B70" s="14" t="s">
        <v>193</v>
      </c>
      <c r="C70" s="43">
        <v>1281</v>
      </c>
      <c r="D70" s="43">
        <v>2773</v>
      </c>
      <c r="E70" s="43">
        <v>2263</v>
      </c>
      <c r="F70" s="43">
        <v>2602</v>
      </c>
      <c r="G70" s="43">
        <v>1830</v>
      </c>
      <c r="H70" s="43">
        <v>534</v>
      </c>
      <c r="I70" s="43">
        <v>127</v>
      </c>
      <c r="J70" s="43">
        <v>16</v>
      </c>
      <c r="K70" s="43">
        <v>1347</v>
      </c>
      <c r="L70" s="43">
        <v>2722</v>
      </c>
      <c r="M70" s="43">
        <v>2507</v>
      </c>
      <c r="N70" s="43">
        <v>2519</v>
      </c>
      <c r="O70" s="43">
        <v>1565</v>
      </c>
      <c r="P70" s="43">
        <v>482</v>
      </c>
      <c r="Q70" s="43">
        <v>152</v>
      </c>
      <c r="R70" s="43">
        <v>23</v>
      </c>
      <c r="S70" s="42">
        <f t="shared" si="5"/>
        <v>22743</v>
      </c>
      <c r="U70" s="49">
        <f t="shared" si="6"/>
        <v>0.50239634173152181</v>
      </c>
      <c r="V70" s="44">
        <f t="shared" si="7"/>
        <v>11426</v>
      </c>
      <c r="W70" s="45">
        <f t="shared" si="8"/>
        <v>11317</v>
      </c>
      <c r="X70" s="49">
        <f t="shared" si="9"/>
        <v>0.49760365826847819</v>
      </c>
    </row>
    <row r="71" spans="1:24" ht="15">
      <c r="A71" s="13" t="s">
        <v>190</v>
      </c>
      <c r="B71" s="14" t="s">
        <v>194</v>
      </c>
      <c r="C71" s="43">
        <v>509</v>
      </c>
      <c r="D71" s="43">
        <v>1401</v>
      </c>
      <c r="E71" s="43">
        <v>1598</v>
      </c>
      <c r="F71" s="43">
        <v>1701</v>
      </c>
      <c r="G71" s="43">
        <v>1159</v>
      </c>
      <c r="H71" s="43">
        <v>600</v>
      </c>
      <c r="I71" s="43">
        <v>141</v>
      </c>
      <c r="J71" s="43">
        <v>59</v>
      </c>
      <c r="K71" s="43">
        <v>518</v>
      </c>
      <c r="L71" s="43">
        <v>1368</v>
      </c>
      <c r="M71" s="43">
        <v>1577</v>
      </c>
      <c r="N71" s="43">
        <v>1578</v>
      </c>
      <c r="O71" s="43">
        <v>1039</v>
      </c>
      <c r="P71" s="43">
        <v>637</v>
      </c>
      <c r="Q71" s="43">
        <v>221</v>
      </c>
      <c r="R71" s="43">
        <v>146</v>
      </c>
      <c r="S71" s="42">
        <f t="shared" si="5"/>
        <v>14252</v>
      </c>
      <c r="U71" s="49">
        <f t="shared" si="6"/>
        <v>0.50294695481335949</v>
      </c>
      <c r="V71" s="44">
        <f t="shared" si="7"/>
        <v>7168</v>
      </c>
      <c r="W71" s="45">
        <f t="shared" si="8"/>
        <v>7084</v>
      </c>
      <c r="X71" s="49">
        <f t="shared" si="9"/>
        <v>0.49705304518664045</v>
      </c>
    </row>
    <row r="72" spans="1:24" ht="15">
      <c r="A72" s="13" t="s">
        <v>191</v>
      </c>
      <c r="B72" s="14" t="s">
        <v>195</v>
      </c>
      <c r="C72" s="43">
        <v>1338</v>
      </c>
      <c r="D72" s="43">
        <v>2281</v>
      </c>
      <c r="E72" s="43">
        <v>1914</v>
      </c>
      <c r="F72" s="43">
        <v>2003</v>
      </c>
      <c r="G72" s="43">
        <v>1294</v>
      </c>
      <c r="H72" s="43">
        <v>348</v>
      </c>
      <c r="I72" s="43">
        <v>80</v>
      </c>
      <c r="J72" s="43">
        <v>32</v>
      </c>
      <c r="K72" s="43">
        <v>1296</v>
      </c>
      <c r="L72" s="43">
        <v>2254</v>
      </c>
      <c r="M72" s="43">
        <v>1959</v>
      </c>
      <c r="N72" s="43">
        <v>1782</v>
      </c>
      <c r="O72" s="43">
        <v>922</v>
      </c>
      <c r="P72" s="43">
        <v>349</v>
      </c>
      <c r="Q72" s="43">
        <v>85</v>
      </c>
      <c r="R72" s="43">
        <v>44</v>
      </c>
      <c r="S72" s="42">
        <f t="shared" si="5"/>
        <v>17981</v>
      </c>
      <c r="U72" s="49">
        <f t="shared" si="6"/>
        <v>0.51665647071909238</v>
      </c>
      <c r="V72" s="44">
        <f t="shared" si="7"/>
        <v>9290</v>
      </c>
      <c r="W72" s="45">
        <f t="shared" si="8"/>
        <v>8691</v>
      </c>
      <c r="X72" s="49">
        <f t="shared" si="9"/>
        <v>0.48334352928090762</v>
      </c>
    </row>
    <row r="73" spans="1:24" ht="15">
      <c r="A73" s="13" t="s">
        <v>198</v>
      </c>
      <c r="B73" s="14" t="s">
        <v>200</v>
      </c>
      <c r="C73" s="43">
        <v>333</v>
      </c>
      <c r="D73" s="43">
        <v>1160</v>
      </c>
      <c r="E73" s="43">
        <v>1270</v>
      </c>
      <c r="F73" s="43">
        <v>1393</v>
      </c>
      <c r="G73" s="43">
        <v>1508</v>
      </c>
      <c r="H73" s="43">
        <v>639</v>
      </c>
      <c r="I73" s="43">
        <v>149</v>
      </c>
      <c r="J73" s="43">
        <v>43</v>
      </c>
      <c r="K73" s="43">
        <v>395</v>
      </c>
      <c r="L73" s="43">
        <v>1279</v>
      </c>
      <c r="M73" s="43">
        <v>1311</v>
      </c>
      <c r="N73" s="43">
        <v>1241</v>
      </c>
      <c r="O73" s="43">
        <v>1182</v>
      </c>
      <c r="P73" s="43">
        <v>551</v>
      </c>
      <c r="Q73" s="43">
        <v>165</v>
      </c>
      <c r="R73" s="43">
        <v>55</v>
      </c>
      <c r="S73" s="42">
        <f t="shared" si="5"/>
        <v>12674</v>
      </c>
      <c r="U73" s="49">
        <f t="shared" si="6"/>
        <v>0.51246646678238916</v>
      </c>
      <c r="V73" s="44">
        <f t="shared" si="7"/>
        <v>6495</v>
      </c>
      <c r="W73" s="45">
        <f t="shared" si="8"/>
        <v>6179</v>
      </c>
      <c r="X73" s="49">
        <f t="shared" si="9"/>
        <v>0.48753353321761084</v>
      </c>
    </row>
    <row r="74" spans="1:24" ht="15">
      <c r="A74" s="13" t="s">
        <v>199</v>
      </c>
      <c r="B74" s="14" t="s">
        <v>201</v>
      </c>
      <c r="C74" s="43">
        <v>1111</v>
      </c>
      <c r="D74" s="43">
        <v>2631</v>
      </c>
      <c r="E74" s="43">
        <v>2195</v>
      </c>
      <c r="F74" s="43">
        <v>2056</v>
      </c>
      <c r="G74" s="43">
        <v>1454</v>
      </c>
      <c r="H74" s="43">
        <v>624</v>
      </c>
      <c r="I74" s="43">
        <v>130</v>
      </c>
      <c r="J74" s="43">
        <v>37</v>
      </c>
      <c r="K74" s="43">
        <v>942</v>
      </c>
      <c r="L74" s="43">
        <v>2577</v>
      </c>
      <c r="M74" s="43">
        <v>2219</v>
      </c>
      <c r="N74" s="43">
        <v>1934</v>
      </c>
      <c r="O74" s="43">
        <v>1287</v>
      </c>
      <c r="P74" s="43">
        <v>527</v>
      </c>
      <c r="Q74" s="43">
        <v>137</v>
      </c>
      <c r="R74" s="43">
        <v>46</v>
      </c>
      <c r="S74" s="42">
        <f t="shared" si="5"/>
        <v>19907</v>
      </c>
      <c r="U74" s="49">
        <f t="shared" si="6"/>
        <v>0.51429145526699149</v>
      </c>
      <c r="V74" s="44">
        <f t="shared" si="7"/>
        <v>10238</v>
      </c>
      <c r="W74" s="45">
        <f t="shared" si="8"/>
        <v>9669</v>
      </c>
      <c r="X74" s="49">
        <f t="shared" si="9"/>
        <v>0.48570854473300851</v>
      </c>
    </row>
    <row r="75" spans="1:24" ht="15">
      <c r="A75" s="13" t="s">
        <v>204</v>
      </c>
      <c r="B75" s="14" t="s">
        <v>207</v>
      </c>
      <c r="C75" s="43">
        <v>530</v>
      </c>
      <c r="D75" s="43">
        <v>1698</v>
      </c>
      <c r="E75" s="43">
        <v>1787</v>
      </c>
      <c r="F75" s="43">
        <v>2198</v>
      </c>
      <c r="G75" s="43">
        <v>2465</v>
      </c>
      <c r="H75" s="43">
        <v>1226</v>
      </c>
      <c r="I75" s="43">
        <v>425</v>
      </c>
      <c r="J75" s="43">
        <v>165</v>
      </c>
      <c r="K75" s="43">
        <v>561</v>
      </c>
      <c r="L75" s="43">
        <v>1590</v>
      </c>
      <c r="M75" s="43">
        <v>1939</v>
      </c>
      <c r="N75" s="43">
        <v>2371</v>
      </c>
      <c r="O75" s="43">
        <v>2453</v>
      </c>
      <c r="P75" s="43">
        <v>1279</v>
      </c>
      <c r="Q75" s="43">
        <v>526</v>
      </c>
      <c r="R75" s="43">
        <v>164</v>
      </c>
      <c r="S75" s="42">
        <f t="shared" si="5"/>
        <v>21377</v>
      </c>
      <c r="U75" s="49">
        <f t="shared" si="6"/>
        <v>0.49090143612293585</v>
      </c>
      <c r="V75" s="44">
        <f t="shared" si="7"/>
        <v>10494</v>
      </c>
      <c r="W75" s="45">
        <f t="shared" si="8"/>
        <v>10883</v>
      </c>
      <c r="X75" s="49">
        <f t="shared" si="9"/>
        <v>0.50909856387706409</v>
      </c>
    </row>
    <row r="76" spans="1:24" ht="15">
      <c r="A76" s="13" t="s">
        <v>205</v>
      </c>
      <c r="B76" s="14" t="s">
        <v>208</v>
      </c>
      <c r="C76" s="43">
        <v>815</v>
      </c>
      <c r="D76" s="43">
        <v>2768</v>
      </c>
      <c r="E76" s="43">
        <v>2851</v>
      </c>
      <c r="F76" s="43">
        <v>3055</v>
      </c>
      <c r="G76" s="43">
        <v>2623</v>
      </c>
      <c r="H76" s="43">
        <v>991</v>
      </c>
      <c r="I76" s="43">
        <v>271</v>
      </c>
      <c r="J76" s="43">
        <v>66</v>
      </c>
      <c r="K76" s="43">
        <v>894</v>
      </c>
      <c r="L76" s="43">
        <v>2871</v>
      </c>
      <c r="M76" s="43">
        <v>3164</v>
      </c>
      <c r="N76" s="43">
        <v>3103</v>
      </c>
      <c r="O76" s="43">
        <v>2639</v>
      </c>
      <c r="P76" s="43">
        <v>1014</v>
      </c>
      <c r="Q76" s="43">
        <v>342</v>
      </c>
      <c r="R76" s="43">
        <v>100</v>
      </c>
      <c r="S76" s="42">
        <f t="shared" si="5"/>
        <v>27567</v>
      </c>
      <c r="U76" s="49">
        <f t="shared" si="6"/>
        <v>0.48753944934160409</v>
      </c>
      <c r="V76" s="44">
        <f t="shared" si="7"/>
        <v>13440</v>
      </c>
      <c r="W76" s="45">
        <f t="shared" si="8"/>
        <v>14127</v>
      </c>
      <c r="X76" s="49">
        <f t="shared" si="9"/>
        <v>0.51246055065839591</v>
      </c>
    </row>
    <row r="77" spans="1:24" ht="15">
      <c r="A77" s="13" t="s">
        <v>206</v>
      </c>
      <c r="B77" s="14" t="s">
        <v>209</v>
      </c>
      <c r="C77" s="43">
        <v>1734</v>
      </c>
      <c r="D77" s="43">
        <v>4185</v>
      </c>
      <c r="E77" s="43">
        <v>3990</v>
      </c>
      <c r="F77" s="43">
        <v>3454</v>
      </c>
      <c r="G77" s="43">
        <v>2291</v>
      </c>
      <c r="H77" s="43">
        <v>792</v>
      </c>
      <c r="I77" s="43">
        <v>152</v>
      </c>
      <c r="J77" s="43">
        <v>29</v>
      </c>
      <c r="K77" s="43">
        <v>1917</v>
      </c>
      <c r="L77" s="43">
        <v>4570</v>
      </c>
      <c r="M77" s="43">
        <v>4439</v>
      </c>
      <c r="N77" s="43">
        <v>3619</v>
      </c>
      <c r="O77" s="43">
        <v>2002</v>
      </c>
      <c r="P77" s="43">
        <v>723</v>
      </c>
      <c r="Q77" s="43">
        <v>170</v>
      </c>
      <c r="R77" s="43">
        <v>50</v>
      </c>
      <c r="S77" s="42">
        <f t="shared" si="5"/>
        <v>34117</v>
      </c>
      <c r="U77" s="49">
        <f t="shared" si="6"/>
        <v>0.48735234633760294</v>
      </c>
      <c r="V77" s="44">
        <f t="shared" si="7"/>
        <v>16627</v>
      </c>
      <c r="W77" s="45">
        <f t="shared" si="8"/>
        <v>17490</v>
      </c>
      <c r="X77" s="49">
        <f t="shared" si="9"/>
        <v>0.51264765366239706</v>
      </c>
    </row>
    <row r="78" spans="1:24" ht="15">
      <c r="A78" s="13" t="s">
        <v>212</v>
      </c>
      <c r="B78" s="14" t="s">
        <v>215</v>
      </c>
      <c r="C78" s="43">
        <v>707</v>
      </c>
      <c r="D78" s="43">
        <v>1610</v>
      </c>
      <c r="E78" s="43">
        <v>1702</v>
      </c>
      <c r="F78" s="43">
        <v>1841</v>
      </c>
      <c r="G78" s="43">
        <v>1419</v>
      </c>
      <c r="H78" s="43">
        <v>605</v>
      </c>
      <c r="I78" s="43">
        <v>248</v>
      </c>
      <c r="J78" s="43">
        <v>110</v>
      </c>
      <c r="K78" s="43">
        <v>617</v>
      </c>
      <c r="L78" s="43">
        <v>1561</v>
      </c>
      <c r="M78" s="43">
        <v>1716</v>
      </c>
      <c r="N78" s="43">
        <v>1789</v>
      </c>
      <c r="O78" s="43">
        <v>1357</v>
      </c>
      <c r="P78" s="43">
        <v>709</v>
      </c>
      <c r="Q78" s="43">
        <v>303</v>
      </c>
      <c r="R78" s="43">
        <v>184</v>
      </c>
      <c r="S78" s="42">
        <f t="shared" si="5"/>
        <v>16478</v>
      </c>
      <c r="U78" s="49">
        <f t="shared" si="6"/>
        <v>0.5001820609297245</v>
      </c>
      <c r="V78" s="44">
        <f t="shared" si="7"/>
        <v>8242</v>
      </c>
      <c r="W78" s="45">
        <f t="shared" si="8"/>
        <v>8236</v>
      </c>
      <c r="X78" s="49">
        <f t="shared" si="9"/>
        <v>0.4998179390702755</v>
      </c>
    </row>
    <row r="79" spans="1:24" ht="15">
      <c r="A79" s="13" t="s">
        <v>213</v>
      </c>
      <c r="B79" s="14" t="s">
        <v>216</v>
      </c>
      <c r="C79" s="43">
        <v>451</v>
      </c>
      <c r="D79" s="43">
        <v>1128</v>
      </c>
      <c r="E79" s="43">
        <v>1144</v>
      </c>
      <c r="F79" s="43">
        <v>1338</v>
      </c>
      <c r="G79" s="43">
        <v>988</v>
      </c>
      <c r="H79" s="43">
        <v>358</v>
      </c>
      <c r="I79" s="43">
        <v>246</v>
      </c>
      <c r="J79" s="43">
        <v>203</v>
      </c>
      <c r="K79" s="43">
        <v>404</v>
      </c>
      <c r="L79" s="43">
        <v>1008</v>
      </c>
      <c r="M79" s="43">
        <v>1110</v>
      </c>
      <c r="N79" s="43">
        <v>1250</v>
      </c>
      <c r="O79" s="43">
        <v>914</v>
      </c>
      <c r="P79" s="43">
        <v>410</v>
      </c>
      <c r="Q79" s="43">
        <v>282</v>
      </c>
      <c r="R79" s="43">
        <v>231</v>
      </c>
      <c r="S79" s="42">
        <f t="shared" si="5"/>
        <v>11465</v>
      </c>
      <c r="U79" s="49">
        <f t="shared" si="6"/>
        <v>0.51077191452245962</v>
      </c>
      <c r="V79" s="44">
        <f t="shared" si="7"/>
        <v>5856</v>
      </c>
      <c r="W79" s="45">
        <f t="shared" si="8"/>
        <v>5609</v>
      </c>
      <c r="X79" s="49">
        <f t="shared" si="9"/>
        <v>0.48922808547754032</v>
      </c>
    </row>
    <row r="80" spans="1:24" ht="15">
      <c r="A80" s="13" t="s">
        <v>214</v>
      </c>
      <c r="B80" s="14" t="s">
        <v>217</v>
      </c>
      <c r="C80" s="43">
        <v>305</v>
      </c>
      <c r="D80" s="43">
        <v>863</v>
      </c>
      <c r="E80" s="43">
        <v>978</v>
      </c>
      <c r="F80" s="43">
        <v>1173</v>
      </c>
      <c r="G80" s="43">
        <v>894</v>
      </c>
      <c r="H80" s="43">
        <v>375</v>
      </c>
      <c r="I80" s="43">
        <v>200</v>
      </c>
      <c r="J80" s="43">
        <v>108</v>
      </c>
      <c r="K80" s="43">
        <v>313</v>
      </c>
      <c r="L80" s="43">
        <v>782</v>
      </c>
      <c r="M80" s="43">
        <v>897</v>
      </c>
      <c r="N80" s="43">
        <v>1094</v>
      </c>
      <c r="O80" s="43">
        <v>769</v>
      </c>
      <c r="P80" s="43">
        <v>408</v>
      </c>
      <c r="Q80" s="43">
        <v>240</v>
      </c>
      <c r="R80" s="43">
        <v>173</v>
      </c>
      <c r="S80" s="42">
        <f t="shared" si="5"/>
        <v>9572</v>
      </c>
      <c r="U80" s="49">
        <f t="shared" si="6"/>
        <v>0.5114918512327622</v>
      </c>
      <c r="V80" s="44">
        <f t="shared" si="7"/>
        <v>4896</v>
      </c>
      <c r="W80" s="45">
        <f t="shared" si="8"/>
        <v>4676</v>
      </c>
      <c r="X80" s="49">
        <f t="shared" si="9"/>
        <v>0.4885081487672378</v>
      </c>
    </row>
    <row r="81" spans="1:24" ht="15">
      <c r="A81" s="13" t="s">
        <v>221</v>
      </c>
      <c r="B81" s="14" t="s">
        <v>223</v>
      </c>
      <c r="C81" s="43">
        <v>734</v>
      </c>
      <c r="D81" s="43">
        <v>2017</v>
      </c>
      <c r="E81" s="43">
        <v>1829</v>
      </c>
      <c r="F81" s="43">
        <v>1781</v>
      </c>
      <c r="G81" s="43">
        <v>1625</v>
      </c>
      <c r="H81" s="43">
        <v>595</v>
      </c>
      <c r="I81" s="43">
        <v>183</v>
      </c>
      <c r="J81" s="43">
        <v>57</v>
      </c>
      <c r="K81" s="43">
        <v>662</v>
      </c>
      <c r="L81" s="43">
        <v>1893</v>
      </c>
      <c r="M81" s="43">
        <v>1843</v>
      </c>
      <c r="N81" s="43">
        <v>1621</v>
      </c>
      <c r="O81" s="43">
        <v>1259</v>
      </c>
      <c r="P81" s="43">
        <v>555</v>
      </c>
      <c r="Q81" s="43">
        <v>250</v>
      </c>
      <c r="R81" s="43">
        <v>71</v>
      </c>
      <c r="S81" s="42">
        <f t="shared" si="5"/>
        <v>16975</v>
      </c>
      <c r="U81" s="49">
        <f t="shared" si="6"/>
        <v>0.5196465390279823</v>
      </c>
      <c r="V81" s="44">
        <f t="shared" si="7"/>
        <v>8821</v>
      </c>
      <c r="W81" s="45">
        <f t="shared" si="8"/>
        <v>8154</v>
      </c>
      <c r="X81" s="49">
        <f t="shared" si="9"/>
        <v>0.4803534609720177</v>
      </c>
    </row>
    <row r="82" spans="1:24" ht="15">
      <c r="A82" s="13" t="s">
        <v>222</v>
      </c>
      <c r="B82" s="14" t="s">
        <v>224</v>
      </c>
      <c r="C82" s="43">
        <v>293</v>
      </c>
      <c r="D82" s="43">
        <v>980</v>
      </c>
      <c r="E82" s="43">
        <v>1064</v>
      </c>
      <c r="F82" s="43">
        <v>1147</v>
      </c>
      <c r="G82" s="43">
        <v>885</v>
      </c>
      <c r="H82" s="43">
        <v>314</v>
      </c>
      <c r="I82" s="43">
        <v>81</v>
      </c>
      <c r="J82" s="43">
        <v>38</v>
      </c>
      <c r="K82" s="43">
        <v>315</v>
      </c>
      <c r="L82" s="43">
        <v>983</v>
      </c>
      <c r="M82" s="43">
        <v>1035</v>
      </c>
      <c r="N82" s="43">
        <v>1040</v>
      </c>
      <c r="O82" s="43">
        <v>712</v>
      </c>
      <c r="P82" s="43">
        <v>324</v>
      </c>
      <c r="Q82" s="43">
        <v>123</v>
      </c>
      <c r="R82" s="43">
        <v>41</v>
      </c>
      <c r="S82" s="42">
        <f t="shared" si="5"/>
        <v>9375</v>
      </c>
      <c r="U82" s="49">
        <f t="shared" si="6"/>
        <v>0.5122133333333333</v>
      </c>
      <c r="V82" s="44">
        <f t="shared" si="7"/>
        <v>4802</v>
      </c>
      <c r="W82" s="45">
        <f t="shared" si="8"/>
        <v>4573</v>
      </c>
      <c r="X82" s="49">
        <f t="shared" si="9"/>
        <v>0.48778666666666665</v>
      </c>
    </row>
    <row r="83" spans="1:24" ht="15">
      <c r="A83" s="13" t="s">
        <v>226</v>
      </c>
      <c r="B83" s="14" t="s">
        <v>228</v>
      </c>
      <c r="C83" s="43">
        <v>373</v>
      </c>
      <c r="D83" s="43">
        <v>993</v>
      </c>
      <c r="E83" s="43">
        <v>1003</v>
      </c>
      <c r="F83" s="43">
        <v>1065</v>
      </c>
      <c r="G83" s="43">
        <v>680</v>
      </c>
      <c r="H83" s="43">
        <v>248</v>
      </c>
      <c r="I83" s="43">
        <v>87</v>
      </c>
      <c r="J83" s="43">
        <v>37</v>
      </c>
      <c r="K83" s="43">
        <v>397</v>
      </c>
      <c r="L83" s="43">
        <v>803</v>
      </c>
      <c r="M83" s="43">
        <v>863</v>
      </c>
      <c r="N83" s="43">
        <v>904</v>
      </c>
      <c r="O83" s="43">
        <v>611</v>
      </c>
      <c r="P83" s="43">
        <v>264</v>
      </c>
      <c r="Q83" s="43">
        <v>127</v>
      </c>
      <c r="R83" s="43">
        <v>48</v>
      </c>
      <c r="S83" s="42">
        <f t="shared" si="5"/>
        <v>8503</v>
      </c>
      <c r="U83" s="49">
        <f t="shared" si="6"/>
        <v>0.52757850170528053</v>
      </c>
      <c r="V83" s="44">
        <f t="shared" si="7"/>
        <v>4486</v>
      </c>
      <c r="W83" s="45">
        <f t="shared" si="8"/>
        <v>4017</v>
      </c>
      <c r="X83" s="49">
        <f t="shared" si="9"/>
        <v>0.47242149829471952</v>
      </c>
    </row>
    <row r="84" spans="1:24" ht="15">
      <c r="A84" s="13" t="s">
        <v>227</v>
      </c>
      <c r="B84" s="14" t="s">
        <v>229</v>
      </c>
      <c r="C84" s="43">
        <v>612</v>
      </c>
      <c r="D84" s="43">
        <v>1614</v>
      </c>
      <c r="E84" s="43">
        <v>1475</v>
      </c>
      <c r="F84" s="43">
        <v>1353</v>
      </c>
      <c r="G84" s="43">
        <v>1093</v>
      </c>
      <c r="H84" s="43">
        <v>389</v>
      </c>
      <c r="I84" s="43">
        <v>121</v>
      </c>
      <c r="J84" s="43">
        <v>52</v>
      </c>
      <c r="K84" s="43">
        <v>625</v>
      </c>
      <c r="L84" s="43">
        <v>1533</v>
      </c>
      <c r="M84" s="43">
        <v>1351</v>
      </c>
      <c r="N84" s="43">
        <v>1210</v>
      </c>
      <c r="O84" s="43">
        <v>995</v>
      </c>
      <c r="P84" s="43">
        <v>404</v>
      </c>
      <c r="Q84" s="43">
        <v>170</v>
      </c>
      <c r="R84" s="43">
        <v>57</v>
      </c>
      <c r="S84" s="42">
        <f t="shared" si="5"/>
        <v>13054</v>
      </c>
      <c r="U84" s="49">
        <f t="shared" si="6"/>
        <v>0.51394208671671515</v>
      </c>
      <c r="V84" s="44">
        <f t="shared" si="7"/>
        <v>6709</v>
      </c>
      <c r="W84" s="45">
        <f t="shared" si="8"/>
        <v>6345</v>
      </c>
      <c r="X84" s="49">
        <f t="shared" si="9"/>
        <v>0.48605791328328479</v>
      </c>
    </row>
    <row r="85" spans="1:24">
      <c r="A85" s="24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</row>
    <row r="86" spans="1:24" ht="15">
      <c r="A86" s="87" t="s">
        <v>271</v>
      </c>
      <c r="B86" s="88"/>
      <c r="C86" s="42">
        <f>SUM(C3:C84)</f>
        <v>56111</v>
      </c>
      <c r="D86" s="42">
        <f t="shared" ref="D86:J86" si="10">SUM(D3:D84)</f>
        <v>136305</v>
      </c>
      <c r="E86" s="42">
        <f t="shared" si="10"/>
        <v>134983</v>
      </c>
      <c r="F86" s="42">
        <f t="shared" si="10"/>
        <v>134320</v>
      </c>
      <c r="G86" s="42">
        <f t="shared" si="10"/>
        <v>98397</v>
      </c>
      <c r="H86" s="42">
        <f t="shared" si="10"/>
        <v>43662</v>
      </c>
      <c r="I86" s="42">
        <f t="shared" si="10"/>
        <v>12471</v>
      </c>
      <c r="J86" s="42">
        <f t="shared" si="10"/>
        <v>3524</v>
      </c>
      <c r="K86" s="42">
        <f>SUM(K3:K84)</f>
        <v>55283</v>
      </c>
      <c r="L86" s="42">
        <f t="shared" ref="L86:S86" si="11">SUM(L3:L84)</f>
        <v>135574</v>
      </c>
      <c r="M86" s="42">
        <f t="shared" si="11"/>
        <v>135116</v>
      </c>
      <c r="N86" s="42">
        <f t="shared" si="11"/>
        <v>132195</v>
      </c>
      <c r="O86" s="42">
        <f t="shared" si="11"/>
        <v>98937</v>
      </c>
      <c r="P86" s="42">
        <f t="shared" si="11"/>
        <v>49871</v>
      </c>
      <c r="Q86" s="42">
        <f t="shared" si="11"/>
        <v>18591</v>
      </c>
      <c r="R86" s="42">
        <f t="shared" si="11"/>
        <v>6674</v>
      </c>
      <c r="S86" s="42">
        <f t="shared" si="11"/>
        <v>1252014</v>
      </c>
      <c r="U86" s="50">
        <f t="shared" si="6"/>
        <v>0.49502082245086715</v>
      </c>
      <c r="V86" s="46">
        <f t="shared" ref="V86" si="12">SUM(C86:J86)</f>
        <v>619773</v>
      </c>
      <c r="W86" s="47">
        <f t="shared" ref="W86" si="13">SUM(K86:R86)</f>
        <v>632241</v>
      </c>
      <c r="X86" s="50">
        <f t="shared" si="9"/>
        <v>0.5049791775491328</v>
      </c>
    </row>
  </sheetData>
  <mergeCells count="8">
    <mergeCell ref="V1:V2"/>
    <mergeCell ref="W1:W2"/>
    <mergeCell ref="A1:A2"/>
    <mergeCell ref="B1:B2"/>
    <mergeCell ref="A86:B86"/>
    <mergeCell ref="C1:J1"/>
    <mergeCell ref="K1:R1"/>
    <mergeCell ref="S1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6EAC-3BD0-4BC0-B13F-24CB6A9887C4}">
  <dimension ref="A1:BH135"/>
  <sheetViews>
    <sheetView workbookViewId="0">
      <pane xSplit="2" ySplit="2" topLeftCell="V84" activePane="bottomRight" state="frozen"/>
      <selection pane="topRight" activeCell="C1" sqref="C1"/>
      <selection pane="bottomLeft" activeCell="A3" sqref="A3"/>
      <selection pane="bottomRight" activeCell="AJ71" sqref="AJ71"/>
    </sheetView>
  </sheetViews>
  <sheetFormatPr defaultRowHeight="14.25"/>
  <cols>
    <col min="1" max="1" width="5.125" style="24" bestFit="1" customWidth="1"/>
    <col min="2" max="2" width="23.875" style="23" bestFit="1" customWidth="1"/>
    <col min="3" max="7" width="7.375" style="39" bestFit="1" customWidth="1"/>
    <col min="8" max="10" width="6.375" style="39" bestFit="1" customWidth="1"/>
    <col min="11" max="15" width="7" style="32" bestFit="1" customWidth="1"/>
    <col min="16" max="18" width="6.875" style="32" bestFit="1" customWidth="1"/>
    <col min="19" max="19" width="10.75" style="23" bestFit="1" customWidth="1"/>
    <col min="20" max="20" width="7.375" style="23" bestFit="1" customWidth="1"/>
    <col min="21" max="21" width="7.5" style="23" customWidth="1"/>
    <col min="22" max="22" width="9.75" style="24" bestFit="1" customWidth="1"/>
    <col min="23" max="23" width="12.75" style="24" customWidth="1"/>
    <col min="24" max="24" width="13.125" style="24" customWidth="1"/>
    <col min="25" max="25" width="16" style="24" customWidth="1"/>
    <col min="26" max="26" width="15.5" style="24" customWidth="1"/>
    <col min="27" max="27" width="8.25" style="24" customWidth="1"/>
    <col min="28" max="28" width="10.875" style="24" customWidth="1"/>
    <col min="29" max="29" width="8.375" style="24" bestFit="1" customWidth="1"/>
    <col min="30" max="30" width="9.5" style="24" bestFit="1" customWidth="1"/>
    <col min="31" max="31" width="6.375" style="24" bestFit="1" customWidth="1"/>
    <col min="32" max="32" width="7.125" style="24" bestFit="1" customWidth="1"/>
    <col min="33" max="33" width="8.375" style="24" bestFit="1" customWidth="1"/>
    <col min="34" max="34" width="9.5" style="24" bestFit="1" customWidth="1"/>
    <col min="35" max="35" width="5.5" style="24" bestFit="1" customWidth="1"/>
    <col min="36" max="36" width="7.125" style="24" bestFit="1" customWidth="1"/>
    <col min="37" max="37" width="9" style="24" bestFit="1" customWidth="1"/>
    <col min="38" max="38" width="9.5" style="24" bestFit="1" customWidth="1"/>
    <col min="39" max="39" width="5.5" style="24" bestFit="1" customWidth="1"/>
    <col min="40" max="40" width="7.125" style="24" bestFit="1" customWidth="1"/>
    <col min="41" max="41" width="9" style="24" bestFit="1" customWidth="1"/>
    <col min="42" max="42" width="9.5" style="24" bestFit="1" customWidth="1"/>
    <col min="43" max="43" width="5.5" style="24" bestFit="1" customWidth="1"/>
    <col min="44" max="44" width="7.125" style="24" bestFit="1" customWidth="1"/>
    <col min="45" max="45" width="9" style="23" bestFit="1" customWidth="1"/>
    <col min="46" max="46" width="9.5" style="23" bestFit="1" customWidth="1"/>
    <col min="47" max="47" width="5.5" style="23" bestFit="1" customWidth="1"/>
    <col min="48" max="48" width="7.125" style="23" bestFit="1" customWidth="1"/>
    <col min="49" max="49" width="9" style="23" bestFit="1" customWidth="1"/>
    <col min="50" max="50" width="9.5" style="23" bestFit="1" customWidth="1"/>
    <col min="51" max="51" width="5.5" style="23" bestFit="1" customWidth="1"/>
    <col min="52" max="52" width="7.125" style="23" bestFit="1" customWidth="1"/>
    <col min="53" max="53" width="8.375" style="23" bestFit="1" customWidth="1"/>
    <col min="54" max="54" width="9.5" style="23" bestFit="1" customWidth="1"/>
    <col min="55" max="55" width="5.5" style="23" bestFit="1" customWidth="1"/>
    <col min="56" max="56" width="7.125" style="23" bestFit="1" customWidth="1"/>
    <col min="57" max="57" width="8.375" style="23" bestFit="1" customWidth="1"/>
    <col min="58" max="58" width="9.5" style="23" bestFit="1" customWidth="1"/>
    <col min="59" max="59" width="5.5" style="23" bestFit="1" customWidth="1"/>
    <col min="60" max="60" width="7.125" style="23" bestFit="1" customWidth="1"/>
    <col min="61" max="16384" width="9" style="23"/>
  </cols>
  <sheetData>
    <row r="1" spans="1:60" ht="15">
      <c r="A1" s="84" t="s">
        <v>0</v>
      </c>
      <c r="B1" s="84" t="s">
        <v>1</v>
      </c>
      <c r="C1" s="85" t="s">
        <v>288</v>
      </c>
      <c r="D1" s="85" t="s">
        <v>289</v>
      </c>
      <c r="E1" s="85" t="s">
        <v>290</v>
      </c>
      <c r="F1" s="85" t="s">
        <v>291</v>
      </c>
      <c r="G1" s="85" t="s">
        <v>292</v>
      </c>
      <c r="H1" s="85" t="s">
        <v>293</v>
      </c>
      <c r="I1" s="85" t="s">
        <v>294</v>
      </c>
      <c r="J1" s="85" t="s">
        <v>295</v>
      </c>
      <c r="K1" s="85" t="s">
        <v>233</v>
      </c>
      <c r="L1" s="85" t="s">
        <v>233</v>
      </c>
      <c r="M1" s="85" t="s">
        <v>233</v>
      </c>
      <c r="N1" s="85" t="s">
        <v>233</v>
      </c>
      <c r="O1" s="85" t="s">
        <v>233</v>
      </c>
      <c r="P1" s="85" t="s">
        <v>233</v>
      </c>
      <c r="Q1" s="85" t="s">
        <v>233</v>
      </c>
      <c r="R1" s="85" t="s">
        <v>233</v>
      </c>
      <c r="S1" s="85" t="s">
        <v>300</v>
      </c>
      <c r="T1" s="85" t="s">
        <v>298</v>
      </c>
      <c r="U1" s="85" t="s">
        <v>233</v>
      </c>
      <c r="V1" s="85" t="s">
        <v>261</v>
      </c>
      <c r="W1" s="85" t="s">
        <v>264</v>
      </c>
      <c r="X1" s="85" t="s">
        <v>262</v>
      </c>
      <c r="Y1" s="85" t="s">
        <v>265</v>
      </c>
      <c r="Z1" s="85" t="s">
        <v>268</v>
      </c>
      <c r="AA1" s="85" t="s">
        <v>263</v>
      </c>
      <c r="AB1" s="85" t="s">
        <v>257</v>
      </c>
      <c r="AC1" s="84" t="s">
        <v>260</v>
      </c>
      <c r="AD1" s="84"/>
      <c r="AE1" s="84"/>
      <c r="AF1" s="84"/>
      <c r="AG1" s="84" t="s">
        <v>259</v>
      </c>
      <c r="AH1" s="84"/>
      <c r="AI1" s="84"/>
      <c r="AJ1" s="84"/>
      <c r="AK1" s="84" t="s">
        <v>266</v>
      </c>
      <c r="AL1" s="84"/>
      <c r="AM1" s="84"/>
      <c r="AN1" s="84"/>
      <c r="AO1" s="84" t="s">
        <v>267</v>
      </c>
      <c r="AP1" s="84"/>
      <c r="AQ1" s="84"/>
      <c r="AR1" s="84"/>
      <c r="AS1" s="84" t="s">
        <v>273</v>
      </c>
      <c r="AT1" s="84"/>
      <c r="AU1" s="84"/>
      <c r="AV1" s="84"/>
      <c r="AW1" s="84" t="s">
        <v>286</v>
      </c>
      <c r="AX1" s="84"/>
      <c r="AY1" s="84"/>
      <c r="AZ1" s="84"/>
      <c r="BA1" s="84" t="s">
        <v>285</v>
      </c>
      <c r="BB1" s="84"/>
      <c r="BC1" s="84"/>
      <c r="BD1" s="84"/>
      <c r="BE1" s="84" t="s">
        <v>284</v>
      </c>
      <c r="BF1" s="84"/>
      <c r="BG1" s="84"/>
      <c r="BH1" s="84"/>
    </row>
    <row r="2" spans="1:60" s="25" customFormat="1" ht="30">
      <c r="A2" s="84"/>
      <c r="B2" s="84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27" t="s">
        <v>236</v>
      </c>
      <c r="AD2" s="27" t="s">
        <v>237</v>
      </c>
      <c r="AE2" s="27" t="s">
        <v>256</v>
      </c>
      <c r="AF2" s="27" t="s">
        <v>258</v>
      </c>
      <c r="AG2" s="27" t="s">
        <v>236</v>
      </c>
      <c r="AH2" s="27" t="s">
        <v>237</v>
      </c>
      <c r="AI2" s="27" t="s">
        <v>256</v>
      </c>
      <c r="AJ2" s="27" t="s">
        <v>258</v>
      </c>
      <c r="AK2" s="27" t="s">
        <v>236</v>
      </c>
      <c r="AL2" s="27" t="s">
        <v>237</v>
      </c>
      <c r="AM2" s="27" t="s">
        <v>256</v>
      </c>
      <c r="AN2" s="27" t="s">
        <v>258</v>
      </c>
      <c r="AO2" s="27" t="s">
        <v>236</v>
      </c>
      <c r="AP2" s="27" t="s">
        <v>237</v>
      </c>
      <c r="AQ2" s="27" t="s">
        <v>256</v>
      </c>
      <c r="AR2" s="27" t="s">
        <v>258</v>
      </c>
      <c r="AS2" s="27" t="s">
        <v>236</v>
      </c>
      <c r="AT2" s="27" t="s">
        <v>237</v>
      </c>
      <c r="AU2" s="27" t="s">
        <v>256</v>
      </c>
      <c r="AV2" s="27" t="s">
        <v>258</v>
      </c>
      <c r="AW2" s="27" t="s">
        <v>236</v>
      </c>
      <c r="AX2" s="27" t="s">
        <v>237</v>
      </c>
      <c r="AY2" s="27" t="s">
        <v>256</v>
      </c>
      <c r="AZ2" s="27" t="s">
        <v>258</v>
      </c>
      <c r="BA2" s="27" t="s">
        <v>236</v>
      </c>
      <c r="BB2" s="27" t="s">
        <v>237</v>
      </c>
      <c r="BC2" s="27" t="s">
        <v>256</v>
      </c>
      <c r="BD2" s="27" t="s">
        <v>258</v>
      </c>
      <c r="BE2" s="27" t="s">
        <v>236</v>
      </c>
      <c r="BF2" s="27" t="s">
        <v>237</v>
      </c>
      <c r="BG2" s="27" t="s">
        <v>256</v>
      </c>
      <c r="BH2" s="27" t="s">
        <v>258</v>
      </c>
    </row>
    <row r="3" spans="1:60">
      <c r="A3" s="13" t="s">
        <v>5</v>
      </c>
      <c r="B3" s="14" t="s">
        <v>6</v>
      </c>
      <c r="C3" s="15">
        <f>'JANTINA 2021'!C3+'JANTINA 2021'!K3</f>
        <v>817</v>
      </c>
      <c r="D3" s="15">
        <f>'JANTINA 2021'!D3+'JANTINA 2021'!L3</f>
        <v>2562</v>
      </c>
      <c r="E3" s="15">
        <f>'JANTINA 2021'!E3+'JANTINA 2021'!M3</f>
        <v>2611</v>
      </c>
      <c r="F3" s="15">
        <f>'JANTINA 2021'!F3+'JANTINA 2021'!N3</f>
        <v>2659</v>
      </c>
      <c r="G3" s="15">
        <f>'JANTINA 2021'!G3+'JANTINA 2021'!O3</f>
        <v>1688</v>
      </c>
      <c r="H3" s="15">
        <f>'JANTINA 2021'!H3+'JANTINA 2021'!P3</f>
        <v>829</v>
      </c>
      <c r="I3" s="15">
        <f>'JANTINA 2021'!I3+'JANTINA 2021'!Q3</f>
        <v>216</v>
      </c>
      <c r="J3" s="15">
        <f>'JANTINA 2021'!J3+'JANTINA 2021'!R3</f>
        <v>54</v>
      </c>
      <c r="K3" s="16">
        <f>C3/'JANTINA 2021'!S3</f>
        <v>7.1441063308849251E-2</v>
      </c>
      <c r="L3" s="16">
        <f>D3/'JANTINA 2021'!S3</f>
        <v>0.22402938090241342</v>
      </c>
      <c r="M3" s="16">
        <f>E3/'JANTINA 2021'!S3</f>
        <v>0.22831409583770548</v>
      </c>
      <c r="N3" s="16">
        <f>F3/'JANTINA 2021'!S3</f>
        <v>0.23251136761105282</v>
      </c>
      <c r="O3" s="16">
        <f>G3/'JANTINA 2021'!S3</f>
        <v>0.14760405736271423</v>
      </c>
      <c r="P3" s="16">
        <f>H3/'JANTINA 2021'!S3</f>
        <v>7.2490381252186084E-2</v>
      </c>
      <c r="Q3" s="16">
        <f>I3/'JANTINA 2021'!S3</f>
        <v>1.888772298006296E-2</v>
      </c>
      <c r="R3" s="16">
        <f>1-K3-L3-M3-N3-O3-P3-Q3</f>
        <v>4.7219307450157809E-3</v>
      </c>
      <c r="S3" s="13" t="str">
        <f>IF(LARGE(K3:R3,1)=K3,"21-29",IF(LARGE(K3:R3,1)=L3,"30-39",IF(LARGE(K3:R3,1)=M3,"40-49",IF(LARGE(K3:R3,1)=N3,"50-59",IF(LARGE(K3:R3,1)=O3,"60-69",IF(LARGE(K3:R3,1)=P3,"70-79",IF(LARGE(K3:R3,1)=Q3,"80-89","90+")))))))</f>
        <v>50-59</v>
      </c>
      <c r="T3" s="15">
        <f>C3+D3</f>
        <v>3379</v>
      </c>
      <c r="U3" s="16">
        <f>T3/W3</f>
        <v>0.29547044421126267</v>
      </c>
      <c r="V3" s="15">
        <f>AE3-AI3</f>
        <v>1689</v>
      </c>
      <c r="W3" s="15">
        <f>SUM(C3:J3)</f>
        <v>11436</v>
      </c>
      <c r="X3" s="16">
        <f>Y3/W3</f>
        <v>0.6958726827562085</v>
      </c>
      <c r="Y3" s="15">
        <f>AB3+AA3+Z3</f>
        <v>7958</v>
      </c>
      <c r="Z3" s="15">
        <v>23</v>
      </c>
      <c r="AA3" s="15">
        <v>112</v>
      </c>
      <c r="AB3" s="33">
        <f>AE3+AI3+AM3+AQ3+AU3+AY3+BC3+BG3</f>
        <v>7823</v>
      </c>
      <c r="AC3" s="29" t="s">
        <v>239</v>
      </c>
      <c r="AD3" s="29" t="str">
        <f>IF(AC3&lt;&gt;"",INDEX('DUN 2021'!$J$3:$J$23,MATCH('UMUR 2021'!AC3,'DUN 2021'!$I$3:$I$23,0),1),"")</f>
        <v>GPS</v>
      </c>
      <c r="AE3" s="33">
        <v>3659</v>
      </c>
      <c r="AF3" s="34">
        <f>IF(AE3&lt;&gt;"",AE3/AB3,"")</f>
        <v>0.46772337977757894</v>
      </c>
      <c r="AG3" s="29" t="s">
        <v>252</v>
      </c>
      <c r="AH3" s="29" t="str">
        <f>IF(AG3&lt;&gt;"",INDEX('DUN 2021'!$J$3:$J$23,MATCH('UMUR 2021'!AG3,'DUN 2021'!$I$3:$I$23,0),1),"")</f>
        <v>PSB</v>
      </c>
      <c r="AI3" s="33">
        <v>1970</v>
      </c>
      <c r="AJ3" s="34">
        <f>IF(AI3&lt;&gt;"",AI3/AB3,"")</f>
        <v>0.25182155183433463</v>
      </c>
      <c r="AK3" s="29" t="s">
        <v>301</v>
      </c>
      <c r="AL3" s="29" t="str">
        <f>IF(AK3&lt;&gt;"",INDEX('DUN 2021'!$J$3:$J$23,MATCH('UMUR 2021'!AK3,'DUN 2021'!$I$3:$I$23,0),1),"")</f>
        <v>LAIN-LAIN</v>
      </c>
      <c r="AM3" s="33">
        <v>1487</v>
      </c>
      <c r="AN3" s="34">
        <f>IF(AM3&lt;&gt;"",AM3/AB3,"")</f>
        <v>0.19008053176530743</v>
      </c>
      <c r="AO3" s="29" t="s">
        <v>253</v>
      </c>
      <c r="AP3" s="29" t="str">
        <f>IF(AO3&lt;&gt;"",INDEX('DUN 2021'!$J$3:$J$23,MATCH('UMUR 2021'!AO3,'DUN 2021'!$I$3:$I$23,0),1),"")</f>
        <v>PH</v>
      </c>
      <c r="AQ3" s="33">
        <v>327</v>
      </c>
      <c r="AR3" s="34">
        <f>IF(AQ3&lt;&gt;"",AQ3/AB3,"")</f>
        <v>4.1799821040521538E-2</v>
      </c>
      <c r="AS3" s="29" t="s">
        <v>303</v>
      </c>
      <c r="AT3" s="29" t="str">
        <f>IF(AS3&lt;&gt;"",INDEX('DUN 2021'!$J$3:$J$23,MATCH('UMUR 2021'!AS3,'DUN 2021'!$I$3:$I$23,0),1),"")</f>
        <v>LAIN-LAIN</v>
      </c>
      <c r="AU3" s="33">
        <v>220</v>
      </c>
      <c r="AV3" s="34">
        <f>IF(AU3&lt;&gt;"",AU3/AB3,"")</f>
        <v>2.8122203758149049E-2</v>
      </c>
      <c r="AW3" s="29" t="s">
        <v>304</v>
      </c>
      <c r="AX3" s="29" t="str">
        <f>IF(AW3&lt;&gt;"",INDEX('DUN 2021'!$J$3:$J$23,MATCH('UMUR 2021'!AW3,'DUN 2021'!$I$3:$I$23,0),1),"")</f>
        <v>LAIN-LAIN</v>
      </c>
      <c r="AY3" s="33">
        <v>160</v>
      </c>
      <c r="AZ3" s="34">
        <f>IF(AY3&lt;&gt;"",AY3/AB3,"")</f>
        <v>2.0452511824108399E-2</v>
      </c>
      <c r="BA3" s="29"/>
      <c r="BB3" s="29" t="str">
        <f>IF(BA3&lt;&gt;"",INDEX('DUN 2021'!$J$3:$J$23,MATCH('UMUR 2021'!BA3,'DUN 2021'!$I$3:$I$23,0),1),"")</f>
        <v/>
      </c>
      <c r="BC3" s="33"/>
      <c r="BD3" s="34" t="str">
        <f>IF(BC3&lt;&gt;"",BC3/AB3,"")</f>
        <v/>
      </c>
      <c r="BE3" s="29"/>
      <c r="BF3" s="29" t="str">
        <f>IF(BE3&lt;&gt;"",INDEX('DUN 2021'!$J$3:$J$23,MATCH('UMUR 2021'!BE3,'DUN 2021'!$I$3:$I$23,0),1),"")</f>
        <v/>
      </c>
      <c r="BG3" s="33"/>
      <c r="BH3" s="34" t="str">
        <f>IF(BG3&lt;&gt;"",BG3/AB3,"")</f>
        <v/>
      </c>
    </row>
    <row r="4" spans="1:60">
      <c r="A4" s="13" t="s">
        <v>8</v>
      </c>
      <c r="B4" s="14" t="s">
        <v>7</v>
      </c>
      <c r="C4" s="15">
        <f>'JANTINA 2021'!C4+'JANTINA 2021'!K4</f>
        <v>1354</v>
      </c>
      <c r="D4" s="15">
        <f>'JANTINA 2021'!D4+'JANTINA 2021'!L4</f>
        <v>3542</v>
      </c>
      <c r="E4" s="15">
        <f>'JANTINA 2021'!E4+'JANTINA 2021'!M4</f>
        <v>3928</v>
      </c>
      <c r="F4" s="15">
        <f>'JANTINA 2021'!F4+'JANTINA 2021'!N4</f>
        <v>4470</v>
      </c>
      <c r="G4" s="15">
        <f>'JANTINA 2021'!G4+'JANTINA 2021'!O4</f>
        <v>3246</v>
      </c>
      <c r="H4" s="15">
        <f>'JANTINA 2021'!H4+'JANTINA 2021'!P4</f>
        <v>1477</v>
      </c>
      <c r="I4" s="15">
        <f>'JANTINA 2021'!I4+'JANTINA 2021'!Q4</f>
        <v>575</v>
      </c>
      <c r="J4" s="15">
        <f>'JANTINA 2021'!J4+'JANTINA 2021'!R4</f>
        <v>123</v>
      </c>
      <c r="K4" s="16">
        <f>C4/'JANTINA 2021'!S4</f>
        <v>7.2348383649479028E-2</v>
      </c>
      <c r="L4" s="16">
        <f>D4/'JANTINA 2021'!S4</f>
        <v>0.18925995191023243</v>
      </c>
      <c r="M4" s="16">
        <f>E4/'JANTINA 2021'!S4</f>
        <v>0.20988511888859204</v>
      </c>
      <c r="N4" s="16">
        <f>F4/'JANTINA 2021'!S4</f>
        <v>0.23884584557841304</v>
      </c>
      <c r="O4" s="16">
        <f>G4/'JANTINA 2021'!S4</f>
        <v>0.17344376168848516</v>
      </c>
      <c r="P4" s="16">
        <f>H4/'JANTINA 2021'!S4</f>
        <v>7.8920651883515894E-2</v>
      </c>
      <c r="Q4" s="16">
        <f>I4/'JANTINA 2021'!S4</f>
        <v>3.0724018167245525E-2</v>
      </c>
      <c r="R4" s="16">
        <f t="shared" ref="R4:R67" si="0">1-K4-L4-M4-N4-O4-P4-Q4</f>
        <v>6.5722682340368967E-3</v>
      </c>
      <c r="S4" s="13" t="str">
        <f t="shared" ref="S4:S67" si="1">IF(LARGE(K4:R4,1)=K4,"21-29",IF(LARGE(K4:R4,1)=L4,"30-39",IF(LARGE(K4:R4,1)=M4,"40-49",IF(LARGE(K4:R4,1)=N4,"50-59",IF(LARGE(K4:R4,1)=O4,"60-69",IF(LARGE(K4:R4,1)=P4,"70-79",IF(LARGE(K4:R4,1)=Q4,"80-89","90+")))))))</f>
        <v>50-59</v>
      </c>
      <c r="T4" s="15">
        <f t="shared" ref="T4:T67" si="2">C4+D4</f>
        <v>4896</v>
      </c>
      <c r="U4" s="16">
        <f t="shared" ref="U4:U67" si="3">T4/W4</f>
        <v>0.26160833555971147</v>
      </c>
      <c r="V4" s="15">
        <f t="shared" ref="V4:V67" si="4">AE4-AI4</f>
        <v>4212</v>
      </c>
      <c r="W4" s="15">
        <f t="shared" ref="W4:W67" si="5">SUM(C4:J4)</f>
        <v>18715</v>
      </c>
      <c r="X4" s="16">
        <f t="shared" ref="X4:X67" si="6">Y4/W4</f>
        <v>0.64135720010686614</v>
      </c>
      <c r="Y4" s="15">
        <f t="shared" ref="Y4:Y67" si="7">AB4+AA4+Z4</f>
        <v>12003</v>
      </c>
      <c r="Z4" s="15">
        <v>32</v>
      </c>
      <c r="AA4" s="15">
        <v>194</v>
      </c>
      <c r="AB4" s="33">
        <f t="shared" ref="AB4:AB67" si="8">AE4+AI4+AM4+AQ4+AU4+AY4+BC4+BG4</f>
        <v>11777</v>
      </c>
      <c r="AC4" s="29" t="s">
        <v>240</v>
      </c>
      <c r="AD4" s="29" t="str">
        <f>IF(AC4&lt;&gt;"",INDEX('DUN 2021'!$J$3:$J$23,MATCH('UMUR 2021'!AC4,'DUN 2021'!$I$3:$I$23,0),1),"")</f>
        <v>GPS</v>
      </c>
      <c r="AE4" s="33">
        <v>6325</v>
      </c>
      <c r="AF4" s="34">
        <f t="shared" ref="AF4:AF67" si="9">IF(AE4&lt;&gt;"",AE4/AB4,"")</f>
        <v>0.5370637683620616</v>
      </c>
      <c r="AG4" s="29" t="s">
        <v>301</v>
      </c>
      <c r="AH4" s="29" t="str">
        <f>INDEX('DUN 2021'!$J$3:$J$23,MATCH('UMUR 2021'!AG4,'DUN 2021'!$I$3:$I$23,0),1)</f>
        <v>LAIN-LAIN</v>
      </c>
      <c r="AI4" s="33">
        <v>2113</v>
      </c>
      <c r="AJ4" s="34">
        <f t="shared" ref="AJ4:AJ67" si="10">IF(AI4&lt;&gt;"",AI4/AB4,"")</f>
        <v>0.17941750870340495</v>
      </c>
      <c r="AK4" s="29" t="s">
        <v>252</v>
      </c>
      <c r="AL4" s="29" t="str">
        <f>IF(AK4&lt;&gt;"",INDEX('DUN 2021'!$J$3:$J$23,MATCH('UMUR 2021'!AK4,'DUN 2021'!$I$3:$I$23,0),1),"")</f>
        <v>PSB</v>
      </c>
      <c r="AM4" s="33">
        <v>1980</v>
      </c>
      <c r="AN4" s="34">
        <f t="shared" ref="AN4:AN67" si="11">IF(AM4&lt;&gt;"",AM4/AB4,"")</f>
        <v>0.16812431009594972</v>
      </c>
      <c r="AO4" s="29" t="s">
        <v>244</v>
      </c>
      <c r="AP4" s="29" t="str">
        <f>IF(AO4&lt;&gt;"",INDEX('DUN 2021'!$J$3:$J$23,MATCH('UMUR 2021'!AO4,'DUN 2021'!$I$3:$I$23,0),1),"")</f>
        <v>PH</v>
      </c>
      <c r="AQ4" s="33">
        <v>1359</v>
      </c>
      <c r="AR4" s="34">
        <f t="shared" ref="AR4:AR67" si="12">IF(AQ4&lt;&gt;"",AQ4/AB4,"")</f>
        <v>0.11539441283858368</v>
      </c>
      <c r="AS4" s="29"/>
      <c r="AT4" s="29" t="str">
        <f>IF(AS4&lt;&gt;"",INDEX('DUN 2021'!$J$3:$J$23,MATCH('UMUR 2021'!AS4,'DUN 2021'!$I$3:$I$23,0),1),"")</f>
        <v/>
      </c>
      <c r="AU4" s="33"/>
      <c r="AV4" s="34" t="str">
        <f t="shared" ref="AV4:AV67" si="13">IF(AU4&lt;&gt;"",AU4/AB4,"")</f>
        <v/>
      </c>
      <c r="AW4" s="29"/>
      <c r="AX4" s="29" t="str">
        <f>IF(AW4&lt;&gt;"",INDEX('DUN 2021'!$J$3:$J$23,MATCH('UMUR 2021'!AW4,'DUN 2021'!$I$3:$I$23,0),1),"")</f>
        <v/>
      </c>
      <c r="AY4" s="33"/>
      <c r="AZ4" s="34" t="str">
        <f t="shared" ref="AZ4:AZ67" si="14">IF(AY4&lt;&gt;"",AY4/AB4,"")</f>
        <v/>
      </c>
      <c r="BA4" s="29"/>
      <c r="BB4" s="29" t="str">
        <f>IF(BA4&lt;&gt;"",INDEX('DUN 2021'!$J$3:$J$23,MATCH('UMUR 2021'!BA4,'DUN 2021'!$I$3:$I$23,0),1),"")</f>
        <v/>
      </c>
      <c r="BC4" s="33"/>
      <c r="BD4" s="34" t="str">
        <f t="shared" ref="BD4:BD67" si="15">IF(BC4&lt;&gt;"",BC4/AB4,"")</f>
        <v/>
      </c>
      <c r="BE4" s="29"/>
      <c r="BF4" s="29" t="str">
        <f>IF(BE4&lt;&gt;"",INDEX('DUN 2021'!$J$3:$J$23,MATCH('UMUR 2021'!BE4,'DUN 2021'!$I$3:$I$23,0),1),"")</f>
        <v/>
      </c>
      <c r="BG4" s="33"/>
      <c r="BH4" s="34" t="str">
        <f t="shared" ref="BH4:BH67" si="16">IF(BG4&lt;&gt;"",BG4/AB4,"")</f>
        <v/>
      </c>
    </row>
    <row r="5" spans="1:60">
      <c r="A5" s="13" t="s">
        <v>12</v>
      </c>
      <c r="B5" s="14" t="s">
        <v>15</v>
      </c>
      <c r="C5" s="15">
        <f>'JANTINA 2021'!C5+'JANTINA 2021'!K5</f>
        <v>1039</v>
      </c>
      <c r="D5" s="15">
        <f>'JANTINA 2021'!D5+'JANTINA 2021'!L5</f>
        <v>2675</v>
      </c>
      <c r="E5" s="15">
        <f>'JANTINA 2021'!E5+'JANTINA 2021'!M5</f>
        <v>2391</v>
      </c>
      <c r="F5" s="15">
        <f>'JANTINA 2021'!F5+'JANTINA 2021'!N5</f>
        <v>2343</v>
      </c>
      <c r="G5" s="15">
        <f>'JANTINA 2021'!G5+'JANTINA 2021'!O5</f>
        <v>1713</v>
      </c>
      <c r="H5" s="15">
        <f>'JANTINA 2021'!H5+'JANTINA 2021'!P5</f>
        <v>860</v>
      </c>
      <c r="I5" s="15">
        <f>'JANTINA 2021'!I5+'JANTINA 2021'!Q5</f>
        <v>303</v>
      </c>
      <c r="J5" s="15">
        <f>'JANTINA 2021'!J5+'JANTINA 2021'!R5</f>
        <v>60</v>
      </c>
      <c r="K5" s="16">
        <f>C5/'JANTINA 2021'!S5</f>
        <v>9.1268446943078008E-2</v>
      </c>
      <c r="L5" s="16">
        <f>D5/'JANTINA 2021'!S5</f>
        <v>0.23497891777933944</v>
      </c>
      <c r="M5" s="16">
        <f>E5/'JANTINA 2021'!S5</f>
        <v>0.21003162333099087</v>
      </c>
      <c r="N5" s="16">
        <f>F5/'JANTINA 2021'!S5</f>
        <v>0.20581517919887563</v>
      </c>
      <c r="O5" s="16">
        <f>G5/'JANTINA 2021'!S5</f>
        <v>0.15047434996486297</v>
      </c>
      <c r="P5" s="16">
        <f>H5/'JANTINA 2021'!S5</f>
        <v>7.554462403373155E-2</v>
      </c>
      <c r="Q5" s="16">
        <f>I5/'JANTINA 2021'!S5</f>
        <v>2.6616303583977513E-2</v>
      </c>
      <c r="R5" s="16">
        <f t="shared" si="0"/>
        <v>5.2705551651440197E-3</v>
      </c>
      <c r="S5" s="13" t="str">
        <f t="shared" si="1"/>
        <v>30-39</v>
      </c>
      <c r="T5" s="15">
        <f t="shared" si="2"/>
        <v>3714</v>
      </c>
      <c r="U5" s="16">
        <f t="shared" si="3"/>
        <v>0.32624736472241744</v>
      </c>
      <c r="V5" s="15">
        <f t="shared" si="4"/>
        <v>4502</v>
      </c>
      <c r="W5" s="15">
        <f t="shared" si="5"/>
        <v>11384</v>
      </c>
      <c r="X5" s="16">
        <f t="shared" si="6"/>
        <v>0.61287772312016864</v>
      </c>
      <c r="Y5" s="15">
        <f t="shared" si="7"/>
        <v>6977</v>
      </c>
      <c r="Z5" s="15">
        <v>12</v>
      </c>
      <c r="AA5" s="15">
        <v>134</v>
      </c>
      <c r="AB5" s="33">
        <f t="shared" si="8"/>
        <v>6831</v>
      </c>
      <c r="AC5" s="29" t="s">
        <v>243</v>
      </c>
      <c r="AD5" s="29" t="str">
        <f>IF(AC5&lt;&gt;"",INDEX('DUN 2021'!$J$3:$J$23,MATCH('UMUR 2021'!AC5,'DUN 2021'!$I$3:$I$23,0),1),"")</f>
        <v>GPS</v>
      </c>
      <c r="AE5" s="33">
        <v>5423</v>
      </c>
      <c r="AF5" s="34">
        <f t="shared" si="9"/>
        <v>0.7938808373590982</v>
      </c>
      <c r="AG5" s="29" t="s">
        <v>252</v>
      </c>
      <c r="AH5" s="29" t="str">
        <f>INDEX('DUN 2021'!$J$3:$J$23,MATCH('UMUR 2021'!AG5,'DUN 2021'!$I$3:$I$23,0),1)</f>
        <v>PSB</v>
      </c>
      <c r="AI5" s="33">
        <v>921</v>
      </c>
      <c r="AJ5" s="34">
        <f t="shared" si="10"/>
        <v>0.13482652613087395</v>
      </c>
      <c r="AK5" s="29" t="s">
        <v>251</v>
      </c>
      <c r="AL5" s="29" t="str">
        <f>IF(AK5&lt;&gt;"",INDEX('DUN 2021'!$J$3:$J$23,MATCH('UMUR 2021'!AK5,'DUN 2021'!$I$3:$I$23,0),1),"")</f>
        <v>BEBAS</v>
      </c>
      <c r="AM5" s="33">
        <v>261</v>
      </c>
      <c r="AN5" s="34">
        <f t="shared" si="11"/>
        <v>3.8208168642951248E-2</v>
      </c>
      <c r="AO5" s="29" t="s">
        <v>301</v>
      </c>
      <c r="AP5" s="29" t="str">
        <f>IF(AO5&lt;&gt;"",INDEX('DUN 2021'!$J$3:$J$23,MATCH('UMUR 2021'!AO5,'DUN 2021'!$I$3:$I$23,0),1),"")</f>
        <v>LAIN-LAIN</v>
      </c>
      <c r="AQ5" s="33">
        <v>226</v>
      </c>
      <c r="AR5" s="34">
        <f t="shared" si="12"/>
        <v>3.3084467867076563E-2</v>
      </c>
      <c r="AS5" s="29"/>
      <c r="AT5" s="29" t="str">
        <f>IF(AS5&lt;&gt;"",INDEX('DUN 2021'!$J$3:$J$23,MATCH('UMUR 2021'!AS5,'DUN 2021'!$I$3:$I$23,0),1),"")</f>
        <v/>
      </c>
      <c r="AU5" s="33"/>
      <c r="AV5" s="34" t="str">
        <f t="shared" si="13"/>
        <v/>
      </c>
      <c r="AW5" s="29"/>
      <c r="AX5" s="29" t="str">
        <f>IF(AW5&lt;&gt;"",INDEX('DUN 2021'!$J$3:$J$23,MATCH('UMUR 2021'!AW5,'DUN 2021'!$I$3:$I$23,0),1),"")</f>
        <v/>
      </c>
      <c r="AY5" s="33"/>
      <c r="AZ5" s="34" t="str">
        <f t="shared" si="14"/>
        <v/>
      </c>
      <c r="BA5" s="29"/>
      <c r="BB5" s="29" t="str">
        <f>IF(BA5&lt;&gt;"",INDEX('DUN 2021'!$J$3:$J$23,MATCH('UMUR 2021'!BA5,'DUN 2021'!$I$3:$I$23,0),1),"")</f>
        <v/>
      </c>
      <c r="BC5" s="33"/>
      <c r="BD5" s="34" t="str">
        <f t="shared" si="15"/>
        <v/>
      </c>
      <c r="BE5" s="29"/>
      <c r="BF5" s="29" t="str">
        <f>IF(BE5&lt;&gt;"",INDEX('DUN 2021'!$J$3:$J$23,MATCH('UMUR 2021'!BE5,'DUN 2021'!$I$3:$I$23,0),1),"")</f>
        <v/>
      </c>
      <c r="BG5" s="33"/>
      <c r="BH5" s="34" t="str">
        <f t="shared" si="16"/>
        <v/>
      </c>
    </row>
    <row r="6" spans="1:60">
      <c r="A6" s="13" t="s">
        <v>13</v>
      </c>
      <c r="B6" s="14" t="s">
        <v>16</v>
      </c>
      <c r="C6" s="15">
        <f>'JANTINA 2021'!C6+'JANTINA 2021'!K6</f>
        <v>2341</v>
      </c>
      <c r="D6" s="15">
        <f>'JANTINA 2021'!D6+'JANTINA 2021'!L6</f>
        <v>4954</v>
      </c>
      <c r="E6" s="15">
        <f>'JANTINA 2021'!E6+'JANTINA 2021'!M6</f>
        <v>4834</v>
      </c>
      <c r="F6" s="15">
        <f>'JANTINA 2021'!F6+'JANTINA 2021'!N6</f>
        <v>4156</v>
      </c>
      <c r="G6" s="15">
        <f>'JANTINA 2021'!G6+'JANTINA 2021'!O6</f>
        <v>2669</v>
      </c>
      <c r="H6" s="15">
        <f>'JANTINA 2021'!H6+'JANTINA 2021'!P6</f>
        <v>1188</v>
      </c>
      <c r="I6" s="15">
        <f>'JANTINA 2021'!I6+'JANTINA 2021'!Q6</f>
        <v>298</v>
      </c>
      <c r="J6" s="15">
        <f>'JANTINA 2021'!J6+'JANTINA 2021'!R6</f>
        <v>66</v>
      </c>
      <c r="K6" s="16">
        <f>C6/'JANTINA 2021'!S6</f>
        <v>0.11416170876816542</v>
      </c>
      <c r="L6" s="16">
        <f>D6/'JANTINA 2021'!S6</f>
        <v>0.24158782795279429</v>
      </c>
      <c r="M6" s="16">
        <f>E6/'JANTINA 2021'!S6</f>
        <v>0.23573588218082511</v>
      </c>
      <c r="N6" s="16">
        <f>F6/'JANTINA 2021'!S6</f>
        <v>0.20267238856919925</v>
      </c>
      <c r="O6" s="16">
        <f>G6/'JANTINA 2021'!S6</f>
        <v>0.13015702721154784</v>
      </c>
      <c r="P6" s="16">
        <f>H6/'JANTINA 2021'!S6</f>
        <v>5.7934263142494877E-2</v>
      </c>
      <c r="Q6" s="16">
        <f>I6/'JANTINA 2021'!S6</f>
        <v>1.4532332000390129E-2</v>
      </c>
      <c r="R6" s="16">
        <f t="shared" si="0"/>
        <v>3.2185701745830447E-3</v>
      </c>
      <c r="S6" s="13" t="str">
        <f t="shared" si="1"/>
        <v>30-39</v>
      </c>
      <c r="T6" s="15">
        <f t="shared" si="2"/>
        <v>7295</v>
      </c>
      <c r="U6" s="16">
        <f t="shared" si="3"/>
        <v>0.35574953672095971</v>
      </c>
      <c r="V6" s="15">
        <f t="shared" si="4"/>
        <v>8381</v>
      </c>
      <c r="W6" s="15">
        <f t="shared" si="5"/>
        <v>20506</v>
      </c>
      <c r="X6" s="16">
        <f t="shared" si="6"/>
        <v>0.64849312396371794</v>
      </c>
      <c r="Y6" s="15">
        <f t="shared" si="7"/>
        <v>13298</v>
      </c>
      <c r="Z6" s="15">
        <v>101</v>
      </c>
      <c r="AA6" s="15">
        <v>180</v>
      </c>
      <c r="AB6" s="33">
        <f t="shared" si="8"/>
        <v>13017</v>
      </c>
      <c r="AC6" s="29" t="s">
        <v>243</v>
      </c>
      <c r="AD6" s="29" t="str">
        <f>IF(AC6&lt;&gt;"",INDEX('DUN 2021'!$J$3:$J$23,MATCH('UMUR 2021'!AC6,'DUN 2021'!$I$3:$I$23,0),1),"")</f>
        <v>GPS</v>
      </c>
      <c r="AE6" s="33">
        <v>10699</v>
      </c>
      <c r="AF6" s="34">
        <f t="shared" si="9"/>
        <v>0.82192517477145277</v>
      </c>
      <c r="AG6" s="29" t="s">
        <v>252</v>
      </c>
      <c r="AH6" s="29" t="str">
        <f>INDEX('DUN 2021'!$J$3:$J$23,MATCH('UMUR 2021'!AG6,'DUN 2021'!$I$3:$I$23,0),1)</f>
        <v>PSB</v>
      </c>
      <c r="AI6" s="33">
        <v>2318</v>
      </c>
      <c r="AJ6" s="34">
        <f t="shared" si="10"/>
        <v>0.17807482522854728</v>
      </c>
      <c r="AK6" s="29"/>
      <c r="AL6" s="29" t="str">
        <f>IF(AK6&lt;&gt;"",INDEX('DUN 2021'!$J$3:$J$23,MATCH('UMUR 2021'!AK6,'DUN 2021'!$I$3:$I$23,0),1),"")</f>
        <v/>
      </c>
      <c r="AM6" s="33"/>
      <c r="AN6" s="34" t="str">
        <f t="shared" si="11"/>
        <v/>
      </c>
      <c r="AO6" s="29"/>
      <c r="AP6" s="29" t="str">
        <f>IF(AO6&lt;&gt;"",INDEX('DUN 2021'!$J$3:$J$23,MATCH('UMUR 2021'!AO6,'DUN 2021'!$I$3:$I$23,0),1),"")</f>
        <v/>
      </c>
      <c r="AQ6" s="33"/>
      <c r="AR6" s="34" t="str">
        <f t="shared" si="12"/>
        <v/>
      </c>
      <c r="AS6" s="29"/>
      <c r="AT6" s="29" t="str">
        <f>IF(AS6&lt;&gt;"",INDEX('DUN 2021'!$J$3:$J$23,MATCH('UMUR 2021'!AS6,'DUN 2021'!$I$3:$I$23,0),1),"")</f>
        <v/>
      </c>
      <c r="AU6" s="33"/>
      <c r="AV6" s="34" t="str">
        <f t="shared" si="13"/>
        <v/>
      </c>
      <c r="AW6" s="29"/>
      <c r="AX6" s="29" t="str">
        <f>IF(AW6&lt;&gt;"",INDEX('DUN 2021'!$J$3:$J$23,MATCH('UMUR 2021'!AW6,'DUN 2021'!$I$3:$I$23,0),1),"")</f>
        <v/>
      </c>
      <c r="AY6" s="33"/>
      <c r="AZ6" s="34" t="str">
        <f t="shared" si="14"/>
        <v/>
      </c>
      <c r="BA6" s="29"/>
      <c r="BB6" s="29" t="str">
        <f>IF(BA6&lt;&gt;"",INDEX('DUN 2021'!$J$3:$J$23,MATCH('UMUR 2021'!BA6,'DUN 2021'!$I$3:$I$23,0),1),"")</f>
        <v/>
      </c>
      <c r="BC6" s="33"/>
      <c r="BD6" s="34" t="str">
        <f t="shared" si="15"/>
        <v/>
      </c>
      <c r="BE6" s="29"/>
      <c r="BF6" s="29" t="str">
        <f>IF(BE6&lt;&gt;"",INDEX('DUN 2021'!$J$3:$J$23,MATCH('UMUR 2021'!BE6,'DUN 2021'!$I$3:$I$23,0),1),"")</f>
        <v/>
      </c>
      <c r="BG6" s="33"/>
      <c r="BH6" s="34" t="str">
        <f t="shared" si="16"/>
        <v/>
      </c>
    </row>
    <row r="7" spans="1:60">
      <c r="A7" s="13" t="s">
        <v>14</v>
      </c>
      <c r="B7" s="14" t="s">
        <v>17</v>
      </c>
      <c r="C7" s="15">
        <f>'JANTINA 2021'!C7+'JANTINA 2021'!K7</f>
        <v>1381</v>
      </c>
      <c r="D7" s="15">
        <f>'JANTINA 2021'!D7+'JANTINA 2021'!L7</f>
        <v>3779</v>
      </c>
      <c r="E7" s="15">
        <f>'JANTINA 2021'!E7+'JANTINA 2021'!M7</f>
        <v>3420</v>
      </c>
      <c r="F7" s="15">
        <f>'JANTINA 2021'!F7+'JANTINA 2021'!N7</f>
        <v>3087</v>
      </c>
      <c r="G7" s="15">
        <f>'JANTINA 2021'!G7+'JANTINA 2021'!O7</f>
        <v>1958</v>
      </c>
      <c r="H7" s="15">
        <f>'JANTINA 2021'!H7+'JANTINA 2021'!P7</f>
        <v>873</v>
      </c>
      <c r="I7" s="15">
        <f>'JANTINA 2021'!I7+'JANTINA 2021'!Q7</f>
        <v>244</v>
      </c>
      <c r="J7" s="15">
        <f>'JANTINA 2021'!J7+'JANTINA 2021'!R7</f>
        <v>71</v>
      </c>
      <c r="K7" s="16">
        <f>C7/'JANTINA 2021'!S7</f>
        <v>9.3228920542766491E-2</v>
      </c>
      <c r="L7" s="16">
        <f>D7/'JANTINA 2021'!S7</f>
        <v>0.25511375143455073</v>
      </c>
      <c r="M7" s="16">
        <f>E7/'JANTINA 2021'!S7</f>
        <v>0.23087828258961723</v>
      </c>
      <c r="N7" s="16">
        <f>F7/'JANTINA 2021'!S7</f>
        <v>0.20839802875852292</v>
      </c>
      <c r="O7" s="16">
        <f>G7/'JANTINA 2021'!S7</f>
        <v>0.13218119219604402</v>
      </c>
      <c r="P7" s="16">
        <f>H7/'JANTINA 2021'!S7</f>
        <v>5.8934719503139138E-2</v>
      </c>
      <c r="Q7" s="16">
        <f>I7/'JANTINA 2021'!S7</f>
        <v>1.6472017822183216E-2</v>
      </c>
      <c r="R7" s="16">
        <f t="shared" si="0"/>
        <v>4.7930871531761954E-3</v>
      </c>
      <c r="S7" s="13" t="str">
        <f t="shared" si="1"/>
        <v>30-39</v>
      </c>
      <c r="T7" s="15">
        <f t="shared" si="2"/>
        <v>5160</v>
      </c>
      <c r="U7" s="16">
        <f t="shared" si="3"/>
        <v>0.34834267197731722</v>
      </c>
      <c r="V7" s="15">
        <f t="shared" si="4"/>
        <v>6399</v>
      </c>
      <c r="W7" s="15">
        <f t="shared" si="5"/>
        <v>14813</v>
      </c>
      <c r="X7" s="16">
        <f t="shared" si="6"/>
        <v>0.67670289610477286</v>
      </c>
      <c r="Y7" s="15">
        <f t="shared" si="7"/>
        <v>10024</v>
      </c>
      <c r="Z7" s="15">
        <v>28</v>
      </c>
      <c r="AA7" s="15">
        <v>237</v>
      </c>
      <c r="AB7" s="33">
        <f t="shared" si="8"/>
        <v>9759</v>
      </c>
      <c r="AC7" s="29" t="s">
        <v>243</v>
      </c>
      <c r="AD7" s="29" t="str">
        <f>IF(AC7&lt;&gt;"",INDEX('DUN 2021'!$J$3:$J$23,MATCH('UMUR 2021'!AC7,'DUN 2021'!$I$3:$I$23,0),1),"")</f>
        <v>GPS</v>
      </c>
      <c r="AE7" s="33">
        <v>7636</v>
      </c>
      <c r="AF7" s="34">
        <f t="shared" si="9"/>
        <v>0.78245721897735421</v>
      </c>
      <c r="AG7" s="29" t="s">
        <v>252</v>
      </c>
      <c r="AH7" s="29" t="str">
        <f>INDEX('DUN 2021'!$J$3:$J$23,MATCH('UMUR 2021'!AG7,'DUN 2021'!$I$3:$I$23,0),1)</f>
        <v>PSB</v>
      </c>
      <c r="AI7" s="33">
        <v>1237</v>
      </c>
      <c r="AJ7" s="34">
        <f t="shared" si="10"/>
        <v>0.12675479044984117</v>
      </c>
      <c r="AK7" s="29" t="s">
        <v>254</v>
      </c>
      <c r="AL7" s="29" t="str">
        <f>IF(AK7&lt;&gt;"",INDEX('DUN 2021'!$J$3:$J$23,MATCH('UMUR 2021'!AK7,'DUN 2021'!$I$3:$I$23,0),1),"")</f>
        <v>PH</v>
      </c>
      <c r="AM7" s="33">
        <v>212</v>
      </c>
      <c r="AN7" s="34">
        <f t="shared" si="11"/>
        <v>2.1723537247668817E-2</v>
      </c>
      <c r="AO7" s="29" t="s">
        <v>251</v>
      </c>
      <c r="AP7" s="29" t="str">
        <f>IF(AO7&lt;&gt;"",INDEX('DUN 2021'!$J$3:$J$23,MATCH('UMUR 2021'!AO7,'DUN 2021'!$I$3:$I$23,0),1),"")</f>
        <v>BEBAS</v>
      </c>
      <c r="AQ7" s="33">
        <v>674</v>
      </c>
      <c r="AR7" s="34">
        <f t="shared" si="12"/>
        <v>6.9064453325135777E-2</v>
      </c>
      <c r="AS7" s="29"/>
      <c r="AT7" s="29" t="str">
        <f>IF(AS7&lt;&gt;"",INDEX('DUN 2021'!$J$3:$J$23,MATCH('UMUR 2021'!AS7,'DUN 2021'!$I$3:$I$23,0),1),"")</f>
        <v/>
      </c>
      <c r="AU7" s="33"/>
      <c r="AV7" s="34" t="str">
        <f t="shared" si="13"/>
        <v/>
      </c>
      <c r="AW7" s="29"/>
      <c r="AX7" s="29" t="str">
        <f>IF(AW7&lt;&gt;"",INDEX('DUN 2021'!$J$3:$J$23,MATCH('UMUR 2021'!AW7,'DUN 2021'!$I$3:$I$23,0),1),"")</f>
        <v/>
      </c>
      <c r="AY7" s="33"/>
      <c r="AZ7" s="34" t="str">
        <f t="shared" si="14"/>
        <v/>
      </c>
      <c r="BA7" s="29"/>
      <c r="BB7" s="29" t="str">
        <f>IF(BA7&lt;&gt;"",INDEX('DUN 2021'!$J$3:$J$23,MATCH('UMUR 2021'!BA7,'DUN 2021'!$I$3:$I$23,0),1),"")</f>
        <v/>
      </c>
      <c r="BC7" s="33"/>
      <c r="BD7" s="34" t="str">
        <f t="shared" si="15"/>
        <v/>
      </c>
      <c r="BE7" s="29"/>
      <c r="BF7" s="29" t="str">
        <f>IF(BE7&lt;&gt;"",INDEX('DUN 2021'!$J$3:$J$23,MATCH('UMUR 2021'!BE7,'DUN 2021'!$I$3:$I$23,0),1),"")</f>
        <v/>
      </c>
      <c r="BG7" s="33"/>
      <c r="BH7" s="34" t="str">
        <f t="shared" si="16"/>
        <v/>
      </c>
    </row>
    <row r="8" spans="1:60">
      <c r="A8" s="13" t="s">
        <v>20</v>
      </c>
      <c r="B8" s="14" t="s">
        <v>23</v>
      </c>
      <c r="C8" s="15">
        <f>'JANTINA 2021'!C8+'JANTINA 2021'!K8</f>
        <v>3016</v>
      </c>
      <c r="D8" s="15">
        <f>'JANTINA 2021'!D8+'JANTINA 2021'!L8</f>
        <v>6746</v>
      </c>
      <c r="E8" s="15">
        <f>'JANTINA 2021'!E8+'JANTINA 2021'!M8</f>
        <v>5951</v>
      </c>
      <c r="F8" s="15">
        <f>'JANTINA 2021'!F8+'JANTINA 2021'!N8</f>
        <v>5088</v>
      </c>
      <c r="G8" s="15">
        <f>'JANTINA 2021'!G8+'JANTINA 2021'!O8</f>
        <v>3392</v>
      </c>
      <c r="H8" s="15">
        <f>'JANTINA 2021'!H8+'JANTINA 2021'!P8</f>
        <v>1347</v>
      </c>
      <c r="I8" s="15">
        <f>'JANTINA 2021'!I8+'JANTINA 2021'!Q8</f>
        <v>379</v>
      </c>
      <c r="J8" s="15">
        <f>'JANTINA 2021'!J8+'JANTINA 2021'!R8</f>
        <v>85</v>
      </c>
      <c r="K8" s="16">
        <f>C8/'JANTINA 2021'!S8</f>
        <v>0.11598215659129364</v>
      </c>
      <c r="L8" s="16">
        <f>D8/'JANTINA 2021'!S8</f>
        <v>0.25942162744193203</v>
      </c>
      <c r="M8" s="16">
        <f>E8/'JANTINA 2021'!S8</f>
        <v>0.22884940778341795</v>
      </c>
      <c r="N8" s="16">
        <f>F8/'JANTINA 2021'!S8</f>
        <v>0.19566220581449009</v>
      </c>
      <c r="O8" s="16">
        <f>G8/'JANTINA 2021'!S8</f>
        <v>0.13044147054299338</v>
      </c>
      <c r="P8" s="16">
        <f>H8/'JANTINA 2021'!S8</f>
        <v>5.1799723119520073E-2</v>
      </c>
      <c r="Q8" s="16">
        <f>I8/'JANTINA 2021'!S8</f>
        <v>1.457468081833564E-2</v>
      </c>
      <c r="R8" s="16">
        <f t="shared" si="0"/>
        <v>3.2687278880172647E-3</v>
      </c>
      <c r="S8" s="13" t="str">
        <f t="shared" si="1"/>
        <v>30-39</v>
      </c>
      <c r="T8" s="15">
        <f t="shared" si="2"/>
        <v>9762</v>
      </c>
      <c r="U8" s="16">
        <f t="shared" si="3"/>
        <v>0.37540378403322566</v>
      </c>
      <c r="V8" s="15">
        <f t="shared" si="4"/>
        <v>11209</v>
      </c>
      <c r="W8" s="15">
        <f t="shared" si="5"/>
        <v>26004</v>
      </c>
      <c r="X8" s="16">
        <f t="shared" si="6"/>
        <v>0.57571912013536375</v>
      </c>
      <c r="Y8" s="15">
        <f t="shared" si="7"/>
        <v>14971</v>
      </c>
      <c r="Z8" s="15">
        <v>131</v>
      </c>
      <c r="AA8" s="15">
        <v>125</v>
      </c>
      <c r="AB8" s="33">
        <f t="shared" si="8"/>
        <v>14715</v>
      </c>
      <c r="AC8" s="29" t="s">
        <v>243</v>
      </c>
      <c r="AD8" s="29" t="str">
        <f>IF(AC8&lt;&gt;"",INDEX('DUN 2021'!$J$3:$J$23,MATCH('UMUR 2021'!AC8,'DUN 2021'!$I$3:$I$23,0),1),"")</f>
        <v>GPS</v>
      </c>
      <c r="AE8" s="33">
        <v>12544</v>
      </c>
      <c r="AF8" s="34">
        <f t="shared" si="9"/>
        <v>0.85246347264695888</v>
      </c>
      <c r="AG8" s="29" t="s">
        <v>253</v>
      </c>
      <c r="AH8" s="29" t="str">
        <f>INDEX('DUN 2021'!$J$3:$J$23,MATCH('UMUR 2021'!AG8,'DUN 2021'!$I$3:$I$23,0),1)</f>
        <v>PH</v>
      </c>
      <c r="AI8" s="33">
        <v>1335</v>
      </c>
      <c r="AJ8" s="34">
        <f t="shared" si="10"/>
        <v>9.0723751274209993E-2</v>
      </c>
      <c r="AK8" s="29" t="s">
        <v>301</v>
      </c>
      <c r="AL8" s="29" t="str">
        <f>IF(AK8&lt;&gt;"",INDEX('DUN 2021'!$J$3:$J$23,MATCH('UMUR 2021'!AK8,'DUN 2021'!$I$3:$I$23,0),1),"")</f>
        <v>LAIN-LAIN</v>
      </c>
      <c r="AM8" s="33">
        <v>836</v>
      </c>
      <c r="AN8" s="34">
        <f t="shared" si="11"/>
        <v>5.6812776078831125E-2</v>
      </c>
      <c r="AO8" s="29"/>
      <c r="AP8" s="29" t="str">
        <f>IF(AO8&lt;&gt;"",INDEX('DUN 2021'!$J$3:$J$23,MATCH('UMUR 2021'!AO8,'DUN 2021'!$I$3:$I$23,0),1),"")</f>
        <v/>
      </c>
      <c r="AQ8" s="33"/>
      <c r="AR8" s="34" t="str">
        <f t="shared" si="12"/>
        <v/>
      </c>
      <c r="AS8" s="29"/>
      <c r="AT8" s="29" t="str">
        <f>IF(AS8&lt;&gt;"",INDEX('DUN 2021'!$J$3:$J$23,MATCH('UMUR 2021'!AS8,'DUN 2021'!$I$3:$I$23,0),1),"")</f>
        <v/>
      </c>
      <c r="AU8" s="33"/>
      <c r="AV8" s="34" t="str">
        <f t="shared" si="13"/>
        <v/>
      </c>
      <c r="AW8" s="29"/>
      <c r="AX8" s="29" t="str">
        <f>IF(AW8&lt;&gt;"",INDEX('DUN 2021'!$J$3:$J$23,MATCH('UMUR 2021'!AW8,'DUN 2021'!$I$3:$I$23,0),1),"")</f>
        <v/>
      </c>
      <c r="AY8" s="33"/>
      <c r="AZ8" s="34" t="str">
        <f t="shared" si="14"/>
        <v/>
      </c>
      <c r="BA8" s="29"/>
      <c r="BB8" s="29" t="str">
        <f>IF(BA8&lt;&gt;"",INDEX('DUN 2021'!$J$3:$J$23,MATCH('UMUR 2021'!BA8,'DUN 2021'!$I$3:$I$23,0),1),"")</f>
        <v/>
      </c>
      <c r="BC8" s="33"/>
      <c r="BD8" s="34" t="str">
        <f t="shared" si="15"/>
        <v/>
      </c>
      <c r="BE8" s="29"/>
      <c r="BF8" s="29" t="str">
        <f>IF(BE8&lt;&gt;"",INDEX('DUN 2021'!$J$3:$J$23,MATCH('UMUR 2021'!BE8,'DUN 2021'!$I$3:$I$23,0),1),"")</f>
        <v/>
      </c>
      <c r="BG8" s="33"/>
      <c r="BH8" s="34" t="str">
        <f t="shared" si="16"/>
        <v/>
      </c>
    </row>
    <row r="9" spans="1:60">
      <c r="A9" s="13" t="s">
        <v>21</v>
      </c>
      <c r="B9" s="14" t="s">
        <v>24</v>
      </c>
      <c r="C9" s="15">
        <f>'JANTINA 2021'!C9+'JANTINA 2021'!K9</f>
        <v>2162</v>
      </c>
      <c r="D9" s="15">
        <f>'JANTINA 2021'!D9+'JANTINA 2021'!L9</f>
        <v>5575</v>
      </c>
      <c r="E9" s="15">
        <f>'JANTINA 2021'!E9+'JANTINA 2021'!M9</f>
        <v>4872</v>
      </c>
      <c r="F9" s="15">
        <f>'JANTINA 2021'!F9+'JANTINA 2021'!N9</f>
        <v>4309</v>
      </c>
      <c r="G9" s="15">
        <f>'JANTINA 2021'!G9+'JANTINA 2021'!O9</f>
        <v>2846</v>
      </c>
      <c r="H9" s="15">
        <f>'JANTINA 2021'!H9+'JANTINA 2021'!P9</f>
        <v>1222</v>
      </c>
      <c r="I9" s="15">
        <f>'JANTINA 2021'!I9+'JANTINA 2021'!Q9</f>
        <v>316</v>
      </c>
      <c r="J9" s="15">
        <f>'JANTINA 2021'!J9+'JANTINA 2021'!R9</f>
        <v>61</v>
      </c>
      <c r="K9" s="16">
        <f>C9/'JANTINA 2021'!S9</f>
        <v>0.10120301455788044</v>
      </c>
      <c r="L9" s="16">
        <f>D9/'JANTINA 2021'!S9</f>
        <v>0.26096522024060292</v>
      </c>
      <c r="M9" s="16">
        <f>E9/'JANTINA 2021'!S9</f>
        <v>0.22805785704255022</v>
      </c>
      <c r="N9" s="16">
        <f>F9/'JANTINA 2021'!S9</f>
        <v>0.20170388054112251</v>
      </c>
      <c r="O9" s="16">
        <f>G9/'JANTINA 2021'!S9</f>
        <v>0.1332209895613912</v>
      </c>
      <c r="P9" s="16">
        <f>H9/'JANTINA 2021'!S9</f>
        <v>5.7201703880541126E-2</v>
      </c>
      <c r="Q9" s="16">
        <f>I9/'JANTINA 2021'!S9</f>
        <v>1.4791929972382156E-2</v>
      </c>
      <c r="R9" s="16">
        <f t="shared" si="0"/>
        <v>2.8554042035294283E-3</v>
      </c>
      <c r="S9" s="13" t="str">
        <f t="shared" si="1"/>
        <v>30-39</v>
      </c>
      <c r="T9" s="15">
        <f t="shared" si="2"/>
        <v>7737</v>
      </c>
      <c r="U9" s="16">
        <f t="shared" si="3"/>
        <v>0.36216823479848337</v>
      </c>
      <c r="V9" s="15">
        <f t="shared" si="4"/>
        <v>10283</v>
      </c>
      <c r="W9" s="15">
        <f t="shared" si="5"/>
        <v>21363</v>
      </c>
      <c r="X9" s="16">
        <f t="shared" si="6"/>
        <v>0.61709497729719609</v>
      </c>
      <c r="Y9" s="15">
        <f t="shared" si="7"/>
        <v>13183</v>
      </c>
      <c r="Z9" s="15">
        <v>102</v>
      </c>
      <c r="AA9" s="15">
        <v>121</v>
      </c>
      <c r="AB9" s="33">
        <f t="shared" si="8"/>
        <v>12960</v>
      </c>
      <c r="AC9" s="29" t="s">
        <v>243</v>
      </c>
      <c r="AD9" s="29" t="str">
        <f>IF(AC9&lt;&gt;"",INDEX('DUN 2021'!$J$3:$J$23,MATCH('UMUR 2021'!AC9,'DUN 2021'!$I$3:$I$23,0),1),"")</f>
        <v>GPS</v>
      </c>
      <c r="AE9" s="33">
        <v>11354</v>
      </c>
      <c r="AF9" s="34">
        <f t="shared" si="9"/>
        <v>0.87608024691358022</v>
      </c>
      <c r="AG9" s="29" t="s">
        <v>254</v>
      </c>
      <c r="AH9" s="29" t="str">
        <f>INDEX('DUN 2021'!$J$3:$J$23,MATCH('UMUR 2021'!AG9,'DUN 2021'!$I$3:$I$23,0),1)</f>
        <v>PH</v>
      </c>
      <c r="AI9" s="33">
        <v>1071</v>
      </c>
      <c r="AJ9" s="34">
        <f t="shared" si="10"/>
        <v>8.2638888888888887E-2</v>
      </c>
      <c r="AK9" s="29" t="s">
        <v>304</v>
      </c>
      <c r="AL9" s="29" t="str">
        <f>IF(AK9&lt;&gt;"",INDEX('DUN 2021'!$J$3:$J$23,MATCH('UMUR 2021'!AK9,'DUN 2021'!$I$3:$I$23,0),1),"")</f>
        <v>LAIN-LAIN</v>
      </c>
      <c r="AM9" s="33">
        <v>535</v>
      </c>
      <c r="AN9" s="34">
        <f t="shared" si="11"/>
        <v>4.1280864197530867E-2</v>
      </c>
      <c r="AO9" s="29"/>
      <c r="AP9" s="29" t="str">
        <f>IF(AO9&lt;&gt;"",INDEX('DUN 2021'!$J$3:$J$23,MATCH('UMUR 2021'!AO9,'DUN 2021'!$I$3:$I$23,0),1),"")</f>
        <v/>
      </c>
      <c r="AQ9" s="33"/>
      <c r="AR9" s="34" t="str">
        <f t="shared" si="12"/>
        <v/>
      </c>
      <c r="AS9" s="29"/>
      <c r="AT9" s="29" t="str">
        <f>IF(AS9&lt;&gt;"",INDEX('DUN 2021'!$J$3:$J$23,MATCH('UMUR 2021'!AS9,'DUN 2021'!$I$3:$I$23,0),1),"")</f>
        <v/>
      </c>
      <c r="AU9" s="33"/>
      <c r="AV9" s="34" t="str">
        <f t="shared" si="13"/>
        <v/>
      </c>
      <c r="AW9" s="29"/>
      <c r="AX9" s="29" t="str">
        <f>IF(AW9&lt;&gt;"",INDEX('DUN 2021'!$J$3:$J$23,MATCH('UMUR 2021'!AW9,'DUN 2021'!$I$3:$I$23,0),1),"")</f>
        <v/>
      </c>
      <c r="AY9" s="33"/>
      <c r="AZ9" s="34" t="str">
        <f t="shared" si="14"/>
        <v/>
      </c>
      <c r="BA9" s="29"/>
      <c r="BB9" s="29" t="str">
        <f>IF(BA9&lt;&gt;"",INDEX('DUN 2021'!$J$3:$J$23,MATCH('UMUR 2021'!BA9,'DUN 2021'!$I$3:$I$23,0),1),"")</f>
        <v/>
      </c>
      <c r="BC9" s="33"/>
      <c r="BD9" s="34" t="str">
        <f t="shared" si="15"/>
        <v/>
      </c>
      <c r="BE9" s="29"/>
      <c r="BF9" s="29" t="str">
        <f>IF(BE9&lt;&gt;"",INDEX('DUN 2021'!$J$3:$J$23,MATCH('UMUR 2021'!BE9,'DUN 2021'!$I$3:$I$23,0),1),"")</f>
        <v/>
      </c>
      <c r="BG9" s="33"/>
      <c r="BH9" s="34" t="str">
        <f t="shared" si="16"/>
        <v/>
      </c>
    </row>
    <row r="10" spans="1:60">
      <c r="A10" s="13" t="s">
        <v>22</v>
      </c>
      <c r="B10" s="14" t="s">
        <v>25</v>
      </c>
      <c r="C10" s="15">
        <f>'JANTINA 2021'!C10+'JANTINA 2021'!K10</f>
        <v>965</v>
      </c>
      <c r="D10" s="15">
        <f>'JANTINA 2021'!D10+'JANTINA 2021'!L10</f>
        <v>2367</v>
      </c>
      <c r="E10" s="15">
        <f>'JANTINA 2021'!E10+'JANTINA 2021'!M10</f>
        <v>2922</v>
      </c>
      <c r="F10" s="15">
        <f>'JANTINA 2021'!F10+'JANTINA 2021'!N10</f>
        <v>3325</v>
      </c>
      <c r="G10" s="15">
        <f>'JANTINA 2021'!G10+'JANTINA 2021'!O10</f>
        <v>2490</v>
      </c>
      <c r="H10" s="15">
        <f>'JANTINA 2021'!H10+'JANTINA 2021'!P10</f>
        <v>1469</v>
      </c>
      <c r="I10" s="15">
        <f>'JANTINA 2021'!I10+'JANTINA 2021'!Q10</f>
        <v>611</v>
      </c>
      <c r="J10" s="15">
        <f>'JANTINA 2021'!J10+'JANTINA 2021'!R10</f>
        <v>165</v>
      </c>
      <c r="K10" s="16">
        <f>C10/'JANTINA 2021'!S10</f>
        <v>6.7416515299706575E-2</v>
      </c>
      <c r="L10" s="16">
        <f>D10/'JANTINA 2021'!S10</f>
        <v>0.16536258208746682</v>
      </c>
      <c r="M10" s="16">
        <f>E10/'JANTINA 2021'!S10</f>
        <v>0.20413581109403381</v>
      </c>
      <c r="N10" s="16">
        <f>F10/'JANTINA 2021'!S10</f>
        <v>0.23229006566997346</v>
      </c>
      <c r="O10" s="16">
        <f>G10/'JANTINA 2021'!S10</f>
        <v>0.1739555679754087</v>
      </c>
      <c r="P10" s="16">
        <f>H10/'JANTINA 2021'!S10</f>
        <v>0.10262679893810256</v>
      </c>
      <c r="Q10" s="16">
        <f>I10/'JANTINA 2021'!S10</f>
        <v>4.2685482744166552E-2</v>
      </c>
      <c r="R10" s="16">
        <f t="shared" si="0"/>
        <v>1.1527176191141554E-2</v>
      </c>
      <c r="S10" s="13" t="str">
        <f t="shared" si="1"/>
        <v>50-59</v>
      </c>
      <c r="T10" s="15">
        <f t="shared" si="2"/>
        <v>3332</v>
      </c>
      <c r="U10" s="16">
        <f t="shared" si="3"/>
        <v>0.23277909738717339</v>
      </c>
      <c r="V10" s="15">
        <f t="shared" si="4"/>
        <v>6033</v>
      </c>
      <c r="W10" s="15">
        <f t="shared" si="5"/>
        <v>14314</v>
      </c>
      <c r="X10" s="16">
        <f t="shared" si="6"/>
        <v>0.59291602626798934</v>
      </c>
      <c r="Y10" s="15">
        <f t="shared" si="7"/>
        <v>8487</v>
      </c>
      <c r="Z10" s="15">
        <v>52</v>
      </c>
      <c r="AA10" s="15">
        <v>71</v>
      </c>
      <c r="AB10" s="33">
        <f t="shared" si="8"/>
        <v>8364</v>
      </c>
      <c r="AC10" s="29" t="s">
        <v>243</v>
      </c>
      <c r="AD10" s="29" t="str">
        <f>IF(AC10&lt;&gt;"",INDEX('DUN 2021'!$J$3:$J$23,MATCH('UMUR 2021'!AC10,'DUN 2021'!$I$3:$I$23,0),1),"")</f>
        <v>GPS</v>
      </c>
      <c r="AE10" s="33">
        <v>6991</v>
      </c>
      <c r="AF10" s="34">
        <f t="shared" si="9"/>
        <v>0.83584409373505497</v>
      </c>
      <c r="AG10" s="29" t="s">
        <v>253</v>
      </c>
      <c r="AH10" s="29" t="str">
        <f>INDEX('DUN 2021'!$J$3:$J$23,MATCH('UMUR 2021'!AG10,'DUN 2021'!$I$3:$I$23,0),1)</f>
        <v>PH</v>
      </c>
      <c r="AI10" s="33">
        <v>958</v>
      </c>
      <c r="AJ10" s="34">
        <f t="shared" si="10"/>
        <v>0.11453849832615973</v>
      </c>
      <c r="AK10" s="29" t="s">
        <v>301</v>
      </c>
      <c r="AL10" s="29" t="str">
        <f>IF(AK10&lt;&gt;"",INDEX('DUN 2021'!$J$3:$J$23,MATCH('UMUR 2021'!AK10,'DUN 2021'!$I$3:$I$23,0),1),"")</f>
        <v>LAIN-LAIN</v>
      </c>
      <c r="AM10" s="33">
        <v>415</v>
      </c>
      <c r="AN10" s="34">
        <f t="shared" si="11"/>
        <v>4.9617407938785267E-2</v>
      </c>
      <c r="AO10" s="29"/>
      <c r="AP10" s="29" t="str">
        <f>IF(AO10&lt;&gt;"",INDEX('DUN 2021'!$J$3:$J$23,MATCH('UMUR 2021'!AO10,'DUN 2021'!$I$3:$I$23,0),1),"")</f>
        <v/>
      </c>
      <c r="AQ10" s="33"/>
      <c r="AR10" s="34" t="str">
        <f t="shared" si="12"/>
        <v/>
      </c>
      <c r="AS10" s="29"/>
      <c r="AT10" s="29" t="str">
        <f>IF(AS10&lt;&gt;"",INDEX('DUN 2021'!$J$3:$J$23,MATCH('UMUR 2021'!AS10,'DUN 2021'!$I$3:$I$23,0),1),"")</f>
        <v/>
      </c>
      <c r="AU10" s="33"/>
      <c r="AV10" s="34" t="str">
        <f t="shared" si="13"/>
        <v/>
      </c>
      <c r="AW10" s="29"/>
      <c r="AX10" s="29" t="str">
        <f>IF(AW10&lt;&gt;"",INDEX('DUN 2021'!$J$3:$J$23,MATCH('UMUR 2021'!AW10,'DUN 2021'!$I$3:$I$23,0),1),"")</f>
        <v/>
      </c>
      <c r="AY10" s="33"/>
      <c r="AZ10" s="34" t="str">
        <f t="shared" si="14"/>
        <v/>
      </c>
      <c r="BA10" s="29"/>
      <c r="BB10" s="29" t="str">
        <f>IF(BA10&lt;&gt;"",INDEX('DUN 2021'!$J$3:$J$23,MATCH('UMUR 2021'!BA10,'DUN 2021'!$I$3:$I$23,0),1),"")</f>
        <v/>
      </c>
      <c r="BC10" s="33"/>
      <c r="BD10" s="34" t="str">
        <f t="shared" si="15"/>
        <v/>
      </c>
      <c r="BE10" s="29"/>
      <c r="BF10" s="29" t="str">
        <f>IF(BE10&lt;&gt;"",INDEX('DUN 2021'!$J$3:$J$23,MATCH('UMUR 2021'!BE10,'DUN 2021'!$I$3:$I$23,0),1),"")</f>
        <v/>
      </c>
      <c r="BG10" s="33"/>
      <c r="BH10" s="34" t="str">
        <f t="shared" si="16"/>
        <v/>
      </c>
    </row>
    <row r="11" spans="1:60">
      <c r="A11" s="13" t="s">
        <v>28</v>
      </c>
      <c r="B11" s="14" t="s">
        <v>31</v>
      </c>
      <c r="C11" s="15">
        <f>'JANTINA 2021'!C11+'JANTINA 2021'!K11</f>
        <v>373</v>
      </c>
      <c r="D11" s="15">
        <f>'JANTINA 2021'!D11+'JANTINA 2021'!L11</f>
        <v>1688</v>
      </c>
      <c r="E11" s="15">
        <f>'JANTINA 2021'!E11+'JANTINA 2021'!M11</f>
        <v>2976</v>
      </c>
      <c r="F11" s="15">
        <f>'JANTINA 2021'!F11+'JANTINA 2021'!N11</f>
        <v>4736</v>
      </c>
      <c r="G11" s="15">
        <f>'JANTINA 2021'!G11+'JANTINA 2021'!O11</f>
        <v>5812</v>
      </c>
      <c r="H11" s="15">
        <f>'JANTINA 2021'!H11+'JANTINA 2021'!P11</f>
        <v>3679</v>
      </c>
      <c r="I11" s="15">
        <f>'JANTINA 2021'!I11+'JANTINA 2021'!Q11</f>
        <v>1316</v>
      </c>
      <c r="J11" s="15">
        <f>'JANTINA 2021'!J11+'JANTINA 2021'!R11</f>
        <v>369</v>
      </c>
      <c r="K11" s="16">
        <f>C11/'JANTINA 2021'!S11</f>
        <v>1.7805145830349898E-2</v>
      </c>
      <c r="L11" s="16">
        <f>D11/'JANTINA 2021'!S11</f>
        <v>8.0576638503031164E-2</v>
      </c>
      <c r="M11" s="16">
        <f>E11/'JANTINA 2021'!S11</f>
        <v>0.14205928683946728</v>
      </c>
      <c r="N11" s="16">
        <f>F11/'JANTINA 2021'!S11</f>
        <v>0.22607284357248555</v>
      </c>
      <c r="O11" s="16">
        <f>G11/'JANTINA 2021'!S11</f>
        <v>0.27743567712062628</v>
      </c>
      <c r="P11" s="16">
        <f>H11/'JANTINA 2021'!S11</f>
        <v>0.17561697455725811</v>
      </c>
      <c r="Q11" s="16">
        <f>I11/'JANTINA 2021'!S11</f>
        <v>6.2819227648097761E-2</v>
      </c>
      <c r="R11" s="16">
        <f t="shared" si="0"/>
        <v>1.761420592868386E-2</v>
      </c>
      <c r="S11" s="13" t="str">
        <f t="shared" si="1"/>
        <v>60-69</v>
      </c>
      <c r="T11" s="15">
        <f t="shared" si="2"/>
        <v>2061</v>
      </c>
      <c r="U11" s="16">
        <f t="shared" si="3"/>
        <v>9.8381784333381073E-2</v>
      </c>
      <c r="V11" s="15">
        <f t="shared" si="4"/>
        <v>1198</v>
      </c>
      <c r="W11" s="15">
        <f t="shared" si="5"/>
        <v>20949</v>
      </c>
      <c r="X11" s="16">
        <f t="shared" si="6"/>
        <v>0.44756312950498828</v>
      </c>
      <c r="Y11" s="15">
        <f t="shared" si="7"/>
        <v>9376</v>
      </c>
      <c r="Z11" s="15">
        <v>26</v>
      </c>
      <c r="AA11" s="15">
        <v>53</v>
      </c>
      <c r="AB11" s="33">
        <f t="shared" si="8"/>
        <v>9297</v>
      </c>
      <c r="AC11" s="29" t="s">
        <v>244</v>
      </c>
      <c r="AD11" s="29" t="str">
        <f>IF(AC11&lt;&gt;"",INDEX('DUN 2021'!$J$3:$J$23,MATCH('UMUR 2021'!AC11,'DUN 2021'!$I$3:$I$23,0),1),"")</f>
        <v>PH</v>
      </c>
      <c r="AE11" s="33">
        <v>4686</v>
      </c>
      <c r="AF11" s="34">
        <f t="shared" si="9"/>
        <v>0.50403355921264925</v>
      </c>
      <c r="AG11" s="29" t="s">
        <v>239</v>
      </c>
      <c r="AH11" s="29" t="str">
        <f>INDEX('DUN 2021'!$J$3:$J$23,MATCH('UMUR 2021'!AG11,'DUN 2021'!$I$3:$I$23,0),1)</f>
        <v>GPS</v>
      </c>
      <c r="AI11" s="33">
        <v>3488</v>
      </c>
      <c r="AJ11" s="34">
        <f t="shared" si="10"/>
        <v>0.37517478756588146</v>
      </c>
      <c r="AK11" s="29" t="s">
        <v>301</v>
      </c>
      <c r="AL11" s="29" t="str">
        <f>IF(AK11&lt;&gt;"",INDEX('DUN 2021'!$J$3:$J$23,MATCH('UMUR 2021'!AK11,'DUN 2021'!$I$3:$I$23,0),1),"")</f>
        <v>LAIN-LAIN</v>
      </c>
      <c r="AM11" s="33">
        <v>930</v>
      </c>
      <c r="AN11" s="34">
        <f t="shared" si="11"/>
        <v>0.1000322684737012</v>
      </c>
      <c r="AO11" s="29" t="s">
        <v>302</v>
      </c>
      <c r="AP11" s="29" t="str">
        <f>IF(AO11&lt;&gt;"",INDEX('DUN 2021'!$J$3:$J$23,MATCH('UMUR 2021'!AO11,'DUN 2021'!$I$3:$I$23,0),1),"")</f>
        <v>LAIN-LAIN</v>
      </c>
      <c r="AQ11" s="33">
        <v>193</v>
      </c>
      <c r="AR11" s="34">
        <f t="shared" si="12"/>
        <v>2.0759384747768096E-2</v>
      </c>
      <c r="AS11" s="29"/>
      <c r="AT11" s="29" t="str">
        <f>IF(AS11&lt;&gt;"",INDEX('DUN 2021'!$J$3:$J$23,MATCH('UMUR 2021'!AS11,'DUN 2021'!$I$3:$I$23,0),1),"")</f>
        <v/>
      </c>
      <c r="AU11" s="33"/>
      <c r="AV11" s="34" t="str">
        <f t="shared" si="13"/>
        <v/>
      </c>
      <c r="AW11" s="29"/>
      <c r="AX11" s="29" t="str">
        <f>IF(AW11&lt;&gt;"",INDEX('DUN 2021'!$J$3:$J$23,MATCH('UMUR 2021'!AW11,'DUN 2021'!$I$3:$I$23,0),1),"")</f>
        <v/>
      </c>
      <c r="AY11" s="33"/>
      <c r="AZ11" s="34" t="str">
        <f t="shared" si="14"/>
        <v/>
      </c>
      <c r="BA11" s="29"/>
      <c r="BB11" s="29" t="str">
        <f>IF(BA11&lt;&gt;"",INDEX('DUN 2021'!$J$3:$J$23,MATCH('UMUR 2021'!BA11,'DUN 2021'!$I$3:$I$23,0),1),"")</f>
        <v/>
      </c>
      <c r="BC11" s="33"/>
      <c r="BD11" s="34" t="str">
        <f t="shared" si="15"/>
        <v/>
      </c>
      <c r="BE11" s="29"/>
      <c r="BF11" s="29" t="str">
        <f>IF(BE11&lt;&gt;"",INDEX('DUN 2021'!$J$3:$J$23,MATCH('UMUR 2021'!BE11,'DUN 2021'!$I$3:$I$23,0),1),"")</f>
        <v/>
      </c>
      <c r="BG11" s="33"/>
      <c r="BH11" s="34" t="str">
        <f t="shared" si="16"/>
        <v/>
      </c>
    </row>
    <row r="12" spans="1:60">
      <c r="A12" s="13" t="s">
        <v>29</v>
      </c>
      <c r="B12" s="14" t="s">
        <v>32</v>
      </c>
      <c r="C12" s="15">
        <f>'JANTINA 2021'!C12+'JANTINA 2021'!K12</f>
        <v>953</v>
      </c>
      <c r="D12" s="15">
        <f>'JANTINA 2021'!D12+'JANTINA 2021'!L12</f>
        <v>4007</v>
      </c>
      <c r="E12" s="15">
        <f>'JANTINA 2021'!E12+'JANTINA 2021'!M12</f>
        <v>5800</v>
      </c>
      <c r="F12" s="15">
        <f>'JANTINA 2021'!F12+'JANTINA 2021'!N12</f>
        <v>7077</v>
      </c>
      <c r="G12" s="15">
        <f>'JANTINA 2021'!G12+'JANTINA 2021'!O12</f>
        <v>7236</v>
      </c>
      <c r="H12" s="15">
        <f>'JANTINA 2021'!H12+'JANTINA 2021'!P12</f>
        <v>3286</v>
      </c>
      <c r="I12" s="15">
        <f>'JANTINA 2021'!I12+'JANTINA 2021'!Q12</f>
        <v>1118</v>
      </c>
      <c r="J12" s="15">
        <f>'JANTINA 2021'!J12+'JANTINA 2021'!R12</f>
        <v>270</v>
      </c>
      <c r="K12" s="16">
        <f>C12/'JANTINA 2021'!S12</f>
        <v>3.2036844051500993E-2</v>
      </c>
      <c r="L12" s="16">
        <f>D12/'JANTINA 2021'!S12</f>
        <v>0.13470265909167312</v>
      </c>
      <c r="M12" s="16">
        <f>E12/'JANTINA 2021'!S12</f>
        <v>0.1949776448045181</v>
      </c>
      <c r="N12" s="16">
        <f>F12/'JANTINA 2021'!S12</f>
        <v>0.23790634349682321</v>
      </c>
      <c r="O12" s="16">
        <f>G12/'JANTINA 2021'!S12</f>
        <v>0.2432514203112919</v>
      </c>
      <c r="P12" s="16">
        <f>H12/'JANTINA 2021'!S12</f>
        <v>0.11046492083235285</v>
      </c>
      <c r="Q12" s="16">
        <f>I12/'JANTINA 2021'!S12</f>
        <v>3.7583621877836419E-2</v>
      </c>
      <c r="R12" s="16">
        <f t="shared" si="0"/>
        <v>9.0765455340034509E-3</v>
      </c>
      <c r="S12" s="13" t="str">
        <f t="shared" si="1"/>
        <v>60-69</v>
      </c>
      <c r="T12" s="15">
        <f t="shared" si="2"/>
        <v>4960</v>
      </c>
      <c r="U12" s="16">
        <f t="shared" si="3"/>
        <v>0.16673950314317409</v>
      </c>
      <c r="V12" s="15">
        <f t="shared" si="4"/>
        <v>540</v>
      </c>
      <c r="W12" s="15">
        <f t="shared" si="5"/>
        <v>29747</v>
      </c>
      <c r="X12" s="16">
        <f t="shared" si="6"/>
        <v>0.43762396208020976</v>
      </c>
      <c r="Y12" s="15">
        <f t="shared" si="7"/>
        <v>13018</v>
      </c>
      <c r="Z12" s="15">
        <v>37</v>
      </c>
      <c r="AA12" s="15">
        <v>105</v>
      </c>
      <c r="AB12" s="33">
        <f t="shared" si="8"/>
        <v>12876</v>
      </c>
      <c r="AC12" s="29" t="s">
        <v>244</v>
      </c>
      <c r="AD12" s="29" t="str">
        <f>IF(AC12&lt;&gt;"",INDEX('DUN 2021'!$J$3:$J$23,MATCH('UMUR 2021'!AC12,'DUN 2021'!$I$3:$I$23,0),1),"")</f>
        <v>PH</v>
      </c>
      <c r="AE12" s="33">
        <v>5188</v>
      </c>
      <c r="AF12" s="34">
        <f t="shared" si="9"/>
        <v>0.4029201615408512</v>
      </c>
      <c r="AG12" s="29" t="s">
        <v>239</v>
      </c>
      <c r="AH12" s="29" t="str">
        <f>INDEX('DUN 2021'!$J$3:$J$23,MATCH('UMUR 2021'!AG12,'DUN 2021'!$I$3:$I$23,0),1)</f>
        <v>GPS</v>
      </c>
      <c r="AI12" s="33">
        <v>4648</v>
      </c>
      <c r="AJ12" s="34">
        <f t="shared" si="10"/>
        <v>0.36098167132649889</v>
      </c>
      <c r="AK12" s="29" t="s">
        <v>252</v>
      </c>
      <c r="AL12" s="29" t="str">
        <f>IF(AK12&lt;&gt;"",INDEX('DUN 2021'!$J$3:$J$23,MATCH('UMUR 2021'!AK12,'DUN 2021'!$I$3:$I$23,0),1),"")</f>
        <v>PSB</v>
      </c>
      <c r="AM12" s="33">
        <v>1858</v>
      </c>
      <c r="AN12" s="34">
        <f t="shared" si="11"/>
        <v>0.14429947188567879</v>
      </c>
      <c r="AO12" s="29" t="s">
        <v>301</v>
      </c>
      <c r="AP12" s="29" t="str">
        <f>IF(AO12&lt;&gt;"",INDEX('DUN 2021'!$J$3:$J$23,MATCH('UMUR 2021'!AO12,'DUN 2021'!$I$3:$I$23,0),1),"")</f>
        <v>LAIN-LAIN</v>
      </c>
      <c r="AQ12" s="33">
        <v>978</v>
      </c>
      <c r="AR12" s="34">
        <f t="shared" si="12"/>
        <v>7.5955265610438027E-2</v>
      </c>
      <c r="AS12" s="29" t="s">
        <v>302</v>
      </c>
      <c r="AT12" s="29" t="str">
        <f>IF(AS12&lt;&gt;"",INDEX('DUN 2021'!$J$3:$J$23,MATCH('UMUR 2021'!AS12,'DUN 2021'!$I$3:$I$23,0),1),"")</f>
        <v>LAIN-LAIN</v>
      </c>
      <c r="AU12" s="33">
        <v>204</v>
      </c>
      <c r="AV12" s="34">
        <f t="shared" si="13"/>
        <v>1.5843429636533086E-2</v>
      </c>
      <c r="AW12" s="29"/>
      <c r="AX12" s="29" t="str">
        <f>IF(AW12&lt;&gt;"",INDEX('DUN 2021'!$J$3:$J$23,MATCH('UMUR 2021'!AW12,'DUN 2021'!$I$3:$I$23,0),1),"")</f>
        <v/>
      </c>
      <c r="AY12" s="33"/>
      <c r="AZ12" s="34" t="str">
        <f t="shared" si="14"/>
        <v/>
      </c>
      <c r="BA12" s="29"/>
      <c r="BB12" s="29" t="str">
        <f>IF(BA12&lt;&gt;"",INDEX('DUN 2021'!$J$3:$J$23,MATCH('UMUR 2021'!BA12,'DUN 2021'!$I$3:$I$23,0),1),"")</f>
        <v/>
      </c>
      <c r="BC12" s="33"/>
      <c r="BD12" s="34" t="str">
        <f t="shared" si="15"/>
        <v/>
      </c>
      <c r="BE12" s="29"/>
      <c r="BF12" s="29" t="str">
        <f>IF(BE12&lt;&gt;"",INDEX('DUN 2021'!$J$3:$J$23,MATCH('UMUR 2021'!BE12,'DUN 2021'!$I$3:$I$23,0),1),"")</f>
        <v/>
      </c>
      <c r="BG12" s="33"/>
      <c r="BH12" s="34" t="str">
        <f t="shared" si="16"/>
        <v/>
      </c>
    </row>
    <row r="13" spans="1:60">
      <c r="A13" s="13" t="s">
        <v>30</v>
      </c>
      <c r="B13" s="14" t="s">
        <v>33</v>
      </c>
      <c r="C13" s="15">
        <f>'JANTINA 2021'!C13+'JANTINA 2021'!K13</f>
        <v>1717</v>
      </c>
      <c r="D13" s="15">
        <f>'JANTINA 2021'!D13+'JANTINA 2021'!L13</f>
        <v>5381</v>
      </c>
      <c r="E13" s="15">
        <f>'JANTINA 2021'!E13+'JANTINA 2021'!M13</f>
        <v>6325</v>
      </c>
      <c r="F13" s="15">
        <f>'JANTINA 2021'!F13+'JANTINA 2021'!N13</f>
        <v>6244</v>
      </c>
      <c r="G13" s="15">
        <f>'JANTINA 2021'!G13+'JANTINA 2021'!O13</f>
        <v>5498</v>
      </c>
      <c r="H13" s="15">
        <f>'JANTINA 2021'!H13+'JANTINA 2021'!P13</f>
        <v>3055</v>
      </c>
      <c r="I13" s="15">
        <f>'JANTINA 2021'!I13+'JANTINA 2021'!Q13</f>
        <v>1184</v>
      </c>
      <c r="J13" s="15">
        <f>'JANTINA 2021'!J13+'JANTINA 2021'!R13</f>
        <v>290</v>
      </c>
      <c r="K13" s="16">
        <f>C13/'JANTINA 2021'!S13</f>
        <v>5.7823129251700682E-2</v>
      </c>
      <c r="L13" s="16">
        <f>D13/'JANTINA 2021'!S13</f>
        <v>0.18121506028153836</v>
      </c>
      <c r="M13" s="16">
        <f>E13/'JANTINA 2021'!S13</f>
        <v>0.21300599447699872</v>
      </c>
      <c r="N13" s="16">
        <f>F13/'JANTINA 2021'!S13</f>
        <v>0.21027817067421029</v>
      </c>
      <c r="O13" s="16">
        <f>G13/'JANTINA 2021'!S13</f>
        <v>0.18515525021889945</v>
      </c>
      <c r="P13" s="16">
        <f>H13/'JANTINA 2021'!S13</f>
        <v>0.10288273725331717</v>
      </c>
      <c r="Q13" s="16">
        <f>I13/'JANTINA 2021'!S13</f>
        <v>3.9873375092611303E-2</v>
      </c>
      <c r="R13" s="16">
        <f t="shared" si="0"/>
        <v>9.7662827507240743E-3</v>
      </c>
      <c r="S13" s="13" t="str">
        <f t="shared" si="1"/>
        <v>40-49</v>
      </c>
      <c r="T13" s="15">
        <f t="shared" si="2"/>
        <v>7098</v>
      </c>
      <c r="U13" s="16">
        <f t="shared" si="3"/>
        <v>0.23903818953323905</v>
      </c>
      <c r="V13" s="15">
        <f t="shared" si="4"/>
        <v>93</v>
      </c>
      <c r="W13" s="15">
        <f t="shared" si="5"/>
        <v>29694</v>
      </c>
      <c r="X13" s="16">
        <f t="shared" si="6"/>
        <v>0.42082575604499223</v>
      </c>
      <c r="Y13" s="15">
        <f t="shared" si="7"/>
        <v>12496</v>
      </c>
      <c r="Z13" s="15">
        <v>75</v>
      </c>
      <c r="AA13" s="15">
        <v>94</v>
      </c>
      <c r="AB13" s="33">
        <f t="shared" si="8"/>
        <v>12327</v>
      </c>
      <c r="AC13" s="29" t="s">
        <v>252</v>
      </c>
      <c r="AD13" s="29" t="str">
        <f>IF(AC13&lt;&gt;"",INDEX('DUN 2021'!$J$3:$J$23,MATCH('UMUR 2021'!AC13,'DUN 2021'!$I$3:$I$23,0),1),"")</f>
        <v>PSB</v>
      </c>
      <c r="AE13" s="33">
        <v>4420</v>
      </c>
      <c r="AF13" s="34">
        <f t="shared" si="9"/>
        <v>0.35856250507017118</v>
      </c>
      <c r="AG13" s="29" t="s">
        <v>239</v>
      </c>
      <c r="AH13" s="29" t="str">
        <f>INDEX('DUN 2021'!$J$3:$J$23,MATCH('UMUR 2021'!AG13,'DUN 2021'!$I$3:$I$23,0),1)</f>
        <v>GPS</v>
      </c>
      <c r="AI13" s="33">
        <v>4327</v>
      </c>
      <c r="AJ13" s="34">
        <f t="shared" si="10"/>
        <v>0.3510180903707309</v>
      </c>
      <c r="AK13" s="29" t="s">
        <v>253</v>
      </c>
      <c r="AL13" s="29" t="str">
        <f>IF(AK13&lt;&gt;"",INDEX('DUN 2021'!$J$3:$J$23,MATCH('UMUR 2021'!AK13,'DUN 2021'!$I$3:$I$23,0),1),"")</f>
        <v>PH</v>
      </c>
      <c r="AM13" s="33">
        <v>1823</v>
      </c>
      <c r="AN13" s="34">
        <f t="shared" si="11"/>
        <v>0.1478867526567697</v>
      </c>
      <c r="AO13" s="29" t="s">
        <v>301</v>
      </c>
      <c r="AP13" s="29" t="str">
        <f>IF(AO13&lt;&gt;"",INDEX('DUN 2021'!$J$3:$J$23,MATCH('UMUR 2021'!AO13,'DUN 2021'!$I$3:$I$23,0),1),"")</f>
        <v>LAIN-LAIN</v>
      </c>
      <c r="AQ13" s="33">
        <v>1570</v>
      </c>
      <c r="AR13" s="34">
        <f t="shared" si="12"/>
        <v>0.12736269976474407</v>
      </c>
      <c r="AS13" s="29" t="s">
        <v>302</v>
      </c>
      <c r="AT13" s="29" t="str">
        <f>IF(AS13&lt;&gt;"",INDEX('DUN 2021'!$J$3:$J$23,MATCH('UMUR 2021'!AS13,'DUN 2021'!$I$3:$I$23,0),1),"")</f>
        <v>LAIN-LAIN</v>
      </c>
      <c r="AU13" s="33">
        <v>187</v>
      </c>
      <c r="AV13" s="34">
        <f t="shared" si="13"/>
        <v>1.5169952137584165E-2</v>
      </c>
      <c r="AW13" s="29"/>
      <c r="AX13" s="29" t="str">
        <f>IF(AW13&lt;&gt;"",INDEX('DUN 2021'!$J$3:$J$23,MATCH('UMUR 2021'!AW13,'DUN 2021'!$I$3:$I$23,0),1),"")</f>
        <v/>
      </c>
      <c r="AY13" s="33"/>
      <c r="AZ13" s="34" t="str">
        <f t="shared" si="14"/>
        <v/>
      </c>
      <c r="BA13" s="29"/>
      <c r="BB13" s="29" t="str">
        <f>IF(BA13&lt;&gt;"",INDEX('DUN 2021'!$J$3:$J$23,MATCH('UMUR 2021'!BA13,'DUN 2021'!$I$3:$I$23,0),1),"")</f>
        <v/>
      </c>
      <c r="BC13" s="33"/>
      <c r="BD13" s="34" t="str">
        <f t="shared" si="15"/>
        <v/>
      </c>
      <c r="BE13" s="29"/>
      <c r="BF13" s="29" t="str">
        <f>IF(BE13&lt;&gt;"",INDEX('DUN 2021'!$J$3:$J$23,MATCH('UMUR 2021'!BE13,'DUN 2021'!$I$3:$I$23,0),1),"")</f>
        <v/>
      </c>
      <c r="BG13" s="33"/>
      <c r="BH13" s="34" t="str">
        <f t="shared" si="16"/>
        <v/>
      </c>
    </row>
    <row r="14" spans="1:60">
      <c r="A14" s="13" t="s">
        <v>36</v>
      </c>
      <c r="B14" s="14" t="s">
        <v>39</v>
      </c>
      <c r="C14" s="15">
        <f>'JANTINA 2021'!C14+'JANTINA 2021'!K14</f>
        <v>2941</v>
      </c>
      <c r="D14" s="15">
        <f>'JANTINA 2021'!D14+'JANTINA 2021'!L14</f>
        <v>7138</v>
      </c>
      <c r="E14" s="15">
        <f>'JANTINA 2021'!E14+'JANTINA 2021'!M14</f>
        <v>6643</v>
      </c>
      <c r="F14" s="15">
        <f>'JANTINA 2021'!F14+'JANTINA 2021'!N14</f>
        <v>4854</v>
      </c>
      <c r="G14" s="15">
        <f>'JANTINA 2021'!G14+'JANTINA 2021'!O14</f>
        <v>4153</v>
      </c>
      <c r="H14" s="15">
        <f>'JANTINA 2021'!H14+'JANTINA 2021'!P14</f>
        <v>1958</v>
      </c>
      <c r="I14" s="15">
        <f>'JANTINA 2021'!I14+'JANTINA 2021'!Q14</f>
        <v>591</v>
      </c>
      <c r="J14" s="15">
        <f>'JANTINA 2021'!J14+'JANTINA 2021'!R14</f>
        <v>114</v>
      </c>
      <c r="K14" s="16">
        <f>C14/'JANTINA 2021'!S14</f>
        <v>0.10358551704705551</v>
      </c>
      <c r="L14" s="16">
        <f>D14/'JANTINA 2021'!S14</f>
        <v>0.25140884756269372</v>
      </c>
      <c r="M14" s="16">
        <f>E14/'JANTINA 2021'!S14</f>
        <v>0.23397435897435898</v>
      </c>
      <c r="N14" s="16">
        <f>F14/'JANTINA 2021'!S14</f>
        <v>0.1709636517328825</v>
      </c>
      <c r="O14" s="16">
        <f>G14/'JANTINA 2021'!S14</f>
        <v>0.14627359819667513</v>
      </c>
      <c r="P14" s="16">
        <f>H14/'JANTINA 2021'!S14</f>
        <v>6.8963088193857422E-2</v>
      </c>
      <c r="Q14" s="16">
        <f>I14/'JANTINA 2021'!S14</f>
        <v>2.0815722738799662E-2</v>
      </c>
      <c r="R14" s="16">
        <f t="shared" si="0"/>
        <v>4.0152155536770026E-3</v>
      </c>
      <c r="S14" s="13" t="str">
        <f t="shared" si="1"/>
        <v>30-39</v>
      </c>
      <c r="T14" s="15">
        <f t="shared" si="2"/>
        <v>10079</v>
      </c>
      <c r="U14" s="16">
        <f t="shared" si="3"/>
        <v>0.3549943646097492</v>
      </c>
      <c r="V14" s="15">
        <f t="shared" si="4"/>
        <v>1683</v>
      </c>
      <c r="W14" s="15">
        <f t="shared" si="5"/>
        <v>28392</v>
      </c>
      <c r="X14" s="16">
        <f t="shared" si="6"/>
        <v>0.48245984784446322</v>
      </c>
      <c r="Y14" s="15">
        <f t="shared" si="7"/>
        <v>13698</v>
      </c>
      <c r="Z14" s="15">
        <v>72</v>
      </c>
      <c r="AA14" s="15">
        <v>139</v>
      </c>
      <c r="AB14" s="33">
        <f t="shared" si="8"/>
        <v>13487</v>
      </c>
      <c r="AC14" s="29" t="s">
        <v>239</v>
      </c>
      <c r="AD14" s="29" t="str">
        <f>IF(AC14&lt;&gt;"",INDEX('DUN 2021'!$J$3:$J$23,MATCH('UMUR 2021'!AC14,'DUN 2021'!$I$3:$I$23,0),1),"")</f>
        <v>GPS</v>
      </c>
      <c r="AE14" s="33">
        <v>5806</v>
      </c>
      <c r="AF14" s="34">
        <f t="shared" si="9"/>
        <v>0.43048861866983018</v>
      </c>
      <c r="AG14" s="29" t="s">
        <v>244</v>
      </c>
      <c r="AH14" s="29" t="str">
        <f>INDEX('DUN 2021'!$J$3:$J$23,MATCH('UMUR 2021'!AG14,'DUN 2021'!$I$3:$I$23,0),1)</f>
        <v>PH</v>
      </c>
      <c r="AI14" s="33">
        <v>4123</v>
      </c>
      <c r="AJ14" s="34">
        <f t="shared" si="10"/>
        <v>0.30570178690590938</v>
      </c>
      <c r="AK14" s="29" t="s">
        <v>252</v>
      </c>
      <c r="AL14" s="29" t="str">
        <f>IF(AK14&lt;&gt;"",INDEX('DUN 2021'!$J$3:$J$23,MATCH('UMUR 2021'!AK14,'DUN 2021'!$I$3:$I$23,0),1),"")</f>
        <v>PSB</v>
      </c>
      <c r="AM14" s="33">
        <v>2328</v>
      </c>
      <c r="AN14" s="34">
        <f t="shared" si="11"/>
        <v>0.17261066211907763</v>
      </c>
      <c r="AO14" s="29" t="s">
        <v>301</v>
      </c>
      <c r="AP14" s="29" t="str">
        <f>IF(AO14&lt;&gt;"",INDEX('DUN 2021'!$J$3:$J$23,MATCH('UMUR 2021'!AO14,'DUN 2021'!$I$3:$I$23,0),1),"")</f>
        <v>LAIN-LAIN</v>
      </c>
      <c r="AQ14" s="33">
        <v>1015</v>
      </c>
      <c r="AR14" s="34">
        <f t="shared" si="12"/>
        <v>7.5257655520130501E-2</v>
      </c>
      <c r="AS14" s="29" t="s">
        <v>302</v>
      </c>
      <c r="AT14" s="29" t="str">
        <f>IF(AS14&lt;&gt;"",INDEX('DUN 2021'!$J$3:$J$23,MATCH('UMUR 2021'!AS14,'DUN 2021'!$I$3:$I$23,0),1),"")</f>
        <v>LAIN-LAIN</v>
      </c>
      <c r="AU14" s="33">
        <v>215</v>
      </c>
      <c r="AV14" s="34">
        <f t="shared" si="13"/>
        <v>1.5941276785052274E-2</v>
      </c>
      <c r="AW14" s="29"/>
      <c r="AX14" s="29" t="str">
        <f>IF(AW14&lt;&gt;"",INDEX('DUN 2021'!$J$3:$J$23,MATCH('UMUR 2021'!AW14,'DUN 2021'!$I$3:$I$23,0),1),"")</f>
        <v/>
      </c>
      <c r="AY14" s="33"/>
      <c r="AZ14" s="34" t="str">
        <f t="shared" si="14"/>
        <v/>
      </c>
      <c r="BA14" s="29"/>
      <c r="BB14" s="29" t="str">
        <f>IF(BA14&lt;&gt;"",INDEX('DUN 2021'!$J$3:$J$23,MATCH('UMUR 2021'!BA14,'DUN 2021'!$I$3:$I$23,0),1),"")</f>
        <v/>
      </c>
      <c r="BC14" s="33"/>
      <c r="BD14" s="34" t="str">
        <f t="shared" si="15"/>
        <v/>
      </c>
      <c r="BE14" s="29"/>
      <c r="BF14" s="29" t="str">
        <f>IF(BE14&lt;&gt;"",INDEX('DUN 2021'!$J$3:$J$23,MATCH('UMUR 2021'!BE14,'DUN 2021'!$I$3:$I$23,0),1),"")</f>
        <v/>
      </c>
      <c r="BG14" s="33"/>
      <c r="BH14" s="34" t="str">
        <f t="shared" si="16"/>
        <v/>
      </c>
    </row>
    <row r="15" spans="1:60">
      <c r="A15" s="13" t="s">
        <v>37</v>
      </c>
      <c r="B15" s="14" t="s">
        <v>40</v>
      </c>
      <c r="C15" s="15">
        <f>'JANTINA 2021'!C15+'JANTINA 2021'!K15</f>
        <v>1819</v>
      </c>
      <c r="D15" s="15">
        <f>'JANTINA 2021'!D15+'JANTINA 2021'!L15</f>
        <v>4656</v>
      </c>
      <c r="E15" s="15">
        <f>'JANTINA 2021'!E15+'JANTINA 2021'!M15</f>
        <v>4977</v>
      </c>
      <c r="F15" s="15">
        <f>'JANTINA 2021'!F15+'JANTINA 2021'!N15</f>
        <v>4256</v>
      </c>
      <c r="G15" s="15">
        <f>'JANTINA 2021'!G15+'JANTINA 2021'!O15</f>
        <v>3035</v>
      </c>
      <c r="H15" s="15">
        <f>'JANTINA 2021'!H15+'JANTINA 2021'!P15</f>
        <v>1465</v>
      </c>
      <c r="I15" s="15">
        <f>'JANTINA 2021'!I15+'JANTINA 2021'!Q15</f>
        <v>499</v>
      </c>
      <c r="J15" s="15">
        <f>'JANTINA 2021'!J15+'JANTINA 2021'!R15</f>
        <v>113</v>
      </c>
      <c r="K15" s="16">
        <f>C15/'JANTINA 2021'!S15</f>
        <v>8.7367915465898172E-2</v>
      </c>
      <c r="L15" s="16">
        <f>D15/'JANTINA 2021'!S15</f>
        <v>0.22363112391930837</v>
      </c>
      <c r="M15" s="16">
        <f>E15/'JANTINA 2021'!S15</f>
        <v>0.23904899135446686</v>
      </c>
      <c r="N15" s="16">
        <f>F15/'JANTINA 2021'!S15</f>
        <v>0.20441882804995196</v>
      </c>
      <c r="O15" s="16">
        <f>G15/'JANTINA 2021'!S15</f>
        <v>0.14577329490874161</v>
      </c>
      <c r="P15" s="16">
        <f>H15/'JANTINA 2021'!S15</f>
        <v>7.0365033621517775E-2</v>
      </c>
      <c r="Q15" s="16">
        <f>I15/'JANTINA 2021'!S15</f>
        <v>2.3967339097022092E-2</v>
      </c>
      <c r="R15" s="16">
        <f t="shared" si="0"/>
        <v>5.4274735830931141E-3</v>
      </c>
      <c r="S15" s="13" t="str">
        <f t="shared" si="1"/>
        <v>40-49</v>
      </c>
      <c r="T15" s="15">
        <f t="shared" si="2"/>
        <v>6475</v>
      </c>
      <c r="U15" s="16">
        <f t="shared" si="3"/>
        <v>0.31099903938520651</v>
      </c>
      <c r="V15" s="15">
        <f t="shared" si="4"/>
        <v>4163</v>
      </c>
      <c r="W15" s="15">
        <f t="shared" si="5"/>
        <v>20820</v>
      </c>
      <c r="X15" s="16">
        <f t="shared" si="6"/>
        <v>0.53294908741594615</v>
      </c>
      <c r="Y15" s="15">
        <f t="shared" si="7"/>
        <v>11096</v>
      </c>
      <c r="Z15" s="15">
        <v>51</v>
      </c>
      <c r="AA15" s="15">
        <v>107</v>
      </c>
      <c r="AB15" s="33">
        <f t="shared" si="8"/>
        <v>10938</v>
      </c>
      <c r="AC15" s="29" t="s">
        <v>239</v>
      </c>
      <c r="AD15" s="29" t="str">
        <f>IF(AC15&lt;&gt;"",INDEX('DUN 2021'!$J$3:$J$23,MATCH('UMUR 2021'!AC15,'DUN 2021'!$I$3:$I$23,0),1),"")</f>
        <v>GPS</v>
      </c>
      <c r="AE15" s="33">
        <v>6307</v>
      </c>
      <c r="AF15" s="34">
        <f t="shared" si="9"/>
        <v>0.57661364051929054</v>
      </c>
      <c r="AG15" s="29" t="s">
        <v>244</v>
      </c>
      <c r="AH15" s="29" t="str">
        <f>INDEX('DUN 2021'!$J$3:$J$23,MATCH('UMUR 2021'!AG15,'DUN 2021'!$I$3:$I$23,0),1)</f>
        <v>PH</v>
      </c>
      <c r="AI15" s="33">
        <v>2144</v>
      </c>
      <c r="AJ15" s="34">
        <f t="shared" si="10"/>
        <v>0.19601389650758821</v>
      </c>
      <c r="AK15" s="29" t="s">
        <v>252</v>
      </c>
      <c r="AL15" s="29" t="str">
        <f>IF(AK15&lt;&gt;"",INDEX('DUN 2021'!$J$3:$J$23,MATCH('UMUR 2021'!AK15,'DUN 2021'!$I$3:$I$23,0),1),"")</f>
        <v>PSB</v>
      </c>
      <c r="AM15" s="33">
        <v>1812</v>
      </c>
      <c r="AN15" s="34">
        <f t="shared" si="11"/>
        <v>0.16566099835436093</v>
      </c>
      <c r="AO15" s="29" t="s">
        <v>301</v>
      </c>
      <c r="AP15" s="29" t="str">
        <f>IF(AO15&lt;&gt;"",INDEX('DUN 2021'!$J$3:$J$23,MATCH('UMUR 2021'!AO15,'DUN 2021'!$I$3:$I$23,0),1),"")</f>
        <v>LAIN-LAIN</v>
      </c>
      <c r="AQ15" s="33">
        <v>675</v>
      </c>
      <c r="AR15" s="34">
        <f t="shared" si="12"/>
        <v>6.1711464618760287E-2</v>
      </c>
      <c r="AS15" s="29"/>
      <c r="AT15" s="29" t="str">
        <f>IF(AS15&lt;&gt;"",INDEX('DUN 2021'!$J$3:$J$23,MATCH('UMUR 2021'!AS15,'DUN 2021'!$I$3:$I$23,0),1),"")</f>
        <v/>
      </c>
      <c r="AU15" s="33"/>
      <c r="AV15" s="34" t="str">
        <f t="shared" si="13"/>
        <v/>
      </c>
      <c r="AW15" s="29"/>
      <c r="AX15" s="29" t="str">
        <f>IF(AW15&lt;&gt;"",INDEX('DUN 2021'!$J$3:$J$23,MATCH('UMUR 2021'!AW15,'DUN 2021'!$I$3:$I$23,0),1),"")</f>
        <v/>
      </c>
      <c r="AY15" s="33"/>
      <c r="AZ15" s="34" t="str">
        <f t="shared" si="14"/>
        <v/>
      </c>
      <c r="BA15" s="29"/>
      <c r="BB15" s="29" t="str">
        <f>IF(BA15&lt;&gt;"",INDEX('DUN 2021'!$J$3:$J$23,MATCH('UMUR 2021'!BA15,'DUN 2021'!$I$3:$I$23,0),1),"")</f>
        <v/>
      </c>
      <c r="BC15" s="33"/>
      <c r="BD15" s="34" t="str">
        <f t="shared" si="15"/>
        <v/>
      </c>
      <c r="BE15" s="29"/>
      <c r="BF15" s="29" t="str">
        <f>IF(BE15&lt;&gt;"",INDEX('DUN 2021'!$J$3:$J$23,MATCH('UMUR 2021'!BE15,'DUN 2021'!$I$3:$I$23,0),1),"")</f>
        <v/>
      </c>
      <c r="BG15" s="33"/>
      <c r="BH15" s="34" t="str">
        <f t="shared" si="16"/>
        <v/>
      </c>
    </row>
    <row r="16" spans="1:60">
      <c r="A16" s="13" t="s">
        <v>38</v>
      </c>
      <c r="B16" s="14" t="s">
        <v>41</v>
      </c>
      <c r="C16" s="15">
        <f>'JANTINA 2021'!C16+'JANTINA 2021'!K16</f>
        <v>1764</v>
      </c>
      <c r="D16" s="15">
        <f>'JANTINA 2021'!D16+'JANTINA 2021'!L16</f>
        <v>5093</v>
      </c>
      <c r="E16" s="15">
        <f>'JANTINA 2021'!E16+'JANTINA 2021'!M16</f>
        <v>5397</v>
      </c>
      <c r="F16" s="15">
        <f>'JANTINA 2021'!F16+'JANTINA 2021'!N16</f>
        <v>3999</v>
      </c>
      <c r="G16" s="15">
        <f>'JANTINA 2021'!G16+'JANTINA 2021'!O16</f>
        <v>2737</v>
      </c>
      <c r="H16" s="15">
        <f>'JANTINA 2021'!H16+'JANTINA 2021'!P16</f>
        <v>1271</v>
      </c>
      <c r="I16" s="15">
        <f>'JANTINA 2021'!I16+'JANTINA 2021'!Q16</f>
        <v>354</v>
      </c>
      <c r="J16" s="15">
        <f>'JANTINA 2021'!J16+'JANTINA 2021'!R16</f>
        <v>66</v>
      </c>
      <c r="K16" s="16">
        <f>C16/'JANTINA 2021'!S16</f>
        <v>8.529568202698129E-2</v>
      </c>
      <c r="L16" s="16">
        <f>D16/'JANTINA 2021'!S16</f>
        <v>0.24626468739422658</v>
      </c>
      <c r="M16" s="16">
        <f>E16/'JANTINA 2021'!S16</f>
        <v>0.26096417001112132</v>
      </c>
      <c r="N16" s="16">
        <f>F16/'JANTINA 2021'!S16</f>
        <v>0.19336589139790145</v>
      </c>
      <c r="O16" s="16">
        <f>G16/'JANTINA 2021'!S16</f>
        <v>0.13234369711329239</v>
      </c>
      <c r="P16" s="16">
        <f>H16/'JANTINA 2021'!S16</f>
        <v>6.145737633576713E-2</v>
      </c>
      <c r="Q16" s="16">
        <f>I16/'JANTINA 2021'!S16</f>
        <v>1.7117160678884E-2</v>
      </c>
      <c r="R16" s="16">
        <f t="shared" si="0"/>
        <v>3.1913350418259039E-3</v>
      </c>
      <c r="S16" s="13" t="str">
        <f t="shared" si="1"/>
        <v>40-49</v>
      </c>
      <c r="T16" s="15">
        <f t="shared" si="2"/>
        <v>6857</v>
      </c>
      <c r="U16" s="16">
        <f t="shared" si="3"/>
        <v>0.33156036942120787</v>
      </c>
      <c r="V16" s="15">
        <f t="shared" si="4"/>
        <v>5393</v>
      </c>
      <c r="W16" s="15">
        <f t="shared" si="5"/>
        <v>20681</v>
      </c>
      <c r="X16" s="16">
        <f t="shared" si="6"/>
        <v>0.54625018132585468</v>
      </c>
      <c r="Y16" s="15">
        <f t="shared" si="7"/>
        <v>11297</v>
      </c>
      <c r="Z16" s="15">
        <v>45</v>
      </c>
      <c r="AA16" s="15">
        <v>102</v>
      </c>
      <c r="AB16" s="33">
        <f t="shared" si="8"/>
        <v>11150</v>
      </c>
      <c r="AC16" s="29" t="s">
        <v>239</v>
      </c>
      <c r="AD16" s="29" t="str">
        <f>IF(AC16&lt;&gt;"",INDEX('DUN 2021'!$J$3:$J$23,MATCH('UMUR 2021'!AC16,'DUN 2021'!$I$3:$I$23,0),1),"")</f>
        <v>GPS</v>
      </c>
      <c r="AE16" s="33">
        <v>7827</v>
      </c>
      <c r="AF16" s="34">
        <f t="shared" si="9"/>
        <v>0.70197309417040354</v>
      </c>
      <c r="AG16" s="29" t="s">
        <v>244</v>
      </c>
      <c r="AH16" s="29" t="str">
        <f>INDEX('DUN 2021'!$J$3:$J$23,MATCH('UMUR 2021'!AG16,'DUN 2021'!$I$3:$I$23,0),1)</f>
        <v>PH</v>
      </c>
      <c r="AI16" s="33">
        <v>2434</v>
      </c>
      <c r="AJ16" s="34">
        <f t="shared" si="10"/>
        <v>0.21829596412556054</v>
      </c>
      <c r="AK16" s="29" t="s">
        <v>301</v>
      </c>
      <c r="AL16" s="29" t="str">
        <f>IF(AK16&lt;&gt;"",INDEX('DUN 2021'!$J$3:$J$23,MATCH('UMUR 2021'!AK16,'DUN 2021'!$I$3:$I$23,0),1),"")</f>
        <v>LAIN-LAIN</v>
      </c>
      <c r="AM16" s="33">
        <v>756</v>
      </c>
      <c r="AN16" s="34">
        <f t="shared" si="11"/>
        <v>6.7802690582959638E-2</v>
      </c>
      <c r="AO16" s="29" t="s">
        <v>302</v>
      </c>
      <c r="AP16" s="29" t="str">
        <f>IF(AO16&lt;&gt;"",INDEX('DUN 2021'!$J$3:$J$23,MATCH('UMUR 2021'!AO16,'DUN 2021'!$I$3:$I$23,0),1),"")</f>
        <v>LAIN-LAIN</v>
      </c>
      <c r="AQ16" s="33">
        <v>133</v>
      </c>
      <c r="AR16" s="34">
        <f t="shared" si="12"/>
        <v>1.1928251121076233E-2</v>
      </c>
      <c r="AS16" s="29"/>
      <c r="AT16" s="29" t="str">
        <f>IF(AS16&lt;&gt;"",INDEX('DUN 2021'!$J$3:$J$23,MATCH('UMUR 2021'!AS16,'DUN 2021'!$I$3:$I$23,0),1),"")</f>
        <v/>
      </c>
      <c r="AU16" s="33"/>
      <c r="AV16" s="34" t="str">
        <f t="shared" si="13"/>
        <v/>
      </c>
      <c r="AW16" s="29"/>
      <c r="AX16" s="29" t="str">
        <f>IF(AW16&lt;&gt;"",INDEX('DUN 2021'!$J$3:$J$23,MATCH('UMUR 2021'!AW16,'DUN 2021'!$I$3:$I$23,0),1),"")</f>
        <v/>
      </c>
      <c r="AY16" s="33"/>
      <c r="AZ16" s="34" t="str">
        <f t="shared" si="14"/>
        <v/>
      </c>
      <c r="BA16" s="29"/>
      <c r="BB16" s="29" t="str">
        <f>IF(BA16&lt;&gt;"",INDEX('DUN 2021'!$J$3:$J$23,MATCH('UMUR 2021'!BA16,'DUN 2021'!$I$3:$I$23,0),1),"")</f>
        <v/>
      </c>
      <c r="BC16" s="33"/>
      <c r="BD16" s="34" t="str">
        <f t="shared" si="15"/>
        <v/>
      </c>
      <c r="BE16" s="29"/>
      <c r="BF16" s="29" t="str">
        <f>IF(BE16&lt;&gt;"",INDEX('DUN 2021'!$J$3:$J$23,MATCH('UMUR 2021'!BE16,'DUN 2021'!$I$3:$I$23,0),1),"")</f>
        <v/>
      </c>
      <c r="BG16" s="33"/>
      <c r="BH16" s="34" t="str">
        <f t="shared" si="16"/>
        <v/>
      </c>
    </row>
    <row r="17" spans="1:60">
      <c r="A17" s="13" t="s">
        <v>44</v>
      </c>
      <c r="B17" s="14" t="s">
        <v>47</v>
      </c>
      <c r="C17" s="15">
        <f>'JANTINA 2021'!C17+'JANTINA 2021'!K17</f>
        <v>1033</v>
      </c>
      <c r="D17" s="15">
        <f>'JANTINA 2021'!D17+'JANTINA 2021'!L17</f>
        <v>3093</v>
      </c>
      <c r="E17" s="15">
        <f>'JANTINA 2021'!E17+'JANTINA 2021'!M17</f>
        <v>2632</v>
      </c>
      <c r="F17" s="15">
        <f>'JANTINA 2021'!F17+'JANTINA 2021'!N17</f>
        <v>2501</v>
      </c>
      <c r="G17" s="15">
        <f>'JANTINA 2021'!G17+'JANTINA 2021'!O17</f>
        <v>1808</v>
      </c>
      <c r="H17" s="15">
        <f>'JANTINA 2021'!H17+'JANTINA 2021'!P17</f>
        <v>924</v>
      </c>
      <c r="I17" s="15">
        <f>'JANTINA 2021'!I17+'JANTINA 2021'!Q17</f>
        <v>285</v>
      </c>
      <c r="J17" s="15">
        <f>'JANTINA 2021'!J17+'JANTINA 2021'!R17</f>
        <v>73</v>
      </c>
      <c r="K17" s="16">
        <f>C17/'JANTINA 2021'!S17</f>
        <v>8.3650498016033692E-2</v>
      </c>
      <c r="L17" s="16">
        <f>D17/'JANTINA 2021'!S17</f>
        <v>0.25046562474694306</v>
      </c>
      <c r="M17" s="16">
        <f>E17/'JANTINA 2021'!S17</f>
        <v>0.21313466677463763</v>
      </c>
      <c r="N17" s="16">
        <f>F17/'JANTINA 2021'!S17</f>
        <v>0.20252652036602153</v>
      </c>
      <c r="O17" s="16">
        <f>G17/'JANTINA 2021'!S17</f>
        <v>0.14640861608227387</v>
      </c>
      <c r="P17" s="16">
        <f>H17/'JANTINA 2021'!S17</f>
        <v>7.4823872378330228E-2</v>
      </c>
      <c r="Q17" s="16">
        <f>I17/'JANTINA 2021'!S17</f>
        <v>2.3078791805004453E-2</v>
      </c>
      <c r="R17" s="16">
        <f t="shared" si="0"/>
        <v>5.9114098307554985E-3</v>
      </c>
      <c r="S17" s="13" t="str">
        <f t="shared" si="1"/>
        <v>30-39</v>
      </c>
      <c r="T17" s="15">
        <f t="shared" si="2"/>
        <v>4126</v>
      </c>
      <c r="U17" s="16">
        <f t="shared" si="3"/>
        <v>0.33411612276297675</v>
      </c>
      <c r="V17" s="15">
        <f t="shared" si="4"/>
        <v>4531</v>
      </c>
      <c r="W17" s="15">
        <f t="shared" si="5"/>
        <v>12349</v>
      </c>
      <c r="X17" s="16">
        <f t="shared" si="6"/>
        <v>0.75277350392744347</v>
      </c>
      <c r="Y17" s="15">
        <f t="shared" si="7"/>
        <v>9296</v>
      </c>
      <c r="Z17" s="15">
        <v>16</v>
      </c>
      <c r="AA17" s="15">
        <v>171</v>
      </c>
      <c r="AB17" s="33">
        <f t="shared" si="8"/>
        <v>9109</v>
      </c>
      <c r="AC17" s="29" t="s">
        <v>243</v>
      </c>
      <c r="AD17" s="29" t="str">
        <f>IF(AC17&lt;&gt;"",INDEX('DUN 2021'!$J$3:$J$23,MATCH('UMUR 2021'!AC17,'DUN 2021'!$I$3:$I$23,0),1),"")</f>
        <v>GPS</v>
      </c>
      <c r="AE17" s="33">
        <v>6380</v>
      </c>
      <c r="AF17" s="34">
        <f t="shared" si="9"/>
        <v>0.70040619167855966</v>
      </c>
      <c r="AG17" s="29" t="s">
        <v>252</v>
      </c>
      <c r="AH17" s="29" t="str">
        <f>INDEX('DUN 2021'!$J$3:$J$23,MATCH('UMUR 2021'!AG17,'DUN 2021'!$I$3:$I$23,0),1)</f>
        <v>PSB</v>
      </c>
      <c r="AI17" s="33">
        <v>1849</v>
      </c>
      <c r="AJ17" s="34">
        <f t="shared" si="10"/>
        <v>0.20298605774508727</v>
      </c>
      <c r="AK17" s="29" t="s">
        <v>253</v>
      </c>
      <c r="AL17" s="29" t="str">
        <f>IF(AK17&lt;&gt;"",INDEX('DUN 2021'!$J$3:$J$23,MATCH('UMUR 2021'!AK17,'DUN 2021'!$I$3:$I$23,0),1),"")</f>
        <v>PH</v>
      </c>
      <c r="AM17" s="33">
        <v>721</v>
      </c>
      <c r="AN17" s="34">
        <f t="shared" si="11"/>
        <v>7.9152486551761991E-2</v>
      </c>
      <c r="AO17" s="29" t="s">
        <v>301</v>
      </c>
      <c r="AP17" s="29" t="str">
        <f>IF(AO17&lt;&gt;"",INDEX('DUN 2021'!$J$3:$J$23,MATCH('UMUR 2021'!AO17,'DUN 2021'!$I$3:$I$23,0),1),"")</f>
        <v>LAIN-LAIN</v>
      </c>
      <c r="AQ17" s="33">
        <v>159</v>
      </c>
      <c r="AR17" s="34">
        <f t="shared" si="12"/>
        <v>1.7455264024591063E-2</v>
      </c>
      <c r="AS17" s="29"/>
      <c r="AT17" s="29" t="str">
        <f>IF(AS17&lt;&gt;"",INDEX('DUN 2021'!$J$3:$J$23,MATCH('UMUR 2021'!AS17,'DUN 2021'!$I$3:$I$23,0),1),"")</f>
        <v/>
      </c>
      <c r="AU17" s="33"/>
      <c r="AV17" s="34" t="str">
        <f t="shared" si="13"/>
        <v/>
      </c>
      <c r="AW17" s="29"/>
      <c r="AX17" s="29" t="str">
        <f>IF(AW17&lt;&gt;"",INDEX('DUN 2021'!$J$3:$J$23,MATCH('UMUR 2021'!AW17,'DUN 2021'!$I$3:$I$23,0),1),"")</f>
        <v/>
      </c>
      <c r="AY17" s="33"/>
      <c r="AZ17" s="34" t="str">
        <f t="shared" si="14"/>
        <v/>
      </c>
      <c r="BA17" s="29"/>
      <c r="BB17" s="29" t="str">
        <f>IF(BA17&lt;&gt;"",INDEX('DUN 2021'!$J$3:$J$23,MATCH('UMUR 2021'!BA17,'DUN 2021'!$I$3:$I$23,0),1),"")</f>
        <v/>
      </c>
      <c r="BC17" s="33"/>
      <c r="BD17" s="34" t="str">
        <f t="shared" si="15"/>
        <v/>
      </c>
      <c r="BE17" s="29"/>
      <c r="BF17" s="29" t="str">
        <f>IF(BE17&lt;&gt;"",INDEX('DUN 2021'!$J$3:$J$23,MATCH('UMUR 2021'!BE17,'DUN 2021'!$I$3:$I$23,0),1),"")</f>
        <v/>
      </c>
      <c r="BG17" s="33"/>
      <c r="BH17" s="34" t="str">
        <f t="shared" si="16"/>
        <v/>
      </c>
    </row>
    <row r="18" spans="1:60">
      <c r="A18" s="13" t="s">
        <v>45</v>
      </c>
      <c r="B18" s="14" t="s">
        <v>48</v>
      </c>
      <c r="C18" s="15">
        <f>'JANTINA 2021'!C18+'JANTINA 2021'!K18</f>
        <v>1640</v>
      </c>
      <c r="D18" s="15">
        <f>'JANTINA 2021'!D18+'JANTINA 2021'!L18</f>
        <v>4644</v>
      </c>
      <c r="E18" s="15">
        <f>'JANTINA 2021'!E18+'JANTINA 2021'!M18</f>
        <v>4280</v>
      </c>
      <c r="F18" s="15">
        <f>'JANTINA 2021'!F18+'JANTINA 2021'!N18</f>
        <v>3783</v>
      </c>
      <c r="G18" s="15">
        <f>'JANTINA 2021'!G18+'JANTINA 2021'!O18</f>
        <v>2633</v>
      </c>
      <c r="H18" s="15">
        <f>'JANTINA 2021'!H18+'JANTINA 2021'!P18</f>
        <v>1234</v>
      </c>
      <c r="I18" s="15">
        <f>'JANTINA 2021'!I18+'JANTINA 2021'!Q18</f>
        <v>378</v>
      </c>
      <c r="J18" s="15">
        <f>'JANTINA 2021'!J18+'JANTINA 2021'!R18</f>
        <v>52</v>
      </c>
      <c r="K18" s="16">
        <f>C18/'JANTINA 2021'!S18</f>
        <v>8.7963956232568113E-2</v>
      </c>
      <c r="L18" s="16">
        <f>D18/'JANTINA 2021'!S18</f>
        <v>0.24908817850246728</v>
      </c>
      <c r="M18" s="16">
        <f>E18/'JANTINA 2021'!S18</f>
        <v>0.22956447114353143</v>
      </c>
      <c r="N18" s="16">
        <f>F18/'JANTINA 2021'!S18</f>
        <v>0.20290710148036903</v>
      </c>
      <c r="O18" s="16">
        <f>G18/'JANTINA 2021'!S18</f>
        <v>0.14122505900021454</v>
      </c>
      <c r="P18" s="16">
        <f>H18/'JANTINA 2021'!S18</f>
        <v>6.618751340913967E-2</v>
      </c>
      <c r="Q18" s="16">
        <f>I18/'JANTINA 2021'!S18</f>
        <v>2.0274619180433384E-2</v>
      </c>
      <c r="R18" s="16">
        <f t="shared" si="0"/>
        <v>2.7891010512764991E-3</v>
      </c>
      <c r="S18" s="13" t="str">
        <f t="shared" si="1"/>
        <v>30-39</v>
      </c>
      <c r="T18" s="15">
        <f t="shared" si="2"/>
        <v>6284</v>
      </c>
      <c r="U18" s="16">
        <f t="shared" si="3"/>
        <v>0.33705213473503542</v>
      </c>
      <c r="V18" s="15">
        <f t="shared" si="4"/>
        <v>6237</v>
      </c>
      <c r="W18" s="15">
        <f t="shared" si="5"/>
        <v>18644</v>
      </c>
      <c r="X18" s="16">
        <f t="shared" si="6"/>
        <v>0.7294035614674963</v>
      </c>
      <c r="Y18" s="15">
        <f t="shared" si="7"/>
        <v>13599</v>
      </c>
      <c r="Z18" s="15">
        <v>83</v>
      </c>
      <c r="AA18" s="15">
        <v>259</v>
      </c>
      <c r="AB18" s="33">
        <f t="shared" si="8"/>
        <v>13257</v>
      </c>
      <c r="AC18" s="29" t="s">
        <v>243</v>
      </c>
      <c r="AD18" s="29" t="str">
        <f>IF(AC18&lt;&gt;"",INDEX('DUN 2021'!$J$3:$J$23,MATCH('UMUR 2021'!AC18,'DUN 2021'!$I$3:$I$23,0),1),"")</f>
        <v>GPS</v>
      </c>
      <c r="AE18" s="33">
        <v>8435</v>
      </c>
      <c r="AF18" s="34">
        <f t="shared" si="9"/>
        <v>0.63626763219431248</v>
      </c>
      <c r="AG18" s="29" t="s">
        <v>251</v>
      </c>
      <c r="AH18" s="29" t="str">
        <f>INDEX('DUN 2021'!$J$3:$J$23,MATCH('UMUR 2021'!AG18,'DUN 2021'!$I$3:$I$23,0),1)</f>
        <v>BEBAS</v>
      </c>
      <c r="AI18" s="33">
        <v>2198</v>
      </c>
      <c r="AJ18" s="34">
        <f t="shared" si="10"/>
        <v>0.16579920042241836</v>
      </c>
      <c r="AK18" s="29" t="s">
        <v>252</v>
      </c>
      <c r="AL18" s="29" t="str">
        <f>IF(AK18&lt;&gt;"",INDEX('DUN 2021'!$J$3:$J$23,MATCH('UMUR 2021'!AK18,'DUN 2021'!$I$3:$I$23,0),1),"")</f>
        <v>PSB</v>
      </c>
      <c r="AM18" s="33">
        <v>1838</v>
      </c>
      <c r="AN18" s="34">
        <f t="shared" si="11"/>
        <v>0.13864373538507957</v>
      </c>
      <c r="AO18" s="29" t="s">
        <v>304</v>
      </c>
      <c r="AP18" s="29" t="str">
        <f>IF(AO18&lt;&gt;"",INDEX('DUN 2021'!$J$3:$J$23,MATCH('UMUR 2021'!AO18,'DUN 2021'!$I$3:$I$23,0),1),"")</f>
        <v>LAIN-LAIN</v>
      </c>
      <c r="AQ18" s="33">
        <v>357</v>
      </c>
      <c r="AR18" s="34">
        <f t="shared" si="12"/>
        <v>2.6929169495360943E-2</v>
      </c>
      <c r="AS18" s="29" t="s">
        <v>254</v>
      </c>
      <c r="AT18" s="29" t="str">
        <f>IF(AS18&lt;&gt;"",INDEX('DUN 2021'!$J$3:$J$23,MATCH('UMUR 2021'!AS18,'DUN 2021'!$I$3:$I$23,0),1),"")</f>
        <v>PH</v>
      </c>
      <c r="AU18" s="33">
        <v>239</v>
      </c>
      <c r="AV18" s="34">
        <f t="shared" si="13"/>
        <v>1.8028211510899901E-2</v>
      </c>
      <c r="AW18" s="29" t="s">
        <v>301</v>
      </c>
      <c r="AX18" s="29" t="str">
        <f>IF(AW18&lt;&gt;"",INDEX('DUN 2021'!$J$3:$J$23,MATCH('UMUR 2021'!AW18,'DUN 2021'!$I$3:$I$23,0),1),"")</f>
        <v>LAIN-LAIN</v>
      </c>
      <c r="AY18" s="33">
        <v>190</v>
      </c>
      <c r="AZ18" s="34">
        <f t="shared" si="14"/>
        <v>1.4332050991928792E-2</v>
      </c>
      <c r="BA18" s="29"/>
      <c r="BB18" s="29" t="str">
        <f>IF(BA18&lt;&gt;"",INDEX('DUN 2021'!$J$3:$J$23,MATCH('UMUR 2021'!BA18,'DUN 2021'!$I$3:$I$23,0),1),"")</f>
        <v/>
      </c>
      <c r="BC18" s="33"/>
      <c r="BD18" s="34" t="str">
        <f t="shared" si="15"/>
        <v/>
      </c>
      <c r="BE18" s="29"/>
      <c r="BF18" s="29" t="str">
        <f>IF(BE18&lt;&gt;"",INDEX('DUN 2021'!$J$3:$J$23,MATCH('UMUR 2021'!BE18,'DUN 2021'!$I$3:$I$23,0),1),"")</f>
        <v/>
      </c>
      <c r="BG18" s="33"/>
      <c r="BH18" s="34" t="str">
        <f t="shared" si="16"/>
        <v/>
      </c>
    </row>
    <row r="19" spans="1:60">
      <c r="A19" s="13" t="s">
        <v>46</v>
      </c>
      <c r="B19" s="14" t="s">
        <v>49</v>
      </c>
      <c r="C19" s="15">
        <f>'JANTINA 2021'!C19+'JANTINA 2021'!K19</f>
        <v>2931</v>
      </c>
      <c r="D19" s="15">
        <f>'JANTINA 2021'!D19+'JANTINA 2021'!L19</f>
        <v>5402</v>
      </c>
      <c r="E19" s="15">
        <f>'JANTINA 2021'!E19+'JANTINA 2021'!M19</f>
        <v>4191</v>
      </c>
      <c r="F19" s="15">
        <f>'JANTINA 2021'!F19+'JANTINA 2021'!N19</f>
        <v>2333</v>
      </c>
      <c r="G19" s="15">
        <f>'JANTINA 2021'!G19+'JANTINA 2021'!O19</f>
        <v>1342</v>
      </c>
      <c r="H19" s="15">
        <f>'JANTINA 2021'!H19+'JANTINA 2021'!P19</f>
        <v>577</v>
      </c>
      <c r="I19" s="15">
        <f>'JANTINA 2021'!I19+'JANTINA 2021'!Q19</f>
        <v>184</v>
      </c>
      <c r="J19" s="15">
        <f>'JANTINA 2021'!J19+'JANTINA 2021'!R19</f>
        <v>32</v>
      </c>
      <c r="K19" s="16">
        <f>C19/'JANTINA 2021'!S19</f>
        <v>0.17249293785310735</v>
      </c>
      <c r="L19" s="16">
        <f>D19/'JANTINA 2021'!S19</f>
        <v>0.31791431261770242</v>
      </c>
      <c r="M19" s="16">
        <f>E19/'JANTINA 2021'!S19</f>
        <v>0.2466454802259887</v>
      </c>
      <c r="N19" s="16">
        <f>F19/'JANTINA 2021'!S19</f>
        <v>0.13729990583804144</v>
      </c>
      <c r="O19" s="16">
        <f>G19/'JANTINA 2021'!S19</f>
        <v>7.8978342749529196E-2</v>
      </c>
      <c r="P19" s="16">
        <f>H19/'JANTINA 2021'!S19</f>
        <v>3.3957156308851225E-2</v>
      </c>
      <c r="Q19" s="16">
        <f>I19/'JANTINA 2021'!S19</f>
        <v>1.0828625235404897E-2</v>
      </c>
      <c r="R19" s="16">
        <f t="shared" si="0"/>
        <v>1.8832391713747444E-3</v>
      </c>
      <c r="S19" s="13" t="str">
        <f t="shared" si="1"/>
        <v>30-39</v>
      </c>
      <c r="T19" s="15">
        <f t="shared" si="2"/>
        <v>8333</v>
      </c>
      <c r="U19" s="16">
        <f t="shared" si="3"/>
        <v>0.4904072504708098</v>
      </c>
      <c r="V19" s="15">
        <f t="shared" si="4"/>
        <v>5807</v>
      </c>
      <c r="W19" s="15">
        <f t="shared" si="5"/>
        <v>16992</v>
      </c>
      <c r="X19" s="16">
        <f t="shared" si="6"/>
        <v>0.65148305084745761</v>
      </c>
      <c r="Y19" s="15">
        <f t="shared" si="7"/>
        <v>11070</v>
      </c>
      <c r="Z19" s="15">
        <v>48</v>
      </c>
      <c r="AA19" s="15">
        <v>182</v>
      </c>
      <c r="AB19" s="33">
        <f t="shared" si="8"/>
        <v>10840</v>
      </c>
      <c r="AC19" s="29" t="s">
        <v>243</v>
      </c>
      <c r="AD19" s="29" t="str">
        <f>IF(AC19&lt;&gt;"",INDEX('DUN 2021'!$J$3:$J$23,MATCH('UMUR 2021'!AC19,'DUN 2021'!$I$3:$I$23,0),1),"")</f>
        <v>GPS</v>
      </c>
      <c r="AE19" s="33">
        <v>7854</v>
      </c>
      <c r="AF19" s="34">
        <f t="shared" si="9"/>
        <v>0.72453874538745389</v>
      </c>
      <c r="AG19" s="29" t="s">
        <v>252</v>
      </c>
      <c r="AH19" s="29" t="str">
        <f>INDEX('DUN 2021'!$J$3:$J$23,MATCH('UMUR 2021'!AG19,'DUN 2021'!$I$3:$I$23,0),1)</f>
        <v>PSB</v>
      </c>
      <c r="AI19" s="33">
        <v>2047</v>
      </c>
      <c r="AJ19" s="34">
        <f t="shared" si="10"/>
        <v>0.18883763837638376</v>
      </c>
      <c r="AK19" s="29" t="s">
        <v>244</v>
      </c>
      <c r="AL19" s="29" t="str">
        <f>IF(AK19&lt;&gt;"",INDEX('DUN 2021'!$J$3:$J$23,MATCH('UMUR 2021'!AK19,'DUN 2021'!$I$3:$I$23,0),1),"")</f>
        <v>PH</v>
      </c>
      <c r="AM19" s="33">
        <v>524</v>
      </c>
      <c r="AN19" s="34">
        <f t="shared" si="11"/>
        <v>4.8339483394833946E-2</v>
      </c>
      <c r="AO19" s="29" t="s">
        <v>301</v>
      </c>
      <c r="AP19" s="29" t="str">
        <f>IF(AO19&lt;&gt;"",INDEX('DUN 2021'!$J$3:$J$23,MATCH('UMUR 2021'!AO19,'DUN 2021'!$I$3:$I$23,0),1),"")</f>
        <v>LAIN-LAIN</v>
      </c>
      <c r="AQ19" s="33">
        <v>415</v>
      </c>
      <c r="AR19" s="34">
        <f t="shared" si="12"/>
        <v>3.8284132841328415E-2</v>
      </c>
      <c r="AS19" s="29"/>
      <c r="AT19" s="29" t="str">
        <f>IF(AS19&lt;&gt;"",INDEX('DUN 2021'!$J$3:$J$23,MATCH('UMUR 2021'!AS19,'DUN 2021'!$I$3:$I$23,0),1),"")</f>
        <v/>
      </c>
      <c r="AU19" s="33"/>
      <c r="AV19" s="34" t="str">
        <f t="shared" si="13"/>
        <v/>
      </c>
      <c r="AW19" s="29"/>
      <c r="AX19" s="29" t="str">
        <f>IF(AW19&lt;&gt;"",INDEX('DUN 2021'!$J$3:$J$23,MATCH('UMUR 2021'!AW19,'DUN 2021'!$I$3:$I$23,0),1),"")</f>
        <v/>
      </c>
      <c r="AY19" s="33"/>
      <c r="AZ19" s="34" t="str">
        <f t="shared" si="14"/>
        <v/>
      </c>
      <c r="BA19" s="29"/>
      <c r="BB19" s="29" t="str">
        <f>IF(BA19&lt;&gt;"",INDEX('DUN 2021'!$J$3:$J$23,MATCH('UMUR 2021'!BA19,'DUN 2021'!$I$3:$I$23,0),1),"")</f>
        <v/>
      </c>
      <c r="BC19" s="33"/>
      <c r="BD19" s="34" t="str">
        <f t="shared" si="15"/>
        <v/>
      </c>
      <c r="BE19" s="29"/>
      <c r="BF19" s="29" t="str">
        <f>IF(BE19&lt;&gt;"",INDEX('DUN 2021'!$J$3:$J$23,MATCH('UMUR 2021'!BE19,'DUN 2021'!$I$3:$I$23,0),1),"")</f>
        <v/>
      </c>
      <c r="BG19" s="33"/>
      <c r="BH19" s="34" t="str">
        <f t="shared" si="16"/>
        <v/>
      </c>
    </row>
    <row r="20" spans="1:60">
      <c r="A20" s="13" t="s">
        <v>52</v>
      </c>
      <c r="B20" s="14" t="s">
        <v>55</v>
      </c>
      <c r="C20" s="15">
        <f>'JANTINA 2021'!C20+'JANTINA 2021'!K20</f>
        <v>647</v>
      </c>
      <c r="D20" s="15">
        <f>'JANTINA 2021'!D20+'JANTINA 2021'!L20</f>
        <v>2003</v>
      </c>
      <c r="E20" s="15">
        <f>'JANTINA 2021'!E20+'JANTINA 2021'!M20</f>
        <v>2200</v>
      </c>
      <c r="F20" s="15">
        <f>'JANTINA 2021'!F20+'JANTINA 2021'!N20</f>
        <v>2387</v>
      </c>
      <c r="G20" s="15">
        <f>'JANTINA 2021'!G20+'JANTINA 2021'!O20</f>
        <v>1559</v>
      </c>
      <c r="H20" s="15">
        <f>'JANTINA 2021'!H20+'JANTINA 2021'!P20</f>
        <v>691</v>
      </c>
      <c r="I20" s="15">
        <f>'JANTINA 2021'!I20+'JANTINA 2021'!Q20</f>
        <v>289</v>
      </c>
      <c r="J20" s="15">
        <f>'JANTINA 2021'!J20+'JANTINA 2021'!R20</f>
        <v>58</v>
      </c>
      <c r="K20" s="16">
        <f>C20/'JANTINA 2021'!S20</f>
        <v>6.579214968476714E-2</v>
      </c>
      <c r="L20" s="16">
        <f>D20/'JANTINA 2021'!S20</f>
        <v>0.20368110636567013</v>
      </c>
      <c r="M20" s="16">
        <f>E20/'JANTINA 2021'!S20</f>
        <v>0.22371364653243847</v>
      </c>
      <c r="N20" s="16">
        <f>F20/'JANTINA 2021'!S20</f>
        <v>0.24272930648769575</v>
      </c>
      <c r="O20" s="16">
        <f>G20/'JANTINA 2021'!S20</f>
        <v>0.15853162497457798</v>
      </c>
      <c r="P20" s="16">
        <f>H20/'JANTINA 2021'!S20</f>
        <v>7.0266422615415908E-2</v>
      </c>
      <c r="Q20" s="16">
        <f>I20/'JANTINA 2021'!S20</f>
        <v>2.9387838112670327E-2</v>
      </c>
      <c r="R20" s="16">
        <f t="shared" si="0"/>
        <v>5.8979052267643557E-3</v>
      </c>
      <c r="S20" s="13" t="str">
        <f t="shared" si="1"/>
        <v>50-59</v>
      </c>
      <c r="T20" s="15">
        <f t="shared" si="2"/>
        <v>2650</v>
      </c>
      <c r="U20" s="16">
        <f t="shared" si="3"/>
        <v>0.26947325605043726</v>
      </c>
      <c r="V20" s="15">
        <f t="shared" si="4"/>
        <v>1650</v>
      </c>
      <c r="W20" s="15">
        <f t="shared" si="5"/>
        <v>9834</v>
      </c>
      <c r="X20" s="16">
        <f t="shared" si="6"/>
        <v>0.72757779133618061</v>
      </c>
      <c r="Y20" s="15">
        <f t="shared" si="7"/>
        <v>7155</v>
      </c>
      <c r="Z20" s="15">
        <v>8</v>
      </c>
      <c r="AA20" s="15">
        <v>95</v>
      </c>
      <c r="AB20" s="33">
        <f t="shared" si="8"/>
        <v>7052</v>
      </c>
      <c r="AC20" s="29" t="s">
        <v>243</v>
      </c>
      <c r="AD20" s="29" t="str">
        <f>IF(AC20&lt;&gt;"",INDEX('DUN 2021'!$J$3:$J$23,MATCH('UMUR 2021'!AC20,'DUN 2021'!$I$3:$I$23,0),1),"")</f>
        <v>GPS</v>
      </c>
      <c r="AE20" s="33">
        <v>4068</v>
      </c>
      <c r="AF20" s="34">
        <f t="shared" si="9"/>
        <v>0.57685762904140669</v>
      </c>
      <c r="AG20" s="29" t="s">
        <v>252</v>
      </c>
      <c r="AH20" s="29" t="str">
        <f>INDEX('DUN 2021'!$J$3:$J$23,MATCH('UMUR 2021'!AG20,'DUN 2021'!$I$3:$I$23,0),1)</f>
        <v>PSB</v>
      </c>
      <c r="AI20" s="33">
        <v>2418</v>
      </c>
      <c r="AJ20" s="34">
        <f t="shared" si="10"/>
        <v>0.34288145207033466</v>
      </c>
      <c r="AK20" s="29" t="s">
        <v>301</v>
      </c>
      <c r="AL20" s="29" t="str">
        <f>IF(AK20&lt;&gt;"",INDEX('DUN 2021'!$J$3:$J$23,MATCH('UMUR 2021'!AK20,'DUN 2021'!$I$3:$I$23,0),1),"")</f>
        <v>LAIN-LAIN</v>
      </c>
      <c r="AM20" s="33">
        <v>257</v>
      </c>
      <c r="AN20" s="34">
        <f t="shared" si="11"/>
        <v>3.6443562110039705E-2</v>
      </c>
      <c r="AO20" s="29" t="s">
        <v>253</v>
      </c>
      <c r="AP20" s="29" t="str">
        <f>IF(AO20&lt;&gt;"",INDEX('DUN 2021'!$J$3:$J$23,MATCH('UMUR 2021'!AO20,'DUN 2021'!$I$3:$I$23,0),1),"")</f>
        <v>PH</v>
      </c>
      <c r="AQ20" s="33">
        <v>217</v>
      </c>
      <c r="AR20" s="34">
        <f t="shared" si="12"/>
        <v>3.0771412365286445E-2</v>
      </c>
      <c r="AS20" s="29" t="s">
        <v>302</v>
      </c>
      <c r="AT20" s="29" t="str">
        <f>IF(AS20&lt;&gt;"",INDEX('DUN 2021'!$J$3:$J$23,MATCH('UMUR 2021'!AS20,'DUN 2021'!$I$3:$I$23,0),1),"")</f>
        <v>LAIN-LAIN</v>
      </c>
      <c r="AU20" s="33">
        <v>92</v>
      </c>
      <c r="AV20" s="34">
        <f t="shared" si="13"/>
        <v>1.3045944412932501E-2</v>
      </c>
      <c r="AW20" s="29"/>
      <c r="AX20" s="29" t="str">
        <f>IF(AW20&lt;&gt;"",INDEX('DUN 2021'!$J$3:$J$23,MATCH('UMUR 2021'!AW20,'DUN 2021'!$I$3:$I$23,0),1),"")</f>
        <v/>
      </c>
      <c r="AY20" s="33"/>
      <c r="AZ20" s="34" t="str">
        <f t="shared" si="14"/>
        <v/>
      </c>
      <c r="BA20" s="29"/>
      <c r="BB20" s="29" t="str">
        <f>IF(BA20&lt;&gt;"",INDEX('DUN 2021'!$J$3:$J$23,MATCH('UMUR 2021'!BA20,'DUN 2021'!$I$3:$I$23,0),1),"")</f>
        <v/>
      </c>
      <c r="BC20" s="33"/>
      <c r="BD20" s="34" t="str">
        <f t="shared" si="15"/>
        <v/>
      </c>
      <c r="BE20" s="29"/>
      <c r="BF20" s="29" t="str">
        <f>IF(BE20&lt;&gt;"",INDEX('DUN 2021'!$J$3:$J$23,MATCH('UMUR 2021'!BE20,'DUN 2021'!$I$3:$I$23,0),1),"")</f>
        <v/>
      </c>
      <c r="BG20" s="33"/>
      <c r="BH20" s="34" t="str">
        <f t="shared" si="16"/>
        <v/>
      </c>
    </row>
    <row r="21" spans="1:60">
      <c r="A21" s="13" t="s">
        <v>53</v>
      </c>
      <c r="B21" s="14" t="s">
        <v>56</v>
      </c>
      <c r="C21" s="15">
        <f>'JANTINA 2021'!C21+'JANTINA 2021'!K21</f>
        <v>1174</v>
      </c>
      <c r="D21" s="15">
        <f>'JANTINA 2021'!D21+'JANTINA 2021'!L21</f>
        <v>4157</v>
      </c>
      <c r="E21" s="15">
        <f>'JANTINA 2021'!E21+'JANTINA 2021'!M21</f>
        <v>4480</v>
      </c>
      <c r="F21" s="15">
        <f>'JANTINA 2021'!F21+'JANTINA 2021'!N21</f>
        <v>4370</v>
      </c>
      <c r="G21" s="15">
        <f>'JANTINA 2021'!G21+'JANTINA 2021'!O21</f>
        <v>3194</v>
      </c>
      <c r="H21" s="15">
        <f>'JANTINA 2021'!H21+'JANTINA 2021'!P21</f>
        <v>1414</v>
      </c>
      <c r="I21" s="15">
        <f>'JANTINA 2021'!I21+'JANTINA 2021'!Q21</f>
        <v>401</v>
      </c>
      <c r="J21" s="15">
        <f>'JANTINA 2021'!J21+'JANTINA 2021'!R21</f>
        <v>125</v>
      </c>
      <c r="K21" s="16">
        <f>C21/'JANTINA 2021'!S21</f>
        <v>6.0781775821900079E-2</v>
      </c>
      <c r="L21" s="16">
        <f>D21/'JANTINA 2021'!S21</f>
        <v>0.21522133057209422</v>
      </c>
      <c r="M21" s="16">
        <f>E21/'JANTINA 2021'!S21</f>
        <v>0.2319440849081025</v>
      </c>
      <c r="N21" s="16">
        <f>F21/'JANTINA 2021'!S21</f>
        <v>0.22624902925187679</v>
      </c>
      <c r="O21" s="16">
        <f>G21/'JANTINA 2021'!S21</f>
        <v>0.16536370696349986</v>
      </c>
      <c r="P21" s="16">
        <f>H21/'JANTINA 2021'!S21</f>
        <v>7.3207351799119857E-2</v>
      </c>
      <c r="Q21" s="16">
        <f>I21/'JANTINA 2021'!S21</f>
        <v>2.076106652860471E-2</v>
      </c>
      <c r="R21" s="16">
        <f t="shared" si="0"/>
        <v>6.4716541548020257E-3</v>
      </c>
      <c r="S21" s="13" t="str">
        <f t="shared" si="1"/>
        <v>40-49</v>
      </c>
      <c r="T21" s="15">
        <f t="shared" si="2"/>
        <v>5331</v>
      </c>
      <c r="U21" s="16">
        <f t="shared" si="3"/>
        <v>0.27600310639399428</v>
      </c>
      <c r="V21" s="15">
        <f t="shared" si="4"/>
        <v>3071</v>
      </c>
      <c r="W21" s="15">
        <f t="shared" si="5"/>
        <v>19315</v>
      </c>
      <c r="X21" s="16">
        <f t="shared" si="6"/>
        <v>0.59446026404348951</v>
      </c>
      <c r="Y21" s="15">
        <f t="shared" si="7"/>
        <v>11482</v>
      </c>
      <c r="Z21" s="15">
        <v>58</v>
      </c>
      <c r="AA21" s="15">
        <v>146</v>
      </c>
      <c r="AB21" s="33">
        <f t="shared" si="8"/>
        <v>11278</v>
      </c>
      <c r="AC21" s="29" t="s">
        <v>243</v>
      </c>
      <c r="AD21" s="29" t="str">
        <f>IF(AC21&lt;&gt;"",INDEX('DUN 2021'!$J$3:$J$23,MATCH('UMUR 2021'!AC21,'DUN 2021'!$I$3:$I$23,0),1),"")</f>
        <v>GPS</v>
      </c>
      <c r="AE21" s="33">
        <v>5865</v>
      </c>
      <c r="AF21" s="34">
        <f t="shared" si="9"/>
        <v>0.52003901400957619</v>
      </c>
      <c r="AG21" s="29" t="s">
        <v>252</v>
      </c>
      <c r="AH21" s="29" t="str">
        <f>INDEX('DUN 2021'!$J$3:$J$23,MATCH('UMUR 2021'!AG21,'DUN 2021'!$I$3:$I$23,0),1)</f>
        <v>PSB</v>
      </c>
      <c r="AI21" s="33">
        <v>2794</v>
      </c>
      <c r="AJ21" s="34">
        <f t="shared" si="10"/>
        <v>0.24773896080865401</v>
      </c>
      <c r="AK21" s="29" t="s">
        <v>302</v>
      </c>
      <c r="AL21" s="29" t="str">
        <f>IF(AK21&lt;&gt;"",INDEX('DUN 2021'!$J$3:$J$23,MATCH('UMUR 2021'!AK21,'DUN 2021'!$I$3:$I$23,0),1),"")</f>
        <v>LAIN-LAIN</v>
      </c>
      <c r="AM21" s="33">
        <v>1517</v>
      </c>
      <c r="AN21" s="34">
        <f t="shared" si="11"/>
        <v>0.13450966483419047</v>
      </c>
      <c r="AO21" s="29" t="s">
        <v>301</v>
      </c>
      <c r="AP21" s="29" t="str">
        <f>IF(AO21&lt;&gt;"",INDEX('DUN 2021'!$J$3:$J$23,MATCH('UMUR 2021'!AO21,'DUN 2021'!$I$3:$I$23,0),1),"")</f>
        <v>LAIN-LAIN</v>
      </c>
      <c r="AQ21" s="33">
        <v>958</v>
      </c>
      <c r="AR21" s="34">
        <f t="shared" si="12"/>
        <v>8.4944139031743221E-2</v>
      </c>
      <c r="AS21" s="29" t="s">
        <v>244</v>
      </c>
      <c r="AT21" s="29" t="str">
        <f>IF(AS21&lt;&gt;"",INDEX('DUN 2021'!$J$3:$J$23,MATCH('UMUR 2021'!AS21,'DUN 2021'!$I$3:$I$23,0),1),"")</f>
        <v>PH</v>
      </c>
      <c r="AU21" s="33">
        <v>144</v>
      </c>
      <c r="AV21" s="34">
        <f t="shared" si="13"/>
        <v>1.2768221315836142E-2</v>
      </c>
      <c r="AW21" s="29"/>
      <c r="AX21" s="29" t="str">
        <f>IF(AW21&lt;&gt;"",INDEX('DUN 2021'!$J$3:$J$23,MATCH('UMUR 2021'!AW21,'DUN 2021'!$I$3:$I$23,0),1),"")</f>
        <v/>
      </c>
      <c r="AY21" s="33"/>
      <c r="AZ21" s="34" t="str">
        <f t="shared" si="14"/>
        <v/>
      </c>
      <c r="BA21" s="29"/>
      <c r="BB21" s="29" t="str">
        <f>IF(BA21&lt;&gt;"",INDEX('DUN 2021'!$J$3:$J$23,MATCH('UMUR 2021'!BA21,'DUN 2021'!$I$3:$I$23,0),1),"")</f>
        <v/>
      </c>
      <c r="BC21" s="33"/>
      <c r="BD21" s="34" t="str">
        <f t="shared" si="15"/>
        <v/>
      </c>
      <c r="BE21" s="29"/>
      <c r="BF21" s="29" t="str">
        <f>IF(BE21&lt;&gt;"",INDEX('DUN 2021'!$J$3:$J$23,MATCH('UMUR 2021'!BE21,'DUN 2021'!$I$3:$I$23,0),1),"")</f>
        <v/>
      </c>
      <c r="BG21" s="33"/>
      <c r="BH21" s="34" t="str">
        <f t="shared" si="16"/>
        <v/>
      </c>
    </row>
    <row r="22" spans="1:60">
      <c r="A22" s="13" t="s">
        <v>54</v>
      </c>
      <c r="B22" s="14" t="s">
        <v>57</v>
      </c>
      <c r="C22" s="15">
        <f>'JANTINA 2021'!C22+'JANTINA 2021'!K22</f>
        <v>966</v>
      </c>
      <c r="D22" s="15">
        <f>'JANTINA 2021'!D22+'JANTINA 2021'!L22</f>
        <v>3196</v>
      </c>
      <c r="E22" s="15">
        <f>'JANTINA 2021'!E22+'JANTINA 2021'!M22</f>
        <v>3760</v>
      </c>
      <c r="F22" s="15">
        <f>'JANTINA 2021'!F22+'JANTINA 2021'!N22</f>
        <v>4178</v>
      </c>
      <c r="G22" s="15">
        <f>'JANTINA 2021'!G22+'JANTINA 2021'!O22</f>
        <v>3440</v>
      </c>
      <c r="H22" s="15">
        <f>'JANTINA 2021'!H22+'JANTINA 2021'!P22</f>
        <v>1531</v>
      </c>
      <c r="I22" s="15">
        <f>'JANTINA 2021'!I22+'JANTINA 2021'!Q22</f>
        <v>506</v>
      </c>
      <c r="J22" s="15">
        <f>'JANTINA 2021'!J22+'JANTINA 2021'!R22</f>
        <v>140</v>
      </c>
      <c r="K22" s="16">
        <f>C22/'JANTINA 2021'!S22</f>
        <v>5.4523903595416832E-2</v>
      </c>
      <c r="L22" s="16">
        <f>D22/'JANTINA 2021'!S22</f>
        <v>0.18039171417282834</v>
      </c>
      <c r="M22" s="16">
        <f>E22/'JANTINA 2021'!S22</f>
        <v>0.21222554608568042</v>
      </c>
      <c r="N22" s="16">
        <f>F22/'JANTINA 2021'!S22</f>
        <v>0.23581870519839701</v>
      </c>
      <c r="O22" s="16">
        <f>G22/'JANTINA 2021'!S22</f>
        <v>0.19416379748264379</v>
      </c>
      <c r="P22" s="16">
        <f>H22/'JANTINA 2021'!S22</f>
        <v>8.6414178472653383E-2</v>
      </c>
      <c r="Q22" s="16">
        <f>I22/'JANTINA 2021'!S22</f>
        <v>2.8560139978551672E-2</v>
      </c>
      <c r="R22" s="16">
        <f t="shared" si="0"/>
        <v>7.9020150138285165E-3</v>
      </c>
      <c r="S22" s="13" t="str">
        <f t="shared" si="1"/>
        <v>50-59</v>
      </c>
      <c r="T22" s="15">
        <f t="shared" si="2"/>
        <v>4162</v>
      </c>
      <c r="U22" s="16">
        <f t="shared" si="3"/>
        <v>0.23491561776824518</v>
      </c>
      <c r="V22" s="15">
        <f t="shared" si="4"/>
        <v>5008</v>
      </c>
      <c r="W22" s="15">
        <f t="shared" si="5"/>
        <v>17717</v>
      </c>
      <c r="X22" s="16">
        <f t="shared" si="6"/>
        <v>0.62674267652537108</v>
      </c>
      <c r="Y22" s="15">
        <f t="shared" si="7"/>
        <v>11104</v>
      </c>
      <c r="Z22" s="15">
        <v>54</v>
      </c>
      <c r="AA22" s="15">
        <v>262</v>
      </c>
      <c r="AB22" s="33">
        <f t="shared" si="8"/>
        <v>10788</v>
      </c>
      <c r="AC22" s="29" t="s">
        <v>243</v>
      </c>
      <c r="AD22" s="29" t="str">
        <f>IF(AC22&lt;&gt;"",INDEX('DUN 2021'!$J$3:$J$23,MATCH('UMUR 2021'!AC22,'DUN 2021'!$I$3:$I$23,0),1),"")</f>
        <v>GPS</v>
      </c>
      <c r="AE22" s="33">
        <v>6500</v>
      </c>
      <c r="AF22" s="34">
        <f t="shared" si="9"/>
        <v>0.60252131998516867</v>
      </c>
      <c r="AG22" s="29" t="s">
        <v>252</v>
      </c>
      <c r="AH22" s="29" t="str">
        <f>INDEX('DUN 2021'!$J$3:$J$23,MATCH('UMUR 2021'!AG22,'DUN 2021'!$I$3:$I$23,0),1)</f>
        <v>PSB</v>
      </c>
      <c r="AI22" s="33">
        <v>1492</v>
      </c>
      <c r="AJ22" s="34">
        <f t="shared" si="10"/>
        <v>0.13830181683351872</v>
      </c>
      <c r="AK22" s="29" t="s">
        <v>253</v>
      </c>
      <c r="AL22" s="29" t="str">
        <f>IF(AK22&lt;&gt;"",INDEX('DUN 2021'!$J$3:$J$23,MATCH('UMUR 2021'!AK22,'DUN 2021'!$I$3:$I$23,0),1),"")</f>
        <v>PH</v>
      </c>
      <c r="AM22" s="33">
        <v>1445</v>
      </c>
      <c r="AN22" s="34">
        <f t="shared" si="11"/>
        <v>0.13394512421208751</v>
      </c>
      <c r="AO22" s="29" t="s">
        <v>301</v>
      </c>
      <c r="AP22" s="29" t="str">
        <f>IF(AO22&lt;&gt;"",INDEX('DUN 2021'!$J$3:$J$23,MATCH('UMUR 2021'!AO22,'DUN 2021'!$I$3:$I$23,0),1),"")</f>
        <v>LAIN-LAIN</v>
      </c>
      <c r="AQ22" s="33">
        <v>1182</v>
      </c>
      <c r="AR22" s="34">
        <f t="shared" si="12"/>
        <v>0.10956618464961068</v>
      </c>
      <c r="AS22" s="29" t="s">
        <v>251</v>
      </c>
      <c r="AT22" s="29" t="str">
        <f>IF(AS22&lt;&gt;"",INDEX('DUN 2021'!$J$3:$J$23,MATCH('UMUR 2021'!AS22,'DUN 2021'!$I$3:$I$23,0),1),"")</f>
        <v>BEBAS</v>
      </c>
      <c r="AU22" s="33">
        <v>169</v>
      </c>
      <c r="AV22" s="34">
        <f t="shared" si="13"/>
        <v>1.5665554319614385E-2</v>
      </c>
      <c r="AW22" s="29"/>
      <c r="AX22" s="29" t="str">
        <f>IF(AW22&lt;&gt;"",INDEX('DUN 2021'!$J$3:$J$23,MATCH('UMUR 2021'!AW22,'DUN 2021'!$I$3:$I$23,0),1),"")</f>
        <v/>
      </c>
      <c r="AY22" s="33"/>
      <c r="AZ22" s="34" t="str">
        <f t="shared" si="14"/>
        <v/>
      </c>
      <c r="BA22" s="29"/>
      <c r="BB22" s="29" t="str">
        <f>IF(BA22&lt;&gt;"",INDEX('DUN 2021'!$J$3:$J$23,MATCH('UMUR 2021'!BA22,'DUN 2021'!$I$3:$I$23,0),1),"")</f>
        <v/>
      </c>
      <c r="BC22" s="33"/>
      <c r="BD22" s="34" t="str">
        <f t="shared" si="15"/>
        <v/>
      </c>
      <c r="BE22" s="29"/>
      <c r="BF22" s="29" t="str">
        <f>IF(BE22&lt;&gt;"",INDEX('DUN 2021'!$J$3:$J$23,MATCH('UMUR 2021'!BE22,'DUN 2021'!$I$3:$I$23,0),1),"")</f>
        <v/>
      </c>
      <c r="BG22" s="33"/>
      <c r="BH22" s="34" t="str">
        <f t="shared" si="16"/>
        <v/>
      </c>
    </row>
    <row r="23" spans="1:60">
      <c r="A23" s="13" t="s">
        <v>60</v>
      </c>
      <c r="B23" s="14" t="s">
        <v>63</v>
      </c>
      <c r="C23" s="15">
        <f>'JANTINA 2021'!C23+'JANTINA 2021'!K23</f>
        <v>472</v>
      </c>
      <c r="D23" s="15">
        <f>'JANTINA 2021'!D23+'JANTINA 2021'!L23</f>
        <v>2094</v>
      </c>
      <c r="E23" s="15">
        <f>'JANTINA 2021'!E23+'JANTINA 2021'!M23</f>
        <v>2680</v>
      </c>
      <c r="F23" s="15">
        <f>'JANTINA 2021'!F23+'JANTINA 2021'!N23</f>
        <v>3132</v>
      </c>
      <c r="G23" s="15">
        <f>'JANTINA 2021'!G23+'JANTINA 2021'!O23</f>
        <v>2146</v>
      </c>
      <c r="H23" s="15">
        <f>'JANTINA 2021'!H23+'JANTINA 2021'!P23</f>
        <v>1121</v>
      </c>
      <c r="I23" s="15">
        <f>'JANTINA 2021'!I23+'JANTINA 2021'!Q23</f>
        <v>320</v>
      </c>
      <c r="J23" s="15">
        <f>'JANTINA 2021'!J23+'JANTINA 2021'!R23</f>
        <v>75</v>
      </c>
      <c r="K23" s="16">
        <f>C23/'JANTINA 2021'!S23</f>
        <v>3.9202657807308972E-2</v>
      </c>
      <c r="L23" s="16">
        <f>D23/'JANTINA 2021'!S23</f>
        <v>0.17392026578073089</v>
      </c>
      <c r="M23" s="16">
        <f>E23/'JANTINA 2021'!S23</f>
        <v>0.22259136212624583</v>
      </c>
      <c r="N23" s="16">
        <f>F23/'JANTINA 2021'!S23</f>
        <v>0.26013289036544851</v>
      </c>
      <c r="O23" s="16">
        <f>G23/'JANTINA 2021'!S23</f>
        <v>0.17823920265780732</v>
      </c>
      <c r="P23" s="16">
        <f>H23/'JANTINA 2021'!S23</f>
        <v>9.31063122923588E-2</v>
      </c>
      <c r="Q23" s="16">
        <f>I23/'JANTINA 2021'!S23</f>
        <v>2.6578073089700997E-2</v>
      </c>
      <c r="R23" s="16">
        <f t="shared" si="0"/>
        <v>6.2292358803986494E-3</v>
      </c>
      <c r="S23" s="13" t="str">
        <f t="shared" si="1"/>
        <v>50-59</v>
      </c>
      <c r="T23" s="15">
        <f t="shared" si="2"/>
        <v>2566</v>
      </c>
      <c r="U23" s="16">
        <f t="shared" si="3"/>
        <v>0.21312292358803986</v>
      </c>
      <c r="V23" s="15">
        <f t="shared" si="4"/>
        <v>3273</v>
      </c>
      <c r="W23" s="15">
        <f t="shared" si="5"/>
        <v>12040</v>
      </c>
      <c r="X23" s="16">
        <f t="shared" si="6"/>
        <v>0.69460132890365445</v>
      </c>
      <c r="Y23" s="15">
        <f t="shared" si="7"/>
        <v>8363</v>
      </c>
      <c r="Z23" s="15">
        <v>23</v>
      </c>
      <c r="AA23" s="15">
        <v>119</v>
      </c>
      <c r="AB23" s="33">
        <f t="shared" si="8"/>
        <v>8221</v>
      </c>
      <c r="AC23" s="29" t="s">
        <v>243</v>
      </c>
      <c r="AD23" s="29" t="str">
        <f>IF(AC23&lt;&gt;"",INDEX('DUN 2021'!$J$3:$J$23,MATCH('UMUR 2021'!AC23,'DUN 2021'!$I$3:$I$23,0),1),"")</f>
        <v>GPS</v>
      </c>
      <c r="AE23" s="33">
        <v>5082</v>
      </c>
      <c r="AF23" s="34">
        <f t="shared" si="9"/>
        <v>0.61817297165794916</v>
      </c>
      <c r="AG23" s="29" t="s">
        <v>252</v>
      </c>
      <c r="AH23" s="29" t="str">
        <f>INDEX('DUN 2021'!$J$3:$J$23,MATCH('UMUR 2021'!AG23,'DUN 2021'!$I$3:$I$23,0),1)</f>
        <v>PSB</v>
      </c>
      <c r="AI23" s="33">
        <v>1809</v>
      </c>
      <c r="AJ23" s="34">
        <f t="shared" si="10"/>
        <v>0.22004622308721566</v>
      </c>
      <c r="AK23" s="29" t="s">
        <v>301</v>
      </c>
      <c r="AL23" s="29" t="str">
        <f>IF(AK23&lt;&gt;"",INDEX('DUN 2021'!$J$3:$J$23,MATCH('UMUR 2021'!AK23,'DUN 2021'!$I$3:$I$23,0),1),"")</f>
        <v>LAIN-LAIN</v>
      </c>
      <c r="AM23" s="33">
        <v>614</v>
      </c>
      <c r="AN23" s="34">
        <f t="shared" si="11"/>
        <v>7.468677776426226E-2</v>
      </c>
      <c r="AO23" s="29" t="s">
        <v>253</v>
      </c>
      <c r="AP23" s="29" t="str">
        <f>IF(AO23&lt;&gt;"",INDEX('DUN 2021'!$J$3:$J$23,MATCH('UMUR 2021'!AO23,'DUN 2021'!$I$3:$I$23,0),1),"")</f>
        <v>PH</v>
      </c>
      <c r="AQ23" s="33">
        <v>610</v>
      </c>
      <c r="AR23" s="34">
        <f t="shared" si="12"/>
        <v>7.4200218951465752E-2</v>
      </c>
      <c r="AS23" s="29" t="s">
        <v>251</v>
      </c>
      <c r="AT23" s="29" t="str">
        <f>IF(AS23&lt;&gt;"",INDEX('DUN 2021'!$J$3:$J$23,MATCH('UMUR 2021'!AS23,'DUN 2021'!$I$3:$I$23,0),1),"")</f>
        <v>BEBAS</v>
      </c>
      <c r="AU23" s="33">
        <v>106</v>
      </c>
      <c r="AV23" s="34">
        <f t="shared" si="13"/>
        <v>1.2893808539107165E-2</v>
      </c>
      <c r="AW23" s="29"/>
      <c r="AX23" s="29" t="str">
        <f>IF(AW23&lt;&gt;"",INDEX('DUN 2021'!$J$3:$J$23,MATCH('UMUR 2021'!AW23,'DUN 2021'!$I$3:$I$23,0),1),"")</f>
        <v/>
      </c>
      <c r="AY23" s="33"/>
      <c r="AZ23" s="34" t="str">
        <f t="shared" si="14"/>
        <v/>
      </c>
      <c r="BA23" s="29"/>
      <c r="BB23" s="29" t="str">
        <f>IF(BA23&lt;&gt;"",INDEX('DUN 2021'!$J$3:$J$23,MATCH('UMUR 2021'!BA23,'DUN 2021'!$I$3:$I$23,0),1),"")</f>
        <v/>
      </c>
      <c r="BC23" s="33"/>
      <c r="BD23" s="34" t="str">
        <f t="shared" si="15"/>
        <v/>
      </c>
      <c r="BE23" s="29"/>
      <c r="BF23" s="29" t="str">
        <f>IF(BE23&lt;&gt;"",INDEX('DUN 2021'!$J$3:$J$23,MATCH('UMUR 2021'!BE23,'DUN 2021'!$I$3:$I$23,0),1),"")</f>
        <v/>
      </c>
      <c r="BG23" s="33"/>
      <c r="BH23" s="34" t="str">
        <f t="shared" si="16"/>
        <v/>
      </c>
    </row>
    <row r="24" spans="1:60">
      <c r="A24" s="13" t="s">
        <v>61</v>
      </c>
      <c r="B24" s="14" t="s">
        <v>64</v>
      </c>
      <c r="C24" s="15">
        <f>'JANTINA 2021'!C24+'JANTINA 2021'!K24</f>
        <v>549</v>
      </c>
      <c r="D24" s="15">
        <f>'JANTINA 2021'!D24+'JANTINA 2021'!L24</f>
        <v>2058</v>
      </c>
      <c r="E24" s="15">
        <f>'JANTINA 2021'!E24+'JANTINA 2021'!M24</f>
        <v>2395</v>
      </c>
      <c r="F24" s="15">
        <f>'JANTINA 2021'!F24+'JANTINA 2021'!N24</f>
        <v>2846</v>
      </c>
      <c r="G24" s="15">
        <f>'JANTINA 2021'!G24+'JANTINA 2021'!O24</f>
        <v>2097</v>
      </c>
      <c r="H24" s="15">
        <f>'JANTINA 2021'!H24+'JANTINA 2021'!P24</f>
        <v>901</v>
      </c>
      <c r="I24" s="15">
        <f>'JANTINA 2021'!I24+'JANTINA 2021'!Q24</f>
        <v>263</v>
      </c>
      <c r="J24" s="15">
        <f>'JANTINA 2021'!J24+'JANTINA 2021'!R24</f>
        <v>93</v>
      </c>
      <c r="K24" s="16">
        <f>C24/'JANTINA 2021'!S24</f>
        <v>4.9009105516871987E-2</v>
      </c>
      <c r="L24" s="16">
        <f>D24/'JANTINA 2021'!S24</f>
        <v>0.18371719335832887</v>
      </c>
      <c r="M24" s="16">
        <f>E24/'JANTINA 2021'!S24</f>
        <v>0.21380110694518836</v>
      </c>
      <c r="N24" s="16">
        <f>F24/'JANTINA 2021'!S24</f>
        <v>0.25406177468309232</v>
      </c>
      <c r="O24" s="16">
        <f>G24/'JANTINA 2021'!S24</f>
        <v>0.18719871451526512</v>
      </c>
      <c r="P24" s="16">
        <f>H24/'JANTINA 2021'!S24</f>
        <v>8.043206570255311E-2</v>
      </c>
      <c r="Q24" s="16">
        <f>I24/'JANTINA 2021'!S24</f>
        <v>2.347795036600607E-2</v>
      </c>
      <c r="R24" s="16">
        <f t="shared" si="0"/>
        <v>8.3020889126941833E-3</v>
      </c>
      <c r="S24" s="13" t="str">
        <f t="shared" si="1"/>
        <v>50-59</v>
      </c>
      <c r="T24" s="15">
        <f t="shared" si="2"/>
        <v>2607</v>
      </c>
      <c r="U24" s="16">
        <f t="shared" si="3"/>
        <v>0.23272629887520085</v>
      </c>
      <c r="V24" s="15">
        <f t="shared" si="4"/>
        <v>3566</v>
      </c>
      <c r="W24" s="15">
        <f t="shared" si="5"/>
        <v>11202</v>
      </c>
      <c r="X24" s="16">
        <f t="shared" si="6"/>
        <v>0.74299232279950012</v>
      </c>
      <c r="Y24" s="15">
        <f t="shared" si="7"/>
        <v>8323</v>
      </c>
      <c r="Z24" s="15">
        <v>19</v>
      </c>
      <c r="AA24" s="15">
        <v>129</v>
      </c>
      <c r="AB24" s="33">
        <f t="shared" si="8"/>
        <v>8175</v>
      </c>
      <c r="AC24" s="29" t="s">
        <v>243</v>
      </c>
      <c r="AD24" s="29" t="str">
        <f>IF(AC24&lt;&gt;"",INDEX('DUN 2021'!$J$3:$J$23,MATCH('UMUR 2021'!AC24,'DUN 2021'!$I$3:$I$23,0),1),"")</f>
        <v>GPS</v>
      </c>
      <c r="AE24" s="33">
        <v>5178</v>
      </c>
      <c r="AF24" s="34">
        <f t="shared" si="9"/>
        <v>0.63339449541284398</v>
      </c>
      <c r="AG24" s="29" t="s">
        <v>252</v>
      </c>
      <c r="AH24" s="29" t="str">
        <f>INDEX('DUN 2021'!$J$3:$J$23,MATCH('UMUR 2021'!AG24,'DUN 2021'!$I$3:$I$23,0),1)</f>
        <v>PSB</v>
      </c>
      <c r="AI24" s="33">
        <v>1612</v>
      </c>
      <c r="AJ24" s="34">
        <f t="shared" si="10"/>
        <v>0.19718654434250765</v>
      </c>
      <c r="AK24" s="29" t="s">
        <v>301</v>
      </c>
      <c r="AL24" s="29" t="str">
        <f>IF(AK24&lt;&gt;"",INDEX('DUN 2021'!$J$3:$J$23,MATCH('UMUR 2021'!AK24,'DUN 2021'!$I$3:$I$23,0),1),"")</f>
        <v>LAIN-LAIN</v>
      </c>
      <c r="AM24" s="33">
        <v>745</v>
      </c>
      <c r="AN24" s="34">
        <f t="shared" si="11"/>
        <v>9.1131498470948008E-2</v>
      </c>
      <c r="AO24" s="29" t="s">
        <v>244</v>
      </c>
      <c r="AP24" s="29" t="str">
        <f>IF(AO24&lt;&gt;"",INDEX('DUN 2021'!$J$3:$J$23,MATCH('UMUR 2021'!AO24,'DUN 2021'!$I$3:$I$23,0),1),"")</f>
        <v>PH</v>
      </c>
      <c r="AQ24" s="33">
        <v>640</v>
      </c>
      <c r="AR24" s="34">
        <f t="shared" si="12"/>
        <v>7.8287461773700301E-2</v>
      </c>
      <c r="AS24" s="29"/>
      <c r="AT24" s="29" t="str">
        <f>IF(AS24&lt;&gt;"",INDEX('DUN 2021'!$J$3:$J$23,MATCH('UMUR 2021'!AS24,'DUN 2021'!$I$3:$I$23,0),1),"")</f>
        <v/>
      </c>
      <c r="AU24" s="33"/>
      <c r="AV24" s="34" t="str">
        <f t="shared" si="13"/>
        <v/>
      </c>
      <c r="AW24" s="29"/>
      <c r="AX24" s="29" t="str">
        <f>IF(AW24&lt;&gt;"",INDEX('DUN 2021'!$J$3:$J$23,MATCH('UMUR 2021'!AW24,'DUN 2021'!$I$3:$I$23,0),1),"")</f>
        <v/>
      </c>
      <c r="AY24" s="33"/>
      <c r="AZ24" s="34" t="str">
        <f t="shared" si="14"/>
        <v/>
      </c>
      <c r="BA24" s="29"/>
      <c r="BB24" s="29" t="str">
        <f>IF(BA24&lt;&gt;"",INDEX('DUN 2021'!$J$3:$J$23,MATCH('UMUR 2021'!BA24,'DUN 2021'!$I$3:$I$23,0),1),"")</f>
        <v/>
      </c>
      <c r="BC24" s="33"/>
      <c r="BD24" s="34" t="str">
        <f t="shared" si="15"/>
        <v/>
      </c>
      <c r="BE24" s="29"/>
      <c r="BF24" s="29" t="str">
        <f>IF(BE24&lt;&gt;"",INDEX('DUN 2021'!$J$3:$J$23,MATCH('UMUR 2021'!BE24,'DUN 2021'!$I$3:$I$23,0),1),"")</f>
        <v/>
      </c>
      <c r="BG24" s="33"/>
      <c r="BH24" s="34" t="str">
        <f t="shared" si="16"/>
        <v/>
      </c>
    </row>
    <row r="25" spans="1:60">
      <c r="A25" s="13" t="s">
        <v>62</v>
      </c>
      <c r="B25" s="14" t="s">
        <v>65</v>
      </c>
      <c r="C25" s="15">
        <f>'JANTINA 2021'!C25+'JANTINA 2021'!K25</f>
        <v>924</v>
      </c>
      <c r="D25" s="15">
        <f>'JANTINA 2021'!D25+'JANTINA 2021'!L25</f>
        <v>2803</v>
      </c>
      <c r="E25" s="15">
        <f>'JANTINA 2021'!E25+'JANTINA 2021'!M25</f>
        <v>3214</v>
      </c>
      <c r="F25" s="15">
        <f>'JANTINA 2021'!F25+'JANTINA 2021'!N25</f>
        <v>3588</v>
      </c>
      <c r="G25" s="15">
        <f>'JANTINA 2021'!G25+'JANTINA 2021'!O25</f>
        <v>2691</v>
      </c>
      <c r="H25" s="15">
        <f>'JANTINA 2021'!H25+'JANTINA 2021'!P25</f>
        <v>1267</v>
      </c>
      <c r="I25" s="15">
        <f>'JANTINA 2021'!I25+'JANTINA 2021'!Q25</f>
        <v>330</v>
      </c>
      <c r="J25" s="15">
        <f>'JANTINA 2021'!J25+'JANTINA 2021'!R25</f>
        <v>76</v>
      </c>
      <c r="K25" s="16">
        <f>C25/'JANTINA 2021'!S25</f>
        <v>6.2042570335056738E-2</v>
      </c>
      <c r="L25" s="16">
        <f>D25/'JANTINA 2021'!S25</f>
        <v>0.18820922581078359</v>
      </c>
      <c r="M25" s="16">
        <f>E25/'JANTINA 2021'!S25</f>
        <v>0.2158060833948835</v>
      </c>
      <c r="N25" s="16">
        <f>F25/'JANTINA 2021'!S25</f>
        <v>0.24091855234002552</v>
      </c>
      <c r="O25" s="16">
        <f>G25/'JANTINA 2021'!S25</f>
        <v>0.18068891425501912</v>
      </c>
      <c r="P25" s="16">
        <f>H25/'JANTINA 2021'!S25</f>
        <v>8.5073524474585382E-2</v>
      </c>
      <c r="Q25" s="16">
        <f>I25/'JANTINA 2021'!S25</f>
        <v>2.2158060833948834E-2</v>
      </c>
      <c r="R25" s="16">
        <f t="shared" si="0"/>
        <v>5.1030685556972821E-3</v>
      </c>
      <c r="S25" s="13" t="str">
        <f t="shared" si="1"/>
        <v>50-59</v>
      </c>
      <c r="T25" s="15">
        <f t="shared" si="2"/>
        <v>3727</v>
      </c>
      <c r="U25" s="16">
        <f t="shared" si="3"/>
        <v>0.25025179614584031</v>
      </c>
      <c r="V25" s="15">
        <f t="shared" si="4"/>
        <v>4705</v>
      </c>
      <c r="W25" s="15">
        <f t="shared" si="5"/>
        <v>14893</v>
      </c>
      <c r="X25" s="16">
        <f t="shared" si="6"/>
        <v>0.59914053582219839</v>
      </c>
      <c r="Y25" s="15">
        <f t="shared" si="7"/>
        <v>8923</v>
      </c>
      <c r="Z25" s="15">
        <v>45</v>
      </c>
      <c r="AA25" s="15">
        <v>153</v>
      </c>
      <c r="AB25" s="33">
        <f t="shared" si="8"/>
        <v>8725</v>
      </c>
      <c r="AC25" s="29" t="s">
        <v>243</v>
      </c>
      <c r="AD25" s="29" t="str">
        <f>IF(AC25&lt;&gt;"",INDEX('DUN 2021'!$J$3:$J$23,MATCH('UMUR 2021'!AC25,'DUN 2021'!$I$3:$I$23,0),1),"")</f>
        <v>GPS</v>
      </c>
      <c r="AE25" s="33">
        <v>6113</v>
      </c>
      <c r="AF25" s="34">
        <f t="shared" si="9"/>
        <v>0.70063037249283666</v>
      </c>
      <c r="AG25" s="29" t="s">
        <v>252</v>
      </c>
      <c r="AH25" s="29" t="str">
        <f>INDEX('DUN 2021'!$J$3:$J$23,MATCH('UMUR 2021'!AG25,'DUN 2021'!$I$3:$I$23,0),1)</f>
        <v>PSB</v>
      </c>
      <c r="AI25" s="33">
        <v>1408</v>
      </c>
      <c r="AJ25" s="34">
        <f t="shared" si="10"/>
        <v>0.16137535816618911</v>
      </c>
      <c r="AK25" s="29" t="s">
        <v>244</v>
      </c>
      <c r="AL25" s="29" t="str">
        <f>IF(AK25&lt;&gt;"",INDEX('DUN 2021'!$J$3:$J$23,MATCH('UMUR 2021'!AK25,'DUN 2021'!$I$3:$I$23,0),1),"")</f>
        <v>PH</v>
      </c>
      <c r="AM25" s="33">
        <v>777</v>
      </c>
      <c r="AN25" s="34">
        <f t="shared" si="11"/>
        <v>8.9054441260744979E-2</v>
      </c>
      <c r="AO25" s="29" t="s">
        <v>301</v>
      </c>
      <c r="AP25" s="29" t="str">
        <f>IF(AO25&lt;&gt;"",INDEX('DUN 2021'!$J$3:$J$23,MATCH('UMUR 2021'!AO25,'DUN 2021'!$I$3:$I$23,0),1),"")</f>
        <v>LAIN-LAIN</v>
      </c>
      <c r="AQ25" s="33">
        <v>427</v>
      </c>
      <c r="AR25" s="34">
        <f t="shared" si="12"/>
        <v>4.8939828080229224E-2</v>
      </c>
      <c r="AS25" s="29"/>
      <c r="AT25" s="29" t="str">
        <f>IF(AS25&lt;&gt;"",INDEX('DUN 2021'!$J$3:$J$23,MATCH('UMUR 2021'!AS25,'DUN 2021'!$I$3:$I$23,0),1),"")</f>
        <v/>
      </c>
      <c r="AU25" s="33"/>
      <c r="AV25" s="34" t="str">
        <f t="shared" si="13"/>
        <v/>
      </c>
      <c r="AW25" s="29"/>
      <c r="AX25" s="29" t="str">
        <f>IF(AW25&lt;&gt;"",INDEX('DUN 2021'!$J$3:$J$23,MATCH('UMUR 2021'!AW25,'DUN 2021'!$I$3:$I$23,0),1),"")</f>
        <v/>
      </c>
      <c r="AY25" s="33"/>
      <c r="AZ25" s="34" t="str">
        <f t="shared" si="14"/>
        <v/>
      </c>
      <c r="BA25" s="29"/>
      <c r="BB25" s="29" t="str">
        <f>IF(BA25&lt;&gt;"",INDEX('DUN 2021'!$J$3:$J$23,MATCH('UMUR 2021'!BA25,'DUN 2021'!$I$3:$I$23,0),1),"")</f>
        <v/>
      </c>
      <c r="BC25" s="33"/>
      <c r="BD25" s="34" t="str">
        <f t="shared" si="15"/>
        <v/>
      </c>
      <c r="BE25" s="29"/>
      <c r="BF25" s="29" t="str">
        <f>IF(BE25&lt;&gt;"",INDEX('DUN 2021'!$J$3:$J$23,MATCH('UMUR 2021'!BE25,'DUN 2021'!$I$3:$I$23,0),1),"")</f>
        <v/>
      </c>
      <c r="BG25" s="33"/>
      <c r="BH25" s="34" t="str">
        <f t="shared" si="16"/>
        <v/>
      </c>
    </row>
    <row r="26" spans="1:60">
      <c r="A26" s="13" t="s">
        <v>68</v>
      </c>
      <c r="B26" s="14" t="s">
        <v>71</v>
      </c>
      <c r="C26" s="15">
        <f>'JANTINA 2021'!C26+'JANTINA 2021'!K26</f>
        <v>713</v>
      </c>
      <c r="D26" s="15">
        <f>'JANTINA 2021'!D26+'JANTINA 2021'!L26</f>
        <v>1849</v>
      </c>
      <c r="E26" s="15">
        <f>'JANTINA 2021'!E26+'JANTINA 2021'!M26</f>
        <v>1537</v>
      </c>
      <c r="F26" s="15">
        <f>'JANTINA 2021'!F26+'JANTINA 2021'!N26</f>
        <v>1650</v>
      </c>
      <c r="G26" s="15">
        <f>'JANTINA 2021'!G26+'JANTINA 2021'!O26</f>
        <v>1096</v>
      </c>
      <c r="H26" s="15">
        <f>'JANTINA 2021'!H26+'JANTINA 2021'!P26</f>
        <v>585</v>
      </c>
      <c r="I26" s="15">
        <f>'JANTINA 2021'!I26+'JANTINA 2021'!Q26</f>
        <v>187</v>
      </c>
      <c r="J26" s="15">
        <f>'JANTINA 2021'!J26+'JANTINA 2021'!R26</f>
        <v>36</v>
      </c>
      <c r="K26" s="16">
        <f>C26/'JANTINA 2021'!S26</f>
        <v>9.3166078661962623E-2</v>
      </c>
      <c r="L26" s="16">
        <f>D26/'JANTINA 2021'!S26</f>
        <v>0.24160459950346269</v>
      </c>
      <c r="M26" s="16">
        <f>E26/'JANTINA 2021'!S26</f>
        <v>0.20083627335685353</v>
      </c>
      <c r="N26" s="16">
        <f>F26/'JANTINA 2021'!S26</f>
        <v>0.21560172481379852</v>
      </c>
      <c r="O26" s="16">
        <f>G26/'JANTINA 2021'!S26</f>
        <v>0.14321181236116556</v>
      </c>
      <c r="P26" s="16">
        <f>H26/'JANTINA 2021'!S26</f>
        <v>7.6440611524892205E-2</v>
      </c>
      <c r="Q26" s="16">
        <f>I26/'JANTINA 2021'!S26</f>
        <v>2.443486214556383E-2</v>
      </c>
      <c r="R26" s="16">
        <f t="shared" si="0"/>
        <v>4.704037632301105E-3</v>
      </c>
      <c r="S26" s="13" t="str">
        <f t="shared" si="1"/>
        <v>30-39</v>
      </c>
      <c r="T26" s="15">
        <f t="shared" si="2"/>
        <v>2562</v>
      </c>
      <c r="U26" s="16">
        <f t="shared" si="3"/>
        <v>0.33477067816542533</v>
      </c>
      <c r="V26" s="15">
        <f t="shared" si="4"/>
        <v>3877</v>
      </c>
      <c r="W26" s="15">
        <f t="shared" si="5"/>
        <v>7653</v>
      </c>
      <c r="X26" s="16">
        <f t="shared" si="6"/>
        <v>0.69266954135633085</v>
      </c>
      <c r="Y26" s="15">
        <f t="shared" si="7"/>
        <v>5301</v>
      </c>
      <c r="Z26" s="15">
        <v>14</v>
      </c>
      <c r="AA26" s="15">
        <v>64</v>
      </c>
      <c r="AB26" s="33">
        <f t="shared" si="8"/>
        <v>5223</v>
      </c>
      <c r="AC26" s="29" t="s">
        <v>243</v>
      </c>
      <c r="AD26" s="29" t="str">
        <f>IF(AC26&lt;&gt;"",INDEX('DUN 2021'!$J$3:$J$23,MATCH('UMUR 2021'!AC26,'DUN 2021'!$I$3:$I$23,0),1),"")</f>
        <v>GPS</v>
      </c>
      <c r="AE26" s="33">
        <v>4333</v>
      </c>
      <c r="AF26" s="34">
        <f t="shared" si="9"/>
        <v>0.82959984683132304</v>
      </c>
      <c r="AG26" s="29" t="s">
        <v>252</v>
      </c>
      <c r="AH26" s="29" t="str">
        <f>INDEX('DUN 2021'!$J$3:$J$23,MATCH('UMUR 2021'!AG26,'DUN 2021'!$I$3:$I$23,0),1)</f>
        <v>PSB</v>
      </c>
      <c r="AI26" s="33">
        <v>456</v>
      </c>
      <c r="AJ26" s="34">
        <f t="shared" si="10"/>
        <v>8.7306145893164849E-2</v>
      </c>
      <c r="AK26" s="29" t="s">
        <v>253</v>
      </c>
      <c r="AL26" s="29" t="str">
        <f>IF(AK26&lt;&gt;"",INDEX('DUN 2021'!$J$3:$J$23,MATCH('UMUR 2021'!AK26,'DUN 2021'!$I$3:$I$23,0),1),"")</f>
        <v>PH</v>
      </c>
      <c r="AM26" s="33">
        <v>319</v>
      </c>
      <c r="AN26" s="34">
        <f t="shared" si="11"/>
        <v>6.1076009955964003E-2</v>
      </c>
      <c r="AO26" s="29" t="s">
        <v>301</v>
      </c>
      <c r="AP26" s="29" t="str">
        <f>IF(AO26&lt;&gt;"",INDEX('DUN 2021'!$J$3:$J$23,MATCH('UMUR 2021'!AO26,'DUN 2021'!$I$3:$I$23,0),1),"")</f>
        <v>LAIN-LAIN</v>
      </c>
      <c r="AQ26" s="33">
        <v>115</v>
      </c>
      <c r="AR26" s="34">
        <f t="shared" si="12"/>
        <v>2.2017997319548153E-2</v>
      </c>
      <c r="AS26" s="29"/>
      <c r="AT26" s="29" t="str">
        <f>IF(AS26&lt;&gt;"",INDEX('DUN 2021'!$J$3:$J$23,MATCH('UMUR 2021'!AS26,'DUN 2021'!$I$3:$I$23,0),1),"")</f>
        <v/>
      </c>
      <c r="AU26" s="33"/>
      <c r="AV26" s="34" t="str">
        <f t="shared" si="13"/>
        <v/>
      </c>
      <c r="AW26" s="29"/>
      <c r="AX26" s="29" t="str">
        <f>IF(AW26&lt;&gt;"",INDEX('DUN 2021'!$J$3:$J$23,MATCH('UMUR 2021'!AW26,'DUN 2021'!$I$3:$I$23,0),1),"")</f>
        <v/>
      </c>
      <c r="AY26" s="33"/>
      <c r="AZ26" s="34" t="str">
        <f t="shared" si="14"/>
        <v/>
      </c>
      <c r="BA26" s="29"/>
      <c r="BB26" s="29" t="str">
        <f>IF(BA26&lt;&gt;"",INDEX('DUN 2021'!$J$3:$J$23,MATCH('UMUR 2021'!BA26,'DUN 2021'!$I$3:$I$23,0),1),"")</f>
        <v/>
      </c>
      <c r="BC26" s="33"/>
      <c r="BD26" s="34" t="str">
        <f t="shared" si="15"/>
        <v/>
      </c>
      <c r="BE26" s="29"/>
      <c r="BF26" s="29" t="str">
        <f>IF(BE26&lt;&gt;"",INDEX('DUN 2021'!$J$3:$J$23,MATCH('UMUR 2021'!BE26,'DUN 2021'!$I$3:$I$23,0),1),"")</f>
        <v/>
      </c>
      <c r="BG26" s="33"/>
      <c r="BH26" s="34" t="str">
        <f t="shared" si="16"/>
        <v/>
      </c>
    </row>
    <row r="27" spans="1:60">
      <c r="A27" s="13" t="s">
        <v>69</v>
      </c>
      <c r="B27" s="14" t="s">
        <v>72</v>
      </c>
      <c r="C27" s="15">
        <f>'JANTINA 2021'!C27+'JANTINA 2021'!K27</f>
        <v>639</v>
      </c>
      <c r="D27" s="15">
        <f>'JANTINA 2021'!D27+'JANTINA 2021'!L27</f>
        <v>1892</v>
      </c>
      <c r="E27" s="15">
        <f>'JANTINA 2021'!E27+'JANTINA 2021'!M27</f>
        <v>1611</v>
      </c>
      <c r="F27" s="15">
        <f>'JANTINA 2021'!F27+'JANTINA 2021'!N27</f>
        <v>1895</v>
      </c>
      <c r="G27" s="15">
        <f>'JANTINA 2021'!G27+'JANTINA 2021'!O27</f>
        <v>1359</v>
      </c>
      <c r="H27" s="15">
        <f>'JANTINA 2021'!H27+'JANTINA 2021'!P27</f>
        <v>685</v>
      </c>
      <c r="I27" s="15">
        <f>'JANTINA 2021'!I27+'JANTINA 2021'!Q27</f>
        <v>172</v>
      </c>
      <c r="J27" s="15">
        <f>'JANTINA 2021'!J27+'JANTINA 2021'!R27</f>
        <v>46</v>
      </c>
      <c r="K27" s="16">
        <f>C27/'JANTINA 2021'!S27</f>
        <v>7.6997228581756838E-2</v>
      </c>
      <c r="L27" s="16">
        <f>D27/'JANTINA 2021'!S27</f>
        <v>0.22797927461139897</v>
      </c>
      <c r="M27" s="16">
        <f>E27/'JANTINA 2021'!S27</f>
        <v>0.19411977346668274</v>
      </c>
      <c r="N27" s="16">
        <f>F27/'JANTINA 2021'!S27</f>
        <v>0.22834076394746355</v>
      </c>
      <c r="O27" s="16">
        <f>G27/'JANTINA 2021'!S27</f>
        <v>0.16375466923725751</v>
      </c>
      <c r="P27" s="16">
        <f>H27/'JANTINA 2021'!S27</f>
        <v>8.2540065068080495E-2</v>
      </c>
      <c r="Q27" s="16">
        <f>I27/'JANTINA 2021'!S27</f>
        <v>2.072538860103627E-2</v>
      </c>
      <c r="R27" s="16">
        <f t="shared" si="0"/>
        <v>5.5428364863235914E-3</v>
      </c>
      <c r="S27" s="13" t="str">
        <f t="shared" si="1"/>
        <v>50-59</v>
      </c>
      <c r="T27" s="15">
        <f t="shared" si="2"/>
        <v>2531</v>
      </c>
      <c r="U27" s="16">
        <f t="shared" si="3"/>
        <v>0.30497650319315578</v>
      </c>
      <c r="V27" s="15">
        <f t="shared" si="4"/>
        <v>3351</v>
      </c>
      <c r="W27" s="15">
        <f t="shared" si="5"/>
        <v>8299</v>
      </c>
      <c r="X27" s="16">
        <f t="shared" si="6"/>
        <v>0.72093023255813948</v>
      </c>
      <c r="Y27" s="15">
        <f t="shared" si="7"/>
        <v>5983</v>
      </c>
      <c r="Z27" s="15">
        <v>23</v>
      </c>
      <c r="AA27" s="15">
        <v>104</v>
      </c>
      <c r="AB27" s="33">
        <f t="shared" si="8"/>
        <v>5856</v>
      </c>
      <c r="AC27" s="29" t="s">
        <v>243</v>
      </c>
      <c r="AD27" s="29" t="str">
        <f>IF(AC27&lt;&gt;"",INDEX('DUN 2021'!$J$3:$J$23,MATCH('UMUR 2021'!AC27,'DUN 2021'!$I$3:$I$23,0),1),"")</f>
        <v>GPS</v>
      </c>
      <c r="AE27" s="33">
        <v>4276</v>
      </c>
      <c r="AF27" s="34">
        <f t="shared" si="9"/>
        <v>0.73019125683060104</v>
      </c>
      <c r="AG27" s="29" t="s">
        <v>252</v>
      </c>
      <c r="AH27" s="29" t="str">
        <f>INDEX('DUN 2021'!$J$3:$J$23,MATCH('UMUR 2021'!AG27,'DUN 2021'!$I$3:$I$23,0),1)</f>
        <v>PSB</v>
      </c>
      <c r="AI27" s="33">
        <v>925</v>
      </c>
      <c r="AJ27" s="34">
        <f t="shared" si="10"/>
        <v>0.15795765027322403</v>
      </c>
      <c r="AK27" s="29" t="s">
        <v>253</v>
      </c>
      <c r="AL27" s="29" t="str">
        <f>IF(AK27&lt;&gt;"",INDEX('DUN 2021'!$J$3:$J$23,MATCH('UMUR 2021'!AK27,'DUN 2021'!$I$3:$I$23,0),1),"")</f>
        <v>PH</v>
      </c>
      <c r="AM27" s="33">
        <v>518</v>
      </c>
      <c r="AN27" s="34">
        <f t="shared" si="11"/>
        <v>8.8456284153005466E-2</v>
      </c>
      <c r="AO27" s="29" t="s">
        <v>301</v>
      </c>
      <c r="AP27" s="29" t="str">
        <f>IF(AO27&lt;&gt;"",INDEX('DUN 2021'!$J$3:$J$23,MATCH('UMUR 2021'!AO27,'DUN 2021'!$I$3:$I$23,0),1),"")</f>
        <v>LAIN-LAIN</v>
      </c>
      <c r="AQ27" s="33">
        <v>137</v>
      </c>
      <c r="AR27" s="34">
        <f t="shared" si="12"/>
        <v>2.3394808743169401E-2</v>
      </c>
      <c r="AS27" s="29"/>
      <c r="AT27" s="29" t="str">
        <f>IF(AS27&lt;&gt;"",INDEX('DUN 2021'!$J$3:$J$23,MATCH('UMUR 2021'!AS27,'DUN 2021'!$I$3:$I$23,0),1),"")</f>
        <v/>
      </c>
      <c r="AU27" s="33"/>
      <c r="AV27" s="34" t="str">
        <f t="shared" si="13"/>
        <v/>
      </c>
      <c r="AW27" s="29"/>
      <c r="AX27" s="29" t="str">
        <f>IF(AW27&lt;&gt;"",INDEX('DUN 2021'!$J$3:$J$23,MATCH('UMUR 2021'!AW27,'DUN 2021'!$I$3:$I$23,0),1),"")</f>
        <v/>
      </c>
      <c r="AY27" s="33"/>
      <c r="AZ27" s="34" t="str">
        <f t="shared" si="14"/>
        <v/>
      </c>
      <c r="BA27" s="29"/>
      <c r="BB27" s="29" t="str">
        <f>IF(BA27&lt;&gt;"",INDEX('DUN 2021'!$J$3:$J$23,MATCH('UMUR 2021'!BA27,'DUN 2021'!$I$3:$I$23,0),1),"")</f>
        <v/>
      </c>
      <c r="BC27" s="33"/>
      <c r="BD27" s="34" t="str">
        <f t="shared" si="15"/>
        <v/>
      </c>
      <c r="BE27" s="29"/>
      <c r="BF27" s="29" t="str">
        <f>IF(BE27&lt;&gt;"",INDEX('DUN 2021'!$J$3:$J$23,MATCH('UMUR 2021'!BE27,'DUN 2021'!$I$3:$I$23,0),1),"")</f>
        <v/>
      </c>
      <c r="BG27" s="33"/>
      <c r="BH27" s="34" t="str">
        <f t="shared" si="16"/>
        <v/>
      </c>
    </row>
    <row r="28" spans="1:60">
      <c r="A28" s="13" t="s">
        <v>70</v>
      </c>
      <c r="B28" s="14" t="s">
        <v>73</v>
      </c>
      <c r="C28" s="15">
        <f>'JANTINA 2021'!C28+'JANTINA 2021'!K28</f>
        <v>540</v>
      </c>
      <c r="D28" s="15">
        <f>'JANTINA 2021'!D28+'JANTINA 2021'!L28</f>
        <v>1483</v>
      </c>
      <c r="E28" s="15">
        <f>'JANTINA 2021'!E28+'JANTINA 2021'!M28</f>
        <v>1516</v>
      </c>
      <c r="F28" s="15">
        <f>'JANTINA 2021'!F28+'JANTINA 2021'!N28</f>
        <v>1629</v>
      </c>
      <c r="G28" s="15">
        <f>'JANTINA 2021'!G28+'JANTINA 2021'!O28</f>
        <v>1229</v>
      </c>
      <c r="H28" s="15">
        <f>'JANTINA 2021'!H28+'JANTINA 2021'!P28</f>
        <v>585</v>
      </c>
      <c r="I28" s="15">
        <f>'JANTINA 2021'!I28+'JANTINA 2021'!Q28</f>
        <v>147</v>
      </c>
      <c r="J28" s="15">
        <f>'JANTINA 2021'!J28+'JANTINA 2021'!R28</f>
        <v>79</v>
      </c>
      <c r="K28" s="16">
        <f>C28/'JANTINA 2021'!S28</f>
        <v>7.491675915649279E-2</v>
      </c>
      <c r="L28" s="16">
        <f>D28/'JANTINA 2021'!S28</f>
        <v>0.20574361820199777</v>
      </c>
      <c r="M28" s="16">
        <f>E28/'JANTINA 2021'!S28</f>
        <v>0.21032186459489458</v>
      </c>
      <c r="N28" s="16">
        <f>F28/'JANTINA 2021'!S28</f>
        <v>0.22599889012208657</v>
      </c>
      <c r="O28" s="16">
        <f>G28/'JANTINA 2021'!S28</f>
        <v>0.17050499445061043</v>
      </c>
      <c r="P28" s="16">
        <f>H28/'JANTINA 2021'!S28</f>
        <v>8.1159822419533845E-2</v>
      </c>
      <c r="Q28" s="16">
        <f>I28/'JANTINA 2021'!S28</f>
        <v>2.039400665926748E-2</v>
      </c>
      <c r="R28" s="16">
        <f t="shared" si="0"/>
        <v>1.0960044395116539E-2</v>
      </c>
      <c r="S28" s="13" t="str">
        <f t="shared" si="1"/>
        <v>50-59</v>
      </c>
      <c r="T28" s="15">
        <f t="shared" si="2"/>
        <v>2023</v>
      </c>
      <c r="U28" s="16">
        <f t="shared" si="3"/>
        <v>0.28066037735849059</v>
      </c>
      <c r="V28" s="15">
        <f t="shared" si="4"/>
        <v>3607</v>
      </c>
      <c r="W28" s="15">
        <f t="shared" si="5"/>
        <v>7208</v>
      </c>
      <c r="X28" s="16">
        <f t="shared" si="6"/>
        <v>0.7415371809100999</v>
      </c>
      <c r="Y28" s="15">
        <f t="shared" si="7"/>
        <v>5345</v>
      </c>
      <c r="Z28" s="15">
        <v>27</v>
      </c>
      <c r="AA28" s="15">
        <v>54</v>
      </c>
      <c r="AB28" s="33">
        <f t="shared" si="8"/>
        <v>5264</v>
      </c>
      <c r="AC28" s="29" t="s">
        <v>243</v>
      </c>
      <c r="AD28" s="29" t="str">
        <f>IF(AC28&lt;&gt;"",INDEX('DUN 2021'!$J$3:$J$23,MATCH('UMUR 2021'!AC28,'DUN 2021'!$I$3:$I$23,0),1),"")</f>
        <v>GPS</v>
      </c>
      <c r="AE28" s="33">
        <v>4310</v>
      </c>
      <c r="AF28" s="34">
        <f t="shared" si="9"/>
        <v>0.81876899696048633</v>
      </c>
      <c r="AG28" s="29" t="s">
        <v>252</v>
      </c>
      <c r="AH28" s="29" t="str">
        <f>INDEX('DUN 2021'!$J$3:$J$23,MATCH('UMUR 2021'!AG28,'DUN 2021'!$I$3:$I$23,0),1)</f>
        <v>PSB</v>
      </c>
      <c r="AI28" s="33">
        <v>703</v>
      </c>
      <c r="AJ28" s="34">
        <f t="shared" si="10"/>
        <v>0.133548632218845</v>
      </c>
      <c r="AK28" s="29" t="s">
        <v>301</v>
      </c>
      <c r="AL28" s="29" t="str">
        <f>IF(AK28&lt;&gt;"",INDEX('DUN 2021'!$J$3:$J$23,MATCH('UMUR 2021'!AK28,'DUN 2021'!$I$3:$I$23,0),1),"")</f>
        <v>LAIN-LAIN</v>
      </c>
      <c r="AM28" s="33">
        <v>157</v>
      </c>
      <c r="AN28" s="34">
        <f t="shared" si="11"/>
        <v>2.9825227963525835E-2</v>
      </c>
      <c r="AO28" s="29" t="s">
        <v>254</v>
      </c>
      <c r="AP28" s="29" t="str">
        <f>IF(AO28&lt;&gt;"",INDEX('DUN 2021'!$J$3:$J$23,MATCH('UMUR 2021'!AO28,'DUN 2021'!$I$3:$I$23,0),1),"")</f>
        <v>PH</v>
      </c>
      <c r="AQ28" s="33">
        <v>94</v>
      </c>
      <c r="AR28" s="34">
        <f t="shared" si="12"/>
        <v>1.7857142857142856E-2</v>
      </c>
      <c r="AS28" s="29"/>
      <c r="AT28" s="29" t="str">
        <f>IF(AS28&lt;&gt;"",INDEX('DUN 2021'!$J$3:$J$23,MATCH('UMUR 2021'!AS28,'DUN 2021'!$I$3:$I$23,0),1),"")</f>
        <v/>
      </c>
      <c r="AU28" s="33"/>
      <c r="AV28" s="34" t="str">
        <f t="shared" si="13"/>
        <v/>
      </c>
      <c r="AW28" s="29"/>
      <c r="AX28" s="29" t="str">
        <f>IF(AW28&lt;&gt;"",INDEX('DUN 2021'!$J$3:$J$23,MATCH('UMUR 2021'!AW28,'DUN 2021'!$I$3:$I$23,0),1),"")</f>
        <v/>
      </c>
      <c r="AY28" s="33"/>
      <c r="AZ28" s="34" t="str">
        <f t="shared" si="14"/>
        <v/>
      </c>
      <c r="BA28" s="29"/>
      <c r="BB28" s="29" t="str">
        <f>IF(BA28&lt;&gt;"",INDEX('DUN 2021'!$J$3:$J$23,MATCH('UMUR 2021'!BA28,'DUN 2021'!$I$3:$I$23,0),1),"")</f>
        <v/>
      </c>
      <c r="BC28" s="33"/>
      <c r="BD28" s="34" t="str">
        <f t="shared" si="15"/>
        <v/>
      </c>
      <c r="BE28" s="29"/>
      <c r="BF28" s="29" t="str">
        <f>IF(BE28&lt;&gt;"",INDEX('DUN 2021'!$J$3:$J$23,MATCH('UMUR 2021'!BE28,'DUN 2021'!$I$3:$I$23,0),1),"")</f>
        <v/>
      </c>
      <c r="BG28" s="33"/>
      <c r="BH28" s="34" t="str">
        <f t="shared" si="16"/>
        <v/>
      </c>
    </row>
    <row r="29" spans="1:60">
      <c r="A29" s="13" t="s">
        <v>76</v>
      </c>
      <c r="B29" s="14" t="s">
        <v>79</v>
      </c>
      <c r="C29" s="15">
        <f>'JANTINA 2021'!C29+'JANTINA 2021'!K29</f>
        <v>656</v>
      </c>
      <c r="D29" s="15">
        <f>'JANTINA 2021'!D29+'JANTINA 2021'!L29</f>
        <v>2081</v>
      </c>
      <c r="E29" s="15">
        <f>'JANTINA 2021'!E29+'JANTINA 2021'!M29</f>
        <v>1926</v>
      </c>
      <c r="F29" s="15">
        <f>'JANTINA 2021'!F29+'JANTINA 2021'!N29</f>
        <v>2159</v>
      </c>
      <c r="G29" s="15">
        <f>'JANTINA 2021'!G29+'JANTINA 2021'!O29</f>
        <v>1473</v>
      </c>
      <c r="H29" s="15">
        <f>'JANTINA 2021'!H29+'JANTINA 2021'!P29</f>
        <v>783</v>
      </c>
      <c r="I29" s="15">
        <f>'JANTINA 2021'!I29+'JANTINA 2021'!Q29</f>
        <v>217</v>
      </c>
      <c r="J29" s="15">
        <f>'JANTINA 2021'!J29+'JANTINA 2021'!R29</f>
        <v>72</v>
      </c>
      <c r="K29" s="16">
        <f>C29/'JANTINA 2021'!S29</f>
        <v>7.0033094907654525E-2</v>
      </c>
      <c r="L29" s="16">
        <f>D29/'JANTINA 2021'!S29</f>
        <v>0.2221629123518736</v>
      </c>
      <c r="M29" s="16">
        <f>E29/'JANTINA 2021'!S29</f>
        <v>0.20561545852460766</v>
      </c>
      <c r="N29" s="16">
        <f>F29/'JANTINA 2021'!S29</f>
        <v>0.23049001814882034</v>
      </c>
      <c r="O29" s="16">
        <f>G29/'JANTINA 2021'!S29</f>
        <v>0.15725419024234014</v>
      </c>
      <c r="P29" s="16">
        <f>H29/'JANTINA 2021'!S29</f>
        <v>8.3591331269349839E-2</v>
      </c>
      <c r="Q29" s="16">
        <f>I29/'JANTINA 2021'!S29</f>
        <v>2.3166435358172307E-2</v>
      </c>
      <c r="R29" s="16">
        <f t="shared" si="0"/>
        <v>7.6865591971817006E-3</v>
      </c>
      <c r="S29" s="13" t="str">
        <f t="shared" si="1"/>
        <v>50-59</v>
      </c>
      <c r="T29" s="15">
        <f t="shared" si="2"/>
        <v>2737</v>
      </c>
      <c r="U29" s="16">
        <f t="shared" si="3"/>
        <v>0.29219600725952816</v>
      </c>
      <c r="V29" s="15">
        <f t="shared" si="4"/>
        <v>4134</v>
      </c>
      <c r="W29" s="15">
        <f t="shared" si="5"/>
        <v>9367</v>
      </c>
      <c r="X29" s="16">
        <f t="shared" si="6"/>
        <v>0.68196861321661151</v>
      </c>
      <c r="Y29" s="15">
        <f t="shared" si="7"/>
        <v>6388</v>
      </c>
      <c r="Z29" s="15">
        <v>17</v>
      </c>
      <c r="AA29" s="15">
        <v>145</v>
      </c>
      <c r="AB29" s="33">
        <f t="shared" si="8"/>
        <v>6226</v>
      </c>
      <c r="AC29" s="29" t="s">
        <v>243</v>
      </c>
      <c r="AD29" s="29" t="str">
        <f>IF(AC29&lt;&gt;"",INDEX('DUN 2021'!$J$3:$J$23,MATCH('UMUR 2021'!AC29,'DUN 2021'!$I$3:$I$23,0),1),"")</f>
        <v>GPS</v>
      </c>
      <c r="AE29" s="33">
        <v>4937</v>
      </c>
      <c r="AF29" s="34">
        <f t="shared" si="9"/>
        <v>0.7929649855444908</v>
      </c>
      <c r="AG29" s="29" t="s">
        <v>254</v>
      </c>
      <c r="AH29" s="29" t="str">
        <f>INDEX('DUN 2021'!$J$3:$J$23,MATCH('UMUR 2021'!AG29,'DUN 2021'!$I$3:$I$23,0),1)</f>
        <v>PH</v>
      </c>
      <c r="AI29" s="33">
        <v>803</v>
      </c>
      <c r="AJ29" s="34">
        <f t="shared" si="10"/>
        <v>0.12897526501766785</v>
      </c>
      <c r="AK29" s="29" t="s">
        <v>301</v>
      </c>
      <c r="AL29" s="29" t="str">
        <f>IF(AK29&lt;&gt;"",INDEX('DUN 2021'!$J$3:$J$23,MATCH('UMUR 2021'!AK29,'DUN 2021'!$I$3:$I$23,0),1),"")</f>
        <v>LAIN-LAIN</v>
      </c>
      <c r="AM29" s="33">
        <v>486</v>
      </c>
      <c r="AN29" s="34">
        <f t="shared" si="11"/>
        <v>7.8059749437841316E-2</v>
      </c>
      <c r="AO29" s="29"/>
      <c r="AP29" s="29" t="str">
        <f>IF(AO29&lt;&gt;"",INDEX('DUN 2021'!$J$3:$J$23,MATCH('UMUR 2021'!AO29,'DUN 2021'!$I$3:$I$23,0),1),"")</f>
        <v/>
      </c>
      <c r="AQ29" s="33"/>
      <c r="AR29" s="34" t="str">
        <f t="shared" si="12"/>
        <v/>
      </c>
      <c r="AS29" s="29"/>
      <c r="AT29" s="29" t="str">
        <f>IF(AS29&lt;&gt;"",INDEX('DUN 2021'!$J$3:$J$23,MATCH('UMUR 2021'!AS29,'DUN 2021'!$I$3:$I$23,0),1),"")</f>
        <v/>
      </c>
      <c r="AU29" s="33"/>
      <c r="AV29" s="34" t="str">
        <f t="shared" si="13"/>
        <v/>
      </c>
      <c r="AW29" s="29"/>
      <c r="AX29" s="29" t="str">
        <f>IF(AW29&lt;&gt;"",INDEX('DUN 2021'!$J$3:$J$23,MATCH('UMUR 2021'!AW29,'DUN 2021'!$I$3:$I$23,0),1),"")</f>
        <v/>
      </c>
      <c r="AY29" s="33"/>
      <c r="AZ29" s="34" t="str">
        <f t="shared" si="14"/>
        <v/>
      </c>
      <c r="BA29" s="29"/>
      <c r="BB29" s="29" t="str">
        <f>IF(BA29&lt;&gt;"",INDEX('DUN 2021'!$J$3:$J$23,MATCH('UMUR 2021'!BA29,'DUN 2021'!$I$3:$I$23,0),1),"")</f>
        <v/>
      </c>
      <c r="BC29" s="33"/>
      <c r="BD29" s="34" t="str">
        <f t="shared" si="15"/>
        <v/>
      </c>
      <c r="BE29" s="29"/>
      <c r="BF29" s="29" t="str">
        <f>IF(BE29&lt;&gt;"",INDEX('DUN 2021'!$J$3:$J$23,MATCH('UMUR 2021'!BE29,'DUN 2021'!$I$3:$I$23,0),1),"")</f>
        <v/>
      </c>
      <c r="BG29" s="33"/>
      <c r="BH29" s="34" t="str">
        <f t="shared" si="16"/>
        <v/>
      </c>
    </row>
    <row r="30" spans="1:60">
      <c r="A30" s="13" t="s">
        <v>77</v>
      </c>
      <c r="B30" s="14" t="s">
        <v>80</v>
      </c>
      <c r="C30" s="15">
        <f>'JANTINA 2021'!C30+'JANTINA 2021'!K30</f>
        <v>799</v>
      </c>
      <c r="D30" s="15">
        <f>'JANTINA 2021'!D30+'JANTINA 2021'!L30</f>
        <v>1866</v>
      </c>
      <c r="E30" s="15">
        <f>'JANTINA 2021'!E30+'JANTINA 2021'!M30</f>
        <v>1925</v>
      </c>
      <c r="F30" s="15">
        <f>'JANTINA 2021'!F30+'JANTINA 2021'!N30</f>
        <v>2199</v>
      </c>
      <c r="G30" s="15">
        <f>'JANTINA 2021'!G30+'JANTINA 2021'!O30</f>
        <v>1625</v>
      </c>
      <c r="H30" s="15">
        <f>'JANTINA 2021'!H30+'JANTINA 2021'!P30</f>
        <v>846</v>
      </c>
      <c r="I30" s="15">
        <f>'JANTINA 2021'!I30+'JANTINA 2021'!Q30</f>
        <v>250</v>
      </c>
      <c r="J30" s="15">
        <f>'JANTINA 2021'!J30+'JANTINA 2021'!R30</f>
        <v>68</v>
      </c>
      <c r="K30" s="16">
        <f>C30/'JANTINA 2021'!S30</f>
        <v>8.3420338275214029E-2</v>
      </c>
      <c r="L30" s="16">
        <f>D30/'JANTINA 2021'!S30</f>
        <v>0.1948214658592608</v>
      </c>
      <c r="M30" s="16">
        <f>E30/'JANTINA 2021'!S30</f>
        <v>0.20098141574441428</v>
      </c>
      <c r="N30" s="16">
        <f>F30/'JANTINA 2021'!S30</f>
        <v>0.22958864063478807</v>
      </c>
      <c r="O30" s="16">
        <f>G30/'JANTINA 2021'!S30</f>
        <v>0.1696596366673627</v>
      </c>
      <c r="P30" s="16">
        <f>H30/'JANTINA 2021'!S30</f>
        <v>8.8327416997285441E-2</v>
      </c>
      <c r="Q30" s="16">
        <f>I30/'JANTINA 2021'!S30</f>
        <v>2.6101482564209647E-2</v>
      </c>
      <c r="R30" s="16">
        <f t="shared" si="0"/>
        <v>7.0996032574651008E-3</v>
      </c>
      <c r="S30" s="13" t="str">
        <f t="shared" si="1"/>
        <v>50-59</v>
      </c>
      <c r="T30" s="15">
        <f t="shared" si="2"/>
        <v>2665</v>
      </c>
      <c r="U30" s="16">
        <f t="shared" si="3"/>
        <v>0.27824180413447486</v>
      </c>
      <c r="V30" s="15">
        <f t="shared" si="4"/>
        <v>2273</v>
      </c>
      <c r="W30" s="15">
        <f t="shared" si="5"/>
        <v>9578</v>
      </c>
      <c r="X30" s="16">
        <f t="shared" si="6"/>
        <v>0.68072666527458758</v>
      </c>
      <c r="Y30" s="15">
        <f t="shared" si="7"/>
        <v>6520</v>
      </c>
      <c r="Z30" s="15">
        <v>23</v>
      </c>
      <c r="AA30" s="15">
        <v>129</v>
      </c>
      <c r="AB30" s="33">
        <f t="shared" si="8"/>
        <v>6368</v>
      </c>
      <c r="AC30" s="29" t="s">
        <v>243</v>
      </c>
      <c r="AD30" s="29" t="str">
        <f>IF(AC30&lt;&gt;"",INDEX('DUN 2021'!$J$3:$J$23,MATCH('UMUR 2021'!AC30,'DUN 2021'!$I$3:$I$23,0),1),"")</f>
        <v>GPS</v>
      </c>
      <c r="AE30" s="33">
        <v>3700</v>
      </c>
      <c r="AF30" s="34">
        <f t="shared" si="9"/>
        <v>0.58103015075376885</v>
      </c>
      <c r="AG30" s="29" t="s">
        <v>252</v>
      </c>
      <c r="AH30" s="29" t="str">
        <f>INDEX('DUN 2021'!$J$3:$J$23,MATCH('UMUR 2021'!AG30,'DUN 2021'!$I$3:$I$23,0),1)</f>
        <v>PSB</v>
      </c>
      <c r="AI30" s="33">
        <v>1427</v>
      </c>
      <c r="AJ30" s="34">
        <f t="shared" si="10"/>
        <v>0.22408919597989949</v>
      </c>
      <c r="AK30" s="29" t="s">
        <v>251</v>
      </c>
      <c r="AL30" s="29" t="str">
        <f>IF(AK30&lt;&gt;"",INDEX('DUN 2021'!$J$3:$J$23,MATCH('UMUR 2021'!AK30,'DUN 2021'!$I$3:$I$23,0),1),"")</f>
        <v>BEBAS</v>
      </c>
      <c r="AM30" s="33">
        <v>880</v>
      </c>
      <c r="AN30" s="34">
        <f t="shared" si="11"/>
        <v>0.13819095477386933</v>
      </c>
      <c r="AO30" s="29" t="s">
        <v>301</v>
      </c>
      <c r="AP30" s="29" t="str">
        <f>IF(AO30&lt;&gt;"",INDEX('DUN 2021'!$J$3:$J$23,MATCH('UMUR 2021'!AO30,'DUN 2021'!$I$3:$I$23,0),1),"")</f>
        <v>LAIN-LAIN</v>
      </c>
      <c r="AQ30" s="33">
        <v>139</v>
      </c>
      <c r="AR30" s="34">
        <f t="shared" si="12"/>
        <v>2.1827889447236182E-2</v>
      </c>
      <c r="AS30" s="29" t="s">
        <v>253</v>
      </c>
      <c r="AT30" s="29" t="str">
        <f>IF(AS30&lt;&gt;"",INDEX('DUN 2021'!$J$3:$J$23,MATCH('UMUR 2021'!AS30,'DUN 2021'!$I$3:$I$23,0),1),"")</f>
        <v>PH</v>
      </c>
      <c r="AU30" s="33">
        <v>130</v>
      </c>
      <c r="AV30" s="34">
        <f t="shared" si="13"/>
        <v>2.041457286432161E-2</v>
      </c>
      <c r="AW30" s="29" t="s">
        <v>304</v>
      </c>
      <c r="AX30" s="29" t="str">
        <f>IF(AW30&lt;&gt;"",INDEX('DUN 2021'!$J$3:$J$23,MATCH('UMUR 2021'!AW30,'DUN 2021'!$I$3:$I$23,0),1),"")</f>
        <v>LAIN-LAIN</v>
      </c>
      <c r="AY30" s="33">
        <v>92</v>
      </c>
      <c r="AZ30" s="34">
        <f t="shared" si="14"/>
        <v>1.4447236180904523E-2</v>
      </c>
      <c r="BA30" s="29"/>
      <c r="BB30" s="29" t="str">
        <f>IF(BA30&lt;&gt;"",INDEX('DUN 2021'!$J$3:$J$23,MATCH('UMUR 2021'!BA30,'DUN 2021'!$I$3:$I$23,0),1),"")</f>
        <v/>
      </c>
      <c r="BC30" s="33"/>
      <c r="BD30" s="34" t="str">
        <f t="shared" si="15"/>
        <v/>
      </c>
      <c r="BE30" s="29"/>
      <c r="BF30" s="29" t="str">
        <f>IF(BE30&lt;&gt;"",INDEX('DUN 2021'!$J$3:$J$23,MATCH('UMUR 2021'!BE30,'DUN 2021'!$I$3:$I$23,0),1),"")</f>
        <v/>
      </c>
      <c r="BG30" s="33"/>
      <c r="BH30" s="34" t="str">
        <f t="shared" si="16"/>
        <v/>
      </c>
    </row>
    <row r="31" spans="1:60">
      <c r="A31" s="13" t="s">
        <v>78</v>
      </c>
      <c r="B31" s="14" t="s">
        <v>81</v>
      </c>
      <c r="C31" s="15">
        <f>'JANTINA 2021'!C31+'JANTINA 2021'!K31</f>
        <v>1282</v>
      </c>
      <c r="D31" s="15">
        <f>'JANTINA 2021'!D31+'JANTINA 2021'!L31</f>
        <v>2964</v>
      </c>
      <c r="E31" s="15">
        <f>'JANTINA 2021'!E31+'JANTINA 2021'!M31</f>
        <v>2287</v>
      </c>
      <c r="F31" s="15">
        <f>'JANTINA 2021'!F31+'JANTINA 2021'!N31</f>
        <v>2399</v>
      </c>
      <c r="G31" s="15">
        <f>'JANTINA 2021'!G31+'JANTINA 2021'!O31</f>
        <v>1353</v>
      </c>
      <c r="H31" s="15">
        <f>'JANTINA 2021'!H31+'JANTINA 2021'!P31</f>
        <v>572</v>
      </c>
      <c r="I31" s="15">
        <f>'JANTINA 2021'!I31+'JANTINA 2021'!Q31</f>
        <v>166</v>
      </c>
      <c r="J31" s="15">
        <f>'JANTINA 2021'!J31+'JANTINA 2021'!R31</f>
        <v>71</v>
      </c>
      <c r="K31" s="16">
        <f>C31/'JANTINA 2021'!S31</f>
        <v>0.11555795925725618</v>
      </c>
      <c r="L31" s="16">
        <f>D31/'JANTINA 2021'!S31</f>
        <v>0.26717144402379667</v>
      </c>
      <c r="M31" s="16">
        <f>E31/'JANTINA 2021'!S31</f>
        <v>0.20614746709933296</v>
      </c>
      <c r="N31" s="16">
        <f>F31/'JANTINA 2021'!S31</f>
        <v>0.21624301424193257</v>
      </c>
      <c r="O31" s="16">
        <f>G31/'JANTINA 2021'!S31</f>
        <v>0.12195781503515414</v>
      </c>
      <c r="P31" s="16">
        <f>H31/'JANTINA 2021'!S31</f>
        <v>5.1559401478276548E-2</v>
      </c>
      <c r="Q31" s="16">
        <f>I31/'JANTINA 2021'!S31</f>
        <v>1.4963043086352984E-2</v>
      </c>
      <c r="R31" s="16">
        <f t="shared" si="0"/>
        <v>6.3998557778979278E-3</v>
      </c>
      <c r="S31" s="13" t="str">
        <f t="shared" si="1"/>
        <v>30-39</v>
      </c>
      <c r="T31" s="15">
        <f t="shared" si="2"/>
        <v>4246</v>
      </c>
      <c r="U31" s="16">
        <f t="shared" si="3"/>
        <v>0.38272940328105282</v>
      </c>
      <c r="V31" s="15">
        <f t="shared" si="4"/>
        <v>1711</v>
      </c>
      <c r="W31" s="15">
        <f t="shared" si="5"/>
        <v>11094</v>
      </c>
      <c r="X31" s="16">
        <f t="shared" si="6"/>
        <v>0.67748332431945191</v>
      </c>
      <c r="Y31" s="15">
        <f t="shared" si="7"/>
        <v>7516</v>
      </c>
      <c r="Z31" s="15">
        <v>13</v>
      </c>
      <c r="AA31" s="15">
        <v>201</v>
      </c>
      <c r="AB31" s="33">
        <f t="shared" si="8"/>
        <v>7302</v>
      </c>
      <c r="AC31" s="29" t="s">
        <v>243</v>
      </c>
      <c r="AD31" s="29" t="str">
        <f>IF(AC31&lt;&gt;"",INDEX('DUN 2021'!$J$3:$J$23,MATCH('UMUR 2021'!AC31,'DUN 2021'!$I$3:$I$23,0),1),"")</f>
        <v>GPS</v>
      </c>
      <c r="AE31" s="33">
        <v>3769</v>
      </c>
      <c r="AF31" s="34">
        <f t="shared" si="9"/>
        <v>0.51615995617638999</v>
      </c>
      <c r="AG31" s="29" t="s">
        <v>250</v>
      </c>
      <c r="AH31" s="29" t="str">
        <f>INDEX('DUN 2021'!$J$3:$J$23,MATCH('UMUR 2021'!AG31,'DUN 2021'!$I$3:$I$23,0),1)</f>
        <v>PN</v>
      </c>
      <c r="AI31" s="33">
        <v>2058</v>
      </c>
      <c r="AJ31" s="34">
        <f t="shared" si="10"/>
        <v>0.28184059161873459</v>
      </c>
      <c r="AK31" s="29" t="s">
        <v>253</v>
      </c>
      <c r="AL31" s="29" t="str">
        <f>IF(AK31&lt;&gt;"",INDEX('DUN 2021'!$J$3:$J$23,MATCH('UMUR 2021'!AK31,'DUN 2021'!$I$3:$I$23,0),1),"")</f>
        <v>PH</v>
      </c>
      <c r="AM31" s="33">
        <v>765</v>
      </c>
      <c r="AN31" s="34">
        <f t="shared" si="11"/>
        <v>0.1047658175842235</v>
      </c>
      <c r="AO31" s="29" t="s">
        <v>251</v>
      </c>
      <c r="AP31" s="29" t="str">
        <f>IF(AO31&lt;&gt;"",INDEX('DUN 2021'!$J$3:$J$23,MATCH('UMUR 2021'!AO31,'DUN 2021'!$I$3:$I$23,0),1),"")</f>
        <v>BEBAS</v>
      </c>
      <c r="AQ31" s="33">
        <v>636</v>
      </c>
      <c r="AR31" s="34">
        <f t="shared" si="12"/>
        <v>8.7099424815119147E-2</v>
      </c>
      <c r="AS31" s="29" t="s">
        <v>301</v>
      </c>
      <c r="AT31" s="29" t="str">
        <f>IF(AS31&lt;&gt;"",INDEX('DUN 2021'!$J$3:$J$23,MATCH('UMUR 2021'!AS31,'DUN 2021'!$I$3:$I$23,0),1),"")</f>
        <v>LAIN-LAIN</v>
      </c>
      <c r="AU31" s="33">
        <v>74</v>
      </c>
      <c r="AV31" s="34">
        <f t="shared" si="13"/>
        <v>1.0134209805532731E-2</v>
      </c>
      <c r="AW31" s="29"/>
      <c r="AX31" s="29" t="str">
        <f>IF(AW31&lt;&gt;"",INDEX('DUN 2021'!$J$3:$J$23,MATCH('UMUR 2021'!AW31,'DUN 2021'!$I$3:$I$23,0),1),"")</f>
        <v/>
      </c>
      <c r="AY31" s="33"/>
      <c r="AZ31" s="34" t="str">
        <f t="shared" si="14"/>
        <v/>
      </c>
      <c r="BA31" s="29"/>
      <c r="BB31" s="29" t="str">
        <f>IF(BA31&lt;&gt;"",INDEX('DUN 2021'!$J$3:$J$23,MATCH('UMUR 2021'!BA31,'DUN 2021'!$I$3:$I$23,0),1),"")</f>
        <v/>
      </c>
      <c r="BC31" s="33"/>
      <c r="BD31" s="34" t="str">
        <f t="shared" si="15"/>
        <v/>
      </c>
      <c r="BE31" s="29"/>
      <c r="BF31" s="29" t="str">
        <f>IF(BE31&lt;&gt;"",INDEX('DUN 2021'!$J$3:$J$23,MATCH('UMUR 2021'!BE31,'DUN 2021'!$I$3:$I$23,0),1),"")</f>
        <v/>
      </c>
      <c r="BG31" s="33"/>
      <c r="BH31" s="34" t="str">
        <f t="shared" si="16"/>
        <v/>
      </c>
    </row>
    <row r="32" spans="1:60">
      <c r="A32" s="13" t="s">
        <v>84</v>
      </c>
      <c r="B32" s="14" t="s">
        <v>87</v>
      </c>
      <c r="C32" s="15">
        <f>'JANTINA 2021'!C32+'JANTINA 2021'!K32</f>
        <v>693</v>
      </c>
      <c r="D32" s="15">
        <f>'JANTINA 2021'!D32+'JANTINA 2021'!L32</f>
        <v>1868</v>
      </c>
      <c r="E32" s="15">
        <f>'JANTINA 2021'!E32+'JANTINA 2021'!M32</f>
        <v>2242</v>
      </c>
      <c r="F32" s="15">
        <f>'JANTINA 2021'!F32+'JANTINA 2021'!N32</f>
        <v>2569</v>
      </c>
      <c r="G32" s="15">
        <f>'JANTINA 2021'!G32+'JANTINA 2021'!O32</f>
        <v>1912</v>
      </c>
      <c r="H32" s="15">
        <f>'JANTINA 2021'!H32+'JANTINA 2021'!P32</f>
        <v>1087</v>
      </c>
      <c r="I32" s="15">
        <f>'JANTINA 2021'!I32+'JANTINA 2021'!Q32</f>
        <v>315</v>
      </c>
      <c r="J32" s="15">
        <f>'JANTINA 2021'!J32+'JANTINA 2021'!R32</f>
        <v>105</v>
      </c>
      <c r="K32" s="16">
        <f>C32/'JANTINA 2021'!S32</f>
        <v>6.4220183486238536E-2</v>
      </c>
      <c r="L32" s="16">
        <f>D32/'JANTINA 2021'!S32</f>
        <v>0.17310721897877862</v>
      </c>
      <c r="M32" s="16">
        <f>E32/'JANTINA 2021'!S32</f>
        <v>0.20776573070151053</v>
      </c>
      <c r="N32" s="16">
        <f>F32/'JANTINA 2021'!S32</f>
        <v>0.23806876100454083</v>
      </c>
      <c r="O32" s="16">
        <f>G32/'JANTINA 2021'!S32</f>
        <v>0.17718469094615882</v>
      </c>
      <c r="P32" s="16">
        <f>H32/'JANTINA 2021'!S32</f>
        <v>0.10073209155777964</v>
      </c>
      <c r="Q32" s="16">
        <f>I32/'JANTINA 2021'!S32</f>
        <v>2.9190992493744787E-2</v>
      </c>
      <c r="R32" s="16">
        <f t="shared" si="0"/>
        <v>9.730330831248267E-3</v>
      </c>
      <c r="S32" s="13" t="str">
        <f t="shared" si="1"/>
        <v>50-59</v>
      </c>
      <c r="T32" s="15">
        <f t="shared" si="2"/>
        <v>2561</v>
      </c>
      <c r="U32" s="16">
        <f t="shared" si="3"/>
        <v>0.23732740246501716</v>
      </c>
      <c r="V32" s="15">
        <f t="shared" si="4"/>
        <v>1285</v>
      </c>
      <c r="W32" s="15">
        <f t="shared" si="5"/>
        <v>10791</v>
      </c>
      <c r="X32" s="16">
        <f t="shared" si="6"/>
        <v>0.80316930775646367</v>
      </c>
      <c r="Y32" s="15">
        <f t="shared" si="7"/>
        <v>8667</v>
      </c>
      <c r="Z32" s="15">
        <v>24</v>
      </c>
      <c r="AA32" s="15">
        <v>101</v>
      </c>
      <c r="AB32" s="33">
        <f t="shared" si="8"/>
        <v>8542</v>
      </c>
      <c r="AC32" s="29" t="s">
        <v>249</v>
      </c>
      <c r="AD32" s="29" t="str">
        <f>IF(AC32&lt;&gt;"",INDEX('DUN 2021'!$J$3:$J$23,MATCH('UMUR 2021'!AC32,'DUN 2021'!$I$3:$I$23,0),1),"")</f>
        <v>GPS</v>
      </c>
      <c r="AE32" s="33">
        <v>4816</v>
      </c>
      <c r="AF32" s="34">
        <f t="shared" si="9"/>
        <v>0.56380238819948492</v>
      </c>
      <c r="AG32" s="29" t="s">
        <v>252</v>
      </c>
      <c r="AH32" s="29" t="str">
        <f>INDEX('DUN 2021'!$J$3:$J$23,MATCH('UMUR 2021'!AG32,'DUN 2021'!$I$3:$I$23,0),1)</f>
        <v>PSB</v>
      </c>
      <c r="AI32" s="33">
        <v>3531</v>
      </c>
      <c r="AJ32" s="34">
        <f t="shared" si="10"/>
        <v>0.4133692343713416</v>
      </c>
      <c r="AK32" s="29" t="s">
        <v>301</v>
      </c>
      <c r="AL32" s="29" t="str">
        <f>IF(AK32&lt;&gt;"",INDEX('DUN 2021'!$J$3:$J$23,MATCH('UMUR 2021'!AK32,'DUN 2021'!$I$3:$I$23,0),1),"")</f>
        <v>LAIN-LAIN</v>
      </c>
      <c r="AM32" s="33">
        <v>195</v>
      </c>
      <c r="AN32" s="34">
        <f t="shared" si="11"/>
        <v>2.2828377429173496E-2</v>
      </c>
      <c r="AO32" s="29"/>
      <c r="AP32" s="29" t="str">
        <f>IF(AO32&lt;&gt;"",INDEX('DUN 2021'!$J$3:$J$23,MATCH('UMUR 2021'!AO32,'DUN 2021'!$I$3:$I$23,0),1),"")</f>
        <v/>
      </c>
      <c r="AQ32" s="33"/>
      <c r="AR32" s="34" t="str">
        <f t="shared" si="12"/>
        <v/>
      </c>
      <c r="AS32" s="29"/>
      <c r="AT32" s="29" t="str">
        <f>IF(AS32&lt;&gt;"",INDEX('DUN 2021'!$J$3:$J$23,MATCH('UMUR 2021'!AS32,'DUN 2021'!$I$3:$I$23,0),1),"")</f>
        <v/>
      </c>
      <c r="AU32" s="33"/>
      <c r="AV32" s="34" t="str">
        <f t="shared" si="13"/>
        <v/>
      </c>
      <c r="AW32" s="29"/>
      <c r="AX32" s="29" t="str">
        <f>IF(AW32&lt;&gt;"",INDEX('DUN 2021'!$J$3:$J$23,MATCH('UMUR 2021'!AW32,'DUN 2021'!$I$3:$I$23,0),1),"")</f>
        <v/>
      </c>
      <c r="AY32" s="33"/>
      <c r="AZ32" s="34" t="str">
        <f t="shared" si="14"/>
        <v/>
      </c>
      <c r="BA32" s="29"/>
      <c r="BB32" s="29" t="str">
        <f>IF(BA32&lt;&gt;"",INDEX('DUN 2021'!$J$3:$J$23,MATCH('UMUR 2021'!BA32,'DUN 2021'!$I$3:$I$23,0),1),"")</f>
        <v/>
      </c>
      <c r="BC32" s="33"/>
      <c r="BD32" s="34" t="str">
        <f t="shared" si="15"/>
        <v/>
      </c>
      <c r="BE32" s="29"/>
      <c r="BF32" s="29" t="str">
        <f>IF(BE32&lt;&gt;"",INDEX('DUN 2021'!$J$3:$J$23,MATCH('UMUR 2021'!BE32,'DUN 2021'!$I$3:$I$23,0),1),"")</f>
        <v/>
      </c>
      <c r="BG32" s="33"/>
      <c r="BH32" s="34" t="str">
        <f t="shared" si="16"/>
        <v/>
      </c>
    </row>
    <row r="33" spans="1:60">
      <c r="A33" s="13" t="s">
        <v>85</v>
      </c>
      <c r="B33" s="14" t="s">
        <v>88</v>
      </c>
      <c r="C33" s="15">
        <f>'JANTINA 2021'!C33+'JANTINA 2021'!K33</f>
        <v>906</v>
      </c>
      <c r="D33" s="15">
        <f>'JANTINA 2021'!D33+'JANTINA 2021'!L33</f>
        <v>1661</v>
      </c>
      <c r="E33" s="15">
        <f>'JANTINA 2021'!E33+'JANTINA 2021'!M33</f>
        <v>1789</v>
      </c>
      <c r="F33" s="15">
        <f>'JANTINA 2021'!F33+'JANTINA 2021'!N33</f>
        <v>2172</v>
      </c>
      <c r="G33" s="15">
        <f>'JANTINA 2021'!G33+'JANTINA 2021'!O33</f>
        <v>1727</v>
      </c>
      <c r="H33" s="15">
        <f>'JANTINA 2021'!H33+'JANTINA 2021'!P33</f>
        <v>1034</v>
      </c>
      <c r="I33" s="15">
        <f>'JANTINA 2021'!I33+'JANTINA 2021'!Q33</f>
        <v>281</v>
      </c>
      <c r="J33" s="15">
        <f>'JANTINA 2021'!J33+'JANTINA 2021'!R33</f>
        <v>62</v>
      </c>
      <c r="K33" s="16">
        <f>C33/'JANTINA 2021'!S33</f>
        <v>9.4061461794019932E-2</v>
      </c>
      <c r="L33" s="16">
        <f>D33/'JANTINA 2021'!S33</f>
        <v>0.17244601328903655</v>
      </c>
      <c r="M33" s="16">
        <f>E33/'JANTINA 2021'!S33</f>
        <v>0.18573504983388706</v>
      </c>
      <c r="N33" s="16">
        <f>F33/'JANTINA 2021'!S33</f>
        <v>0.22549833887043189</v>
      </c>
      <c r="O33" s="16">
        <f>G33/'JANTINA 2021'!S33</f>
        <v>0.17929817275747509</v>
      </c>
      <c r="P33" s="16">
        <f>H33/'JANTINA 2021'!S33</f>
        <v>0.10735049833887043</v>
      </c>
      <c r="Q33" s="16">
        <f>I33/'JANTINA 2021'!S33</f>
        <v>2.917358803986711E-2</v>
      </c>
      <c r="R33" s="16">
        <f t="shared" si="0"/>
        <v>6.4368770764119537E-3</v>
      </c>
      <c r="S33" s="13" t="str">
        <f t="shared" si="1"/>
        <v>50-59</v>
      </c>
      <c r="T33" s="15">
        <f t="shared" si="2"/>
        <v>2567</v>
      </c>
      <c r="U33" s="16">
        <f t="shared" si="3"/>
        <v>0.2665074750830565</v>
      </c>
      <c r="V33" s="15">
        <f t="shared" si="4"/>
        <v>1402</v>
      </c>
      <c r="W33" s="15">
        <f t="shared" si="5"/>
        <v>9632</v>
      </c>
      <c r="X33" s="16">
        <f t="shared" si="6"/>
        <v>0.72892441860465118</v>
      </c>
      <c r="Y33" s="15">
        <f t="shared" si="7"/>
        <v>7021</v>
      </c>
      <c r="Z33" s="15">
        <v>26</v>
      </c>
      <c r="AA33" s="15">
        <v>88</v>
      </c>
      <c r="AB33" s="33">
        <f t="shared" si="8"/>
        <v>6907</v>
      </c>
      <c r="AC33" s="29" t="s">
        <v>249</v>
      </c>
      <c r="AD33" s="29" t="str">
        <f>IF(AC33&lt;&gt;"",INDEX('DUN 2021'!$J$3:$J$23,MATCH('UMUR 2021'!AC33,'DUN 2021'!$I$3:$I$23,0),1),"")</f>
        <v>GPS</v>
      </c>
      <c r="AE33" s="33">
        <v>4054</v>
      </c>
      <c r="AF33" s="34">
        <f t="shared" si="9"/>
        <v>0.58694078471116262</v>
      </c>
      <c r="AG33" s="29" t="s">
        <v>252</v>
      </c>
      <c r="AH33" s="29" t="str">
        <f>INDEX('DUN 2021'!$J$3:$J$23,MATCH('UMUR 2021'!AG33,'DUN 2021'!$I$3:$I$23,0),1)</f>
        <v>PSB</v>
      </c>
      <c r="AI33" s="33">
        <v>2652</v>
      </c>
      <c r="AJ33" s="34">
        <f t="shared" si="10"/>
        <v>0.3839583031706964</v>
      </c>
      <c r="AK33" s="29" t="s">
        <v>303</v>
      </c>
      <c r="AL33" s="29" t="str">
        <f>IF(AK33&lt;&gt;"",INDEX('DUN 2021'!$J$3:$J$23,MATCH('UMUR 2021'!AK33,'DUN 2021'!$I$3:$I$23,0),1),"")</f>
        <v>LAIN-LAIN</v>
      </c>
      <c r="AM33" s="33">
        <v>115</v>
      </c>
      <c r="AN33" s="34">
        <f t="shared" si="11"/>
        <v>1.6649775589981177E-2</v>
      </c>
      <c r="AO33" s="29" t="s">
        <v>301</v>
      </c>
      <c r="AP33" s="29" t="str">
        <f>IF(AO33&lt;&gt;"",INDEX('DUN 2021'!$J$3:$J$23,MATCH('UMUR 2021'!AO33,'DUN 2021'!$I$3:$I$23,0),1),"")</f>
        <v>LAIN-LAIN</v>
      </c>
      <c r="AQ33" s="33">
        <v>86</v>
      </c>
      <c r="AR33" s="34">
        <f t="shared" si="12"/>
        <v>1.2451136528159839E-2</v>
      </c>
      <c r="AS33" s="29"/>
      <c r="AT33" s="29" t="str">
        <f>IF(AS33&lt;&gt;"",INDEX('DUN 2021'!$J$3:$J$23,MATCH('UMUR 2021'!AS33,'DUN 2021'!$I$3:$I$23,0),1),"")</f>
        <v/>
      </c>
      <c r="AU33" s="33"/>
      <c r="AV33" s="34" t="str">
        <f t="shared" si="13"/>
        <v/>
      </c>
      <c r="AW33" s="29"/>
      <c r="AX33" s="29" t="str">
        <f>IF(AW33&lt;&gt;"",INDEX('DUN 2021'!$J$3:$J$23,MATCH('UMUR 2021'!AW33,'DUN 2021'!$I$3:$I$23,0),1),"")</f>
        <v/>
      </c>
      <c r="AY33" s="33"/>
      <c r="AZ33" s="34" t="str">
        <f t="shared" si="14"/>
        <v/>
      </c>
      <c r="BA33" s="29"/>
      <c r="BB33" s="29" t="str">
        <f>IF(BA33&lt;&gt;"",INDEX('DUN 2021'!$J$3:$J$23,MATCH('UMUR 2021'!BA33,'DUN 2021'!$I$3:$I$23,0),1),"")</f>
        <v/>
      </c>
      <c r="BC33" s="33"/>
      <c r="BD33" s="34" t="str">
        <f t="shared" si="15"/>
        <v/>
      </c>
      <c r="BE33" s="29"/>
      <c r="BF33" s="29" t="str">
        <f>IF(BE33&lt;&gt;"",INDEX('DUN 2021'!$J$3:$J$23,MATCH('UMUR 2021'!BE33,'DUN 2021'!$I$3:$I$23,0),1),"")</f>
        <v/>
      </c>
      <c r="BG33" s="33"/>
      <c r="BH33" s="34" t="str">
        <f t="shared" si="16"/>
        <v/>
      </c>
    </row>
    <row r="34" spans="1:60">
      <c r="A34" s="13" t="s">
        <v>86</v>
      </c>
      <c r="B34" s="14" t="s">
        <v>89</v>
      </c>
      <c r="C34" s="15">
        <f>'JANTINA 2021'!C34+'JANTINA 2021'!K34</f>
        <v>1202</v>
      </c>
      <c r="D34" s="15">
        <f>'JANTINA 2021'!D34+'JANTINA 2021'!L34</f>
        <v>2838</v>
      </c>
      <c r="E34" s="15">
        <f>'JANTINA 2021'!E34+'JANTINA 2021'!M34</f>
        <v>2710</v>
      </c>
      <c r="F34" s="15">
        <f>'JANTINA 2021'!F34+'JANTINA 2021'!N34</f>
        <v>2737</v>
      </c>
      <c r="G34" s="15">
        <f>'JANTINA 2021'!G34+'JANTINA 2021'!O34</f>
        <v>2188</v>
      </c>
      <c r="H34" s="15">
        <f>'JANTINA 2021'!H34+'JANTINA 2021'!P34</f>
        <v>1110</v>
      </c>
      <c r="I34" s="15">
        <f>'JANTINA 2021'!I34+'JANTINA 2021'!Q34</f>
        <v>365</v>
      </c>
      <c r="J34" s="15">
        <f>'JANTINA 2021'!J34+'JANTINA 2021'!R34</f>
        <v>74</v>
      </c>
      <c r="K34" s="16">
        <f>C34/'JANTINA 2021'!S34</f>
        <v>9.0895341802782817E-2</v>
      </c>
      <c r="L34" s="16">
        <f>D34/'JANTINA 2021'!S34</f>
        <v>0.21460980036297642</v>
      </c>
      <c r="M34" s="16">
        <f>E34/'JANTINA 2021'!S34</f>
        <v>0.20493042952208107</v>
      </c>
      <c r="N34" s="16">
        <f>F34/'JANTINA 2021'!S34</f>
        <v>0.20697217180883243</v>
      </c>
      <c r="O34" s="16">
        <f>G34/'JANTINA 2021'!S34</f>
        <v>0.16545674531155474</v>
      </c>
      <c r="P34" s="16">
        <f>H34/'JANTINA 2021'!S34</f>
        <v>8.3938294010889286E-2</v>
      </c>
      <c r="Q34" s="16">
        <f>I34/'JANTINA 2021'!S34</f>
        <v>2.7601330913490624E-2</v>
      </c>
      <c r="R34" s="16">
        <f t="shared" si="0"/>
        <v>5.5958862673926579E-3</v>
      </c>
      <c r="S34" s="13" t="str">
        <f t="shared" si="1"/>
        <v>30-39</v>
      </c>
      <c r="T34" s="15">
        <f t="shared" si="2"/>
        <v>4040</v>
      </c>
      <c r="U34" s="16">
        <f t="shared" si="3"/>
        <v>0.30550514216575925</v>
      </c>
      <c r="V34" s="15">
        <f t="shared" si="4"/>
        <v>175</v>
      </c>
      <c r="W34" s="15">
        <f t="shared" si="5"/>
        <v>13224</v>
      </c>
      <c r="X34" s="16">
        <f t="shared" si="6"/>
        <v>0.62265577737447064</v>
      </c>
      <c r="Y34" s="15">
        <f t="shared" si="7"/>
        <v>8234</v>
      </c>
      <c r="Z34" s="15">
        <v>39</v>
      </c>
      <c r="AA34" s="15">
        <v>115</v>
      </c>
      <c r="AB34" s="33">
        <f t="shared" si="8"/>
        <v>8080</v>
      </c>
      <c r="AC34" s="29" t="s">
        <v>239</v>
      </c>
      <c r="AD34" s="29" t="str">
        <f>IF(AC34&lt;&gt;"",INDEX('DUN 2021'!$J$3:$J$23,MATCH('UMUR 2021'!AC34,'DUN 2021'!$I$3:$I$23,0),1),"")</f>
        <v>GPS</v>
      </c>
      <c r="AE34" s="33">
        <v>3954</v>
      </c>
      <c r="AF34" s="34">
        <f t="shared" si="9"/>
        <v>0.48935643564356435</v>
      </c>
      <c r="AG34" s="29" t="s">
        <v>252</v>
      </c>
      <c r="AH34" s="29" t="str">
        <f>INDEX('DUN 2021'!$J$3:$J$23,MATCH('UMUR 2021'!AG34,'DUN 2021'!$I$3:$I$23,0),1)</f>
        <v>PSB</v>
      </c>
      <c r="AI34" s="33">
        <v>3779</v>
      </c>
      <c r="AJ34" s="34">
        <f t="shared" si="10"/>
        <v>0.46769801980198022</v>
      </c>
      <c r="AK34" s="29" t="s">
        <v>244</v>
      </c>
      <c r="AL34" s="29" t="str">
        <f>IF(AK34&lt;&gt;"",INDEX('DUN 2021'!$J$3:$J$23,MATCH('UMUR 2021'!AK34,'DUN 2021'!$I$3:$I$23,0),1),"")</f>
        <v>PH</v>
      </c>
      <c r="AM34" s="33">
        <v>212</v>
      </c>
      <c r="AN34" s="34">
        <f t="shared" si="11"/>
        <v>2.6237623762376237E-2</v>
      </c>
      <c r="AO34" s="29" t="s">
        <v>301</v>
      </c>
      <c r="AP34" s="29" t="str">
        <f>IF(AO34&lt;&gt;"",INDEX('DUN 2021'!$J$3:$J$23,MATCH('UMUR 2021'!AO34,'DUN 2021'!$I$3:$I$23,0),1),"")</f>
        <v>LAIN-LAIN</v>
      </c>
      <c r="AQ34" s="33">
        <v>135</v>
      </c>
      <c r="AR34" s="34">
        <f t="shared" si="12"/>
        <v>1.6707920792079209E-2</v>
      </c>
      <c r="AS34" s="29"/>
      <c r="AT34" s="29" t="str">
        <f>IF(AS34&lt;&gt;"",INDEX('DUN 2021'!$J$3:$J$23,MATCH('UMUR 2021'!AS34,'DUN 2021'!$I$3:$I$23,0),1),"")</f>
        <v/>
      </c>
      <c r="AU34" s="33"/>
      <c r="AV34" s="34" t="str">
        <f t="shared" si="13"/>
        <v/>
      </c>
      <c r="AW34" s="29"/>
      <c r="AX34" s="29" t="str">
        <f>IF(AW34&lt;&gt;"",INDEX('DUN 2021'!$J$3:$J$23,MATCH('UMUR 2021'!AW34,'DUN 2021'!$I$3:$I$23,0),1),"")</f>
        <v/>
      </c>
      <c r="AY34" s="33"/>
      <c r="AZ34" s="34" t="str">
        <f t="shared" si="14"/>
        <v/>
      </c>
      <c r="BA34" s="29"/>
      <c r="BB34" s="29" t="str">
        <f>IF(BA34&lt;&gt;"",INDEX('DUN 2021'!$J$3:$J$23,MATCH('UMUR 2021'!BA34,'DUN 2021'!$I$3:$I$23,0),1),"")</f>
        <v/>
      </c>
      <c r="BC34" s="33"/>
      <c r="BD34" s="34" t="str">
        <f t="shared" si="15"/>
        <v/>
      </c>
      <c r="BE34" s="29"/>
      <c r="BF34" s="29" t="str">
        <f>IF(BE34&lt;&gt;"",INDEX('DUN 2021'!$J$3:$J$23,MATCH('UMUR 2021'!BE34,'DUN 2021'!$I$3:$I$23,0),1),"")</f>
        <v/>
      </c>
      <c r="BG34" s="33"/>
      <c r="BH34" s="34" t="str">
        <f t="shared" si="16"/>
        <v/>
      </c>
    </row>
    <row r="35" spans="1:60">
      <c r="A35" s="13" t="s">
        <v>92</v>
      </c>
      <c r="B35" s="14" t="s">
        <v>94</v>
      </c>
      <c r="C35" s="15">
        <f>'JANTINA 2021'!C35+'JANTINA 2021'!K35</f>
        <v>814</v>
      </c>
      <c r="D35" s="15">
        <f>'JANTINA 2021'!D35+'JANTINA 2021'!L35</f>
        <v>1966</v>
      </c>
      <c r="E35" s="15">
        <f>'JANTINA 2021'!E35+'JANTINA 2021'!M35</f>
        <v>2303</v>
      </c>
      <c r="F35" s="15">
        <f>'JANTINA 2021'!F35+'JANTINA 2021'!N35</f>
        <v>2608</v>
      </c>
      <c r="G35" s="15">
        <f>'JANTINA 2021'!G35+'JANTINA 2021'!O35</f>
        <v>1865</v>
      </c>
      <c r="H35" s="15">
        <f>'JANTINA 2021'!H35+'JANTINA 2021'!P35</f>
        <v>1028</v>
      </c>
      <c r="I35" s="15">
        <f>'JANTINA 2021'!I35+'JANTINA 2021'!Q35</f>
        <v>336</v>
      </c>
      <c r="J35" s="15">
        <f>'JANTINA 2021'!J35+'JANTINA 2021'!R35</f>
        <v>119</v>
      </c>
      <c r="K35" s="16">
        <f>C35/'JANTINA 2021'!S35</f>
        <v>7.373856327565903E-2</v>
      </c>
      <c r="L35" s="16">
        <f>D35/'JANTINA 2021'!S35</f>
        <v>0.17809584201467524</v>
      </c>
      <c r="M35" s="16">
        <f>E35/'JANTINA 2021'!S35</f>
        <v>0.20862396956246038</v>
      </c>
      <c r="N35" s="16">
        <f>F35/'JANTINA 2021'!S35</f>
        <v>0.2362532838119395</v>
      </c>
      <c r="O35" s="16">
        <f>G35/'JANTINA 2021'!S35</f>
        <v>0.16894646254189691</v>
      </c>
      <c r="P35" s="16">
        <f>H35/'JANTINA 2021'!S35</f>
        <v>9.3124377208080436E-2</v>
      </c>
      <c r="Q35" s="16">
        <f>I35/'JANTINA 2021'!S35</f>
        <v>3.0437539632213063E-2</v>
      </c>
      <c r="R35" s="16">
        <f t="shared" si="0"/>
        <v>1.0779961953075481E-2</v>
      </c>
      <c r="S35" s="13" t="str">
        <f t="shared" si="1"/>
        <v>50-59</v>
      </c>
      <c r="T35" s="15">
        <f t="shared" si="2"/>
        <v>2780</v>
      </c>
      <c r="U35" s="16">
        <f t="shared" si="3"/>
        <v>0.2518344052903343</v>
      </c>
      <c r="V35" s="15">
        <f t="shared" si="4"/>
        <v>1191</v>
      </c>
      <c r="W35" s="15">
        <f t="shared" si="5"/>
        <v>11039</v>
      </c>
      <c r="X35" s="16">
        <f t="shared" si="6"/>
        <v>0.68511640547151009</v>
      </c>
      <c r="Y35" s="15">
        <f t="shared" si="7"/>
        <v>7563</v>
      </c>
      <c r="Z35" s="15">
        <v>17</v>
      </c>
      <c r="AA35" s="15">
        <v>81</v>
      </c>
      <c r="AB35" s="33">
        <f t="shared" si="8"/>
        <v>7465</v>
      </c>
      <c r="AC35" s="29" t="s">
        <v>252</v>
      </c>
      <c r="AD35" s="29" t="str">
        <f>IF(AC35&lt;&gt;"",INDEX('DUN 2021'!$J$3:$J$23,MATCH('UMUR 2021'!AC35,'DUN 2021'!$I$3:$I$23,0),1),"")</f>
        <v>PSB</v>
      </c>
      <c r="AE35" s="33">
        <v>3246</v>
      </c>
      <c r="AF35" s="34">
        <f t="shared" si="9"/>
        <v>0.43482920294708638</v>
      </c>
      <c r="AG35" s="29" t="s">
        <v>239</v>
      </c>
      <c r="AH35" s="29" t="str">
        <f>INDEX('DUN 2021'!$J$3:$J$23,MATCH('UMUR 2021'!AG35,'DUN 2021'!$I$3:$I$23,0),1)</f>
        <v>GPS</v>
      </c>
      <c r="AI35" s="33">
        <v>2055</v>
      </c>
      <c r="AJ35" s="34">
        <f t="shared" si="10"/>
        <v>0.275284661754856</v>
      </c>
      <c r="AK35" s="29" t="s">
        <v>251</v>
      </c>
      <c r="AL35" s="29" t="str">
        <f>IF(AK35&lt;&gt;"",INDEX('DUN 2021'!$J$3:$J$23,MATCH('UMUR 2021'!AK35,'DUN 2021'!$I$3:$I$23,0),1),"")</f>
        <v>BEBAS</v>
      </c>
      <c r="AM35" s="33">
        <v>2013</v>
      </c>
      <c r="AN35" s="34">
        <f t="shared" si="11"/>
        <v>0.26965840589417278</v>
      </c>
      <c r="AO35" s="29" t="s">
        <v>301</v>
      </c>
      <c r="AP35" s="29" t="str">
        <f>IF(AO35&lt;&gt;"",INDEX('DUN 2021'!$J$3:$J$23,MATCH('UMUR 2021'!AO35,'DUN 2021'!$I$3:$I$23,0),1),"")</f>
        <v>LAIN-LAIN</v>
      </c>
      <c r="AQ35" s="33">
        <v>151</v>
      </c>
      <c r="AR35" s="34">
        <f t="shared" si="12"/>
        <v>2.0227729403884797E-2</v>
      </c>
      <c r="AS35" s="29"/>
      <c r="AT35" s="29" t="str">
        <f>IF(AS35&lt;&gt;"",INDEX('DUN 2021'!$J$3:$J$23,MATCH('UMUR 2021'!AS35,'DUN 2021'!$I$3:$I$23,0),1),"")</f>
        <v/>
      </c>
      <c r="AU35" s="33"/>
      <c r="AV35" s="34" t="str">
        <f t="shared" si="13"/>
        <v/>
      </c>
      <c r="AW35" s="29"/>
      <c r="AX35" s="29" t="str">
        <f>IF(AW35&lt;&gt;"",INDEX('DUN 2021'!$J$3:$J$23,MATCH('UMUR 2021'!AW35,'DUN 2021'!$I$3:$I$23,0),1),"")</f>
        <v/>
      </c>
      <c r="AY35" s="33"/>
      <c r="AZ35" s="34" t="str">
        <f t="shared" si="14"/>
        <v/>
      </c>
      <c r="BA35" s="29"/>
      <c r="BB35" s="29" t="str">
        <f>IF(BA35&lt;&gt;"",INDEX('DUN 2021'!$J$3:$J$23,MATCH('UMUR 2021'!BA35,'DUN 2021'!$I$3:$I$23,0),1),"")</f>
        <v/>
      </c>
      <c r="BC35" s="33"/>
      <c r="BD35" s="34" t="str">
        <f t="shared" si="15"/>
        <v/>
      </c>
      <c r="BE35" s="29"/>
      <c r="BF35" s="29" t="str">
        <f>IF(BE35&lt;&gt;"",INDEX('DUN 2021'!$J$3:$J$23,MATCH('UMUR 2021'!BE35,'DUN 2021'!$I$3:$I$23,0),1),"")</f>
        <v/>
      </c>
      <c r="BG35" s="33"/>
      <c r="BH35" s="34" t="str">
        <f t="shared" si="16"/>
        <v/>
      </c>
    </row>
    <row r="36" spans="1:60">
      <c r="A36" s="13" t="s">
        <v>93</v>
      </c>
      <c r="B36" s="14" t="s">
        <v>95</v>
      </c>
      <c r="C36" s="15">
        <f>'JANTINA 2021'!C36+'JANTINA 2021'!K36</f>
        <v>703</v>
      </c>
      <c r="D36" s="15">
        <f>'JANTINA 2021'!D36+'JANTINA 2021'!L36</f>
        <v>2070</v>
      </c>
      <c r="E36" s="15">
        <f>'JANTINA 2021'!E36+'JANTINA 2021'!M36</f>
        <v>2144</v>
      </c>
      <c r="F36" s="15">
        <f>'JANTINA 2021'!F36+'JANTINA 2021'!N36</f>
        <v>2264</v>
      </c>
      <c r="G36" s="15">
        <f>'JANTINA 2021'!G36+'JANTINA 2021'!O36</f>
        <v>1526</v>
      </c>
      <c r="H36" s="15">
        <f>'JANTINA 2021'!H36+'JANTINA 2021'!P36</f>
        <v>848</v>
      </c>
      <c r="I36" s="15">
        <f>'JANTINA 2021'!I36+'JANTINA 2021'!Q36</f>
        <v>262</v>
      </c>
      <c r="J36" s="15">
        <f>'JANTINA 2021'!J36+'JANTINA 2021'!R36</f>
        <v>112</v>
      </c>
      <c r="K36" s="16">
        <f>C36/'JANTINA 2021'!S36</f>
        <v>7.0802699164064856E-2</v>
      </c>
      <c r="L36" s="16">
        <f>D36/'JANTINA 2021'!S36</f>
        <v>0.20848020948736026</v>
      </c>
      <c r="M36" s="16">
        <f>E36/'JANTINA 2021'!S36</f>
        <v>0.21593312518884078</v>
      </c>
      <c r="N36" s="16">
        <f>F36/'JANTINA 2021'!S36</f>
        <v>0.22801893443448484</v>
      </c>
      <c r="O36" s="16">
        <f>G36/'JANTINA 2021'!S36</f>
        <v>0.1536912075737738</v>
      </c>
      <c r="P36" s="16">
        <f>H36/'JANTINA 2021'!S36</f>
        <v>8.540638533588478E-2</v>
      </c>
      <c r="Q36" s="16">
        <f>I36/'JANTINA 2021'!S36</f>
        <v>2.6387350186322892E-2</v>
      </c>
      <c r="R36" s="16">
        <f t="shared" si="0"/>
        <v>1.128008862926777E-2</v>
      </c>
      <c r="S36" s="13" t="str">
        <f t="shared" si="1"/>
        <v>50-59</v>
      </c>
      <c r="T36" s="15">
        <f t="shared" si="2"/>
        <v>2773</v>
      </c>
      <c r="U36" s="16">
        <f t="shared" si="3"/>
        <v>0.27928290865142513</v>
      </c>
      <c r="V36" s="15">
        <f t="shared" si="4"/>
        <v>738</v>
      </c>
      <c r="W36" s="15">
        <f t="shared" si="5"/>
        <v>9929</v>
      </c>
      <c r="X36" s="16">
        <f t="shared" si="6"/>
        <v>0.73290361567126594</v>
      </c>
      <c r="Y36" s="15">
        <f t="shared" si="7"/>
        <v>7277</v>
      </c>
      <c r="Z36" s="15">
        <v>14</v>
      </c>
      <c r="AA36" s="15">
        <v>68</v>
      </c>
      <c r="AB36" s="33">
        <f t="shared" si="8"/>
        <v>7195</v>
      </c>
      <c r="AC36" s="29" t="s">
        <v>249</v>
      </c>
      <c r="AD36" s="29" t="str">
        <f>IF(AC36&lt;&gt;"",INDEX('DUN 2021'!$J$3:$J$23,MATCH('UMUR 2021'!AC36,'DUN 2021'!$I$3:$I$23,0),1),"")</f>
        <v>GPS</v>
      </c>
      <c r="AE36" s="33">
        <v>3208</v>
      </c>
      <c r="AF36" s="34">
        <f t="shared" si="9"/>
        <v>0.44586518415566367</v>
      </c>
      <c r="AG36" s="29" t="s">
        <v>251</v>
      </c>
      <c r="AH36" s="29" t="str">
        <f>INDEX('DUN 2021'!$J$3:$J$23,MATCH('UMUR 2021'!AG36,'DUN 2021'!$I$3:$I$23,0),1)</f>
        <v>BEBAS</v>
      </c>
      <c r="AI36" s="33">
        <v>2470</v>
      </c>
      <c r="AJ36" s="34">
        <f t="shared" si="10"/>
        <v>0.34329395413481584</v>
      </c>
      <c r="AK36" s="29" t="s">
        <v>252</v>
      </c>
      <c r="AL36" s="29" t="str">
        <f>IF(AK36&lt;&gt;"",INDEX('DUN 2021'!$J$3:$J$23,MATCH('UMUR 2021'!AK36,'DUN 2021'!$I$3:$I$23,0),1),"")</f>
        <v>PSB</v>
      </c>
      <c r="AM36" s="33">
        <v>1366</v>
      </c>
      <c r="AN36" s="34">
        <f t="shared" si="11"/>
        <v>0.18985406532314106</v>
      </c>
      <c r="AO36" s="29" t="s">
        <v>301</v>
      </c>
      <c r="AP36" s="29" t="str">
        <f>IF(AO36&lt;&gt;"",INDEX('DUN 2021'!$J$3:$J$23,MATCH('UMUR 2021'!AO36,'DUN 2021'!$I$3:$I$23,0),1),"")</f>
        <v>LAIN-LAIN</v>
      </c>
      <c r="AQ36" s="33">
        <v>151</v>
      </c>
      <c r="AR36" s="34">
        <f t="shared" si="12"/>
        <v>2.098679638637943E-2</v>
      </c>
      <c r="AS36" s="29"/>
      <c r="AT36" s="29" t="str">
        <f>IF(AS36&lt;&gt;"",INDEX('DUN 2021'!$J$3:$J$23,MATCH('UMUR 2021'!AS36,'DUN 2021'!$I$3:$I$23,0),1),"")</f>
        <v/>
      </c>
      <c r="AU36" s="33"/>
      <c r="AV36" s="34" t="str">
        <f t="shared" si="13"/>
        <v/>
      </c>
      <c r="AW36" s="29"/>
      <c r="AX36" s="29" t="str">
        <f>IF(AW36&lt;&gt;"",INDEX('DUN 2021'!$J$3:$J$23,MATCH('UMUR 2021'!AW36,'DUN 2021'!$I$3:$I$23,0),1),"")</f>
        <v/>
      </c>
      <c r="AY36" s="33"/>
      <c r="AZ36" s="34" t="str">
        <f t="shared" si="14"/>
        <v/>
      </c>
      <c r="BA36" s="29"/>
      <c r="BB36" s="29" t="str">
        <f>IF(BA36&lt;&gt;"",INDEX('DUN 2021'!$J$3:$J$23,MATCH('UMUR 2021'!BA36,'DUN 2021'!$I$3:$I$23,0),1),"")</f>
        <v/>
      </c>
      <c r="BC36" s="33"/>
      <c r="BD36" s="34" t="str">
        <f t="shared" si="15"/>
        <v/>
      </c>
      <c r="BE36" s="29"/>
      <c r="BF36" s="29" t="str">
        <f>IF(BE36&lt;&gt;"",INDEX('DUN 2021'!$J$3:$J$23,MATCH('UMUR 2021'!BE36,'DUN 2021'!$I$3:$I$23,0),1),"")</f>
        <v/>
      </c>
      <c r="BG36" s="33"/>
      <c r="BH36" s="34" t="str">
        <f t="shared" si="16"/>
        <v/>
      </c>
    </row>
    <row r="37" spans="1:60">
      <c r="A37" s="13" t="s">
        <v>98</v>
      </c>
      <c r="B37" s="14" t="s">
        <v>101</v>
      </c>
      <c r="C37" s="15">
        <f>'JANTINA 2021'!C37+'JANTINA 2021'!K37</f>
        <v>1242</v>
      </c>
      <c r="D37" s="15">
        <f>'JANTINA 2021'!D37+'JANTINA 2021'!L37</f>
        <v>2753</v>
      </c>
      <c r="E37" s="15">
        <f>'JANTINA 2021'!E37+'JANTINA 2021'!M37</f>
        <v>2337</v>
      </c>
      <c r="F37" s="15">
        <f>'JANTINA 2021'!F37+'JANTINA 2021'!N37</f>
        <v>2236</v>
      </c>
      <c r="G37" s="15">
        <f>'JANTINA 2021'!G37+'JANTINA 2021'!O37</f>
        <v>1512</v>
      </c>
      <c r="H37" s="15">
        <f>'JANTINA 2021'!H37+'JANTINA 2021'!P37</f>
        <v>645</v>
      </c>
      <c r="I37" s="15">
        <f>'JANTINA 2021'!I37+'JANTINA 2021'!Q37</f>
        <v>201</v>
      </c>
      <c r="J37" s="15">
        <f>'JANTINA 2021'!J37+'JANTINA 2021'!R37</f>
        <v>58</v>
      </c>
      <c r="K37" s="16">
        <f>C37/'JANTINA 2021'!S37</f>
        <v>0.11307356154406409</v>
      </c>
      <c r="L37" s="16">
        <f>D37/'JANTINA 2021'!S37</f>
        <v>0.25063729060451567</v>
      </c>
      <c r="M37" s="16">
        <f>E37/'JANTINA 2021'!S37</f>
        <v>0.21276402039329934</v>
      </c>
      <c r="N37" s="16">
        <f>F37/'JANTINA 2021'!S37</f>
        <v>0.2035688273852877</v>
      </c>
      <c r="O37" s="16">
        <f>G37/'JANTINA 2021'!S37</f>
        <v>0.13765477057538236</v>
      </c>
      <c r="P37" s="16">
        <f>H37/'JANTINA 2021'!S37</f>
        <v>5.8721777130371453E-2</v>
      </c>
      <c r="Q37" s="16">
        <f>I37/'JANTINA 2021'!S37</f>
        <v>1.8299344501092499E-2</v>
      </c>
      <c r="R37" s="16">
        <f t="shared" si="0"/>
        <v>5.2804078659868629E-3</v>
      </c>
      <c r="S37" s="13" t="str">
        <f t="shared" si="1"/>
        <v>30-39</v>
      </c>
      <c r="T37" s="15">
        <f t="shared" si="2"/>
        <v>3995</v>
      </c>
      <c r="U37" s="16">
        <f t="shared" si="3"/>
        <v>0.36371085214857973</v>
      </c>
      <c r="V37" s="15">
        <f t="shared" si="4"/>
        <v>3236</v>
      </c>
      <c r="W37" s="15">
        <f t="shared" si="5"/>
        <v>10984</v>
      </c>
      <c r="X37" s="16">
        <f t="shared" si="6"/>
        <v>0.73088128186453027</v>
      </c>
      <c r="Y37" s="15">
        <f t="shared" si="7"/>
        <v>8028</v>
      </c>
      <c r="Z37" s="15">
        <v>45</v>
      </c>
      <c r="AA37" s="15">
        <v>141</v>
      </c>
      <c r="AB37" s="33">
        <f t="shared" si="8"/>
        <v>7842</v>
      </c>
      <c r="AC37" s="29" t="s">
        <v>243</v>
      </c>
      <c r="AD37" s="29" t="str">
        <f>IF(AC37&lt;&gt;"",INDEX('DUN 2021'!$J$3:$J$23,MATCH('UMUR 2021'!AC37,'DUN 2021'!$I$3:$I$23,0),1),"")</f>
        <v>GPS</v>
      </c>
      <c r="AE37" s="33">
        <v>5138</v>
      </c>
      <c r="AF37" s="34">
        <f t="shared" si="9"/>
        <v>0.65519000255036985</v>
      </c>
      <c r="AG37" s="29" t="s">
        <v>253</v>
      </c>
      <c r="AH37" s="29" t="str">
        <f>INDEX('DUN 2021'!$J$3:$J$23,MATCH('UMUR 2021'!AG37,'DUN 2021'!$I$3:$I$23,0),1)</f>
        <v>PH</v>
      </c>
      <c r="AI37" s="33">
        <v>1902</v>
      </c>
      <c r="AJ37" s="34">
        <f t="shared" si="10"/>
        <v>0.24254016832440703</v>
      </c>
      <c r="AK37" s="29" t="s">
        <v>252</v>
      </c>
      <c r="AL37" s="29" t="str">
        <f>IF(AK37&lt;&gt;"",INDEX('DUN 2021'!$J$3:$J$23,MATCH('UMUR 2021'!AK37,'DUN 2021'!$I$3:$I$23,0),1),"")</f>
        <v>PSB</v>
      </c>
      <c r="AM37" s="33">
        <v>668</v>
      </c>
      <c r="AN37" s="34">
        <f t="shared" si="11"/>
        <v>8.5182351440958939E-2</v>
      </c>
      <c r="AO37" s="29" t="s">
        <v>301</v>
      </c>
      <c r="AP37" s="29" t="str">
        <f>IF(AO37&lt;&gt;"",INDEX('DUN 2021'!$J$3:$J$23,MATCH('UMUR 2021'!AO37,'DUN 2021'!$I$3:$I$23,0),1),"")</f>
        <v>LAIN-LAIN</v>
      </c>
      <c r="AQ37" s="33">
        <v>74</v>
      </c>
      <c r="AR37" s="34">
        <f t="shared" si="12"/>
        <v>9.4363682733996437E-3</v>
      </c>
      <c r="AS37" s="29" t="s">
        <v>304</v>
      </c>
      <c r="AT37" s="29" t="str">
        <f>IF(AS37&lt;&gt;"",INDEX('DUN 2021'!$J$3:$J$23,MATCH('UMUR 2021'!AS37,'DUN 2021'!$I$3:$I$23,0),1),"")</f>
        <v>LAIN-LAIN</v>
      </c>
      <c r="AU37" s="33">
        <v>60</v>
      </c>
      <c r="AV37" s="34">
        <f t="shared" si="13"/>
        <v>7.6511094108645756E-3</v>
      </c>
      <c r="AW37" s="29"/>
      <c r="AX37" s="29" t="str">
        <f>IF(AW37&lt;&gt;"",INDEX('DUN 2021'!$J$3:$J$23,MATCH('UMUR 2021'!AW37,'DUN 2021'!$I$3:$I$23,0),1),"")</f>
        <v/>
      </c>
      <c r="AY37" s="33"/>
      <c r="AZ37" s="34" t="str">
        <f t="shared" si="14"/>
        <v/>
      </c>
      <c r="BA37" s="29"/>
      <c r="BB37" s="29" t="str">
        <f>IF(BA37&lt;&gt;"",INDEX('DUN 2021'!$J$3:$J$23,MATCH('UMUR 2021'!BA37,'DUN 2021'!$I$3:$I$23,0),1),"")</f>
        <v/>
      </c>
      <c r="BC37" s="33"/>
      <c r="BD37" s="34" t="str">
        <f t="shared" si="15"/>
        <v/>
      </c>
      <c r="BE37" s="29"/>
      <c r="BF37" s="29" t="str">
        <f>IF(BE37&lt;&gt;"",INDEX('DUN 2021'!$J$3:$J$23,MATCH('UMUR 2021'!BE37,'DUN 2021'!$I$3:$I$23,0),1),"")</f>
        <v/>
      </c>
      <c r="BG37" s="33"/>
      <c r="BH37" s="34" t="str">
        <f t="shared" si="16"/>
        <v/>
      </c>
    </row>
    <row r="38" spans="1:60">
      <c r="A38" s="13" t="s">
        <v>99</v>
      </c>
      <c r="B38" s="14" t="s">
        <v>102</v>
      </c>
      <c r="C38" s="15">
        <f>'JANTINA 2021'!C38+'JANTINA 2021'!K38</f>
        <v>749</v>
      </c>
      <c r="D38" s="15">
        <f>'JANTINA 2021'!D38+'JANTINA 2021'!L38</f>
        <v>1911</v>
      </c>
      <c r="E38" s="15">
        <f>'JANTINA 2021'!E38+'JANTINA 2021'!M38</f>
        <v>1787</v>
      </c>
      <c r="F38" s="15">
        <f>'JANTINA 2021'!F38+'JANTINA 2021'!N38</f>
        <v>2118</v>
      </c>
      <c r="G38" s="15">
        <f>'JANTINA 2021'!G38+'JANTINA 2021'!O38</f>
        <v>1580</v>
      </c>
      <c r="H38" s="15">
        <f>'JANTINA 2021'!H38+'JANTINA 2021'!P38</f>
        <v>864</v>
      </c>
      <c r="I38" s="15">
        <f>'JANTINA 2021'!I38+'JANTINA 2021'!Q38</f>
        <v>288</v>
      </c>
      <c r="J38" s="15">
        <f>'JANTINA 2021'!J38+'JANTINA 2021'!R38</f>
        <v>37</v>
      </c>
      <c r="K38" s="16">
        <f>C38/'JANTINA 2021'!S38</f>
        <v>8.0244268266552385E-2</v>
      </c>
      <c r="L38" s="16">
        <f>D38/'JANTINA 2021'!S38</f>
        <v>0.20473537604456823</v>
      </c>
      <c r="M38" s="16">
        <f>E38/'JANTINA 2021'!S38</f>
        <v>0.19145061067066638</v>
      </c>
      <c r="N38" s="16">
        <f>F38/'JANTINA 2021'!S38</f>
        <v>0.22691236340261409</v>
      </c>
      <c r="O38" s="16">
        <f>G38/'JANTINA 2021'!S38</f>
        <v>0.16927362331262052</v>
      </c>
      <c r="P38" s="16">
        <f>H38/'JANTINA 2021'!S38</f>
        <v>9.256481679880009E-2</v>
      </c>
      <c r="Q38" s="16">
        <f>I38/'JANTINA 2021'!S38</f>
        <v>3.0854938932933361E-2</v>
      </c>
      <c r="R38" s="16">
        <f t="shared" si="0"/>
        <v>3.964002571244872E-3</v>
      </c>
      <c r="S38" s="13" t="str">
        <f t="shared" si="1"/>
        <v>50-59</v>
      </c>
      <c r="T38" s="15">
        <f t="shared" si="2"/>
        <v>2660</v>
      </c>
      <c r="U38" s="16">
        <f t="shared" si="3"/>
        <v>0.28497964431112066</v>
      </c>
      <c r="V38" s="15">
        <f t="shared" si="4"/>
        <v>2039</v>
      </c>
      <c r="W38" s="15">
        <f t="shared" si="5"/>
        <v>9334</v>
      </c>
      <c r="X38" s="16">
        <f t="shared" si="6"/>
        <v>0.631669166488108</v>
      </c>
      <c r="Y38" s="15">
        <f t="shared" si="7"/>
        <v>5896</v>
      </c>
      <c r="Z38" s="15">
        <v>43</v>
      </c>
      <c r="AA38" s="15">
        <v>110</v>
      </c>
      <c r="AB38" s="33">
        <f t="shared" si="8"/>
        <v>5743</v>
      </c>
      <c r="AC38" s="29" t="s">
        <v>243</v>
      </c>
      <c r="AD38" s="29" t="str">
        <f>IF(AC38&lt;&gt;"",INDEX('DUN 2021'!$J$3:$J$23,MATCH('UMUR 2021'!AC38,'DUN 2021'!$I$3:$I$23,0),1),"")</f>
        <v>GPS</v>
      </c>
      <c r="AE38" s="33">
        <v>3891</v>
      </c>
      <c r="AF38" s="34">
        <f t="shared" si="9"/>
        <v>0.67752045969005747</v>
      </c>
      <c r="AG38" s="29" t="s">
        <v>252</v>
      </c>
      <c r="AH38" s="29" t="str">
        <f>INDEX('DUN 2021'!$J$3:$J$23,MATCH('UMUR 2021'!AG38,'DUN 2021'!$I$3:$I$23,0),1)</f>
        <v>PSB</v>
      </c>
      <c r="AI38" s="33">
        <v>1852</v>
      </c>
      <c r="AJ38" s="34">
        <f t="shared" si="10"/>
        <v>0.32247954030994253</v>
      </c>
      <c r="AK38" s="29"/>
      <c r="AL38" s="29" t="str">
        <f>IF(AK38&lt;&gt;"",INDEX('DUN 2021'!$J$3:$J$23,MATCH('UMUR 2021'!AK38,'DUN 2021'!$I$3:$I$23,0),1),"")</f>
        <v/>
      </c>
      <c r="AM38" s="33"/>
      <c r="AN38" s="34" t="str">
        <f t="shared" si="11"/>
        <v/>
      </c>
      <c r="AO38" s="29"/>
      <c r="AP38" s="29" t="str">
        <f>IF(AO38&lt;&gt;"",INDEX('DUN 2021'!$J$3:$J$23,MATCH('UMUR 2021'!AO38,'DUN 2021'!$I$3:$I$23,0),1),"")</f>
        <v/>
      </c>
      <c r="AQ38" s="33"/>
      <c r="AR38" s="34" t="str">
        <f t="shared" si="12"/>
        <v/>
      </c>
      <c r="AS38" s="29"/>
      <c r="AT38" s="29" t="str">
        <f>IF(AS38&lt;&gt;"",INDEX('DUN 2021'!$J$3:$J$23,MATCH('UMUR 2021'!AS38,'DUN 2021'!$I$3:$I$23,0),1),"")</f>
        <v/>
      </c>
      <c r="AU38" s="33"/>
      <c r="AV38" s="34" t="str">
        <f t="shared" si="13"/>
        <v/>
      </c>
      <c r="AW38" s="29"/>
      <c r="AX38" s="29" t="str">
        <f>IF(AW38&lt;&gt;"",INDEX('DUN 2021'!$J$3:$J$23,MATCH('UMUR 2021'!AW38,'DUN 2021'!$I$3:$I$23,0),1),"")</f>
        <v/>
      </c>
      <c r="AY38" s="33"/>
      <c r="AZ38" s="34" t="str">
        <f t="shared" si="14"/>
        <v/>
      </c>
      <c r="BA38" s="29"/>
      <c r="BB38" s="29" t="str">
        <f>IF(BA38&lt;&gt;"",INDEX('DUN 2021'!$J$3:$J$23,MATCH('UMUR 2021'!BA38,'DUN 2021'!$I$3:$I$23,0),1),"")</f>
        <v/>
      </c>
      <c r="BC38" s="33"/>
      <c r="BD38" s="34" t="str">
        <f t="shared" si="15"/>
        <v/>
      </c>
      <c r="BE38" s="29"/>
      <c r="BF38" s="29" t="str">
        <f>IF(BE38&lt;&gt;"",INDEX('DUN 2021'!$J$3:$J$23,MATCH('UMUR 2021'!BE38,'DUN 2021'!$I$3:$I$23,0),1),"")</f>
        <v/>
      </c>
      <c r="BG38" s="33"/>
      <c r="BH38" s="34" t="str">
        <f t="shared" si="16"/>
        <v/>
      </c>
    </row>
    <row r="39" spans="1:60">
      <c r="A39" s="13" t="s">
        <v>100</v>
      </c>
      <c r="B39" s="14" t="s">
        <v>103</v>
      </c>
      <c r="C39" s="15">
        <f>'JANTINA 2021'!C39+'JANTINA 2021'!K39</f>
        <v>892</v>
      </c>
      <c r="D39" s="15">
        <f>'JANTINA 2021'!D39+'JANTINA 2021'!L39</f>
        <v>2125</v>
      </c>
      <c r="E39" s="15">
        <f>'JANTINA 2021'!E39+'JANTINA 2021'!M39</f>
        <v>1845</v>
      </c>
      <c r="F39" s="15">
        <f>'JANTINA 2021'!F39+'JANTINA 2021'!N39</f>
        <v>2069</v>
      </c>
      <c r="G39" s="15">
        <f>'JANTINA 2021'!G39+'JANTINA 2021'!O39</f>
        <v>1467</v>
      </c>
      <c r="H39" s="15">
        <f>'JANTINA 2021'!H39+'JANTINA 2021'!P39</f>
        <v>784</v>
      </c>
      <c r="I39" s="15">
        <f>'JANTINA 2021'!I39+'JANTINA 2021'!Q39</f>
        <v>281</v>
      </c>
      <c r="J39" s="15">
        <f>'JANTINA 2021'!J39+'JANTINA 2021'!R39</f>
        <v>60</v>
      </c>
      <c r="K39" s="16">
        <f>C39/'JANTINA 2021'!S39</f>
        <v>9.3667961776751019E-2</v>
      </c>
      <c r="L39" s="16">
        <f>D39/'JANTINA 2021'!S39</f>
        <v>0.22314396723721516</v>
      </c>
      <c r="M39" s="16">
        <f>E39/'JANTINA 2021'!S39</f>
        <v>0.19374146802478209</v>
      </c>
      <c r="N39" s="16">
        <f>F39/'JANTINA 2021'!S39</f>
        <v>0.21726346739472854</v>
      </c>
      <c r="O39" s="16">
        <f>G39/'JANTINA 2021'!S39</f>
        <v>0.15404809408799747</v>
      </c>
      <c r="P39" s="16">
        <f>H39/'JANTINA 2021'!S39</f>
        <v>8.2326997794812562E-2</v>
      </c>
      <c r="Q39" s="16">
        <f>I39/'JANTINA 2021'!S39</f>
        <v>2.9507508138191748E-2</v>
      </c>
      <c r="R39" s="16">
        <f t="shared" si="0"/>
        <v>6.3005355455212943E-3</v>
      </c>
      <c r="S39" s="13" t="str">
        <f t="shared" si="1"/>
        <v>30-39</v>
      </c>
      <c r="T39" s="15">
        <f t="shared" si="2"/>
        <v>3017</v>
      </c>
      <c r="U39" s="16">
        <f t="shared" si="3"/>
        <v>0.31681192901396621</v>
      </c>
      <c r="V39" s="15">
        <f t="shared" si="4"/>
        <v>3988</v>
      </c>
      <c r="W39" s="15">
        <f t="shared" si="5"/>
        <v>9523</v>
      </c>
      <c r="X39" s="16">
        <f t="shared" si="6"/>
        <v>0.73527249816234375</v>
      </c>
      <c r="Y39" s="15">
        <f t="shared" si="7"/>
        <v>7002</v>
      </c>
      <c r="Z39" s="15">
        <v>29</v>
      </c>
      <c r="AA39" s="15">
        <v>79</v>
      </c>
      <c r="AB39" s="33">
        <f t="shared" si="8"/>
        <v>6894</v>
      </c>
      <c r="AC39" s="29" t="s">
        <v>243</v>
      </c>
      <c r="AD39" s="29" t="str">
        <f>IF(AC39&lt;&gt;"",INDEX('DUN 2021'!$J$3:$J$23,MATCH('UMUR 2021'!AC39,'DUN 2021'!$I$3:$I$23,0),1),"")</f>
        <v>GPS</v>
      </c>
      <c r="AE39" s="33">
        <v>5373</v>
      </c>
      <c r="AF39" s="34">
        <f t="shared" si="9"/>
        <v>0.77937336814621405</v>
      </c>
      <c r="AG39" s="29" t="s">
        <v>252</v>
      </c>
      <c r="AH39" s="29" t="str">
        <f>INDEX('DUN 2021'!$J$3:$J$23,MATCH('UMUR 2021'!AG39,'DUN 2021'!$I$3:$I$23,0),1)</f>
        <v>PSB</v>
      </c>
      <c r="AI39" s="33">
        <v>1385</v>
      </c>
      <c r="AJ39" s="34">
        <f t="shared" si="10"/>
        <v>0.20089933275311866</v>
      </c>
      <c r="AK39" s="29" t="s">
        <v>253</v>
      </c>
      <c r="AL39" s="29" t="str">
        <f>IF(AK39&lt;&gt;"",INDEX('DUN 2021'!$J$3:$J$23,MATCH('UMUR 2021'!AK39,'DUN 2021'!$I$3:$I$23,0),1),"")</f>
        <v>PH</v>
      </c>
      <c r="AM39" s="33">
        <v>136</v>
      </c>
      <c r="AN39" s="34">
        <f t="shared" si="11"/>
        <v>1.9727299100667246E-2</v>
      </c>
      <c r="AO39" s="29"/>
      <c r="AP39" s="29" t="str">
        <f>IF(AO39&lt;&gt;"",INDEX('DUN 2021'!$J$3:$J$23,MATCH('UMUR 2021'!AO39,'DUN 2021'!$I$3:$I$23,0),1),"")</f>
        <v/>
      </c>
      <c r="AQ39" s="33"/>
      <c r="AR39" s="34" t="str">
        <f t="shared" si="12"/>
        <v/>
      </c>
      <c r="AS39" s="29"/>
      <c r="AT39" s="29" t="str">
        <f>IF(AS39&lt;&gt;"",INDEX('DUN 2021'!$J$3:$J$23,MATCH('UMUR 2021'!AS39,'DUN 2021'!$I$3:$I$23,0),1),"")</f>
        <v/>
      </c>
      <c r="AU39" s="33"/>
      <c r="AV39" s="34" t="str">
        <f t="shared" si="13"/>
        <v/>
      </c>
      <c r="AW39" s="29"/>
      <c r="AX39" s="29" t="str">
        <f>IF(AW39&lt;&gt;"",INDEX('DUN 2021'!$J$3:$J$23,MATCH('UMUR 2021'!AW39,'DUN 2021'!$I$3:$I$23,0),1),"")</f>
        <v/>
      </c>
      <c r="AY39" s="33"/>
      <c r="AZ39" s="34" t="str">
        <f t="shared" si="14"/>
        <v/>
      </c>
      <c r="BA39" s="29"/>
      <c r="BB39" s="29" t="str">
        <f>IF(BA39&lt;&gt;"",INDEX('DUN 2021'!$J$3:$J$23,MATCH('UMUR 2021'!BA39,'DUN 2021'!$I$3:$I$23,0),1),"")</f>
        <v/>
      </c>
      <c r="BC39" s="33"/>
      <c r="BD39" s="34" t="str">
        <f t="shared" si="15"/>
        <v/>
      </c>
      <c r="BE39" s="29"/>
      <c r="BF39" s="29" t="str">
        <f>IF(BE39&lt;&gt;"",INDEX('DUN 2021'!$J$3:$J$23,MATCH('UMUR 2021'!BE39,'DUN 2021'!$I$3:$I$23,0),1),"")</f>
        <v/>
      </c>
      <c r="BG39" s="33"/>
      <c r="BH39" s="34" t="str">
        <f t="shared" si="16"/>
        <v/>
      </c>
    </row>
    <row r="40" spans="1:60">
      <c r="A40" s="13" t="s">
        <v>106</v>
      </c>
      <c r="B40" s="14" t="s">
        <v>109</v>
      </c>
      <c r="C40" s="15">
        <f>'JANTINA 2021'!C40+'JANTINA 2021'!K40</f>
        <v>751</v>
      </c>
      <c r="D40" s="15">
        <f>'JANTINA 2021'!D40+'JANTINA 2021'!L40</f>
        <v>1742</v>
      </c>
      <c r="E40" s="15">
        <f>'JANTINA 2021'!E40+'JANTINA 2021'!M40</f>
        <v>1679</v>
      </c>
      <c r="F40" s="15">
        <f>'JANTINA 2021'!F40+'JANTINA 2021'!N40</f>
        <v>1872</v>
      </c>
      <c r="G40" s="15">
        <f>'JANTINA 2021'!G40+'JANTINA 2021'!O40</f>
        <v>1263</v>
      </c>
      <c r="H40" s="15">
        <f>'JANTINA 2021'!H40+'JANTINA 2021'!P40</f>
        <v>546</v>
      </c>
      <c r="I40" s="15">
        <f>'JANTINA 2021'!I40+'JANTINA 2021'!Q40</f>
        <v>160</v>
      </c>
      <c r="J40" s="15">
        <f>'JANTINA 2021'!J40+'JANTINA 2021'!R40</f>
        <v>39</v>
      </c>
      <c r="K40" s="16">
        <f>C40/'JANTINA 2021'!S40</f>
        <v>9.3268753104818677E-2</v>
      </c>
      <c r="L40" s="16">
        <f>D40/'JANTINA 2021'!S40</f>
        <v>0.2163437655240934</v>
      </c>
      <c r="M40" s="16">
        <f>E40/'JANTINA 2021'!S40</f>
        <v>0.20851962245404868</v>
      </c>
      <c r="N40" s="16">
        <f>F40/'JANTINA 2021'!S40</f>
        <v>0.23248882265275708</v>
      </c>
      <c r="O40" s="16">
        <f>G40/'JANTINA 2021'!S40</f>
        <v>0.1568554396423249</v>
      </c>
      <c r="P40" s="16">
        <f>H40/'JANTINA 2021'!S40</f>
        <v>6.7809239940387483E-2</v>
      </c>
      <c r="Q40" s="16">
        <f>I40/'JANTINA 2021'!S40</f>
        <v>1.987083954297069E-2</v>
      </c>
      <c r="R40" s="16">
        <f t="shared" si="0"/>
        <v>4.8435171385991585E-3</v>
      </c>
      <c r="S40" s="13" t="str">
        <f t="shared" si="1"/>
        <v>50-59</v>
      </c>
      <c r="T40" s="15">
        <f t="shared" si="2"/>
        <v>2493</v>
      </c>
      <c r="U40" s="16">
        <f t="shared" si="3"/>
        <v>0.30961251862891209</v>
      </c>
      <c r="V40" s="15">
        <f t="shared" si="4"/>
        <v>2868</v>
      </c>
      <c r="W40" s="15">
        <f t="shared" si="5"/>
        <v>8052</v>
      </c>
      <c r="X40" s="16">
        <f t="shared" si="6"/>
        <v>0.68777943368107297</v>
      </c>
      <c r="Y40" s="15">
        <f t="shared" si="7"/>
        <v>5538</v>
      </c>
      <c r="Z40" s="15">
        <v>26</v>
      </c>
      <c r="AA40" s="15">
        <v>137</v>
      </c>
      <c r="AB40" s="33">
        <f t="shared" si="8"/>
        <v>5375</v>
      </c>
      <c r="AC40" s="29" t="s">
        <v>243</v>
      </c>
      <c r="AD40" s="29" t="str">
        <f>IF(AC40&lt;&gt;"",INDEX('DUN 2021'!$J$3:$J$23,MATCH('UMUR 2021'!AC40,'DUN 2021'!$I$3:$I$23,0),1),"")</f>
        <v>GPS</v>
      </c>
      <c r="AE40" s="33">
        <v>3893</v>
      </c>
      <c r="AF40" s="34">
        <f t="shared" si="9"/>
        <v>0.72427906976744183</v>
      </c>
      <c r="AG40" s="29" t="s">
        <v>252</v>
      </c>
      <c r="AH40" s="29" t="str">
        <f>INDEX('DUN 2021'!$J$3:$J$23,MATCH('UMUR 2021'!AG40,'DUN 2021'!$I$3:$I$23,0),1)</f>
        <v>PSB</v>
      </c>
      <c r="AI40" s="33">
        <v>1025</v>
      </c>
      <c r="AJ40" s="34">
        <f t="shared" si="10"/>
        <v>0.19069767441860466</v>
      </c>
      <c r="AK40" s="29" t="s">
        <v>301</v>
      </c>
      <c r="AL40" s="29" t="str">
        <f>IF(AK40&lt;&gt;"",INDEX('DUN 2021'!$J$3:$J$23,MATCH('UMUR 2021'!AK40,'DUN 2021'!$I$3:$I$23,0),1),"")</f>
        <v>LAIN-LAIN</v>
      </c>
      <c r="AM40" s="33">
        <v>457</v>
      </c>
      <c r="AN40" s="34">
        <f t="shared" si="11"/>
        <v>8.5023255813953494E-2</v>
      </c>
      <c r="AO40" s="29"/>
      <c r="AP40" s="29" t="str">
        <f>IF(AO40&lt;&gt;"",INDEX('DUN 2021'!$J$3:$J$23,MATCH('UMUR 2021'!AO40,'DUN 2021'!$I$3:$I$23,0),1),"")</f>
        <v/>
      </c>
      <c r="AQ40" s="33"/>
      <c r="AR40" s="34" t="str">
        <f t="shared" si="12"/>
        <v/>
      </c>
      <c r="AS40" s="29"/>
      <c r="AT40" s="29" t="str">
        <f>IF(AS40&lt;&gt;"",INDEX('DUN 2021'!$J$3:$J$23,MATCH('UMUR 2021'!AS40,'DUN 2021'!$I$3:$I$23,0),1),"")</f>
        <v/>
      </c>
      <c r="AU40" s="33"/>
      <c r="AV40" s="34" t="str">
        <f t="shared" si="13"/>
        <v/>
      </c>
      <c r="AW40" s="29"/>
      <c r="AX40" s="29" t="str">
        <f>IF(AW40&lt;&gt;"",INDEX('DUN 2021'!$J$3:$J$23,MATCH('UMUR 2021'!AW40,'DUN 2021'!$I$3:$I$23,0),1),"")</f>
        <v/>
      </c>
      <c r="AY40" s="33"/>
      <c r="AZ40" s="34" t="str">
        <f t="shared" si="14"/>
        <v/>
      </c>
      <c r="BA40" s="29"/>
      <c r="BB40" s="29" t="str">
        <f>IF(BA40&lt;&gt;"",INDEX('DUN 2021'!$J$3:$J$23,MATCH('UMUR 2021'!BA40,'DUN 2021'!$I$3:$I$23,0),1),"")</f>
        <v/>
      </c>
      <c r="BC40" s="33"/>
      <c r="BD40" s="34" t="str">
        <f t="shared" si="15"/>
        <v/>
      </c>
      <c r="BE40" s="29"/>
      <c r="BF40" s="29" t="str">
        <f>IF(BE40&lt;&gt;"",INDEX('DUN 2021'!$J$3:$J$23,MATCH('UMUR 2021'!BE40,'DUN 2021'!$I$3:$I$23,0),1),"")</f>
        <v/>
      </c>
      <c r="BG40" s="33"/>
      <c r="BH40" s="34" t="str">
        <f t="shared" si="16"/>
        <v/>
      </c>
    </row>
    <row r="41" spans="1:60">
      <c r="A41" s="13" t="s">
        <v>107</v>
      </c>
      <c r="B41" s="14" t="s">
        <v>110</v>
      </c>
      <c r="C41" s="15">
        <f>'JANTINA 2021'!C41+'JANTINA 2021'!K41</f>
        <v>1206</v>
      </c>
      <c r="D41" s="15">
        <f>'JANTINA 2021'!D41+'JANTINA 2021'!L41</f>
        <v>2603</v>
      </c>
      <c r="E41" s="15">
        <f>'JANTINA 2021'!E41+'JANTINA 2021'!M41</f>
        <v>2483</v>
      </c>
      <c r="F41" s="15">
        <f>'JANTINA 2021'!F41+'JANTINA 2021'!N41</f>
        <v>3102</v>
      </c>
      <c r="G41" s="15">
        <f>'JANTINA 2021'!G41+'JANTINA 2021'!O41</f>
        <v>2280</v>
      </c>
      <c r="H41" s="15">
        <f>'JANTINA 2021'!H41+'JANTINA 2021'!P41</f>
        <v>1048</v>
      </c>
      <c r="I41" s="15">
        <f>'JANTINA 2021'!I41+'JANTINA 2021'!Q41</f>
        <v>284</v>
      </c>
      <c r="J41" s="15">
        <f>'JANTINA 2021'!J41+'JANTINA 2021'!R41</f>
        <v>68</v>
      </c>
      <c r="K41" s="16">
        <f>C41/'JANTINA 2021'!S41</f>
        <v>9.2244148692060574E-2</v>
      </c>
      <c r="L41" s="16">
        <f>D41/'JANTINA 2021'!S41</f>
        <v>0.19909744531130488</v>
      </c>
      <c r="M41" s="16">
        <f>E41/'JANTINA 2021'!S41</f>
        <v>0.18991892305338839</v>
      </c>
      <c r="N41" s="16">
        <f>F41/'JANTINA 2021'!S41</f>
        <v>0.2372648003671409</v>
      </c>
      <c r="O41" s="16">
        <f>G41/'JANTINA 2021'!S41</f>
        <v>0.17439192290041303</v>
      </c>
      <c r="P41" s="16">
        <f>H41/'JANTINA 2021'!S41</f>
        <v>8.0159094385803889E-2</v>
      </c>
      <c r="Q41" s="16">
        <f>I41/'JANTINA 2021'!S41</f>
        <v>2.1722502677068992E-2</v>
      </c>
      <c r="R41" s="16">
        <f t="shared" si="0"/>
        <v>5.2011626128192871E-3</v>
      </c>
      <c r="S41" s="13" t="str">
        <f t="shared" si="1"/>
        <v>50-59</v>
      </c>
      <c r="T41" s="15">
        <f t="shared" si="2"/>
        <v>3809</v>
      </c>
      <c r="U41" s="16">
        <f t="shared" si="3"/>
        <v>0.29134159400336546</v>
      </c>
      <c r="V41" s="15">
        <f t="shared" si="4"/>
        <v>932</v>
      </c>
      <c r="W41" s="15">
        <f t="shared" si="5"/>
        <v>13074</v>
      </c>
      <c r="X41" s="16">
        <f t="shared" si="6"/>
        <v>0.69083677527918008</v>
      </c>
      <c r="Y41" s="15">
        <f t="shared" si="7"/>
        <v>9032</v>
      </c>
      <c r="Z41" s="15">
        <v>29</v>
      </c>
      <c r="AA41" s="15">
        <v>106</v>
      </c>
      <c r="AB41" s="33">
        <f t="shared" si="8"/>
        <v>8897</v>
      </c>
      <c r="AC41" s="29" t="s">
        <v>240</v>
      </c>
      <c r="AD41" s="29" t="str">
        <f>IF(AC41&lt;&gt;"",INDEX('DUN 2021'!$J$3:$J$23,MATCH('UMUR 2021'!AC41,'DUN 2021'!$I$3:$I$23,0),1),"")</f>
        <v>GPS</v>
      </c>
      <c r="AE41" s="33">
        <v>3885</v>
      </c>
      <c r="AF41" s="34">
        <f t="shared" si="9"/>
        <v>0.43666404405979542</v>
      </c>
      <c r="AG41" s="29" t="s">
        <v>252</v>
      </c>
      <c r="AH41" s="29" t="str">
        <f>INDEX('DUN 2021'!$J$3:$J$23,MATCH('UMUR 2021'!AG41,'DUN 2021'!$I$3:$I$23,0),1)</f>
        <v>PSB</v>
      </c>
      <c r="AI41" s="33">
        <v>2953</v>
      </c>
      <c r="AJ41" s="34">
        <f t="shared" si="10"/>
        <v>0.33190963246037991</v>
      </c>
      <c r="AK41" s="29" t="s">
        <v>251</v>
      </c>
      <c r="AL41" s="29" t="str">
        <f>IF(AK41&lt;&gt;"",INDEX('DUN 2021'!$J$3:$J$23,MATCH('UMUR 2021'!AK41,'DUN 2021'!$I$3:$I$23,0),1),"")</f>
        <v>BEBAS</v>
      </c>
      <c r="AM41" s="33">
        <v>1777</v>
      </c>
      <c r="AN41" s="34">
        <f t="shared" si="11"/>
        <v>0.19973024615038776</v>
      </c>
      <c r="AO41" s="29" t="s">
        <v>301</v>
      </c>
      <c r="AP41" s="29" t="str">
        <f>IF(AO41&lt;&gt;"",INDEX('DUN 2021'!$J$3:$J$23,MATCH('UMUR 2021'!AO41,'DUN 2021'!$I$3:$I$23,0),1),"")</f>
        <v>LAIN-LAIN</v>
      </c>
      <c r="AQ41" s="33">
        <v>282</v>
      </c>
      <c r="AR41" s="34">
        <f t="shared" si="12"/>
        <v>3.1696077329436891E-2</v>
      </c>
      <c r="AS41" s="29"/>
      <c r="AT41" s="29" t="str">
        <f>IF(AS41&lt;&gt;"",INDEX('DUN 2021'!$J$3:$J$23,MATCH('UMUR 2021'!AS41,'DUN 2021'!$I$3:$I$23,0),1),"")</f>
        <v/>
      </c>
      <c r="AU41" s="33"/>
      <c r="AV41" s="34" t="str">
        <f t="shared" si="13"/>
        <v/>
      </c>
      <c r="AW41" s="29"/>
      <c r="AX41" s="29" t="str">
        <f>IF(AW41&lt;&gt;"",INDEX('DUN 2021'!$J$3:$J$23,MATCH('UMUR 2021'!AW41,'DUN 2021'!$I$3:$I$23,0),1),"")</f>
        <v/>
      </c>
      <c r="AY41" s="33"/>
      <c r="AZ41" s="34" t="str">
        <f t="shared" si="14"/>
        <v/>
      </c>
      <c r="BA41" s="29"/>
      <c r="BB41" s="29" t="str">
        <f>IF(BA41&lt;&gt;"",INDEX('DUN 2021'!$J$3:$J$23,MATCH('UMUR 2021'!BA41,'DUN 2021'!$I$3:$I$23,0),1),"")</f>
        <v/>
      </c>
      <c r="BC41" s="33"/>
      <c r="BD41" s="34" t="str">
        <f t="shared" si="15"/>
        <v/>
      </c>
      <c r="BE41" s="29"/>
      <c r="BF41" s="29" t="str">
        <f>IF(BE41&lt;&gt;"",INDEX('DUN 2021'!$J$3:$J$23,MATCH('UMUR 2021'!BE41,'DUN 2021'!$I$3:$I$23,0),1),"")</f>
        <v/>
      </c>
      <c r="BG41" s="33"/>
      <c r="BH41" s="34" t="str">
        <f t="shared" si="16"/>
        <v/>
      </c>
    </row>
    <row r="42" spans="1:60">
      <c r="A42" s="13" t="s">
        <v>108</v>
      </c>
      <c r="B42" s="14" t="s">
        <v>111</v>
      </c>
      <c r="C42" s="15">
        <f>'JANTINA 2021'!C42+'JANTINA 2021'!K42</f>
        <v>1010</v>
      </c>
      <c r="D42" s="15">
        <f>'JANTINA 2021'!D42+'JANTINA 2021'!L42</f>
        <v>2416</v>
      </c>
      <c r="E42" s="15">
        <f>'JANTINA 2021'!E42+'JANTINA 2021'!M42</f>
        <v>2102</v>
      </c>
      <c r="F42" s="15">
        <f>'JANTINA 2021'!F42+'JANTINA 2021'!N42</f>
        <v>2110</v>
      </c>
      <c r="G42" s="15">
        <f>'JANTINA 2021'!G42+'JANTINA 2021'!O42</f>
        <v>1557</v>
      </c>
      <c r="H42" s="15">
        <f>'JANTINA 2021'!H42+'JANTINA 2021'!P42</f>
        <v>676</v>
      </c>
      <c r="I42" s="15">
        <f>'JANTINA 2021'!I42+'JANTINA 2021'!Q42</f>
        <v>168</v>
      </c>
      <c r="J42" s="15">
        <f>'JANTINA 2021'!J42+'JANTINA 2021'!R42</f>
        <v>72</v>
      </c>
      <c r="K42" s="16">
        <f>C42/'JANTINA 2021'!S42</f>
        <v>9.989120759568787E-2</v>
      </c>
      <c r="L42" s="16">
        <f>D42/'JANTINA 2021'!S42</f>
        <v>0.23894768074374445</v>
      </c>
      <c r="M42" s="16">
        <f>E42/'JANTINA 2021'!S42</f>
        <v>0.20789239442191673</v>
      </c>
      <c r="N42" s="16">
        <f>F42/'JANTINA 2021'!S42</f>
        <v>0.20868361190782317</v>
      </c>
      <c r="O42" s="16">
        <f>G42/'JANTINA 2021'!S42</f>
        <v>0.15399070319454061</v>
      </c>
      <c r="P42" s="16">
        <f>H42/'JANTINA 2021'!S42</f>
        <v>6.6857877559094059E-2</v>
      </c>
      <c r="Q42" s="16">
        <f>I42/'JANTINA 2021'!S42</f>
        <v>1.661556720403521E-2</v>
      </c>
      <c r="R42" s="16">
        <f t="shared" si="0"/>
        <v>7.1209573731577588E-3</v>
      </c>
      <c r="S42" s="13" t="str">
        <f t="shared" si="1"/>
        <v>30-39</v>
      </c>
      <c r="T42" s="15">
        <f t="shared" si="2"/>
        <v>3426</v>
      </c>
      <c r="U42" s="16">
        <f t="shared" si="3"/>
        <v>0.33883888833943232</v>
      </c>
      <c r="V42" s="15">
        <f t="shared" si="4"/>
        <v>2763</v>
      </c>
      <c r="W42" s="15">
        <f t="shared" si="5"/>
        <v>10111</v>
      </c>
      <c r="X42" s="16">
        <f t="shared" si="6"/>
        <v>0.71545841163089707</v>
      </c>
      <c r="Y42" s="15">
        <f t="shared" si="7"/>
        <v>7234</v>
      </c>
      <c r="Z42" s="15">
        <v>38</v>
      </c>
      <c r="AA42" s="15">
        <v>82</v>
      </c>
      <c r="AB42" s="33">
        <f t="shared" si="8"/>
        <v>7114</v>
      </c>
      <c r="AC42" s="29" t="s">
        <v>243</v>
      </c>
      <c r="AD42" s="29" t="str">
        <f>IF(AC42&lt;&gt;"",INDEX('DUN 2021'!$J$3:$J$23,MATCH('UMUR 2021'!AC42,'DUN 2021'!$I$3:$I$23,0),1),"")</f>
        <v>GPS</v>
      </c>
      <c r="AE42" s="33">
        <v>4789</v>
      </c>
      <c r="AF42" s="34">
        <f t="shared" si="9"/>
        <v>0.67317964576890643</v>
      </c>
      <c r="AG42" s="29" t="s">
        <v>252</v>
      </c>
      <c r="AH42" s="29" t="str">
        <f>INDEX('DUN 2021'!$J$3:$J$23,MATCH('UMUR 2021'!AG42,'DUN 2021'!$I$3:$I$23,0),1)</f>
        <v>PSB</v>
      </c>
      <c r="AI42" s="33">
        <v>2026</v>
      </c>
      <c r="AJ42" s="34">
        <f t="shared" si="10"/>
        <v>0.28479055383750351</v>
      </c>
      <c r="AK42" s="29" t="s">
        <v>301</v>
      </c>
      <c r="AL42" s="29" t="str">
        <f>IF(AK42&lt;&gt;"",INDEX('DUN 2021'!$J$3:$J$23,MATCH('UMUR 2021'!AK42,'DUN 2021'!$I$3:$I$23,0),1),"")</f>
        <v>LAIN-LAIN</v>
      </c>
      <c r="AM42" s="33">
        <v>208</v>
      </c>
      <c r="AN42" s="34">
        <f t="shared" si="11"/>
        <v>2.9238122012932247E-2</v>
      </c>
      <c r="AO42" s="29" t="s">
        <v>254</v>
      </c>
      <c r="AP42" s="29" t="str">
        <f>IF(AO42&lt;&gt;"",INDEX('DUN 2021'!$J$3:$J$23,MATCH('UMUR 2021'!AO42,'DUN 2021'!$I$3:$I$23,0),1),"")</f>
        <v>PH</v>
      </c>
      <c r="AQ42" s="33">
        <v>91</v>
      </c>
      <c r="AR42" s="34">
        <f t="shared" si="12"/>
        <v>1.2791678380657858E-2</v>
      </c>
      <c r="AS42" s="29"/>
      <c r="AT42" s="29" t="str">
        <f>IF(AS42&lt;&gt;"",INDEX('DUN 2021'!$J$3:$J$23,MATCH('UMUR 2021'!AS42,'DUN 2021'!$I$3:$I$23,0),1),"")</f>
        <v/>
      </c>
      <c r="AU42" s="33"/>
      <c r="AV42" s="34" t="str">
        <f t="shared" si="13"/>
        <v/>
      </c>
      <c r="AW42" s="29"/>
      <c r="AX42" s="29" t="str">
        <f>IF(AW42&lt;&gt;"",INDEX('DUN 2021'!$J$3:$J$23,MATCH('UMUR 2021'!AW42,'DUN 2021'!$I$3:$I$23,0),1),"")</f>
        <v/>
      </c>
      <c r="AY42" s="33"/>
      <c r="AZ42" s="34" t="str">
        <f t="shared" si="14"/>
        <v/>
      </c>
      <c r="BA42" s="29"/>
      <c r="BB42" s="29" t="str">
        <f>IF(BA42&lt;&gt;"",INDEX('DUN 2021'!$J$3:$J$23,MATCH('UMUR 2021'!BA42,'DUN 2021'!$I$3:$I$23,0),1),"")</f>
        <v/>
      </c>
      <c r="BC42" s="33"/>
      <c r="BD42" s="34" t="str">
        <f t="shared" si="15"/>
        <v/>
      </c>
      <c r="BE42" s="29"/>
      <c r="BF42" s="29" t="str">
        <f>IF(BE42&lt;&gt;"",INDEX('DUN 2021'!$J$3:$J$23,MATCH('UMUR 2021'!BE42,'DUN 2021'!$I$3:$I$23,0),1),"")</f>
        <v/>
      </c>
      <c r="BG42" s="33"/>
      <c r="BH42" s="34" t="str">
        <f t="shared" si="16"/>
        <v/>
      </c>
    </row>
    <row r="43" spans="1:60">
      <c r="A43" s="13" t="s">
        <v>114</v>
      </c>
      <c r="B43" s="14" t="s">
        <v>116</v>
      </c>
      <c r="C43" s="15">
        <f>'JANTINA 2021'!C43+'JANTINA 2021'!K43</f>
        <v>1271</v>
      </c>
      <c r="D43" s="15">
        <f>'JANTINA 2021'!D43+'JANTINA 2021'!L43</f>
        <v>2662</v>
      </c>
      <c r="E43" s="15">
        <f>'JANTINA 2021'!E43+'JANTINA 2021'!M43</f>
        <v>2536</v>
      </c>
      <c r="F43" s="15">
        <f>'JANTINA 2021'!F43+'JANTINA 2021'!N43</f>
        <v>2410</v>
      </c>
      <c r="G43" s="15">
        <f>'JANTINA 2021'!G43+'JANTINA 2021'!O43</f>
        <v>1589</v>
      </c>
      <c r="H43" s="15">
        <f>'JANTINA 2021'!H43+'JANTINA 2021'!P43</f>
        <v>714</v>
      </c>
      <c r="I43" s="15">
        <f>'JANTINA 2021'!I43+'JANTINA 2021'!Q43</f>
        <v>196</v>
      </c>
      <c r="J43" s="15">
        <f>'JANTINA 2021'!J43+'JANTINA 2021'!R43</f>
        <v>50</v>
      </c>
      <c r="K43" s="16">
        <f>C43/'JANTINA 2021'!S43</f>
        <v>0.11121806090304515</v>
      </c>
      <c r="L43" s="16">
        <f>D43/'JANTINA 2021'!S43</f>
        <v>0.23293664683234161</v>
      </c>
      <c r="M43" s="16">
        <f>E43/'JANTINA 2021'!S43</f>
        <v>0.22191109555477773</v>
      </c>
      <c r="N43" s="16">
        <f>F43/'JANTINA 2021'!S43</f>
        <v>0.21088554427721387</v>
      </c>
      <c r="O43" s="16">
        <f>G43/'JANTINA 2021'!S43</f>
        <v>0.13904445222261114</v>
      </c>
      <c r="P43" s="16">
        <f>H43/'JANTINA 2021'!S43</f>
        <v>6.247812390619531E-2</v>
      </c>
      <c r="Q43" s="16">
        <f>I43/'JANTINA 2021'!S43</f>
        <v>1.7150857542877145E-2</v>
      </c>
      <c r="R43" s="16">
        <f t="shared" si="0"/>
        <v>4.3752187609381113E-3</v>
      </c>
      <c r="S43" s="13" t="str">
        <f t="shared" si="1"/>
        <v>30-39</v>
      </c>
      <c r="T43" s="15">
        <f t="shared" si="2"/>
        <v>3933</v>
      </c>
      <c r="U43" s="16">
        <f t="shared" si="3"/>
        <v>0.34415470773538676</v>
      </c>
      <c r="V43" s="15">
        <f t="shared" si="4"/>
        <v>3325</v>
      </c>
      <c r="W43" s="15">
        <f t="shared" si="5"/>
        <v>11428</v>
      </c>
      <c r="X43" s="16">
        <f t="shared" si="6"/>
        <v>0.67045852292614627</v>
      </c>
      <c r="Y43" s="15">
        <f t="shared" si="7"/>
        <v>7662</v>
      </c>
      <c r="Z43" s="15">
        <v>52</v>
      </c>
      <c r="AA43" s="15">
        <v>122</v>
      </c>
      <c r="AB43" s="33">
        <f t="shared" si="8"/>
        <v>7488</v>
      </c>
      <c r="AC43" s="29" t="s">
        <v>243</v>
      </c>
      <c r="AD43" s="29" t="str">
        <f>IF(AC43&lt;&gt;"",INDEX('DUN 2021'!$J$3:$J$23,MATCH('UMUR 2021'!AC43,'DUN 2021'!$I$3:$I$23,0),1),"")</f>
        <v>GPS</v>
      </c>
      <c r="AE43" s="33">
        <v>5268</v>
      </c>
      <c r="AF43" s="34">
        <f t="shared" si="9"/>
        <v>0.70352564102564108</v>
      </c>
      <c r="AG43" s="29" t="s">
        <v>251</v>
      </c>
      <c r="AH43" s="29" t="str">
        <f>INDEX('DUN 2021'!$J$3:$J$23,MATCH('UMUR 2021'!AG43,'DUN 2021'!$I$3:$I$23,0),1)</f>
        <v>BEBAS</v>
      </c>
      <c r="AI43" s="33">
        <v>1943</v>
      </c>
      <c r="AJ43" s="34">
        <f t="shared" si="10"/>
        <v>0.25948183760683763</v>
      </c>
      <c r="AK43" s="29" t="s">
        <v>251</v>
      </c>
      <c r="AL43" s="29" t="str">
        <f>IF(AK43&lt;&gt;"",INDEX('DUN 2021'!$J$3:$J$23,MATCH('UMUR 2021'!AK43,'DUN 2021'!$I$3:$I$23,0),1),"")</f>
        <v>BEBAS</v>
      </c>
      <c r="AM43" s="33">
        <v>168</v>
      </c>
      <c r="AN43" s="34">
        <f t="shared" si="11"/>
        <v>2.2435897435897436E-2</v>
      </c>
      <c r="AO43" s="29" t="s">
        <v>301</v>
      </c>
      <c r="AP43" s="29" t="str">
        <f>IF(AO43&lt;&gt;"",INDEX('DUN 2021'!$J$3:$J$23,MATCH('UMUR 2021'!AO43,'DUN 2021'!$I$3:$I$23,0),1),"")</f>
        <v>LAIN-LAIN</v>
      </c>
      <c r="AQ43" s="33">
        <v>109</v>
      </c>
      <c r="AR43" s="34">
        <f t="shared" si="12"/>
        <v>1.4556623931623932E-2</v>
      </c>
      <c r="AS43" s="29"/>
      <c r="AT43" s="29" t="str">
        <f>IF(AS43&lt;&gt;"",INDEX('DUN 2021'!$J$3:$J$23,MATCH('UMUR 2021'!AS43,'DUN 2021'!$I$3:$I$23,0),1),"")</f>
        <v/>
      </c>
      <c r="AU43" s="33"/>
      <c r="AV43" s="34" t="str">
        <f t="shared" si="13"/>
        <v/>
      </c>
      <c r="AW43" s="29"/>
      <c r="AX43" s="29" t="str">
        <f>IF(AW43&lt;&gt;"",INDEX('DUN 2021'!$J$3:$J$23,MATCH('UMUR 2021'!AW43,'DUN 2021'!$I$3:$I$23,0),1),"")</f>
        <v/>
      </c>
      <c r="AY43" s="33"/>
      <c r="AZ43" s="34" t="str">
        <f t="shared" si="14"/>
        <v/>
      </c>
      <c r="BA43" s="29"/>
      <c r="BB43" s="29" t="str">
        <f>IF(BA43&lt;&gt;"",INDEX('DUN 2021'!$J$3:$J$23,MATCH('UMUR 2021'!BA43,'DUN 2021'!$I$3:$I$23,0),1),"")</f>
        <v/>
      </c>
      <c r="BC43" s="33"/>
      <c r="BD43" s="34" t="str">
        <f t="shared" si="15"/>
        <v/>
      </c>
      <c r="BE43" s="29"/>
      <c r="BF43" s="29" t="str">
        <f>IF(BE43&lt;&gt;"",INDEX('DUN 2021'!$J$3:$J$23,MATCH('UMUR 2021'!BE43,'DUN 2021'!$I$3:$I$23,0),1),"")</f>
        <v/>
      </c>
      <c r="BG43" s="33"/>
      <c r="BH43" s="34" t="str">
        <f t="shared" si="16"/>
        <v/>
      </c>
    </row>
    <row r="44" spans="1:60">
      <c r="A44" s="13" t="s">
        <v>115</v>
      </c>
      <c r="B44" s="14" t="s">
        <v>117</v>
      </c>
      <c r="C44" s="15">
        <f>'JANTINA 2021'!C44+'JANTINA 2021'!K44</f>
        <v>796</v>
      </c>
      <c r="D44" s="15">
        <f>'JANTINA 2021'!D44+'JANTINA 2021'!L44</f>
        <v>2273</v>
      </c>
      <c r="E44" s="15">
        <f>'JANTINA 2021'!E44+'JANTINA 2021'!M44</f>
        <v>2336</v>
      </c>
      <c r="F44" s="15">
        <f>'JANTINA 2021'!F44+'JANTINA 2021'!N44</f>
        <v>2326</v>
      </c>
      <c r="G44" s="15">
        <f>'JANTINA 2021'!G44+'JANTINA 2021'!O44</f>
        <v>1559</v>
      </c>
      <c r="H44" s="15">
        <f>'JANTINA 2021'!H44+'JANTINA 2021'!P44</f>
        <v>689</v>
      </c>
      <c r="I44" s="15">
        <f>'JANTINA 2021'!I44+'JANTINA 2021'!Q44</f>
        <v>219</v>
      </c>
      <c r="J44" s="15">
        <f>'JANTINA 2021'!J44+'JANTINA 2021'!R44</f>
        <v>99</v>
      </c>
      <c r="K44" s="16">
        <f>C44/'JANTINA 2021'!S44</f>
        <v>7.7304069146353308E-2</v>
      </c>
      <c r="L44" s="16">
        <f>D44/'JANTINA 2021'!S44</f>
        <v>0.22074390599203653</v>
      </c>
      <c r="M44" s="16">
        <f>E44/'JANTINA 2021'!S44</f>
        <v>0.22686219287171019</v>
      </c>
      <c r="N44" s="16">
        <f>F44/'JANTINA 2021'!S44</f>
        <v>0.22589103622414294</v>
      </c>
      <c r="O44" s="16">
        <f>G44/'JANTINA 2021'!S44</f>
        <v>0.15140332135573467</v>
      </c>
      <c r="P44" s="16">
        <f>H44/'JANTINA 2021'!S44</f>
        <v>6.6912693017383701E-2</v>
      </c>
      <c r="Q44" s="16">
        <f>I44/'JANTINA 2021'!S44</f>
        <v>2.1268330581722832E-2</v>
      </c>
      <c r="R44" s="16">
        <f t="shared" si="0"/>
        <v>9.6144508109158103E-3</v>
      </c>
      <c r="S44" s="13" t="str">
        <f t="shared" si="1"/>
        <v>40-49</v>
      </c>
      <c r="T44" s="15">
        <f t="shared" si="2"/>
        <v>3069</v>
      </c>
      <c r="U44" s="16">
        <f t="shared" si="3"/>
        <v>0.29804797513838982</v>
      </c>
      <c r="V44" s="15">
        <f t="shared" si="4"/>
        <v>3158</v>
      </c>
      <c r="W44" s="15">
        <f t="shared" si="5"/>
        <v>10297</v>
      </c>
      <c r="X44" s="16">
        <f t="shared" si="6"/>
        <v>0.66640769156064872</v>
      </c>
      <c r="Y44" s="15">
        <f t="shared" si="7"/>
        <v>6862</v>
      </c>
      <c r="Z44" s="15">
        <v>36</v>
      </c>
      <c r="AA44" s="15">
        <v>109</v>
      </c>
      <c r="AB44" s="33">
        <f t="shared" si="8"/>
        <v>6717</v>
      </c>
      <c r="AC44" s="29" t="s">
        <v>243</v>
      </c>
      <c r="AD44" s="29" t="str">
        <f>IF(AC44&lt;&gt;"",INDEX('DUN 2021'!$J$3:$J$23,MATCH('UMUR 2021'!AC44,'DUN 2021'!$I$3:$I$23,0),1),"")</f>
        <v>GPS</v>
      </c>
      <c r="AE44" s="33">
        <v>4338</v>
      </c>
      <c r="AF44" s="34">
        <f t="shared" si="9"/>
        <v>0.64582402858418941</v>
      </c>
      <c r="AG44" s="29" t="s">
        <v>252</v>
      </c>
      <c r="AH44" s="29" t="str">
        <f>INDEX('DUN 2021'!$J$3:$J$23,MATCH('UMUR 2021'!AG44,'DUN 2021'!$I$3:$I$23,0),1)</f>
        <v>PSB</v>
      </c>
      <c r="AI44" s="33">
        <v>1180</v>
      </c>
      <c r="AJ44" s="34">
        <f t="shared" si="10"/>
        <v>0.17567366383802294</v>
      </c>
      <c r="AK44" s="29" t="s">
        <v>251</v>
      </c>
      <c r="AL44" s="29" t="str">
        <f>IF(AK44&lt;&gt;"",INDEX('DUN 2021'!$J$3:$J$23,MATCH('UMUR 2021'!AK44,'DUN 2021'!$I$3:$I$23,0),1),"")</f>
        <v>BEBAS</v>
      </c>
      <c r="AM44" s="33">
        <v>811</v>
      </c>
      <c r="AN44" s="34">
        <f t="shared" si="11"/>
        <v>0.12073842489206491</v>
      </c>
      <c r="AO44" s="29" t="s">
        <v>254</v>
      </c>
      <c r="AP44" s="29" t="str">
        <f>IF(AO44&lt;&gt;"",INDEX('DUN 2021'!$J$3:$J$23,MATCH('UMUR 2021'!AO44,'DUN 2021'!$I$3:$I$23,0),1),"")</f>
        <v>PH</v>
      </c>
      <c r="AQ44" s="33">
        <v>270</v>
      </c>
      <c r="AR44" s="34">
        <f t="shared" si="12"/>
        <v>4.0196516301920497E-2</v>
      </c>
      <c r="AS44" s="29" t="s">
        <v>301</v>
      </c>
      <c r="AT44" s="29" t="str">
        <f>IF(AS44&lt;&gt;"",INDEX('DUN 2021'!$J$3:$J$23,MATCH('UMUR 2021'!AS44,'DUN 2021'!$I$3:$I$23,0),1),"")</f>
        <v>LAIN-LAIN</v>
      </c>
      <c r="AU44" s="33">
        <v>118</v>
      </c>
      <c r="AV44" s="34">
        <f t="shared" si="13"/>
        <v>1.7567366383802293E-2</v>
      </c>
      <c r="AW44" s="29"/>
      <c r="AX44" s="29" t="str">
        <f>IF(AW44&lt;&gt;"",INDEX('DUN 2021'!$J$3:$J$23,MATCH('UMUR 2021'!AW44,'DUN 2021'!$I$3:$I$23,0),1),"")</f>
        <v/>
      </c>
      <c r="AY44" s="33"/>
      <c r="AZ44" s="34" t="str">
        <f t="shared" si="14"/>
        <v/>
      </c>
      <c r="BA44" s="29"/>
      <c r="BB44" s="29" t="str">
        <f>IF(BA44&lt;&gt;"",INDEX('DUN 2021'!$J$3:$J$23,MATCH('UMUR 2021'!BA44,'DUN 2021'!$I$3:$I$23,0),1),"")</f>
        <v/>
      </c>
      <c r="BC44" s="33"/>
      <c r="BD44" s="34" t="str">
        <f t="shared" si="15"/>
        <v/>
      </c>
      <c r="BE44" s="29"/>
      <c r="BF44" s="29" t="str">
        <f>IF(BE44&lt;&gt;"",INDEX('DUN 2021'!$J$3:$J$23,MATCH('UMUR 2021'!BE44,'DUN 2021'!$I$3:$I$23,0),1),"")</f>
        <v/>
      </c>
      <c r="BG44" s="33"/>
      <c r="BH44" s="34" t="str">
        <f t="shared" si="16"/>
        <v/>
      </c>
    </row>
    <row r="45" spans="1:60">
      <c r="A45" s="13" t="s">
        <v>120</v>
      </c>
      <c r="B45" s="14" t="s">
        <v>122</v>
      </c>
      <c r="C45" s="15">
        <f>'JANTINA 2021'!C45+'JANTINA 2021'!K45</f>
        <v>803</v>
      </c>
      <c r="D45" s="15">
        <f>'JANTINA 2021'!D45+'JANTINA 2021'!L45</f>
        <v>2312</v>
      </c>
      <c r="E45" s="15">
        <f>'JANTINA 2021'!E45+'JANTINA 2021'!M45</f>
        <v>1889</v>
      </c>
      <c r="F45" s="15">
        <f>'JANTINA 2021'!F45+'JANTINA 2021'!N45</f>
        <v>1989</v>
      </c>
      <c r="G45" s="15">
        <f>'JANTINA 2021'!G45+'JANTINA 2021'!O45</f>
        <v>1362</v>
      </c>
      <c r="H45" s="15">
        <f>'JANTINA 2021'!H45+'JANTINA 2021'!P45</f>
        <v>605</v>
      </c>
      <c r="I45" s="15">
        <f>'JANTINA 2021'!I45+'JANTINA 2021'!Q45</f>
        <v>187</v>
      </c>
      <c r="J45" s="15">
        <f>'JANTINA 2021'!J45+'JANTINA 2021'!R45</f>
        <v>48</v>
      </c>
      <c r="K45" s="16">
        <f>C45/'JANTINA 2021'!S45</f>
        <v>8.7330070690592718E-2</v>
      </c>
      <c r="L45" s="16">
        <f>D45/'JANTINA 2021'!S45</f>
        <v>0.25144100054377377</v>
      </c>
      <c r="M45" s="16">
        <f>E45/'JANTINA 2021'!S45</f>
        <v>0.20543773790103317</v>
      </c>
      <c r="N45" s="16">
        <f>F45/'JANTINA 2021'!S45</f>
        <v>0.2163132137030995</v>
      </c>
      <c r="O45" s="16">
        <f>G45/'JANTINA 2021'!S45</f>
        <v>0.14812398042414357</v>
      </c>
      <c r="P45" s="16">
        <f>H45/'JANTINA 2021'!S45</f>
        <v>6.5796628602501364E-2</v>
      </c>
      <c r="Q45" s="16">
        <f>I45/'JANTINA 2021'!S45</f>
        <v>2.0337139749864057E-2</v>
      </c>
      <c r="R45" s="16">
        <f t="shared" si="0"/>
        <v>5.2202283849918027E-3</v>
      </c>
      <c r="S45" s="13" t="str">
        <f t="shared" si="1"/>
        <v>30-39</v>
      </c>
      <c r="T45" s="15">
        <f t="shared" si="2"/>
        <v>3115</v>
      </c>
      <c r="U45" s="16">
        <f t="shared" si="3"/>
        <v>0.33877107123436651</v>
      </c>
      <c r="V45" s="15">
        <f t="shared" si="4"/>
        <v>5112</v>
      </c>
      <c r="W45" s="15">
        <f t="shared" si="5"/>
        <v>9195</v>
      </c>
      <c r="X45" s="16">
        <f t="shared" si="6"/>
        <v>0.6340402392604676</v>
      </c>
      <c r="Y45" s="15">
        <f t="shared" si="7"/>
        <v>5830</v>
      </c>
      <c r="Z45" s="15">
        <v>23</v>
      </c>
      <c r="AA45" s="15">
        <v>101</v>
      </c>
      <c r="AB45" s="33">
        <f t="shared" si="8"/>
        <v>5706</v>
      </c>
      <c r="AC45" s="29" t="s">
        <v>243</v>
      </c>
      <c r="AD45" s="29" t="str">
        <f>IF(AC45&lt;&gt;"",INDEX('DUN 2021'!$J$3:$J$23,MATCH('UMUR 2021'!AC45,'DUN 2021'!$I$3:$I$23,0),1),"")</f>
        <v>GPS</v>
      </c>
      <c r="AE45" s="33">
        <v>5317</v>
      </c>
      <c r="AF45" s="34">
        <f t="shared" si="9"/>
        <v>0.93182614791447604</v>
      </c>
      <c r="AG45" s="29" t="s">
        <v>251</v>
      </c>
      <c r="AH45" s="29" t="str">
        <f>INDEX('DUN 2021'!$J$3:$J$23,MATCH('UMUR 2021'!AG45,'DUN 2021'!$I$3:$I$23,0),1)</f>
        <v>BEBAS</v>
      </c>
      <c r="AI45" s="33">
        <v>205</v>
      </c>
      <c r="AJ45" s="34">
        <f t="shared" si="10"/>
        <v>3.5927094286715741E-2</v>
      </c>
      <c r="AK45" s="29" t="s">
        <v>301</v>
      </c>
      <c r="AL45" s="29" t="str">
        <f>IF(AK45&lt;&gt;"",INDEX('DUN 2021'!$J$3:$J$23,MATCH('UMUR 2021'!AK45,'DUN 2021'!$I$3:$I$23,0),1),"")</f>
        <v>LAIN-LAIN</v>
      </c>
      <c r="AM45" s="33">
        <v>184</v>
      </c>
      <c r="AN45" s="34">
        <f t="shared" si="11"/>
        <v>3.224675779880827E-2</v>
      </c>
      <c r="AO45" s="29"/>
      <c r="AP45" s="29" t="str">
        <f>IF(AO45&lt;&gt;"",INDEX('DUN 2021'!$J$3:$J$23,MATCH('UMUR 2021'!AO45,'DUN 2021'!$I$3:$I$23,0),1),"")</f>
        <v/>
      </c>
      <c r="AQ45" s="33"/>
      <c r="AR45" s="34" t="str">
        <f t="shared" si="12"/>
        <v/>
      </c>
      <c r="AS45" s="29"/>
      <c r="AT45" s="29" t="str">
        <f>IF(AS45&lt;&gt;"",INDEX('DUN 2021'!$J$3:$J$23,MATCH('UMUR 2021'!AS45,'DUN 2021'!$I$3:$I$23,0),1),"")</f>
        <v/>
      </c>
      <c r="AU45" s="33"/>
      <c r="AV45" s="34" t="str">
        <f t="shared" si="13"/>
        <v/>
      </c>
      <c r="AW45" s="29"/>
      <c r="AX45" s="29" t="str">
        <f>IF(AW45&lt;&gt;"",INDEX('DUN 2021'!$J$3:$J$23,MATCH('UMUR 2021'!AW45,'DUN 2021'!$I$3:$I$23,0),1),"")</f>
        <v/>
      </c>
      <c r="AY45" s="33"/>
      <c r="AZ45" s="34" t="str">
        <f t="shared" si="14"/>
        <v/>
      </c>
      <c r="BA45" s="29"/>
      <c r="BB45" s="29" t="str">
        <f>IF(BA45&lt;&gt;"",INDEX('DUN 2021'!$J$3:$J$23,MATCH('UMUR 2021'!BA45,'DUN 2021'!$I$3:$I$23,0),1),"")</f>
        <v/>
      </c>
      <c r="BC45" s="33"/>
      <c r="BD45" s="34" t="str">
        <f t="shared" si="15"/>
        <v/>
      </c>
      <c r="BE45" s="29"/>
      <c r="BF45" s="29" t="str">
        <f>IF(BE45&lt;&gt;"",INDEX('DUN 2021'!$J$3:$J$23,MATCH('UMUR 2021'!BE45,'DUN 2021'!$I$3:$I$23,0),1),"")</f>
        <v/>
      </c>
      <c r="BG45" s="33"/>
      <c r="BH45" s="34" t="str">
        <f t="shared" si="16"/>
        <v/>
      </c>
    </row>
    <row r="46" spans="1:60">
      <c r="A46" s="13" t="s">
        <v>121</v>
      </c>
      <c r="B46" s="14" t="s">
        <v>123</v>
      </c>
      <c r="C46" s="15">
        <f>'JANTINA 2021'!C46+'JANTINA 2021'!K46</f>
        <v>856</v>
      </c>
      <c r="D46" s="15">
        <f>'JANTINA 2021'!D46+'JANTINA 2021'!L46</f>
        <v>2349</v>
      </c>
      <c r="E46" s="15">
        <f>'JANTINA 2021'!E46+'JANTINA 2021'!M46</f>
        <v>2195</v>
      </c>
      <c r="F46" s="15">
        <f>'JANTINA 2021'!F46+'JANTINA 2021'!N46</f>
        <v>2158</v>
      </c>
      <c r="G46" s="15">
        <f>'JANTINA 2021'!G46+'JANTINA 2021'!O46</f>
        <v>1440</v>
      </c>
      <c r="H46" s="15">
        <f>'JANTINA 2021'!H46+'JANTINA 2021'!P46</f>
        <v>748</v>
      </c>
      <c r="I46" s="15">
        <f>'JANTINA 2021'!I46+'JANTINA 2021'!Q46</f>
        <v>178</v>
      </c>
      <c r="J46" s="15">
        <f>'JANTINA 2021'!J46+'JANTINA 2021'!R46</f>
        <v>39</v>
      </c>
      <c r="K46" s="16">
        <f>C46/'JANTINA 2021'!S46</f>
        <v>8.5917896215999198E-2</v>
      </c>
      <c r="L46" s="16">
        <f>D46/'JANTINA 2021'!S46</f>
        <v>0.23577235772357724</v>
      </c>
      <c r="M46" s="16">
        <f>E46/'JANTINA 2021'!S46</f>
        <v>0.22031516611462412</v>
      </c>
      <c r="N46" s="16">
        <f>F46/'JANTINA 2021'!S46</f>
        <v>0.216601425273512</v>
      </c>
      <c r="O46" s="16">
        <f>G46/'JANTINA 2021'!S46</f>
        <v>0.14453477868112014</v>
      </c>
      <c r="P46" s="16">
        <f>H46/'JANTINA 2021'!S46</f>
        <v>7.5077787814915184E-2</v>
      </c>
      <c r="Q46" s="16">
        <f>I46/'JANTINA 2021'!S46</f>
        <v>1.7866104586971795E-2</v>
      </c>
      <c r="R46" s="16">
        <f t="shared" si="0"/>
        <v>3.9144835892802772E-3</v>
      </c>
      <c r="S46" s="13" t="str">
        <f t="shared" si="1"/>
        <v>30-39</v>
      </c>
      <c r="T46" s="15">
        <f t="shared" si="2"/>
        <v>3205</v>
      </c>
      <c r="U46" s="16">
        <f t="shared" si="3"/>
        <v>0.32169025393957645</v>
      </c>
      <c r="V46" s="15">
        <f t="shared" si="4"/>
        <v>5012</v>
      </c>
      <c r="W46" s="15">
        <f t="shared" si="5"/>
        <v>9963</v>
      </c>
      <c r="X46" s="16">
        <f t="shared" si="6"/>
        <v>0.66536183880357325</v>
      </c>
      <c r="Y46" s="15">
        <f t="shared" si="7"/>
        <v>6629</v>
      </c>
      <c r="Z46" s="15">
        <v>36</v>
      </c>
      <c r="AA46" s="15">
        <v>115</v>
      </c>
      <c r="AB46" s="33">
        <f t="shared" si="8"/>
        <v>6478</v>
      </c>
      <c r="AC46" s="29" t="s">
        <v>243</v>
      </c>
      <c r="AD46" s="29" t="str">
        <f>IF(AC46&lt;&gt;"",INDEX('DUN 2021'!$J$3:$J$23,MATCH('UMUR 2021'!AC46,'DUN 2021'!$I$3:$I$23,0),1),"")</f>
        <v>GPS</v>
      </c>
      <c r="AE46" s="33">
        <v>5623</v>
      </c>
      <c r="AF46" s="34">
        <f t="shared" si="9"/>
        <v>0.86801481938870018</v>
      </c>
      <c r="AG46" s="29" t="s">
        <v>251</v>
      </c>
      <c r="AH46" s="29" t="str">
        <f>INDEX('DUN 2021'!$J$3:$J$23,MATCH('UMUR 2021'!AG46,'DUN 2021'!$I$3:$I$23,0),1)</f>
        <v>BEBAS</v>
      </c>
      <c r="AI46" s="33">
        <v>611</v>
      </c>
      <c r="AJ46" s="34">
        <f t="shared" si="10"/>
        <v>9.4319234331583818E-2</v>
      </c>
      <c r="AK46" s="29" t="s">
        <v>254</v>
      </c>
      <c r="AL46" s="29" t="str">
        <f>IF(AK46&lt;&gt;"",INDEX('DUN 2021'!$J$3:$J$23,MATCH('UMUR 2021'!AK46,'DUN 2021'!$I$3:$I$23,0),1),"")</f>
        <v>PH</v>
      </c>
      <c r="AM46" s="33">
        <v>244</v>
      </c>
      <c r="AN46" s="34">
        <f t="shared" si="11"/>
        <v>3.7665946279715964E-2</v>
      </c>
      <c r="AO46" s="29"/>
      <c r="AP46" s="29" t="str">
        <f>IF(AO46&lt;&gt;"",INDEX('DUN 2021'!$J$3:$J$23,MATCH('UMUR 2021'!AO46,'DUN 2021'!$I$3:$I$23,0),1),"")</f>
        <v/>
      </c>
      <c r="AQ46" s="33"/>
      <c r="AR46" s="34" t="str">
        <f t="shared" si="12"/>
        <v/>
      </c>
      <c r="AS46" s="29"/>
      <c r="AT46" s="29" t="str">
        <f>IF(AS46&lt;&gt;"",INDEX('DUN 2021'!$J$3:$J$23,MATCH('UMUR 2021'!AS46,'DUN 2021'!$I$3:$I$23,0),1),"")</f>
        <v/>
      </c>
      <c r="AU46" s="33"/>
      <c r="AV46" s="34" t="str">
        <f t="shared" si="13"/>
        <v/>
      </c>
      <c r="AW46" s="29"/>
      <c r="AX46" s="29" t="str">
        <f>IF(AW46&lt;&gt;"",INDEX('DUN 2021'!$J$3:$J$23,MATCH('UMUR 2021'!AW46,'DUN 2021'!$I$3:$I$23,0),1),"")</f>
        <v/>
      </c>
      <c r="AY46" s="33"/>
      <c r="AZ46" s="34" t="str">
        <f t="shared" si="14"/>
        <v/>
      </c>
      <c r="BA46" s="29"/>
      <c r="BB46" s="29" t="str">
        <f>IF(BA46&lt;&gt;"",INDEX('DUN 2021'!$J$3:$J$23,MATCH('UMUR 2021'!BA46,'DUN 2021'!$I$3:$I$23,0),1),"")</f>
        <v/>
      </c>
      <c r="BC46" s="33"/>
      <c r="BD46" s="34" t="str">
        <f t="shared" si="15"/>
        <v/>
      </c>
      <c r="BE46" s="29"/>
      <c r="BF46" s="29" t="str">
        <f>IF(BE46&lt;&gt;"",INDEX('DUN 2021'!$J$3:$J$23,MATCH('UMUR 2021'!BE46,'DUN 2021'!$I$3:$I$23,0),1),"")</f>
        <v/>
      </c>
      <c r="BG46" s="33"/>
      <c r="BH46" s="34" t="str">
        <f t="shared" si="16"/>
        <v/>
      </c>
    </row>
    <row r="47" spans="1:60">
      <c r="A47" s="13" t="s">
        <v>126</v>
      </c>
      <c r="B47" s="14" t="s">
        <v>128</v>
      </c>
      <c r="C47" s="15">
        <f>'JANTINA 2021'!C47+'JANTINA 2021'!K47</f>
        <v>2333</v>
      </c>
      <c r="D47" s="15">
        <f>'JANTINA 2021'!D47+'JANTINA 2021'!L47</f>
        <v>5208</v>
      </c>
      <c r="E47" s="15">
        <f>'JANTINA 2021'!E47+'JANTINA 2021'!M47</f>
        <v>4906</v>
      </c>
      <c r="F47" s="15">
        <f>'JANTINA 2021'!F47+'JANTINA 2021'!N47</f>
        <v>4727</v>
      </c>
      <c r="G47" s="15">
        <f>'JANTINA 2021'!G47+'JANTINA 2021'!O47</f>
        <v>3863</v>
      </c>
      <c r="H47" s="15">
        <f>'JANTINA 2021'!H47+'JANTINA 2021'!P47</f>
        <v>1752</v>
      </c>
      <c r="I47" s="15">
        <f>'JANTINA 2021'!I47+'JANTINA 2021'!Q47</f>
        <v>585</v>
      </c>
      <c r="J47" s="15">
        <f>'JANTINA 2021'!J47+'JANTINA 2021'!R47</f>
        <v>167</v>
      </c>
      <c r="K47" s="16">
        <f>C47/'JANTINA 2021'!S47</f>
        <v>9.9103691431969759E-2</v>
      </c>
      <c r="L47" s="16">
        <f>D47/'JANTINA 2021'!S47</f>
        <v>0.22123104371097235</v>
      </c>
      <c r="M47" s="16">
        <f>E47/'JANTINA 2021'!S47</f>
        <v>0.20840236183679539</v>
      </c>
      <c r="N47" s="16">
        <f>F47/'JANTINA 2021'!S47</f>
        <v>0.20079860668620705</v>
      </c>
      <c r="O47" s="16">
        <f>G47/'JANTINA 2021'!S47</f>
        <v>0.16409668238392591</v>
      </c>
      <c r="P47" s="16">
        <f>H47/'JANTINA 2021'!S47</f>
        <v>7.4423346501847842E-2</v>
      </c>
      <c r="Q47" s="16">
        <f>I47/'JANTINA 2021'!S47</f>
        <v>2.4850261246336179E-2</v>
      </c>
      <c r="R47" s="16">
        <f t="shared" si="0"/>
        <v>7.0940062019455088E-3</v>
      </c>
      <c r="S47" s="13" t="str">
        <f t="shared" si="1"/>
        <v>30-39</v>
      </c>
      <c r="T47" s="15">
        <f t="shared" si="2"/>
        <v>7541</v>
      </c>
      <c r="U47" s="16">
        <f t="shared" si="3"/>
        <v>0.32033473514294208</v>
      </c>
      <c r="V47" s="15">
        <f t="shared" si="4"/>
        <v>7308</v>
      </c>
      <c r="W47" s="15">
        <f t="shared" si="5"/>
        <v>23541</v>
      </c>
      <c r="X47" s="16">
        <f t="shared" si="6"/>
        <v>0.58977953357971202</v>
      </c>
      <c r="Y47" s="15">
        <f t="shared" si="7"/>
        <v>13884</v>
      </c>
      <c r="Z47" s="15">
        <v>46</v>
      </c>
      <c r="AA47" s="15">
        <v>116</v>
      </c>
      <c r="AB47" s="33">
        <f t="shared" si="8"/>
        <v>13722</v>
      </c>
      <c r="AC47" s="29" t="s">
        <v>239</v>
      </c>
      <c r="AD47" s="29" t="str">
        <f>IF(AC47&lt;&gt;"",INDEX('DUN 2021'!$J$3:$J$23,MATCH('UMUR 2021'!AC47,'DUN 2021'!$I$3:$I$23,0),1),"")</f>
        <v>GPS</v>
      </c>
      <c r="AE47" s="33">
        <v>10038</v>
      </c>
      <c r="AF47" s="34">
        <f t="shared" si="9"/>
        <v>0.73152601661565364</v>
      </c>
      <c r="AG47" s="29" t="s">
        <v>244</v>
      </c>
      <c r="AH47" s="29" t="str">
        <f>INDEX('DUN 2021'!$J$3:$J$23,MATCH('UMUR 2021'!AG47,'DUN 2021'!$I$3:$I$23,0),1)</f>
        <v>PH</v>
      </c>
      <c r="AI47" s="33">
        <v>2730</v>
      </c>
      <c r="AJ47" s="34">
        <f t="shared" si="10"/>
        <v>0.19895059029296022</v>
      </c>
      <c r="AK47" s="29" t="s">
        <v>301</v>
      </c>
      <c r="AL47" s="29" t="str">
        <f>IF(AK47&lt;&gt;"",INDEX('DUN 2021'!$J$3:$J$23,MATCH('UMUR 2021'!AK47,'DUN 2021'!$I$3:$I$23,0),1),"")</f>
        <v>LAIN-LAIN</v>
      </c>
      <c r="AM47" s="33">
        <v>738</v>
      </c>
      <c r="AN47" s="34">
        <f t="shared" si="11"/>
        <v>5.378224748578924E-2</v>
      </c>
      <c r="AO47" s="29" t="s">
        <v>302</v>
      </c>
      <c r="AP47" s="29" t="str">
        <f>IF(AO47&lt;&gt;"",INDEX('DUN 2021'!$J$3:$J$23,MATCH('UMUR 2021'!AO47,'DUN 2021'!$I$3:$I$23,0),1),"")</f>
        <v>LAIN-LAIN</v>
      </c>
      <c r="AQ47" s="33">
        <v>216</v>
      </c>
      <c r="AR47" s="34">
        <f t="shared" si="12"/>
        <v>1.5741145605596852E-2</v>
      </c>
      <c r="AS47" s="29"/>
      <c r="AT47" s="29" t="str">
        <f>IF(AS47&lt;&gt;"",INDEX('DUN 2021'!$J$3:$J$23,MATCH('UMUR 2021'!AS47,'DUN 2021'!$I$3:$I$23,0),1),"")</f>
        <v/>
      </c>
      <c r="AU47" s="33"/>
      <c r="AV47" s="34" t="str">
        <f t="shared" si="13"/>
        <v/>
      </c>
      <c r="AW47" s="29"/>
      <c r="AX47" s="29" t="str">
        <f>IF(AW47&lt;&gt;"",INDEX('DUN 2021'!$J$3:$J$23,MATCH('UMUR 2021'!AW47,'DUN 2021'!$I$3:$I$23,0),1),"")</f>
        <v/>
      </c>
      <c r="AY47" s="33"/>
      <c r="AZ47" s="34" t="str">
        <f t="shared" si="14"/>
        <v/>
      </c>
      <c r="BA47" s="29"/>
      <c r="BB47" s="29" t="str">
        <f>IF(BA47&lt;&gt;"",INDEX('DUN 2021'!$J$3:$J$23,MATCH('UMUR 2021'!BA47,'DUN 2021'!$I$3:$I$23,0),1),"")</f>
        <v/>
      </c>
      <c r="BC47" s="33"/>
      <c r="BD47" s="34" t="str">
        <f t="shared" si="15"/>
        <v/>
      </c>
      <c r="BE47" s="29"/>
      <c r="BF47" s="29" t="str">
        <f>IF(BE47&lt;&gt;"",INDEX('DUN 2021'!$J$3:$J$23,MATCH('UMUR 2021'!BE47,'DUN 2021'!$I$3:$I$23,0),1),"")</f>
        <v/>
      </c>
      <c r="BG47" s="33"/>
      <c r="BH47" s="34" t="str">
        <f t="shared" si="16"/>
        <v/>
      </c>
    </row>
    <row r="48" spans="1:60">
      <c r="A48" s="13" t="s">
        <v>127</v>
      </c>
      <c r="B48" s="14" t="s">
        <v>129</v>
      </c>
      <c r="C48" s="15">
        <f>'JANTINA 2021'!C48+'JANTINA 2021'!K48</f>
        <v>2044</v>
      </c>
      <c r="D48" s="15">
        <f>'JANTINA 2021'!D48+'JANTINA 2021'!L48</f>
        <v>3896</v>
      </c>
      <c r="E48" s="15">
        <f>'JANTINA 2021'!E48+'JANTINA 2021'!M48</f>
        <v>3849</v>
      </c>
      <c r="F48" s="15">
        <f>'JANTINA 2021'!F48+'JANTINA 2021'!N48</f>
        <v>3741</v>
      </c>
      <c r="G48" s="15">
        <f>'JANTINA 2021'!G48+'JANTINA 2021'!O48</f>
        <v>2556</v>
      </c>
      <c r="H48" s="15">
        <f>'JANTINA 2021'!H48+'JANTINA 2021'!P48</f>
        <v>1354</v>
      </c>
      <c r="I48" s="15">
        <f>'JANTINA 2021'!I48+'JANTINA 2021'!Q48</f>
        <v>530</v>
      </c>
      <c r="J48" s="15">
        <f>'JANTINA 2021'!J48+'JANTINA 2021'!R48</f>
        <v>186</v>
      </c>
      <c r="K48" s="16">
        <f>C48/'JANTINA 2021'!S48</f>
        <v>0.11257986340603657</v>
      </c>
      <c r="L48" s="16">
        <f>D48/'JANTINA 2021'!S48</f>
        <v>0.21458471028860981</v>
      </c>
      <c r="M48" s="16">
        <f>E48/'JANTINA 2021'!S48</f>
        <v>0.21199603436880371</v>
      </c>
      <c r="N48" s="16">
        <f>F48/'JANTINA 2021'!S48</f>
        <v>0.2060475875743556</v>
      </c>
      <c r="O48" s="16">
        <f>G48/'JANTINA 2021'!S48</f>
        <v>0.14077990746860541</v>
      </c>
      <c r="P48" s="16">
        <f>H48/'JANTINA 2021'!S48</f>
        <v>7.4575897774840277E-2</v>
      </c>
      <c r="Q48" s="16">
        <f>I48/'JANTINA 2021'!S48</f>
        <v>2.9191451861643535E-2</v>
      </c>
      <c r="R48" s="16">
        <f t="shared" si="0"/>
        <v>1.0244547257105115E-2</v>
      </c>
      <c r="S48" s="13" t="str">
        <f t="shared" si="1"/>
        <v>30-39</v>
      </c>
      <c r="T48" s="15">
        <f t="shared" si="2"/>
        <v>5940</v>
      </c>
      <c r="U48" s="16">
        <f t="shared" si="3"/>
        <v>0.32716457369464641</v>
      </c>
      <c r="V48" s="15">
        <f t="shared" si="4"/>
        <v>3362</v>
      </c>
      <c r="W48" s="15">
        <f t="shared" si="5"/>
        <v>18156</v>
      </c>
      <c r="X48" s="16">
        <f t="shared" si="6"/>
        <v>0.65757876184181541</v>
      </c>
      <c r="Y48" s="15">
        <f t="shared" si="7"/>
        <v>11939</v>
      </c>
      <c r="Z48" s="15">
        <v>34</v>
      </c>
      <c r="AA48" s="15">
        <v>182</v>
      </c>
      <c r="AB48" s="33">
        <f t="shared" si="8"/>
        <v>11723</v>
      </c>
      <c r="AC48" s="29" t="s">
        <v>239</v>
      </c>
      <c r="AD48" s="29" t="str">
        <f>IF(AC48&lt;&gt;"",INDEX('DUN 2021'!$J$3:$J$23,MATCH('UMUR 2021'!AC48,'DUN 2021'!$I$3:$I$23,0),1),"")</f>
        <v>GPS</v>
      </c>
      <c r="AE48" s="33">
        <v>6827</v>
      </c>
      <c r="AF48" s="34">
        <f t="shared" si="9"/>
        <v>0.58235946430094687</v>
      </c>
      <c r="AG48" s="29" t="s">
        <v>252</v>
      </c>
      <c r="AH48" s="29" t="str">
        <f>INDEX('DUN 2021'!$J$3:$J$23,MATCH('UMUR 2021'!AG48,'DUN 2021'!$I$3:$I$23,0),1)</f>
        <v>PSB</v>
      </c>
      <c r="AI48" s="33">
        <v>3465</v>
      </c>
      <c r="AJ48" s="34">
        <f t="shared" si="10"/>
        <v>0.29557280559583726</v>
      </c>
      <c r="AK48" s="29" t="s">
        <v>244</v>
      </c>
      <c r="AL48" s="29" t="str">
        <f>IF(AK48&lt;&gt;"",INDEX('DUN 2021'!$J$3:$J$23,MATCH('UMUR 2021'!AK48,'DUN 2021'!$I$3:$I$23,0),1),"")</f>
        <v>PH</v>
      </c>
      <c r="AM48" s="33">
        <v>809</v>
      </c>
      <c r="AN48" s="34">
        <f t="shared" si="11"/>
        <v>6.9009639170860698E-2</v>
      </c>
      <c r="AO48" s="29" t="s">
        <v>301</v>
      </c>
      <c r="AP48" s="29" t="str">
        <f>IF(AO48&lt;&gt;"",INDEX('DUN 2021'!$J$3:$J$23,MATCH('UMUR 2021'!AO48,'DUN 2021'!$I$3:$I$23,0),1),"")</f>
        <v>LAIN-LAIN</v>
      </c>
      <c r="AQ48" s="33">
        <v>622</v>
      </c>
      <c r="AR48" s="34">
        <f t="shared" si="12"/>
        <v>5.3058090932355202E-2</v>
      </c>
      <c r="AS48" s="29"/>
      <c r="AT48" s="29" t="str">
        <f>IF(AS48&lt;&gt;"",INDEX('DUN 2021'!$J$3:$J$23,MATCH('UMUR 2021'!AS48,'DUN 2021'!$I$3:$I$23,0),1),"")</f>
        <v/>
      </c>
      <c r="AU48" s="33"/>
      <c r="AV48" s="34" t="str">
        <f t="shared" si="13"/>
        <v/>
      </c>
      <c r="AW48" s="29"/>
      <c r="AX48" s="29" t="str">
        <f>IF(AW48&lt;&gt;"",INDEX('DUN 2021'!$J$3:$J$23,MATCH('UMUR 2021'!AW48,'DUN 2021'!$I$3:$I$23,0),1),"")</f>
        <v/>
      </c>
      <c r="AY48" s="33"/>
      <c r="AZ48" s="34" t="str">
        <f t="shared" si="14"/>
        <v/>
      </c>
      <c r="BA48" s="29"/>
      <c r="BB48" s="29" t="str">
        <f>IF(BA48&lt;&gt;"",INDEX('DUN 2021'!$J$3:$J$23,MATCH('UMUR 2021'!BA48,'DUN 2021'!$I$3:$I$23,0),1),"")</f>
        <v/>
      </c>
      <c r="BC48" s="33"/>
      <c r="BD48" s="34" t="str">
        <f t="shared" si="15"/>
        <v/>
      </c>
      <c r="BE48" s="29"/>
      <c r="BF48" s="29" t="str">
        <f>IF(BE48&lt;&gt;"",INDEX('DUN 2021'!$J$3:$J$23,MATCH('UMUR 2021'!BE48,'DUN 2021'!$I$3:$I$23,0),1),"")</f>
        <v/>
      </c>
      <c r="BG48" s="33"/>
      <c r="BH48" s="34" t="str">
        <f t="shared" si="16"/>
        <v/>
      </c>
    </row>
    <row r="49" spans="1:60">
      <c r="A49" s="13" t="s">
        <v>132</v>
      </c>
      <c r="B49" s="14" t="s">
        <v>134</v>
      </c>
      <c r="C49" s="15">
        <f>'JANTINA 2021'!C49+'JANTINA 2021'!K49</f>
        <v>1374</v>
      </c>
      <c r="D49" s="15">
        <f>'JANTINA 2021'!D49+'JANTINA 2021'!L49</f>
        <v>2279</v>
      </c>
      <c r="E49" s="15">
        <f>'JANTINA 2021'!E49+'JANTINA 2021'!M49</f>
        <v>2405</v>
      </c>
      <c r="F49" s="15">
        <f>'JANTINA 2021'!F49+'JANTINA 2021'!N49</f>
        <v>2551</v>
      </c>
      <c r="G49" s="15">
        <f>'JANTINA 2021'!G49+'JANTINA 2021'!O49</f>
        <v>1478</v>
      </c>
      <c r="H49" s="15">
        <f>'JANTINA 2021'!H49+'JANTINA 2021'!P49</f>
        <v>692</v>
      </c>
      <c r="I49" s="15">
        <f>'JANTINA 2021'!I49+'JANTINA 2021'!Q49</f>
        <v>252</v>
      </c>
      <c r="J49" s="15">
        <f>'JANTINA 2021'!J49+'JANTINA 2021'!R49</f>
        <v>123</v>
      </c>
      <c r="K49" s="16">
        <f>C49/'JANTINA 2021'!S49</f>
        <v>0.12318450779989241</v>
      </c>
      <c r="L49" s="16">
        <f>D49/'JANTINA 2021'!S49</f>
        <v>0.20432131970593509</v>
      </c>
      <c r="M49" s="16">
        <f>E49/'JANTINA 2021'!S49</f>
        <v>0.21561771561771562</v>
      </c>
      <c r="N49" s="16">
        <f>F49/'JANTINA 2021'!S49</f>
        <v>0.22870719024565178</v>
      </c>
      <c r="O49" s="16">
        <f>G49/'JANTINA 2021'!S49</f>
        <v>0.13250851712390174</v>
      </c>
      <c r="P49" s="16">
        <f>H49/'JANTINA 2021'!S49</f>
        <v>6.2040523578985117E-2</v>
      </c>
      <c r="Q49" s="16">
        <f>I49/'JANTINA 2021'!S49</f>
        <v>2.2592791823561054E-2</v>
      </c>
      <c r="R49" s="16">
        <f t="shared" si="0"/>
        <v>1.1027434104357144E-2</v>
      </c>
      <c r="S49" s="13" t="str">
        <f t="shared" si="1"/>
        <v>50-59</v>
      </c>
      <c r="T49" s="15">
        <f t="shared" si="2"/>
        <v>3653</v>
      </c>
      <c r="U49" s="16">
        <f t="shared" si="3"/>
        <v>0.32750582750582752</v>
      </c>
      <c r="V49" s="15">
        <f t="shared" si="4"/>
        <v>714</v>
      </c>
      <c r="W49" s="15">
        <f t="shared" si="5"/>
        <v>11154</v>
      </c>
      <c r="X49" s="16">
        <f t="shared" si="6"/>
        <v>0.72252106867491483</v>
      </c>
      <c r="Y49" s="15">
        <f t="shared" si="7"/>
        <v>8059</v>
      </c>
      <c r="Z49" s="15">
        <v>16</v>
      </c>
      <c r="AA49" s="15">
        <v>98</v>
      </c>
      <c r="AB49" s="33">
        <f t="shared" si="8"/>
        <v>7945</v>
      </c>
      <c r="AC49" s="29" t="s">
        <v>243</v>
      </c>
      <c r="AD49" s="29" t="str">
        <f>IF(AC49&lt;&gt;"",INDEX('DUN 2021'!$J$3:$J$23,MATCH('UMUR 2021'!AC49,'DUN 2021'!$I$3:$I$23,0),1),"")</f>
        <v>GPS</v>
      </c>
      <c r="AE49" s="33">
        <v>3268</v>
      </c>
      <c r="AF49" s="34">
        <f t="shared" si="9"/>
        <v>0.41132787916928887</v>
      </c>
      <c r="AG49" s="29" t="s">
        <v>251</v>
      </c>
      <c r="AH49" s="29" t="str">
        <f>INDEX('DUN 2021'!$J$3:$J$23,MATCH('UMUR 2021'!AG49,'DUN 2021'!$I$3:$I$23,0),1)</f>
        <v>BEBAS</v>
      </c>
      <c r="AI49" s="33">
        <v>2554</v>
      </c>
      <c r="AJ49" s="34">
        <f t="shared" si="10"/>
        <v>0.32146003775959725</v>
      </c>
      <c r="AK49" s="29" t="s">
        <v>252</v>
      </c>
      <c r="AL49" s="29" t="str">
        <f>IF(AK49&lt;&gt;"",INDEX('DUN 2021'!$J$3:$J$23,MATCH('UMUR 2021'!AK49,'DUN 2021'!$I$3:$I$23,0),1),"")</f>
        <v>PSB</v>
      </c>
      <c r="AM49" s="33">
        <v>1484</v>
      </c>
      <c r="AN49" s="34">
        <f t="shared" si="11"/>
        <v>0.18678414096916299</v>
      </c>
      <c r="AO49" s="29" t="s">
        <v>251</v>
      </c>
      <c r="AP49" s="29" t="str">
        <f>IF(AO49&lt;&gt;"",INDEX('DUN 2021'!$J$3:$J$23,MATCH('UMUR 2021'!AO49,'DUN 2021'!$I$3:$I$23,0),1),"")</f>
        <v>BEBAS</v>
      </c>
      <c r="AQ49" s="33">
        <v>506</v>
      </c>
      <c r="AR49" s="34">
        <f t="shared" si="12"/>
        <v>6.3687853996224036E-2</v>
      </c>
      <c r="AS49" s="29" t="s">
        <v>301</v>
      </c>
      <c r="AT49" s="29" t="str">
        <f>IF(AS49&lt;&gt;"",INDEX('DUN 2021'!$J$3:$J$23,MATCH('UMUR 2021'!AS49,'DUN 2021'!$I$3:$I$23,0),1),"")</f>
        <v>LAIN-LAIN</v>
      </c>
      <c r="AU49" s="33">
        <v>133</v>
      </c>
      <c r="AV49" s="34">
        <f t="shared" si="13"/>
        <v>1.6740088105726872E-2</v>
      </c>
      <c r="AW49" s="29"/>
      <c r="AX49" s="29" t="str">
        <f>IF(AW49&lt;&gt;"",INDEX('DUN 2021'!$J$3:$J$23,MATCH('UMUR 2021'!AW49,'DUN 2021'!$I$3:$I$23,0),1),"")</f>
        <v/>
      </c>
      <c r="AY49" s="33"/>
      <c r="AZ49" s="34" t="str">
        <f t="shared" si="14"/>
        <v/>
      </c>
      <c r="BA49" s="29"/>
      <c r="BB49" s="29" t="str">
        <f>IF(BA49&lt;&gt;"",INDEX('DUN 2021'!$J$3:$J$23,MATCH('UMUR 2021'!BA49,'DUN 2021'!$I$3:$I$23,0),1),"")</f>
        <v/>
      </c>
      <c r="BC49" s="33"/>
      <c r="BD49" s="34" t="str">
        <f t="shared" si="15"/>
        <v/>
      </c>
      <c r="BE49" s="29"/>
      <c r="BF49" s="29" t="str">
        <f>IF(BE49&lt;&gt;"",INDEX('DUN 2021'!$J$3:$J$23,MATCH('UMUR 2021'!BE49,'DUN 2021'!$I$3:$I$23,0),1),"")</f>
        <v/>
      </c>
      <c r="BG49" s="33"/>
      <c r="BH49" s="34" t="str">
        <f t="shared" si="16"/>
        <v/>
      </c>
    </row>
    <row r="50" spans="1:60">
      <c r="A50" s="13" t="s">
        <v>133</v>
      </c>
      <c r="B50" s="14" t="s">
        <v>135</v>
      </c>
      <c r="C50" s="15">
        <f>'JANTINA 2021'!C50+'JANTINA 2021'!K50</f>
        <v>1589</v>
      </c>
      <c r="D50" s="15">
        <f>'JANTINA 2021'!D50+'JANTINA 2021'!L50</f>
        <v>3063</v>
      </c>
      <c r="E50" s="15">
        <f>'JANTINA 2021'!E50+'JANTINA 2021'!M50</f>
        <v>3386</v>
      </c>
      <c r="F50" s="15">
        <f>'JANTINA 2021'!F50+'JANTINA 2021'!N50</f>
        <v>3060</v>
      </c>
      <c r="G50" s="15">
        <f>'JANTINA 2021'!G50+'JANTINA 2021'!O50</f>
        <v>1870</v>
      </c>
      <c r="H50" s="15">
        <f>'JANTINA 2021'!H50+'JANTINA 2021'!P50</f>
        <v>1063</v>
      </c>
      <c r="I50" s="15">
        <f>'JANTINA 2021'!I50+'JANTINA 2021'!Q50</f>
        <v>426</v>
      </c>
      <c r="J50" s="15">
        <f>'JANTINA 2021'!J50+'JANTINA 2021'!R50</f>
        <v>214</v>
      </c>
      <c r="K50" s="16">
        <f>C50/'JANTINA 2021'!S50</f>
        <v>0.10830890873151114</v>
      </c>
      <c r="L50" s="16">
        <f>D50/'JANTINA 2021'!S50</f>
        <v>0.20877922432008725</v>
      </c>
      <c r="M50" s="16">
        <f>E50/'JANTINA 2021'!S50</f>
        <v>0.23079544679980915</v>
      </c>
      <c r="N50" s="16">
        <f>F50/'JANTINA 2021'!S50</f>
        <v>0.20857473928157591</v>
      </c>
      <c r="O50" s="16">
        <f>G50/'JANTINA 2021'!S50</f>
        <v>0.12746234067207415</v>
      </c>
      <c r="P50" s="16">
        <f>H50/'JANTINA 2021'!S50</f>
        <v>7.2455865312521295E-2</v>
      </c>
      <c r="Q50" s="16">
        <f>I50/'JANTINA 2021'!S50</f>
        <v>2.9036875468611546E-2</v>
      </c>
      <c r="R50" s="16">
        <f t="shared" si="0"/>
        <v>1.4586599413809642E-2</v>
      </c>
      <c r="S50" s="13" t="str">
        <f t="shared" si="1"/>
        <v>40-49</v>
      </c>
      <c r="T50" s="15">
        <f t="shared" si="2"/>
        <v>4652</v>
      </c>
      <c r="U50" s="16">
        <f t="shared" si="3"/>
        <v>0.31708813305159839</v>
      </c>
      <c r="V50" s="15">
        <f t="shared" si="4"/>
        <v>822</v>
      </c>
      <c r="W50" s="15">
        <f t="shared" si="5"/>
        <v>14671</v>
      </c>
      <c r="X50" s="16">
        <f t="shared" si="6"/>
        <v>0.68393429214095836</v>
      </c>
      <c r="Y50" s="15">
        <f t="shared" si="7"/>
        <v>10034</v>
      </c>
      <c r="Z50" s="15">
        <v>30</v>
      </c>
      <c r="AA50" s="15">
        <v>102</v>
      </c>
      <c r="AB50" s="33">
        <f t="shared" si="8"/>
        <v>9902</v>
      </c>
      <c r="AC50" s="29" t="s">
        <v>240</v>
      </c>
      <c r="AD50" s="29" t="str">
        <f>IF(AC50&lt;&gt;"",INDEX('DUN 2021'!$J$3:$J$23,MATCH('UMUR 2021'!AC50,'DUN 2021'!$I$3:$I$23,0),1),"")</f>
        <v>GPS</v>
      </c>
      <c r="AE50" s="33">
        <v>5269</v>
      </c>
      <c r="AF50" s="34">
        <f t="shared" si="9"/>
        <v>0.53211472429812157</v>
      </c>
      <c r="AG50" s="29" t="s">
        <v>252</v>
      </c>
      <c r="AH50" s="29" t="str">
        <f>INDEX('DUN 2021'!$J$3:$J$23,MATCH('UMUR 2021'!AG50,'DUN 2021'!$I$3:$I$23,0),1)</f>
        <v>PSB</v>
      </c>
      <c r="AI50" s="33">
        <v>4447</v>
      </c>
      <c r="AJ50" s="34">
        <f t="shared" si="10"/>
        <v>0.44910119167844881</v>
      </c>
      <c r="AK50" s="29" t="s">
        <v>301</v>
      </c>
      <c r="AL50" s="29" t="str">
        <f>IF(AK50&lt;&gt;"",INDEX('DUN 2021'!$J$3:$J$23,MATCH('UMUR 2021'!AK50,'DUN 2021'!$I$3:$I$23,0),1),"")</f>
        <v>LAIN-LAIN</v>
      </c>
      <c r="AM50" s="33">
        <v>186</v>
      </c>
      <c r="AN50" s="34">
        <f t="shared" si="11"/>
        <v>1.8784084023429608E-2</v>
      </c>
      <c r="AO50" s="29"/>
      <c r="AP50" s="29" t="str">
        <f>IF(AO50&lt;&gt;"",INDEX('DUN 2021'!$J$3:$J$23,MATCH('UMUR 2021'!AO50,'DUN 2021'!$I$3:$I$23,0),1),"")</f>
        <v/>
      </c>
      <c r="AQ50" s="33"/>
      <c r="AR50" s="34" t="str">
        <f t="shared" si="12"/>
        <v/>
      </c>
      <c r="AS50" s="29"/>
      <c r="AT50" s="29" t="str">
        <f>IF(AS50&lt;&gt;"",INDEX('DUN 2021'!$J$3:$J$23,MATCH('UMUR 2021'!AS50,'DUN 2021'!$I$3:$I$23,0),1),"")</f>
        <v/>
      </c>
      <c r="AU50" s="33"/>
      <c r="AV50" s="34" t="str">
        <f t="shared" si="13"/>
        <v/>
      </c>
      <c r="AW50" s="29"/>
      <c r="AX50" s="29" t="str">
        <f>IF(AW50&lt;&gt;"",INDEX('DUN 2021'!$J$3:$J$23,MATCH('UMUR 2021'!AW50,'DUN 2021'!$I$3:$I$23,0),1),"")</f>
        <v/>
      </c>
      <c r="AY50" s="33"/>
      <c r="AZ50" s="34" t="str">
        <f t="shared" si="14"/>
        <v/>
      </c>
      <c r="BA50" s="29"/>
      <c r="BB50" s="29" t="str">
        <f>IF(BA50&lt;&gt;"",INDEX('DUN 2021'!$J$3:$J$23,MATCH('UMUR 2021'!BA50,'DUN 2021'!$I$3:$I$23,0),1),"")</f>
        <v/>
      </c>
      <c r="BC50" s="33"/>
      <c r="BD50" s="34" t="str">
        <f t="shared" si="15"/>
        <v/>
      </c>
      <c r="BE50" s="29"/>
      <c r="BF50" s="29" t="str">
        <f>IF(BE50&lt;&gt;"",INDEX('DUN 2021'!$J$3:$J$23,MATCH('UMUR 2021'!BE50,'DUN 2021'!$I$3:$I$23,0),1),"")</f>
        <v/>
      </c>
      <c r="BG50" s="33"/>
      <c r="BH50" s="34" t="str">
        <f t="shared" si="16"/>
        <v/>
      </c>
    </row>
    <row r="51" spans="1:60">
      <c r="A51" s="13" t="s">
        <v>138</v>
      </c>
      <c r="B51" s="14" t="s">
        <v>140</v>
      </c>
      <c r="C51" s="15">
        <f>'JANTINA 2021'!C51+'JANTINA 2021'!K51</f>
        <v>825</v>
      </c>
      <c r="D51" s="15">
        <f>'JANTINA 2021'!D51+'JANTINA 2021'!L51</f>
        <v>2046</v>
      </c>
      <c r="E51" s="15">
        <f>'JANTINA 2021'!E51+'JANTINA 2021'!M51</f>
        <v>2020</v>
      </c>
      <c r="F51" s="15">
        <f>'JANTINA 2021'!F51+'JANTINA 2021'!N51</f>
        <v>2145</v>
      </c>
      <c r="G51" s="15">
        <f>'JANTINA 2021'!G51+'JANTINA 2021'!O51</f>
        <v>1535</v>
      </c>
      <c r="H51" s="15">
        <f>'JANTINA 2021'!H51+'JANTINA 2021'!P51</f>
        <v>810</v>
      </c>
      <c r="I51" s="15">
        <f>'JANTINA 2021'!I51+'JANTINA 2021'!Q51</f>
        <v>312</v>
      </c>
      <c r="J51" s="15">
        <f>'JANTINA 2021'!J51+'JANTINA 2021'!R51</f>
        <v>160</v>
      </c>
      <c r="K51" s="16">
        <f>C51/'JANTINA 2021'!S51</f>
        <v>8.3730843397949867E-2</v>
      </c>
      <c r="L51" s="16">
        <f>D51/'JANTINA 2021'!S51</f>
        <v>0.20765249162691565</v>
      </c>
      <c r="M51" s="16">
        <f>E51/'JANTINA 2021'!S51</f>
        <v>0.20501370141073785</v>
      </c>
      <c r="N51" s="16">
        <f>F51/'JANTINA 2021'!S51</f>
        <v>0.21770019283466965</v>
      </c>
      <c r="O51" s="16">
        <f>G51/'JANTINA 2021'!S51</f>
        <v>0.15579011468588247</v>
      </c>
      <c r="P51" s="16">
        <f>H51/'JANTINA 2021'!S51</f>
        <v>8.2208464427078048E-2</v>
      </c>
      <c r="Q51" s="16">
        <f>I51/'JANTINA 2021'!S51</f>
        <v>3.1665482594133765E-2</v>
      </c>
      <c r="R51" s="16">
        <f t="shared" si="0"/>
        <v>1.6238709022632636E-2</v>
      </c>
      <c r="S51" s="13" t="str">
        <f t="shared" si="1"/>
        <v>50-59</v>
      </c>
      <c r="T51" s="15">
        <f t="shared" si="2"/>
        <v>2871</v>
      </c>
      <c r="U51" s="16">
        <f t="shared" si="3"/>
        <v>0.29138333502486552</v>
      </c>
      <c r="V51" s="15">
        <f t="shared" si="4"/>
        <v>261</v>
      </c>
      <c r="W51" s="15">
        <f t="shared" si="5"/>
        <v>9853</v>
      </c>
      <c r="X51" s="16">
        <f t="shared" si="6"/>
        <v>0.71501065665279606</v>
      </c>
      <c r="Y51" s="15">
        <f t="shared" si="7"/>
        <v>7045</v>
      </c>
      <c r="Z51" s="15">
        <v>41</v>
      </c>
      <c r="AA51" s="15">
        <v>97</v>
      </c>
      <c r="AB51" s="33">
        <f t="shared" si="8"/>
        <v>6907</v>
      </c>
      <c r="AC51" s="29" t="s">
        <v>249</v>
      </c>
      <c r="AD51" s="29" t="str">
        <f>IF(AC51&lt;&gt;"",INDEX('DUN 2021'!$J$3:$J$23,MATCH('UMUR 2021'!AC51,'DUN 2021'!$I$3:$I$23,0),1),"")</f>
        <v>GPS</v>
      </c>
      <c r="AE51" s="33">
        <v>3193</v>
      </c>
      <c r="AF51" s="34">
        <f t="shared" si="9"/>
        <v>0.46228463877226</v>
      </c>
      <c r="AG51" s="29" t="s">
        <v>252</v>
      </c>
      <c r="AH51" s="29" t="str">
        <f>INDEX('DUN 2021'!$J$3:$J$23,MATCH('UMUR 2021'!AG51,'DUN 2021'!$I$3:$I$23,0),1)</f>
        <v>PSB</v>
      </c>
      <c r="AI51" s="33">
        <v>2932</v>
      </c>
      <c r="AJ51" s="34">
        <f t="shared" si="10"/>
        <v>0.42449688721586798</v>
      </c>
      <c r="AK51" s="29" t="s">
        <v>303</v>
      </c>
      <c r="AL51" s="29" t="str">
        <f>IF(AK51&lt;&gt;"",INDEX('DUN 2021'!$J$3:$J$23,MATCH('UMUR 2021'!AK51,'DUN 2021'!$I$3:$I$23,0),1),"")</f>
        <v>LAIN-LAIN</v>
      </c>
      <c r="AM51" s="33">
        <v>354</v>
      </c>
      <c r="AN51" s="34">
        <f t="shared" si="11"/>
        <v>5.1252352685681193E-2</v>
      </c>
      <c r="AO51" s="29" t="s">
        <v>253</v>
      </c>
      <c r="AP51" s="29" t="str">
        <f>IF(AO51&lt;&gt;"",INDEX('DUN 2021'!$J$3:$J$23,MATCH('UMUR 2021'!AO51,'DUN 2021'!$I$3:$I$23,0),1),"")</f>
        <v>PH</v>
      </c>
      <c r="AQ51" s="33">
        <v>259</v>
      </c>
      <c r="AR51" s="34">
        <f t="shared" si="12"/>
        <v>3.7498190241783698E-2</v>
      </c>
      <c r="AS51" s="29" t="s">
        <v>301</v>
      </c>
      <c r="AT51" s="29" t="str">
        <f>IF(AS51&lt;&gt;"",INDEX('DUN 2021'!$J$3:$J$23,MATCH('UMUR 2021'!AS51,'DUN 2021'!$I$3:$I$23,0),1),"")</f>
        <v>LAIN-LAIN</v>
      </c>
      <c r="AU51" s="33">
        <v>169</v>
      </c>
      <c r="AV51" s="34">
        <f t="shared" si="13"/>
        <v>2.4467931084407122E-2</v>
      </c>
      <c r="AW51" s="29"/>
      <c r="AX51" s="29" t="str">
        <f>IF(AW51&lt;&gt;"",INDEX('DUN 2021'!$J$3:$J$23,MATCH('UMUR 2021'!AW51,'DUN 2021'!$I$3:$I$23,0),1),"")</f>
        <v/>
      </c>
      <c r="AY51" s="33"/>
      <c r="AZ51" s="34" t="str">
        <f t="shared" si="14"/>
        <v/>
      </c>
      <c r="BA51" s="29"/>
      <c r="BB51" s="29" t="str">
        <f>IF(BA51&lt;&gt;"",INDEX('DUN 2021'!$J$3:$J$23,MATCH('UMUR 2021'!BA51,'DUN 2021'!$I$3:$I$23,0),1),"")</f>
        <v/>
      </c>
      <c r="BC51" s="33"/>
      <c r="BD51" s="34" t="str">
        <f t="shared" si="15"/>
        <v/>
      </c>
      <c r="BE51" s="29"/>
      <c r="BF51" s="29" t="str">
        <f>IF(BE51&lt;&gt;"",INDEX('DUN 2021'!$J$3:$J$23,MATCH('UMUR 2021'!BE51,'DUN 2021'!$I$3:$I$23,0),1),"")</f>
        <v/>
      </c>
      <c r="BG51" s="33"/>
      <c r="BH51" s="34" t="str">
        <f t="shared" si="16"/>
        <v/>
      </c>
    </row>
    <row r="52" spans="1:60">
      <c r="A52" s="13" t="s">
        <v>139</v>
      </c>
      <c r="B52" s="14" t="s">
        <v>141</v>
      </c>
      <c r="C52" s="15">
        <f>'JANTINA 2021'!C52+'JANTINA 2021'!K52</f>
        <v>1076</v>
      </c>
      <c r="D52" s="15">
        <f>'JANTINA 2021'!D52+'JANTINA 2021'!L52</f>
        <v>2376</v>
      </c>
      <c r="E52" s="15">
        <f>'JANTINA 2021'!E52+'JANTINA 2021'!M52</f>
        <v>2373</v>
      </c>
      <c r="F52" s="15">
        <f>'JANTINA 2021'!F52+'JANTINA 2021'!N52</f>
        <v>2680</v>
      </c>
      <c r="G52" s="15">
        <f>'JANTINA 2021'!G52+'JANTINA 2021'!O52</f>
        <v>1840</v>
      </c>
      <c r="H52" s="15">
        <f>'JANTINA 2021'!H52+'JANTINA 2021'!P52</f>
        <v>942</v>
      </c>
      <c r="I52" s="15">
        <f>'JANTINA 2021'!I52+'JANTINA 2021'!Q52</f>
        <v>327</v>
      </c>
      <c r="J52" s="15">
        <f>'JANTINA 2021'!J52+'JANTINA 2021'!R52</f>
        <v>149</v>
      </c>
      <c r="K52" s="16">
        <f>C52/'JANTINA 2021'!S52</f>
        <v>9.1473263623225373E-2</v>
      </c>
      <c r="L52" s="16">
        <f>D52/'JANTINA 2021'!S52</f>
        <v>0.20198928844682479</v>
      </c>
      <c r="M52" s="16">
        <f>E52/'JANTINA 2021'!S52</f>
        <v>0.20173425146646265</v>
      </c>
      <c r="N52" s="16">
        <f>F52/'JANTINA 2021'!S52</f>
        <v>0.22783303579018957</v>
      </c>
      <c r="O52" s="16">
        <f>G52/'JANTINA 2021'!S52</f>
        <v>0.15642268128878686</v>
      </c>
      <c r="P52" s="16">
        <f>H52/'JANTINA 2021'!S52</f>
        <v>8.0081611833715885E-2</v>
      </c>
      <c r="Q52" s="16">
        <f>I52/'JANTINA 2021'!S52</f>
        <v>2.7799030859474622E-2</v>
      </c>
      <c r="R52" s="16">
        <f t="shared" si="0"/>
        <v>1.2666836691320234E-2</v>
      </c>
      <c r="S52" s="13" t="str">
        <f t="shared" si="1"/>
        <v>50-59</v>
      </c>
      <c r="T52" s="15">
        <f t="shared" si="2"/>
        <v>3452</v>
      </c>
      <c r="U52" s="16">
        <f t="shared" si="3"/>
        <v>0.29346255207005018</v>
      </c>
      <c r="V52" s="15">
        <f t="shared" si="4"/>
        <v>2089</v>
      </c>
      <c r="W52" s="15">
        <f t="shared" si="5"/>
        <v>11763</v>
      </c>
      <c r="X52" s="16">
        <f t="shared" si="6"/>
        <v>0.6710022953328233</v>
      </c>
      <c r="Y52" s="15">
        <f t="shared" si="7"/>
        <v>7893</v>
      </c>
      <c r="Z52" s="15">
        <v>26</v>
      </c>
      <c r="AA52" s="15">
        <v>124</v>
      </c>
      <c r="AB52" s="33">
        <f t="shared" si="8"/>
        <v>7743</v>
      </c>
      <c r="AC52" s="29" t="s">
        <v>243</v>
      </c>
      <c r="AD52" s="29" t="str">
        <f>IF(AC52&lt;&gt;"",INDEX('DUN 2021'!$J$3:$J$23,MATCH('UMUR 2021'!AC52,'DUN 2021'!$I$3:$I$23,0),1),"")</f>
        <v>GPS</v>
      </c>
      <c r="AE52" s="33">
        <v>4155</v>
      </c>
      <c r="AF52" s="34">
        <f t="shared" si="9"/>
        <v>0.53661371561410309</v>
      </c>
      <c r="AG52" s="29" t="s">
        <v>252</v>
      </c>
      <c r="AH52" s="29" t="str">
        <f>INDEX('DUN 2021'!$J$3:$J$23,MATCH('UMUR 2021'!AG52,'DUN 2021'!$I$3:$I$23,0),1)</f>
        <v>PSB</v>
      </c>
      <c r="AI52" s="33">
        <v>2066</v>
      </c>
      <c r="AJ52" s="34">
        <f t="shared" si="10"/>
        <v>0.26682164535709674</v>
      </c>
      <c r="AK52" s="29" t="s">
        <v>253</v>
      </c>
      <c r="AL52" s="29" t="str">
        <f>IF(AK52&lt;&gt;"",INDEX('DUN 2021'!$J$3:$J$23,MATCH('UMUR 2021'!AK52,'DUN 2021'!$I$3:$I$23,0),1),"")</f>
        <v>PH</v>
      </c>
      <c r="AM52" s="33">
        <v>1267</v>
      </c>
      <c r="AN52" s="34">
        <f t="shared" si="11"/>
        <v>0.16363166731241122</v>
      </c>
      <c r="AO52" s="29" t="s">
        <v>301</v>
      </c>
      <c r="AP52" s="29" t="str">
        <f>IF(AO52&lt;&gt;"",INDEX('DUN 2021'!$J$3:$J$23,MATCH('UMUR 2021'!AO52,'DUN 2021'!$I$3:$I$23,0),1),"")</f>
        <v>LAIN-LAIN</v>
      </c>
      <c r="AQ52" s="33">
        <v>203</v>
      </c>
      <c r="AR52" s="34">
        <f t="shared" si="12"/>
        <v>2.6217228464419477E-2</v>
      </c>
      <c r="AS52" s="29" t="s">
        <v>302</v>
      </c>
      <c r="AT52" s="29" t="str">
        <f>IF(AS52&lt;&gt;"",INDEX('DUN 2021'!$J$3:$J$23,MATCH('UMUR 2021'!AS52,'DUN 2021'!$I$3:$I$23,0),1),"")</f>
        <v>LAIN-LAIN</v>
      </c>
      <c r="AU52" s="33">
        <v>52</v>
      </c>
      <c r="AV52" s="34">
        <f t="shared" si="13"/>
        <v>6.7157432519695205E-3</v>
      </c>
      <c r="AW52" s="29"/>
      <c r="AX52" s="29" t="str">
        <f>IF(AW52&lt;&gt;"",INDEX('DUN 2021'!$J$3:$J$23,MATCH('UMUR 2021'!AW52,'DUN 2021'!$I$3:$I$23,0),1),"")</f>
        <v/>
      </c>
      <c r="AY52" s="33"/>
      <c r="AZ52" s="34" t="str">
        <f t="shared" si="14"/>
        <v/>
      </c>
      <c r="BA52" s="29"/>
      <c r="BB52" s="29" t="str">
        <f>IF(BA52&lt;&gt;"",INDEX('DUN 2021'!$J$3:$J$23,MATCH('UMUR 2021'!BA52,'DUN 2021'!$I$3:$I$23,0),1),"")</f>
        <v/>
      </c>
      <c r="BC52" s="33"/>
      <c r="BD52" s="34" t="str">
        <f t="shared" si="15"/>
        <v/>
      </c>
      <c r="BE52" s="29"/>
      <c r="BF52" s="29" t="str">
        <f>IF(BE52&lt;&gt;"",INDEX('DUN 2021'!$J$3:$J$23,MATCH('UMUR 2021'!BE52,'DUN 2021'!$I$3:$I$23,0),1),"")</f>
        <v/>
      </c>
      <c r="BG52" s="33"/>
      <c r="BH52" s="34" t="str">
        <f t="shared" si="16"/>
        <v/>
      </c>
    </row>
    <row r="53" spans="1:60">
      <c r="A53" s="13" t="s">
        <v>144</v>
      </c>
      <c r="B53" s="14" t="s">
        <v>146</v>
      </c>
      <c r="C53" s="15">
        <f>'JANTINA 2021'!C53+'JANTINA 2021'!K53</f>
        <v>1373</v>
      </c>
      <c r="D53" s="15">
        <f>'JANTINA 2021'!D53+'JANTINA 2021'!L53</f>
        <v>4564</v>
      </c>
      <c r="E53" s="15">
        <f>'JANTINA 2021'!E53+'JANTINA 2021'!M53</f>
        <v>5619</v>
      </c>
      <c r="F53" s="15">
        <f>'JANTINA 2021'!F53+'JANTINA 2021'!N53</f>
        <v>5904</v>
      </c>
      <c r="G53" s="15">
        <f>'JANTINA 2021'!G53+'JANTINA 2021'!O53</f>
        <v>5989</v>
      </c>
      <c r="H53" s="15">
        <f>'JANTINA 2021'!H53+'JANTINA 2021'!P53</f>
        <v>2917</v>
      </c>
      <c r="I53" s="15">
        <f>'JANTINA 2021'!I53+'JANTINA 2021'!Q53</f>
        <v>992</v>
      </c>
      <c r="J53" s="15">
        <f>'JANTINA 2021'!J53+'JANTINA 2021'!R53</f>
        <v>278</v>
      </c>
      <c r="K53" s="16">
        <f>C53/'JANTINA 2021'!S53</f>
        <v>4.9681574757562602E-2</v>
      </c>
      <c r="L53" s="16">
        <f>D53/'JANTINA 2021'!S53</f>
        <v>0.1651469098277609</v>
      </c>
      <c r="M53" s="16">
        <f>E53/'JANTINA 2021'!S53</f>
        <v>0.20332175423360835</v>
      </c>
      <c r="N53" s="16">
        <f>F53/'JANTINA 2021'!S53</f>
        <v>0.21363438992618325</v>
      </c>
      <c r="O53" s="16">
        <f>G53/'JANTINA 2021'!S53</f>
        <v>0.2167100882906354</v>
      </c>
      <c r="P53" s="16">
        <f>H53/'JANTINA 2021'!S53</f>
        <v>0.10555073093067013</v>
      </c>
      <c r="Q53" s="16">
        <f>I53/'JANTINA 2021'!S53</f>
        <v>3.5895209147488782E-2</v>
      </c>
      <c r="R53" s="16">
        <f t="shared" si="0"/>
        <v>1.0059342886090589E-2</v>
      </c>
      <c r="S53" s="13" t="str">
        <f t="shared" si="1"/>
        <v>60-69</v>
      </c>
      <c r="T53" s="15">
        <f t="shared" si="2"/>
        <v>5937</v>
      </c>
      <c r="U53" s="16">
        <f t="shared" si="3"/>
        <v>0.2148284845853235</v>
      </c>
      <c r="V53" s="15">
        <f t="shared" si="4"/>
        <v>874</v>
      </c>
      <c r="W53" s="15">
        <f t="shared" si="5"/>
        <v>27636</v>
      </c>
      <c r="X53" s="16">
        <f t="shared" si="6"/>
        <v>0.49287161673179908</v>
      </c>
      <c r="Y53" s="15">
        <f t="shared" si="7"/>
        <v>13621</v>
      </c>
      <c r="Z53" s="15">
        <v>73</v>
      </c>
      <c r="AA53" s="15">
        <v>144</v>
      </c>
      <c r="AB53" s="33">
        <f t="shared" si="8"/>
        <v>13404</v>
      </c>
      <c r="AC53" s="29" t="s">
        <v>239</v>
      </c>
      <c r="AD53" s="29" t="str">
        <f>IF(AC53&lt;&gt;"",INDEX('DUN 2021'!$J$3:$J$23,MATCH('UMUR 2021'!AC53,'DUN 2021'!$I$3:$I$23,0),1),"")</f>
        <v>GPS</v>
      </c>
      <c r="AE53" s="33">
        <v>4684</v>
      </c>
      <c r="AF53" s="34">
        <f t="shared" si="9"/>
        <v>0.34944792599224112</v>
      </c>
      <c r="AG53" s="29" t="s">
        <v>244</v>
      </c>
      <c r="AH53" s="29" t="str">
        <f>INDEX('DUN 2021'!$J$3:$J$23,MATCH('UMUR 2021'!AG53,'DUN 2021'!$I$3:$I$23,0),1)</f>
        <v>PH</v>
      </c>
      <c r="AI53" s="33">
        <v>3810</v>
      </c>
      <c r="AJ53" s="34">
        <f t="shared" si="10"/>
        <v>0.28424350940017906</v>
      </c>
      <c r="AK53" s="29" t="s">
        <v>301</v>
      </c>
      <c r="AL53" s="29" t="str">
        <f>IF(AK53&lt;&gt;"",INDEX('DUN 2021'!$J$3:$J$23,MATCH('UMUR 2021'!AK53,'DUN 2021'!$I$3:$I$23,0),1),"")</f>
        <v>LAIN-LAIN</v>
      </c>
      <c r="AM53" s="33">
        <v>2598</v>
      </c>
      <c r="AN53" s="34">
        <f t="shared" si="11"/>
        <v>0.19382273948075202</v>
      </c>
      <c r="AO53" s="29" t="s">
        <v>252</v>
      </c>
      <c r="AP53" s="29" t="str">
        <f>IF(AO53&lt;&gt;"",INDEX('DUN 2021'!$J$3:$J$23,MATCH('UMUR 2021'!AO53,'DUN 2021'!$I$3:$I$23,0),1),"")</f>
        <v>PSB</v>
      </c>
      <c r="AQ53" s="33">
        <v>1790</v>
      </c>
      <c r="AR53" s="34">
        <f t="shared" si="12"/>
        <v>0.13354222620113398</v>
      </c>
      <c r="AS53" s="29" t="s">
        <v>251</v>
      </c>
      <c r="AT53" s="29" t="str">
        <f>IF(AS53&lt;&gt;"",INDEX('DUN 2021'!$J$3:$J$23,MATCH('UMUR 2021'!AS53,'DUN 2021'!$I$3:$I$23,0),1),"")</f>
        <v>BEBAS</v>
      </c>
      <c r="AU53" s="33">
        <v>313</v>
      </c>
      <c r="AV53" s="34">
        <f t="shared" si="13"/>
        <v>2.3351238436287676E-2</v>
      </c>
      <c r="AW53" s="29" t="s">
        <v>302</v>
      </c>
      <c r="AX53" s="29" t="str">
        <f>IF(AW53&lt;&gt;"",INDEX('DUN 2021'!$J$3:$J$23,MATCH('UMUR 2021'!AW53,'DUN 2021'!$I$3:$I$23,0),1),"")</f>
        <v>LAIN-LAIN</v>
      </c>
      <c r="AY53" s="33">
        <v>209</v>
      </c>
      <c r="AZ53" s="34">
        <f t="shared" si="14"/>
        <v>1.5592360489406147E-2</v>
      </c>
      <c r="BA53" s="29"/>
      <c r="BB53" s="29" t="str">
        <f>IF(BA53&lt;&gt;"",INDEX('DUN 2021'!$J$3:$J$23,MATCH('UMUR 2021'!BA53,'DUN 2021'!$I$3:$I$23,0),1),"")</f>
        <v/>
      </c>
      <c r="BC53" s="33"/>
      <c r="BD53" s="34" t="str">
        <f t="shared" si="15"/>
        <v/>
      </c>
      <c r="BE53" s="29"/>
      <c r="BF53" s="29" t="str">
        <f>IF(BE53&lt;&gt;"",INDEX('DUN 2021'!$J$3:$J$23,MATCH('UMUR 2021'!BE53,'DUN 2021'!$I$3:$I$23,0),1),"")</f>
        <v/>
      </c>
      <c r="BG53" s="33"/>
      <c r="BH53" s="34" t="str">
        <f t="shared" si="16"/>
        <v/>
      </c>
    </row>
    <row r="54" spans="1:60">
      <c r="A54" s="13" t="s">
        <v>145</v>
      </c>
      <c r="B54" s="14" t="s">
        <v>147</v>
      </c>
      <c r="C54" s="15">
        <f>'JANTINA 2021'!C54+'JANTINA 2021'!K54</f>
        <v>4991</v>
      </c>
      <c r="D54" s="15">
        <f>'JANTINA 2021'!D54+'JANTINA 2021'!L54</f>
        <v>8731</v>
      </c>
      <c r="E54" s="15">
        <f>'JANTINA 2021'!E54+'JANTINA 2021'!M54</f>
        <v>7757</v>
      </c>
      <c r="F54" s="15">
        <f>'JANTINA 2021'!F54+'JANTINA 2021'!N54</f>
        <v>6478</v>
      </c>
      <c r="G54" s="15">
        <f>'JANTINA 2021'!G54+'JANTINA 2021'!O54</f>
        <v>4160</v>
      </c>
      <c r="H54" s="15">
        <f>'JANTINA 2021'!H54+'JANTINA 2021'!P54</f>
        <v>1952</v>
      </c>
      <c r="I54" s="15">
        <f>'JANTINA 2021'!I54+'JANTINA 2021'!Q54</f>
        <v>629</v>
      </c>
      <c r="J54" s="15">
        <f>'JANTINA 2021'!J54+'JANTINA 2021'!R54</f>
        <v>257</v>
      </c>
      <c r="K54" s="16">
        <f>C54/'JANTINA 2021'!S54</f>
        <v>0.14278357888714061</v>
      </c>
      <c r="L54" s="16">
        <f>D54/'JANTINA 2021'!S54</f>
        <v>0.24977828636818766</v>
      </c>
      <c r="M54" s="16">
        <f>E54/'JANTINA 2021'!S54</f>
        <v>0.22191388928622516</v>
      </c>
      <c r="N54" s="16">
        <f>F54/'JANTINA 2021'!S54</f>
        <v>0.18532398798455157</v>
      </c>
      <c r="O54" s="16">
        <f>G54/'JANTINA 2021'!S54</f>
        <v>0.11901015591474753</v>
      </c>
      <c r="P54" s="16">
        <f>H54/'JANTINA 2021'!S54</f>
        <v>5.5843227006150763E-2</v>
      </c>
      <c r="Q54" s="16">
        <f>I54/'JANTINA 2021'!S54</f>
        <v>1.7994564439994278E-2</v>
      </c>
      <c r="R54" s="16">
        <f t="shared" si="0"/>
        <v>7.3523101130025074E-3</v>
      </c>
      <c r="S54" s="13" t="str">
        <f t="shared" si="1"/>
        <v>30-39</v>
      </c>
      <c r="T54" s="15">
        <f t="shared" si="2"/>
        <v>13722</v>
      </c>
      <c r="U54" s="16">
        <f t="shared" si="3"/>
        <v>0.39256186525532827</v>
      </c>
      <c r="V54" s="15">
        <f t="shared" si="4"/>
        <v>5806</v>
      </c>
      <c r="W54" s="15">
        <f t="shared" si="5"/>
        <v>34955</v>
      </c>
      <c r="X54" s="16">
        <f t="shared" si="6"/>
        <v>0.58232012587612647</v>
      </c>
      <c r="Y54" s="15">
        <f t="shared" si="7"/>
        <v>20355</v>
      </c>
      <c r="Z54" s="15">
        <v>72</v>
      </c>
      <c r="AA54" s="15">
        <v>298</v>
      </c>
      <c r="AB54" s="33">
        <f t="shared" si="8"/>
        <v>19985</v>
      </c>
      <c r="AC54" s="29" t="s">
        <v>240</v>
      </c>
      <c r="AD54" s="29" t="str">
        <f>IF(AC54&lt;&gt;"",INDEX('DUN 2021'!$J$3:$J$23,MATCH('UMUR 2021'!AC54,'DUN 2021'!$I$3:$I$23,0),1),"")</f>
        <v>GPS</v>
      </c>
      <c r="AE54" s="33">
        <v>9390</v>
      </c>
      <c r="AF54" s="34">
        <f t="shared" si="9"/>
        <v>0.46985238929196899</v>
      </c>
      <c r="AG54" s="29" t="s">
        <v>252</v>
      </c>
      <c r="AH54" s="29" t="str">
        <f>INDEX('DUN 2021'!$J$3:$J$23,MATCH('UMUR 2021'!AG54,'DUN 2021'!$I$3:$I$23,0),1)</f>
        <v>PSB</v>
      </c>
      <c r="AI54" s="33">
        <v>3584</v>
      </c>
      <c r="AJ54" s="34">
        <f t="shared" si="10"/>
        <v>0.17933450087565675</v>
      </c>
      <c r="AK54" s="29" t="s">
        <v>244</v>
      </c>
      <c r="AL54" s="29" t="str">
        <f>IF(AK54&lt;&gt;"",INDEX('DUN 2021'!$J$3:$J$23,MATCH('UMUR 2021'!AK54,'DUN 2021'!$I$3:$I$23,0),1),"")</f>
        <v>PH</v>
      </c>
      <c r="AM54" s="33">
        <v>2724</v>
      </c>
      <c r="AN54" s="34">
        <f t="shared" si="11"/>
        <v>0.1363022266700025</v>
      </c>
      <c r="AO54" s="29" t="s">
        <v>301</v>
      </c>
      <c r="AP54" s="29" t="str">
        <f>IF(AO54&lt;&gt;"",INDEX('DUN 2021'!$J$3:$J$23,MATCH('UMUR 2021'!AO54,'DUN 2021'!$I$3:$I$23,0),1),"")</f>
        <v>LAIN-LAIN</v>
      </c>
      <c r="AQ54" s="33">
        <v>1779</v>
      </c>
      <c r="AR54" s="34">
        <f t="shared" si="12"/>
        <v>8.9016762571928948E-2</v>
      </c>
      <c r="AS54" s="29" t="s">
        <v>251</v>
      </c>
      <c r="AT54" s="29" t="str">
        <f>IF(AS54&lt;&gt;"",INDEX('DUN 2021'!$J$3:$J$23,MATCH('UMUR 2021'!AS54,'DUN 2021'!$I$3:$I$23,0),1),"")</f>
        <v>BEBAS</v>
      </c>
      <c r="AU54" s="33">
        <v>1178</v>
      </c>
      <c r="AV54" s="34">
        <f t="shared" si="13"/>
        <v>5.8944208156117089E-2</v>
      </c>
      <c r="AW54" s="29" t="s">
        <v>303</v>
      </c>
      <c r="AX54" s="29" t="str">
        <f>IF(AW54&lt;&gt;"",INDEX('DUN 2021'!$J$3:$J$23,MATCH('UMUR 2021'!AW54,'DUN 2021'!$I$3:$I$23,0),1),"")</f>
        <v>LAIN-LAIN</v>
      </c>
      <c r="AY54" s="33">
        <v>893</v>
      </c>
      <c r="AZ54" s="34">
        <f t="shared" si="14"/>
        <v>4.4683512634475855E-2</v>
      </c>
      <c r="BA54" s="29" t="s">
        <v>251</v>
      </c>
      <c r="BB54" s="29" t="str">
        <f>IF(BA54&lt;&gt;"",INDEX('DUN 2021'!$J$3:$J$23,MATCH('UMUR 2021'!BA54,'DUN 2021'!$I$3:$I$23,0),1),"")</f>
        <v>BEBAS</v>
      </c>
      <c r="BC54" s="33">
        <v>225</v>
      </c>
      <c r="BD54" s="34">
        <f t="shared" si="15"/>
        <v>1.1258443832874656E-2</v>
      </c>
      <c r="BE54" s="29" t="s">
        <v>251</v>
      </c>
      <c r="BF54" s="29" t="str">
        <f>IF(BE54&lt;&gt;"",INDEX('DUN 2021'!$J$3:$J$23,MATCH('UMUR 2021'!BE54,'DUN 2021'!$I$3:$I$23,0),1),"")</f>
        <v>BEBAS</v>
      </c>
      <c r="BG54" s="33">
        <v>212</v>
      </c>
      <c r="BH54" s="34">
        <f t="shared" si="16"/>
        <v>1.0607955966975231E-2</v>
      </c>
    </row>
    <row r="55" spans="1:60">
      <c r="A55" s="13" t="s">
        <v>150</v>
      </c>
      <c r="B55" s="14" t="s">
        <v>153</v>
      </c>
      <c r="C55" s="15">
        <f>'JANTINA 2021'!C55+'JANTINA 2021'!K55</f>
        <v>2182</v>
      </c>
      <c r="D55" s="15">
        <f>'JANTINA 2021'!D55+'JANTINA 2021'!L55</f>
        <v>3649</v>
      </c>
      <c r="E55" s="15">
        <f>'JANTINA 2021'!E55+'JANTINA 2021'!M55</f>
        <v>3475</v>
      </c>
      <c r="F55" s="15">
        <f>'JANTINA 2021'!F55+'JANTINA 2021'!N55</f>
        <v>4249</v>
      </c>
      <c r="G55" s="15">
        <f>'JANTINA 2021'!G55+'JANTINA 2021'!O55</f>
        <v>3475</v>
      </c>
      <c r="H55" s="15">
        <f>'JANTINA 2021'!H55+'JANTINA 2021'!P55</f>
        <v>1695</v>
      </c>
      <c r="I55" s="15">
        <f>'JANTINA 2021'!I55+'JANTINA 2021'!Q55</f>
        <v>672</v>
      </c>
      <c r="J55" s="15">
        <f>'JANTINA 2021'!J55+'JANTINA 2021'!R55</f>
        <v>253</v>
      </c>
      <c r="K55" s="16">
        <f>C55/'JANTINA 2021'!S55</f>
        <v>0.11104325699745547</v>
      </c>
      <c r="L55" s="16">
        <f>D55/'JANTINA 2021'!S55</f>
        <v>0.1856997455470738</v>
      </c>
      <c r="M55" s="16">
        <f>E55/'JANTINA 2021'!S55</f>
        <v>0.17684478371501272</v>
      </c>
      <c r="N55" s="16">
        <f>F55/'JANTINA 2021'!S55</f>
        <v>0.21623409669211197</v>
      </c>
      <c r="O55" s="16">
        <f>G55/'JANTINA 2021'!S55</f>
        <v>0.17684478371501272</v>
      </c>
      <c r="P55" s="16">
        <f>H55/'JANTINA 2021'!S55</f>
        <v>8.6259541984732818E-2</v>
      </c>
      <c r="Q55" s="16">
        <f>I55/'JANTINA 2021'!S55</f>
        <v>3.419847328244275E-2</v>
      </c>
      <c r="R55" s="16">
        <f t="shared" si="0"/>
        <v>1.2875318066157847E-2</v>
      </c>
      <c r="S55" s="13" t="str">
        <f t="shared" si="1"/>
        <v>50-59</v>
      </c>
      <c r="T55" s="15">
        <f t="shared" si="2"/>
        <v>5831</v>
      </c>
      <c r="U55" s="16">
        <f t="shared" si="3"/>
        <v>0.29674300254452929</v>
      </c>
      <c r="V55" s="15">
        <f t="shared" si="4"/>
        <v>913</v>
      </c>
      <c r="W55" s="15">
        <f t="shared" si="5"/>
        <v>19650</v>
      </c>
      <c r="X55" s="16">
        <f t="shared" si="6"/>
        <v>0.7100254452926209</v>
      </c>
      <c r="Y55" s="15">
        <f t="shared" si="7"/>
        <v>13952</v>
      </c>
      <c r="Z55" s="15">
        <v>23</v>
      </c>
      <c r="AA55" s="15">
        <v>166</v>
      </c>
      <c r="AB55" s="33">
        <f t="shared" si="8"/>
        <v>13763</v>
      </c>
      <c r="AC55" s="29" t="s">
        <v>252</v>
      </c>
      <c r="AD55" s="29" t="str">
        <f>IF(AC55&lt;&gt;"",INDEX('DUN 2021'!$J$3:$J$23,MATCH('UMUR 2021'!AC55,'DUN 2021'!$I$3:$I$23,0),1),"")</f>
        <v>PSB</v>
      </c>
      <c r="AE55" s="33">
        <v>5952</v>
      </c>
      <c r="AF55" s="34">
        <f t="shared" si="9"/>
        <v>0.43246385235777085</v>
      </c>
      <c r="AG55" s="29" t="s">
        <v>239</v>
      </c>
      <c r="AH55" s="29" t="str">
        <f>INDEX('DUN 2021'!$J$3:$J$23,MATCH('UMUR 2021'!AG55,'DUN 2021'!$I$3:$I$23,0),1)</f>
        <v>GPS</v>
      </c>
      <c r="AI55" s="33">
        <v>5039</v>
      </c>
      <c r="AJ55" s="34">
        <f t="shared" si="10"/>
        <v>0.36612657124173509</v>
      </c>
      <c r="AK55" s="29" t="s">
        <v>244</v>
      </c>
      <c r="AL55" s="29" t="str">
        <f>IF(AK55&lt;&gt;"",INDEX('DUN 2021'!$J$3:$J$23,MATCH('UMUR 2021'!AK55,'DUN 2021'!$I$3:$I$23,0),1),"")</f>
        <v>PH</v>
      </c>
      <c r="AM55" s="33">
        <v>1173</v>
      </c>
      <c r="AN55" s="34">
        <f t="shared" si="11"/>
        <v>8.5228511225750203E-2</v>
      </c>
      <c r="AO55" s="29" t="s">
        <v>301</v>
      </c>
      <c r="AP55" s="29" t="str">
        <f>IF(AO55&lt;&gt;"",INDEX('DUN 2021'!$J$3:$J$23,MATCH('UMUR 2021'!AO55,'DUN 2021'!$I$3:$I$23,0),1),"")</f>
        <v>LAIN-LAIN</v>
      </c>
      <c r="AQ55" s="33">
        <v>954</v>
      </c>
      <c r="AR55" s="34">
        <f t="shared" si="12"/>
        <v>6.931628278718302E-2</v>
      </c>
      <c r="AS55" s="29" t="s">
        <v>251</v>
      </c>
      <c r="AT55" s="29" t="str">
        <f>IF(AS55&lt;&gt;"",INDEX('DUN 2021'!$J$3:$J$23,MATCH('UMUR 2021'!AS55,'DUN 2021'!$I$3:$I$23,0),1),"")</f>
        <v>BEBAS</v>
      </c>
      <c r="AU55" s="33">
        <v>645</v>
      </c>
      <c r="AV55" s="34">
        <f t="shared" si="13"/>
        <v>4.6864782387560852E-2</v>
      </c>
      <c r="AW55" s="29"/>
      <c r="AX55" s="29" t="str">
        <f>IF(AW55&lt;&gt;"",INDEX('DUN 2021'!$J$3:$J$23,MATCH('UMUR 2021'!AW55,'DUN 2021'!$I$3:$I$23,0),1),"")</f>
        <v/>
      </c>
      <c r="AY55" s="33"/>
      <c r="AZ55" s="34" t="str">
        <f t="shared" si="14"/>
        <v/>
      </c>
      <c r="BA55" s="29"/>
      <c r="BB55" s="29" t="str">
        <f>IF(BA55&lt;&gt;"",INDEX('DUN 2021'!$J$3:$J$23,MATCH('UMUR 2021'!BA55,'DUN 2021'!$I$3:$I$23,0),1),"")</f>
        <v/>
      </c>
      <c r="BC55" s="33"/>
      <c r="BD55" s="34" t="str">
        <f t="shared" si="15"/>
        <v/>
      </c>
      <c r="BE55" s="29"/>
      <c r="BF55" s="29" t="str">
        <f>IF(BE55&lt;&gt;"",INDEX('DUN 2021'!$J$3:$J$23,MATCH('UMUR 2021'!BE55,'DUN 2021'!$I$3:$I$23,0),1),"")</f>
        <v/>
      </c>
      <c r="BG55" s="33"/>
      <c r="BH55" s="34" t="str">
        <f t="shared" si="16"/>
        <v/>
      </c>
    </row>
    <row r="56" spans="1:60">
      <c r="A56" s="13" t="s">
        <v>151</v>
      </c>
      <c r="B56" s="14" t="s">
        <v>154</v>
      </c>
      <c r="C56" s="15">
        <f>'JANTINA 2021'!C56+'JANTINA 2021'!K56</f>
        <v>3192</v>
      </c>
      <c r="D56" s="15">
        <f>'JANTINA 2021'!D56+'JANTINA 2021'!L56</f>
        <v>8596</v>
      </c>
      <c r="E56" s="15">
        <f>'JANTINA 2021'!E56+'JANTINA 2021'!M56</f>
        <v>8317</v>
      </c>
      <c r="F56" s="15">
        <f>'JANTINA 2021'!F56+'JANTINA 2021'!N56</f>
        <v>6851</v>
      </c>
      <c r="G56" s="15">
        <f>'JANTINA 2021'!G56+'JANTINA 2021'!O56</f>
        <v>4741</v>
      </c>
      <c r="H56" s="15">
        <f>'JANTINA 2021'!H56+'JANTINA 2021'!P56</f>
        <v>1967</v>
      </c>
      <c r="I56" s="15">
        <f>'JANTINA 2021'!I56+'JANTINA 2021'!Q56</f>
        <v>661</v>
      </c>
      <c r="J56" s="15">
        <f>'JANTINA 2021'!J56+'JANTINA 2021'!R56</f>
        <v>141</v>
      </c>
      <c r="K56" s="16">
        <f>C56/'JANTINA 2021'!S56</f>
        <v>9.2613009922822495E-2</v>
      </c>
      <c r="L56" s="16">
        <f>D56/'JANTINA 2021'!S56</f>
        <v>0.24940521093251319</v>
      </c>
      <c r="M56" s="16">
        <f>E56/'JANTINA 2021'!S56</f>
        <v>0.24131027679452213</v>
      </c>
      <c r="N56" s="16">
        <f>F56/'JANTINA 2021'!S56</f>
        <v>0.19877560494400279</v>
      </c>
      <c r="O56" s="16">
        <f>G56/'JANTINA 2021'!S56</f>
        <v>0.13755585214414207</v>
      </c>
      <c r="P56" s="16">
        <f>H56/'JANTINA 2021'!S56</f>
        <v>5.7070736377879648E-2</v>
      </c>
      <c r="Q56" s="16">
        <f>I56/'JANTINA 2021'!S56</f>
        <v>1.9178320663842629E-2</v>
      </c>
      <c r="R56" s="16">
        <f t="shared" si="0"/>
        <v>4.0909882202750346E-3</v>
      </c>
      <c r="S56" s="13" t="str">
        <f t="shared" si="1"/>
        <v>30-39</v>
      </c>
      <c r="T56" s="15">
        <f t="shared" si="2"/>
        <v>11788</v>
      </c>
      <c r="U56" s="16">
        <f t="shared" si="3"/>
        <v>0.34201822085533568</v>
      </c>
      <c r="V56" s="15">
        <f t="shared" si="4"/>
        <v>100</v>
      </c>
      <c r="W56" s="15">
        <f t="shared" si="5"/>
        <v>34466</v>
      </c>
      <c r="X56" s="16">
        <f t="shared" si="6"/>
        <v>0.47298787210584342</v>
      </c>
      <c r="Y56" s="15">
        <f t="shared" si="7"/>
        <v>16302</v>
      </c>
      <c r="Z56" s="15">
        <v>263</v>
      </c>
      <c r="AA56" s="15">
        <v>108</v>
      </c>
      <c r="AB56" s="33">
        <f t="shared" si="8"/>
        <v>15931</v>
      </c>
      <c r="AC56" s="29" t="s">
        <v>239</v>
      </c>
      <c r="AD56" s="29" t="str">
        <f>IF(AC56&lt;&gt;"",INDEX('DUN 2021'!$J$3:$J$23,MATCH('UMUR 2021'!AC56,'DUN 2021'!$I$3:$I$23,0),1),"")</f>
        <v>GPS</v>
      </c>
      <c r="AE56" s="33">
        <v>4413</v>
      </c>
      <c r="AF56" s="34">
        <f t="shared" si="9"/>
        <v>0.27700709308894605</v>
      </c>
      <c r="AG56" s="29" t="s">
        <v>244</v>
      </c>
      <c r="AH56" s="29" t="str">
        <f>INDEX('DUN 2021'!$J$3:$J$23,MATCH('UMUR 2021'!AG56,'DUN 2021'!$I$3:$I$23,0),1)</f>
        <v>PH</v>
      </c>
      <c r="AI56" s="33">
        <v>4313</v>
      </c>
      <c r="AJ56" s="34">
        <f t="shared" si="10"/>
        <v>0.27073002322515849</v>
      </c>
      <c r="AK56" s="29" t="s">
        <v>252</v>
      </c>
      <c r="AL56" s="29" t="str">
        <f>IF(AK56&lt;&gt;"",INDEX('DUN 2021'!$J$3:$J$23,MATCH('UMUR 2021'!AK56,'DUN 2021'!$I$3:$I$23,0),1),"")</f>
        <v>PSB</v>
      </c>
      <c r="AM56" s="33">
        <v>3757</v>
      </c>
      <c r="AN56" s="34">
        <f t="shared" si="11"/>
        <v>0.23582951478249953</v>
      </c>
      <c r="AO56" s="29" t="s">
        <v>301</v>
      </c>
      <c r="AP56" s="29" t="str">
        <f>IF(AO56&lt;&gt;"",INDEX('DUN 2021'!$J$3:$J$23,MATCH('UMUR 2021'!AO56,'DUN 2021'!$I$3:$I$23,0),1),"")</f>
        <v>LAIN-LAIN</v>
      </c>
      <c r="AQ56" s="33">
        <v>3146</v>
      </c>
      <c r="AR56" s="34">
        <f t="shared" si="12"/>
        <v>0.1974766179147574</v>
      </c>
      <c r="AS56" s="29" t="s">
        <v>302</v>
      </c>
      <c r="AT56" s="29" t="str">
        <f>IF(AS56&lt;&gt;"",INDEX('DUN 2021'!$J$3:$J$23,MATCH('UMUR 2021'!AS56,'DUN 2021'!$I$3:$I$23,0),1),"")</f>
        <v>LAIN-LAIN</v>
      </c>
      <c r="AU56" s="33">
        <v>302</v>
      </c>
      <c r="AV56" s="34">
        <f t="shared" si="13"/>
        <v>1.8956750988638502E-2</v>
      </c>
      <c r="AW56" s="29"/>
      <c r="AX56" s="29" t="str">
        <f>IF(AW56&lt;&gt;"",INDEX('DUN 2021'!$J$3:$J$23,MATCH('UMUR 2021'!AW56,'DUN 2021'!$I$3:$I$23,0),1),"")</f>
        <v/>
      </c>
      <c r="AY56" s="33"/>
      <c r="AZ56" s="34" t="str">
        <f t="shared" si="14"/>
        <v/>
      </c>
      <c r="BA56" s="29"/>
      <c r="BB56" s="29" t="str">
        <f>IF(BA56&lt;&gt;"",INDEX('DUN 2021'!$J$3:$J$23,MATCH('UMUR 2021'!BA56,'DUN 2021'!$I$3:$I$23,0),1),"")</f>
        <v/>
      </c>
      <c r="BC56" s="33"/>
      <c r="BD56" s="34" t="str">
        <f t="shared" si="15"/>
        <v/>
      </c>
      <c r="BE56" s="29"/>
      <c r="BF56" s="29" t="str">
        <f>IF(BE56&lt;&gt;"",INDEX('DUN 2021'!$J$3:$J$23,MATCH('UMUR 2021'!BE56,'DUN 2021'!$I$3:$I$23,0),1),"")</f>
        <v/>
      </c>
      <c r="BG56" s="33"/>
      <c r="BH56" s="34" t="str">
        <f t="shared" si="16"/>
        <v/>
      </c>
    </row>
    <row r="57" spans="1:60">
      <c r="A57" s="13" t="s">
        <v>152</v>
      </c>
      <c r="B57" s="14" t="s">
        <v>155</v>
      </c>
      <c r="C57" s="15">
        <f>'JANTINA 2021'!C57+'JANTINA 2021'!K57</f>
        <v>4151</v>
      </c>
      <c r="D57" s="15">
        <f>'JANTINA 2021'!D57+'JANTINA 2021'!L57</f>
        <v>6155</v>
      </c>
      <c r="E57" s="15">
        <f>'JANTINA 2021'!E57+'JANTINA 2021'!M57</f>
        <v>5039</v>
      </c>
      <c r="F57" s="15">
        <f>'JANTINA 2021'!F57+'JANTINA 2021'!N57</f>
        <v>3579</v>
      </c>
      <c r="G57" s="15">
        <f>'JANTINA 2021'!G57+'JANTINA 2021'!O57</f>
        <v>2485</v>
      </c>
      <c r="H57" s="15">
        <f>'JANTINA 2021'!H57+'JANTINA 2021'!P57</f>
        <v>1169</v>
      </c>
      <c r="I57" s="15">
        <f>'JANTINA 2021'!I57+'JANTINA 2021'!Q57</f>
        <v>372</v>
      </c>
      <c r="J57" s="15">
        <f>'JANTINA 2021'!J57+'JANTINA 2021'!R57</f>
        <v>142</v>
      </c>
      <c r="K57" s="16">
        <f>C57/'JANTINA 2021'!S57</f>
        <v>0.17975922397367053</v>
      </c>
      <c r="L57" s="16">
        <f>D57/'JANTINA 2021'!S57</f>
        <v>0.26654252554997404</v>
      </c>
      <c r="M57" s="16">
        <f>E57/'JANTINA 2021'!S57</f>
        <v>0.21821410012125411</v>
      </c>
      <c r="N57" s="16">
        <f>F57/'JANTINA 2021'!S57</f>
        <v>0.15498874068941626</v>
      </c>
      <c r="O57" s="16">
        <f>G57/'JANTINA 2021'!S57</f>
        <v>0.10761302615624459</v>
      </c>
      <c r="P57" s="16">
        <f>H57/'JANTINA 2021'!S57</f>
        <v>5.0623592586177033E-2</v>
      </c>
      <c r="Q57" s="16">
        <f>I57/'JANTINA 2021'!S57</f>
        <v>1.6109475142906636E-2</v>
      </c>
      <c r="R57" s="16">
        <f t="shared" si="0"/>
        <v>6.1493157803568579E-3</v>
      </c>
      <c r="S57" s="13" t="str">
        <f t="shared" si="1"/>
        <v>30-39</v>
      </c>
      <c r="T57" s="15">
        <f t="shared" si="2"/>
        <v>10306</v>
      </c>
      <c r="U57" s="16">
        <f t="shared" si="3"/>
        <v>0.44630174952364454</v>
      </c>
      <c r="V57" s="15">
        <f t="shared" si="4"/>
        <v>10804</v>
      </c>
      <c r="W57" s="15">
        <f t="shared" si="5"/>
        <v>23092</v>
      </c>
      <c r="X57" s="16">
        <f t="shared" si="6"/>
        <v>0.63030486748657544</v>
      </c>
      <c r="Y57" s="15">
        <f t="shared" si="7"/>
        <v>14555</v>
      </c>
      <c r="Z57" s="15">
        <v>56</v>
      </c>
      <c r="AA57" s="15">
        <v>158</v>
      </c>
      <c r="AB57" s="33">
        <f t="shared" si="8"/>
        <v>14341</v>
      </c>
      <c r="AC57" s="29" t="s">
        <v>243</v>
      </c>
      <c r="AD57" s="29" t="str">
        <f>IF(AC57&lt;&gt;"",INDEX('DUN 2021'!$J$3:$J$23,MATCH('UMUR 2021'!AC57,'DUN 2021'!$I$3:$I$23,0),1),"")</f>
        <v>GPS</v>
      </c>
      <c r="AE57" s="33">
        <v>12059</v>
      </c>
      <c r="AF57" s="34">
        <f t="shared" si="9"/>
        <v>0.84087581061292793</v>
      </c>
      <c r="AG57" s="29" t="s">
        <v>252</v>
      </c>
      <c r="AH57" s="29" t="str">
        <f>INDEX('DUN 2021'!$J$3:$J$23,MATCH('UMUR 2021'!AG57,'DUN 2021'!$I$3:$I$23,0),1)</f>
        <v>PSB</v>
      </c>
      <c r="AI57" s="33">
        <v>1255</v>
      </c>
      <c r="AJ57" s="34">
        <f t="shared" si="10"/>
        <v>8.7511331148455482E-2</v>
      </c>
      <c r="AK57" s="29" t="s">
        <v>301</v>
      </c>
      <c r="AL57" s="29" t="str">
        <f>IF(AK57&lt;&gt;"",INDEX('DUN 2021'!$J$3:$J$23,MATCH('UMUR 2021'!AK57,'DUN 2021'!$I$3:$I$23,0),1),"")</f>
        <v>LAIN-LAIN</v>
      </c>
      <c r="AM57" s="33">
        <v>1027</v>
      </c>
      <c r="AN57" s="34">
        <f t="shared" si="11"/>
        <v>7.1612858238616559E-2</v>
      </c>
      <c r="AO57" s="29"/>
      <c r="AP57" s="29" t="str">
        <f>IF(AO57&lt;&gt;"",INDEX('DUN 2021'!$J$3:$J$23,MATCH('UMUR 2021'!AO57,'DUN 2021'!$I$3:$I$23,0),1),"")</f>
        <v/>
      </c>
      <c r="AQ57" s="33"/>
      <c r="AR57" s="34" t="str">
        <f t="shared" si="12"/>
        <v/>
      </c>
      <c r="AS57" s="29"/>
      <c r="AT57" s="29" t="str">
        <f>IF(AS57&lt;&gt;"",INDEX('DUN 2021'!$J$3:$J$23,MATCH('UMUR 2021'!AS57,'DUN 2021'!$I$3:$I$23,0),1),"")</f>
        <v/>
      </c>
      <c r="AU57" s="33"/>
      <c r="AV57" s="34" t="str">
        <f t="shared" si="13"/>
        <v/>
      </c>
      <c r="AW57" s="29"/>
      <c r="AX57" s="29" t="str">
        <f>IF(AW57&lt;&gt;"",INDEX('DUN 2021'!$J$3:$J$23,MATCH('UMUR 2021'!AW57,'DUN 2021'!$I$3:$I$23,0),1),"")</f>
        <v/>
      </c>
      <c r="AY57" s="33"/>
      <c r="AZ57" s="34" t="str">
        <f t="shared" si="14"/>
        <v/>
      </c>
      <c r="BA57" s="29"/>
      <c r="BB57" s="29" t="str">
        <f>IF(BA57&lt;&gt;"",INDEX('DUN 2021'!$J$3:$J$23,MATCH('UMUR 2021'!BA57,'DUN 2021'!$I$3:$I$23,0),1),"")</f>
        <v/>
      </c>
      <c r="BC57" s="33"/>
      <c r="BD57" s="34" t="str">
        <f t="shared" si="15"/>
        <v/>
      </c>
      <c r="BE57" s="29"/>
      <c r="BF57" s="29" t="str">
        <f>IF(BE57&lt;&gt;"",INDEX('DUN 2021'!$J$3:$J$23,MATCH('UMUR 2021'!BE57,'DUN 2021'!$I$3:$I$23,0),1),"")</f>
        <v/>
      </c>
      <c r="BG57" s="33"/>
      <c r="BH57" s="34" t="str">
        <f t="shared" si="16"/>
        <v/>
      </c>
    </row>
    <row r="58" spans="1:60">
      <c r="A58" s="13" t="s">
        <v>158</v>
      </c>
      <c r="B58" s="14" t="s">
        <v>161</v>
      </c>
      <c r="C58" s="15">
        <f>'JANTINA 2021'!C58+'JANTINA 2021'!K58</f>
        <v>1374</v>
      </c>
      <c r="D58" s="15">
        <f>'JANTINA 2021'!D58+'JANTINA 2021'!L58</f>
        <v>2685</v>
      </c>
      <c r="E58" s="15">
        <f>'JANTINA 2021'!E58+'JANTINA 2021'!M58</f>
        <v>2523</v>
      </c>
      <c r="F58" s="15">
        <f>'JANTINA 2021'!F58+'JANTINA 2021'!N58</f>
        <v>2730</v>
      </c>
      <c r="G58" s="15">
        <f>'JANTINA 2021'!G58+'JANTINA 2021'!O58</f>
        <v>1914</v>
      </c>
      <c r="H58" s="15">
        <f>'JANTINA 2021'!H58+'JANTINA 2021'!P58</f>
        <v>1002</v>
      </c>
      <c r="I58" s="15">
        <f>'JANTINA 2021'!I58+'JANTINA 2021'!Q58</f>
        <v>240</v>
      </c>
      <c r="J58" s="15">
        <f>'JANTINA 2021'!J58+'JANTINA 2021'!R58</f>
        <v>35</v>
      </c>
      <c r="K58" s="16">
        <f>C58/'JANTINA 2021'!S58</f>
        <v>0.10989362552987283</v>
      </c>
      <c r="L58" s="16">
        <f>D58/'JANTINA 2021'!S58</f>
        <v>0.21474846036951131</v>
      </c>
      <c r="M58" s="16">
        <f>E58/'JANTINA 2021'!S58</f>
        <v>0.20179157002319442</v>
      </c>
      <c r="N58" s="16">
        <f>F58/'JANTINA 2021'!S58</f>
        <v>0.21834759657682157</v>
      </c>
      <c r="O58" s="16">
        <f>G58/'JANTINA 2021'!S58</f>
        <v>0.15308326001759578</v>
      </c>
      <c r="P58" s="16">
        <f>H58/'JANTINA 2021'!S58</f>
        <v>8.0140766216108134E-2</v>
      </c>
      <c r="Q58" s="16">
        <f>I58/'JANTINA 2021'!S58</f>
        <v>1.9195393105654643E-2</v>
      </c>
      <c r="R58" s="16">
        <f t="shared" si="0"/>
        <v>2.7993281612413018E-3</v>
      </c>
      <c r="S58" s="13" t="str">
        <f t="shared" si="1"/>
        <v>50-59</v>
      </c>
      <c r="T58" s="15">
        <f t="shared" si="2"/>
        <v>4059</v>
      </c>
      <c r="U58" s="16">
        <f t="shared" si="3"/>
        <v>0.32464208589938415</v>
      </c>
      <c r="V58" s="15">
        <f t="shared" si="4"/>
        <v>6625</v>
      </c>
      <c r="W58" s="15">
        <f t="shared" si="5"/>
        <v>12503</v>
      </c>
      <c r="X58" s="16">
        <f t="shared" si="6"/>
        <v>0.61241302087499006</v>
      </c>
      <c r="Y58" s="15">
        <f t="shared" si="7"/>
        <v>7657</v>
      </c>
      <c r="Z58" s="15">
        <v>27</v>
      </c>
      <c r="AA58" s="15">
        <v>85</v>
      </c>
      <c r="AB58" s="33">
        <f t="shared" si="8"/>
        <v>7545</v>
      </c>
      <c r="AC58" s="29" t="s">
        <v>243</v>
      </c>
      <c r="AD58" s="29" t="str">
        <f>IF(AC58&lt;&gt;"",INDEX('DUN 2021'!$J$3:$J$23,MATCH('UMUR 2021'!AC58,'DUN 2021'!$I$3:$I$23,0),1),"")</f>
        <v>GPS</v>
      </c>
      <c r="AE58" s="33">
        <v>7085</v>
      </c>
      <c r="AF58" s="34">
        <f t="shared" si="9"/>
        <v>0.93903247183565275</v>
      </c>
      <c r="AG58" s="29" t="s">
        <v>301</v>
      </c>
      <c r="AH58" s="29" t="str">
        <f>INDEX('DUN 2021'!$J$3:$J$23,MATCH('UMUR 2021'!AG58,'DUN 2021'!$I$3:$I$23,0),1)</f>
        <v>LAIN-LAIN</v>
      </c>
      <c r="AI58" s="33">
        <v>460</v>
      </c>
      <c r="AJ58" s="34">
        <f t="shared" si="10"/>
        <v>6.0967528164347251E-2</v>
      </c>
      <c r="AK58" s="29"/>
      <c r="AL58" s="29" t="str">
        <f>IF(AK58&lt;&gt;"",INDEX('DUN 2021'!$J$3:$J$23,MATCH('UMUR 2021'!AK58,'DUN 2021'!$I$3:$I$23,0),1),"")</f>
        <v/>
      </c>
      <c r="AM58" s="33"/>
      <c r="AN58" s="34" t="str">
        <f t="shared" si="11"/>
        <v/>
      </c>
      <c r="AO58" s="29"/>
      <c r="AP58" s="29" t="str">
        <f>IF(AO58&lt;&gt;"",INDEX('DUN 2021'!$J$3:$J$23,MATCH('UMUR 2021'!AO58,'DUN 2021'!$I$3:$I$23,0),1),"")</f>
        <v/>
      </c>
      <c r="AQ58" s="33"/>
      <c r="AR58" s="34" t="str">
        <f t="shared" si="12"/>
        <v/>
      </c>
      <c r="AS58" s="29"/>
      <c r="AT58" s="29" t="str">
        <f>IF(AS58&lt;&gt;"",INDEX('DUN 2021'!$J$3:$J$23,MATCH('UMUR 2021'!AS58,'DUN 2021'!$I$3:$I$23,0),1),"")</f>
        <v/>
      </c>
      <c r="AU58" s="33"/>
      <c r="AV58" s="34" t="str">
        <f t="shared" si="13"/>
        <v/>
      </c>
      <c r="AW58" s="29"/>
      <c r="AX58" s="29" t="str">
        <f>IF(AW58&lt;&gt;"",INDEX('DUN 2021'!$J$3:$J$23,MATCH('UMUR 2021'!AW58,'DUN 2021'!$I$3:$I$23,0),1),"")</f>
        <v/>
      </c>
      <c r="AY58" s="33"/>
      <c r="AZ58" s="34" t="str">
        <f t="shared" si="14"/>
        <v/>
      </c>
      <c r="BA58" s="29"/>
      <c r="BB58" s="29" t="str">
        <f>IF(BA58&lt;&gt;"",INDEX('DUN 2021'!$J$3:$J$23,MATCH('UMUR 2021'!BA58,'DUN 2021'!$I$3:$I$23,0),1),"")</f>
        <v/>
      </c>
      <c r="BC58" s="33"/>
      <c r="BD58" s="34" t="str">
        <f t="shared" si="15"/>
        <v/>
      </c>
      <c r="BE58" s="29"/>
      <c r="BF58" s="29" t="str">
        <f>IF(BE58&lt;&gt;"",INDEX('DUN 2021'!$J$3:$J$23,MATCH('UMUR 2021'!BE58,'DUN 2021'!$I$3:$I$23,0),1),"")</f>
        <v/>
      </c>
      <c r="BG58" s="33"/>
      <c r="BH58" s="34" t="str">
        <f t="shared" si="16"/>
        <v/>
      </c>
    </row>
    <row r="59" spans="1:60">
      <c r="A59" s="13" t="s">
        <v>159</v>
      </c>
      <c r="B59" s="14" t="s">
        <v>162</v>
      </c>
      <c r="C59" s="15">
        <f>'JANTINA 2021'!C59+'JANTINA 2021'!K59</f>
        <v>839</v>
      </c>
      <c r="D59" s="15">
        <f>'JANTINA 2021'!D59+'JANTINA 2021'!L59</f>
        <v>2142</v>
      </c>
      <c r="E59" s="15">
        <f>'JANTINA 2021'!E59+'JANTINA 2021'!M59</f>
        <v>2183</v>
      </c>
      <c r="F59" s="15">
        <f>'JANTINA 2021'!F59+'JANTINA 2021'!N59</f>
        <v>2203</v>
      </c>
      <c r="G59" s="15">
        <f>'JANTINA 2021'!G59+'JANTINA 2021'!O59</f>
        <v>1519</v>
      </c>
      <c r="H59" s="15">
        <f>'JANTINA 2021'!H59+'JANTINA 2021'!P59</f>
        <v>863</v>
      </c>
      <c r="I59" s="15">
        <f>'JANTINA 2021'!I59+'JANTINA 2021'!Q59</f>
        <v>250</v>
      </c>
      <c r="J59" s="15">
        <f>'JANTINA 2021'!J59+'JANTINA 2021'!R59</f>
        <v>60</v>
      </c>
      <c r="K59" s="16">
        <f>C59/'JANTINA 2021'!S59</f>
        <v>8.3407893428770252E-2</v>
      </c>
      <c r="L59" s="16">
        <f>D59/'JANTINA 2021'!S59</f>
        <v>0.21294363256784968</v>
      </c>
      <c r="M59" s="16">
        <f>E59/'JANTINA 2021'!S59</f>
        <v>0.21701958445173478</v>
      </c>
      <c r="N59" s="16">
        <f>F59/'JANTINA 2021'!S59</f>
        <v>0.21900785366338602</v>
      </c>
      <c r="O59" s="16">
        <f>G59/'JANTINA 2021'!S59</f>
        <v>0.15100904662491302</v>
      </c>
      <c r="P59" s="16">
        <f>H59/'JANTINA 2021'!S59</f>
        <v>8.5793816482751764E-2</v>
      </c>
      <c r="Q59" s="16">
        <f>I59/'JANTINA 2021'!S59</f>
        <v>2.485336514564072E-2</v>
      </c>
      <c r="R59" s="16">
        <f t="shared" si="0"/>
        <v>5.9648076349537484E-3</v>
      </c>
      <c r="S59" s="13" t="str">
        <f t="shared" si="1"/>
        <v>50-59</v>
      </c>
      <c r="T59" s="15">
        <f t="shared" si="2"/>
        <v>2981</v>
      </c>
      <c r="U59" s="16">
        <f t="shared" si="3"/>
        <v>0.29635152599661996</v>
      </c>
      <c r="V59" s="15">
        <f t="shared" si="4"/>
        <v>2917</v>
      </c>
      <c r="W59" s="15">
        <f t="shared" si="5"/>
        <v>10059</v>
      </c>
      <c r="X59" s="16">
        <f t="shared" si="6"/>
        <v>0.61686052291480264</v>
      </c>
      <c r="Y59" s="15">
        <f t="shared" si="7"/>
        <v>6205</v>
      </c>
      <c r="Z59" s="15">
        <v>18</v>
      </c>
      <c r="AA59" s="15">
        <v>79</v>
      </c>
      <c r="AB59" s="33">
        <f t="shared" si="8"/>
        <v>6108</v>
      </c>
      <c r="AC59" s="29" t="s">
        <v>243</v>
      </c>
      <c r="AD59" s="29" t="str">
        <f>IF(AC59&lt;&gt;"",INDEX('DUN 2021'!$J$3:$J$23,MATCH('UMUR 2021'!AC59,'DUN 2021'!$I$3:$I$23,0),1),"")</f>
        <v>GPS</v>
      </c>
      <c r="AE59" s="33">
        <v>4282</v>
      </c>
      <c r="AF59" s="34">
        <f t="shared" si="9"/>
        <v>0.70104780615586115</v>
      </c>
      <c r="AG59" s="29" t="s">
        <v>252</v>
      </c>
      <c r="AH59" s="29" t="str">
        <f>INDEX('DUN 2021'!$J$3:$J$23,MATCH('UMUR 2021'!AG59,'DUN 2021'!$I$3:$I$23,0),1)</f>
        <v>PSB</v>
      </c>
      <c r="AI59" s="33">
        <v>1365</v>
      </c>
      <c r="AJ59" s="34">
        <f t="shared" si="10"/>
        <v>0.22347740667976423</v>
      </c>
      <c r="AK59" s="29" t="s">
        <v>253</v>
      </c>
      <c r="AL59" s="29" t="str">
        <f>IF(AK59&lt;&gt;"",INDEX('DUN 2021'!$J$3:$J$23,MATCH('UMUR 2021'!AK59,'DUN 2021'!$I$3:$I$23,0),1),"")</f>
        <v>PH</v>
      </c>
      <c r="AM59" s="33">
        <v>287</v>
      </c>
      <c r="AN59" s="34">
        <f t="shared" si="11"/>
        <v>4.6987557301899151E-2</v>
      </c>
      <c r="AO59" s="29" t="s">
        <v>301</v>
      </c>
      <c r="AP59" s="29" t="str">
        <f>IF(AO59&lt;&gt;"",INDEX('DUN 2021'!$J$3:$J$23,MATCH('UMUR 2021'!AO59,'DUN 2021'!$I$3:$I$23,0),1),"")</f>
        <v>LAIN-LAIN</v>
      </c>
      <c r="AQ59" s="33">
        <v>174</v>
      </c>
      <c r="AR59" s="34">
        <f t="shared" si="12"/>
        <v>2.8487229862475441E-2</v>
      </c>
      <c r="AS59" s="29"/>
      <c r="AT59" s="29" t="str">
        <f>IF(AS59&lt;&gt;"",INDEX('DUN 2021'!$J$3:$J$23,MATCH('UMUR 2021'!AS59,'DUN 2021'!$I$3:$I$23,0),1),"")</f>
        <v/>
      </c>
      <c r="AU59" s="33"/>
      <c r="AV59" s="34" t="str">
        <f t="shared" si="13"/>
        <v/>
      </c>
      <c r="AW59" s="29"/>
      <c r="AX59" s="29" t="str">
        <f>IF(AW59&lt;&gt;"",INDEX('DUN 2021'!$J$3:$J$23,MATCH('UMUR 2021'!AW59,'DUN 2021'!$I$3:$I$23,0),1),"")</f>
        <v/>
      </c>
      <c r="AY59" s="33"/>
      <c r="AZ59" s="34" t="str">
        <f t="shared" si="14"/>
        <v/>
      </c>
      <c r="BA59" s="29"/>
      <c r="BB59" s="29" t="str">
        <f>IF(BA59&lt;&gt;"",INDEX('DUN 2021'!$J$3:$J$23,MATCH('UMUR 2021'!BA59,'DUN 2021'!$I$3:$I$23,0),1),"")</f>
        <v/>
      </c>
      <c r="BC59" s="33"/>
      <c r="BD59" s="34" t="str">
        <f t="shared" si="15"/>
        <v/>
      </c>
      <c r="BE59" s="29"/>
      <c r="BF59" s="29" t="str">
        <f>IF(BE59&lt;&gt;"",INDEX('DUN 2021'!$J$3:$J$23,MATCH('UMUR 2021'!BE59,'DUN 2021'!$I$3:$I$23,0),1),"")</f>
        <v/>
      </c>
      <c r="BG59" s="33"/>
      <c r="BH59" s="34" t="str">
        <f t="shared" si="16"/>
        <v/>
      </c>
    </row>
    <row r="60" spans="1:60">
      <c r="A60" s="13" t="s">
        <v>160</v>
      </c>
      <c r="B60" s="14" t="s">
        <v>163</v>
      </c>
      <c r="C60" s="15">
        <f>'JANTINA 2021'!C60+'JANTINA 2021'!K60</f>
        <v>706</v>
      </c>
      <c r="D60" s="15">
        <f>'JANTINA 2021'!D60+'JANTINA 2021'!L60</f>
        <v>2003</v>
      </c>
      <c r="E60" s="15">
        <f>'JANTINA 2021'!E60+'JANTINA 2021'!M60</f>
        <v>1965</v>
      </c>
      <c r="F60" s="15">
        <f>'JANTINA 2021'!F60+'JANTINA 2021'!N60</f>
        <v>1836</v>
      </c>
      <c r="G60" s="15">
        <f>'JANTINA 2021'!G60+'JANTINA 2021'!O60</f>
        <v>1340</v>
      </c>
      <c r="H60" s="15">
        <f>'JANTINA 2021'!H60+'JANTINA 2021'!P60</f>
        <v>624</v>
      </c>
      <c r="I60" s="15">
        <f>'JANTINA 2021'!I60+'JANTINA 2021'!Q60</f>
        <v>175</v>
      </c>
      <c r="J60" s="15">
        <f>'JANTINA 2021'!J60+'JANTINA 2021'!R60</f>
        <v>55</v>
      </c>
      <c r="K60" s="16">
        <f>C60/'JANTINA 2021'!S60</f>
        <v>8.111213235294118E-2</v>
      </c>
      <c r="L60" s="16">
        <f>D60/'JANTINA 2021'!S60</f>
        <v>0.23012408088235295</v>
      </c>
      <c r="M60" s="16">
        <f>E60/'JANTINA 2021'!S60</f>
        <v>0.22575827205882354</v>
      </c>
      <c r="N60" s="16">
        <f>F60/'JANTINA 2021'!S60</f>
        <v>0.2109375</v>
      </c>
      <c r="O60" s="16">
        <f>G60/'JANTINA 2021'!S60</f>
        <v>0.15395220588235295</v>
      </c>
      <c r="P60" s="16">
        <f>H60/'JANTINA 2021'!S60</f>
        <v>7.169117647058823E-2</v>
      </c>
      <c r="Q60" s="16">
        <f>I60/'JANTINA 2021'!S60</f>
        <v>2.0105698529411766E-2</v>
      </c>
      <c r="R60" s="16">
        <f t="shared" si="0"/>
        <v>6.3189338235294691E-3</v>
      </c>
      <c r="S60" s="13" t="str">
        <f t="shared" si="1"/>
        <v>30-39</v>
      </c>
      <c r="T60" s="15">
        <f t="shared" si="2"/>
        <v>2709</v>
      </c>
      <c r="U60" s="16">
        <f t="shared" si="3"/>
        <v>0.3112362132352941</v>
      </c>
      <c r="V60" s="15">
        <f t="shared" si="4"/>
        <v>2904</v>
      </c>
      <c r="W60" s="15">
        <f t="shared" si="5"/>
        <v>8704</v>
      </c>
      <c r="X60" s="16">
        <f t="shared" si="6"/>
        <v>0.66452205882352944</v>
      </c>
      <c r="Y60" s="15">
        <f t="shared" si="7"/>
        <v>5784</v>
      </c>
      <c r="Z60" s="15">
        <v>6</v>
      </c>
      <c r="AA60" s="15">
        <v>84</v>
      </c>
      <c r="AB60" s="33">
        <f t="shared" si="8"/>
        <v>5694</v>
      </c>
      <c r="AC60" s="29" t="s">
        <v>243</v>
      </c>
      <c r="AD60" s="29" t="str">
        <f>IF(AC60&lt;&gt;"",INDEX('DUN 2021'!$J$3:$J$23,MATCH('UMUR 2021'!AC60,'DUN 2021'!$I$3:$I$23,0),1),"")</f>
        <v>GPS</v>
      </c>
      <c r="AE60" s="33">
        <v>4050</v>
      </c>
      <c r="AF60" s="34">
        <f t="shared" si="9"/>
        <v>0.71127502634351947</v>
      </c>
      <c r="AG60" s="29" t="s">
        <v>252</v>
      </c>
      <c r="AH60" s="29" t="str">
        <f>INDEX('DUN 2021'!$J$3:$J$23,MATCH('UMUR 2021'!AG60,'DUN 2021'!$I$3:$I$23,0),1)</f>
        <v>PSB</v>
      </c>
      <c r="AI60" s="33">
        <v>1146</v>
      </c>
      <c r="AJ60" s="34">
        <f t="shared" si="10"/>
        <v>0.20126448893572182</v>
      </c>
      <c r="AK60" s="29" t="s">
        <v>253</v>
      </c>
      <c r="AL60" s="29" t="str">
        <f>IF(AK60&lt;&gt;"",INDEX('DUN 2021'!$J$3:$J$23,MATCH('UMUR 2021'!AK60,'DUN 2021'!$I$3:$I$23,0),1),"")</f>
        <v>PH</v>
      </c>
      <c r="AM60" s="33">
        <v>498</v>
      </c>
      <c r="AN60" s="34">
        <f t="shared" si="11"/>
        <v>8.7460484720758694E-2</v>
      </c>
      <c r="AO60" s="29"/>
      <c r="AP60" s="29" t="str">
        <f>IF(AO60&lt;&gt;"",INDEX('DUN 2021'!$J$3:$J$23,MATCH('UMUR 2021'!AO60,'DUN 2021'!$I$3:$I$23,0),1),"")</f>
        <v/>
      </c>
      <c r="AQ60" s="33"/>
      <c r="AR60" s="34" t="str">
        <f t="shared" si="12"/>
        <v/>
      </c>
      <c r="AS60" s="29"/>
      <c r="AT60" s="29" t="str">
        <f>IF(AS60&lt;&gt;"",INDEX('DUN 2021'!$J$3:$J$23,MATCH('UMUR 2021'!AS60,'DUN 2021'!$I$3:$I$23,0),1),"")</f>
        <v/>
      </c>
      <c r="AU60" s="33"/>
      <c r="AV60" s="34" t="str">
        <f t="shared" si="13"/>
        <v/>
      </c>
      <c r="AW60" s="29"/>
      <c r="AX60" s="29" t="str">
        <f>IF(AW60&lt;&gt;"",INDEX('DUN 2021'!$J$3:$J$23,MATCH('UMUR 2021'!AW60,'DUN 2021'!$I$3:$I$23,0),1),"")</f>
        <v/>
      </c>
      <c r="AY60" s="33"/>
      <c r="AZ60" s="34" t="str">
        <f t="shared" si="14"/>
        <v/>
      </c>
      <c r="BA60" s="29"/>
      <c r="BB60" s="29" t="str">
        <f>IF(BA60&lt;&gt;"",INDEX('DUN 2021'!$J$3:$J$23,MATCH('UMUR 2021'!BA60,'DUN 2021'!$I$3:$I$23,0),1),"")</f>
        <v/>
      </c>
      <c r="BC60" s="33"/>
      <c r="BD60" s="34" t="str">
        <f t="shared" si="15"/>
        <v/>
      </c>
      <c r="BE60" s="29"/>
      <c r="BF60" s="29" t="str">
        <f>IF(BE60&lt;&gt;"",INDEX('DUN 2021'!$J$3:$J$23,MATCH('UMUR 2021'!BE60,'DUN 2021'!$I$3:$I$23,0),1),"")</f>
        <v/>
      </c>
      <c r="BG60" s="33"/>
      <c r="BH60" s="34" t="str">
        <f t="shared" si="16"/>
        <v/>
      </c>
    </row>
    <row r="61" spans="1:60">
      <c r="A61" s="13" t="s">
        <v>166</v>
      </c>
      <c r="B61" s="14" t="s">
        <v>168</v>
      </c>
      <c r="C61" s="15">
        <f>'JANTINA 2021'!C61+'JANTINA 2021'!K61</f>
        <v>1753</v>
      </c>
      <c r="D61" s="15">
        <f>'JANTINA 2021'!D61+'JANTINA 2021'!L61</f>
        <v>3730</v>
      </c>
      <c r="E61" s="15">
        <f>'JANTINA 2021'!E61+'JANTINA 2021'!M61</f>
        <v>3789</v>
      </c>
      <c r="F61" s="15">
        <f>'JANTINA 2021'!F61+'JANTINA 2021'!N61</f>
        <v>3452</v>
      </c>
      <c r="G61" s="15">
        <f>'JANTINA 2021'!G61+'JANTINA 2021'!O61</f>
        <v>2140</v>
      </c>
      <c r="H61" s="15">
        <f>'JANTINA 2021'!H61+'JANTINA 2021'!P61</f>
        <v>1125</v>
      </c>
      <c r="I61" s="15">
        <f>'JANTINA 2021'!I61+'JANTINA 2021'!Q61</f>
        <v>472</v>
      </c>
      <c r="J61" s="15">
        <f>'JANTINA 2021'!J61+'JANTINA 2021'!R61</f>
        <v>220</v>
      </c>
      <c r="K61" s="16">
        <f>C61/'JANTINA 2021'!S61</f>
        <v>0.10508962292428511</v>
      </c>
      <c r="L61" s="16">
        <f>D61/'JANTINA 2021'!S61</f>
        <v>0.22360769738025299</v>
      </c>
      <c r="M61" s="16">
        <f>E61/'JANTINA 2021'!S61</f>
        <v>0.22714465559618727</v>
      </c>
      <c r="N61" s="16">
        <f>F61/'JANTINA 2021'!S61</f>
        <v>0.20694202985432528</v>
      </c>
      <c r="O61" s="16">
        <f>G61/'JANTINA 2021'!S61</f>
        <v>0.12828967088304058</v>
      </c>
      <c r="P61" s="16">
        <f>H61/'JANTINA 2021'!S61</f>
        <v>6.7441999880103118E-2</v>
      </c>
      <c r="Q61" s="16">
        <f>I61/'JANTINA 2021'!S61</f>
        <v>2.8295665727474374E-2</v>
      </c>
      <c r="R61" s="16">
        <f t="shared" si="0"/>
        <v>1.3188657754331281E-2</v>
      </c>
      <c r="S61" s="13" t="str">
        <f t="shared" si="1"/>
        <v>40-49</v>
      </c>
      <c r="T61" s="15">
        <f t="shared" si="2"/>
        <v>5483</v>
      </c>
      <c r="U61" s="16">
        <f t="shared" si="3"/>
        <v>0.32869732030453808</v>
      </c>
      <c r="V61" s="15">
        <f t="shared" si="4"/>
        <v>3588</v>
      </c>
      <c r="W61" s="15">
        <f t="shared" si="5"/>
        <v>16681</v>
      </c>
      <c r="X61" s="16">
        <f t="shared" si="6"/>
        <v>0.72801390803908639</v>
      </c>
      <c r="Y61" s="15">
        <f t="shared" si="7"/>
        <v>12144</v>
      </c>
      <c r="Z61" s="15">
        <v>18</v>
      </c>
      <c r="AA61" s="15">
        <v>158</v>
      </c>
      <c r="AB61" s="33">
        <f t="shared" si="8"/>
        <v>11968</v>
      </c>
      <c r="AC61" s="29" t="s">
        <v>249</v>
      </c>
      <c r="AD61" s="29" t="str">
        <f>IF(AC61&lt;&gt;"",INDEX('DUN 2021'!$J$3:$J$23,MATCH('UMUR 2021'!AC61,'DUN 2021'!$I$3:$I$23,0),1),"")</f>
        <v>GPS</v>
      </c>
      <c r="AE61" s="33">
        <v>7778</v>
      </c>
      <c r="AF61" s="34">
        <f t="shared" si="9"/>
        <v>0.64989973262032086</v>
      </c>
      <c r="AG61" s="29" t="s">
        <v>252</v>
      </c>
      <c r="AH61" s="29" t="str">
        <f>INDEX('DUN 2021'!$J$3:$J$23,MATCH('UMUR 2021'!AG61,'DUN 2021'!$I$3:$I$23,0),1)</f>
        <v>PSB</v>
      </c>
      <c r="AI61" s="33">
        <v>4190</v>
      </c>
      <c r="AJ61" s="34">
        <f t="shared" si="10"/>
        <v>0.35010026737967914</v>
      </c>
      <c r="AK61" s="29"/>
      <c r="AL61" s="29" t="str">
        <f>IF(AK61&lt;&gt;"",INDEX('DUN 2021'!$J$3:$J$23,MATCH('UMUR 2021'!AK61,'DUN 2021'!$I$3:$I$23,0),1),"")</f>
        <v/>
      </c>
      <c r="AM61" s="33"/>
      <c r="AN61" s="34" t="str">
        <f t="shared" si="11"/>
        <v/>
      </c>
      <c r="AO61" s="29"/>
      <c r="AP61" s="29" t="str">
        <f>IF(AO61&lt;&gt;"",INDEX('DUN 2021'!$J$3:$J$23,MATCH('UMUR 2021'!AO61,'DUN 2021'!$I$3:$I$23,0),1),"")</f>
        <v/>
      </c>
      <c r="AQ61" s="33"/>
      <c r="AR61" s="34" t="str">
        <f t="shared" si="12"/>
        <v/>
      </c>
      <c r="AS61" s="29"/>
      <c r="AT61" s="29" t="str">
        <f>IF(AS61&lt;&gt;"",INDEX('DUN 2021'!$J$3:$J$23,MATCH('UMUR 2021'!AS61,'DUN 2021'!$I$3:$I$23,0),1),"")</f>
        <v/>
      </c>
      <c r="AU61" s="33"/>
      <c r="AV61" s="34" t="str">
        <f t="shared" si="13"/>
        <v/>
      </c>
      <c r="AW61" s="29"/>
      <c r="AX61" s="29" t="str">
        <f>IF(AW61&lt;&gt;"",INDEX('DUN 2021'!$J$3:$J$23,MATCH('UMUR 2021'!AW61,'DUN 2021'!$I$3:$I$23,0),1),"")</f>
        <v/>
      </c>
      <c r="AY61" s="33"/>
      <c r="AZ61" s="34" t="str">
        <f t="shared" si="14"/>
        <v/>
      </c>
      <c r="BA61" s="29"/>
      <c r="BB61" s="29" t="str">
        <f>IF(BA61&lt;&gt;"",INDEX('DUN 2021'!$J$3:$J$23,MATCH('UMUR 2021'!BA61,'DUN 2021'!$I$3:$I$23,0),1),"")</f>
        <v/>
      </c>
      <c r="BC61" s="33"/>
      <c r="BD61" s="34" t="str">
        <f t="shared" si="15"/>
        <v/>
      </c>
      <c r="BE61" s="29"/>
      <c r="BF61" s="29" t="str">
        <f>IF(BE61&lt;&gt;"",INDEX('DUN 2021'!$J$3:$J$23,MATCH('UMUR 2021'!BE61,'DUN 2021'!$I$3:$I$23,0),1),"")</f>
        <v/>
      </c>
      <c r="BG61" s="33"/>
      <c r="BH61" s="34" t="str">
        <f t="shared" si="16"/>
        <v/>
      </c>
    </row>
    <row r="62" spans="1:60">
      <c r="A62" s="13" t="s">
        <v>167</v>
      </c>
      <c r="B62" s="14" t="s">
        <v>169</v>
      </c>
      <c r="C62" s="15">
        <f>'JANTINA 2021'!C62+'JANTINA 2021'!K62</f>
        <v>1362</v>
      </c>
      <c r="D62" s="15">
        <f>'JANTINA 2021'!D62+'JANTINA 2021'!L62</f>
        <v>3250</v>
      </c>
      <c r="E62" s="15">
        <f>'JANTINA 2021'!E62+'JANTINA 2021'!M62</f>
        <v>3368</v>
      </c>
      <c r="F62" s="15">
        <f>'JANTINA 2021'!F62+'JANTINA 2021'!N62</f>
        <v>2979</v>
      </c>
      <c r="G62" s="15">
        <f>'JANTINA 2021'!G62+'JANTINA 2021'!O62</f>
        <v>2000</v>
      </c>
      <c r="H62" s="15">
        <f>'JANTINA 2021'!H62+'JANTINA 2021'!P62</f>
        <v>1007</v>
      </c>
      <c r="I62" s="15">
        <f>'JANTINA 2021'!I62+'JANTINA 2021'!Q62</f>
        <v>292</v>
      </c>
      <c r="J62" s="15">
        <f>'JANTINA 2021'!J62+'JANTINA 2021'!R62</f>
        <v>158</v>
      </c>
      <c r="K62" s="16">
        <f>C62/'JANTINA 2021'!S62</f>
        <v>9.4478357380688119E-2</v>
      </c>
      <c r="L62" s="16">
        <f>D62/'JANTINA 2021'!S62</f>
        <v>0.2254439511653718</v>
      </c>
      <c r="M62" s="16">
        <f>E62/'JANTINA 2021'!S62</f>
        <v>0.23362930077691454</v>
      </c>
      <c r="N62" s="16">
        <f>F62/'JANTINA 2021'!S62</f>
        <v>0.20664539400665927</v>
      </c>
      <c r="O62" s="16">
        <f>G62/'JANTINA 2021'!S62</f>
        <v>0.13873473917869034</v>
      </c>
      <c r="P62" s="16">
        <f>H62/'JANTINA 2021'!S62</f>
        <v>6.985294117647059E-2</v>
      </c>
      <c r="Q62" s="16">
        <f>I62/'JANTINA 2021'!S62</f>
        <v>2.0255271920088792E-2</v>
      </c>
      <c r="R62" s="16">
        <f t="shared" si="0"/>
        <v>1.0960044395116591E-2</v>
      </c>
      <c r="S62" s="13" t="str">
        <f t="shared" si="1"/>
        <v>40-49</v>
      </c>
      <c r="T62" s="15">
        <f t="shared" si="2"/>
        <v>4612</v>
      </c>
      <c r="U62" s="16">
        <f t="shared" si="3"/>
        <v>0.31992230854605991</v>
      </c>
      <c r="V62" s="15">
        <f t="shared" si="4"/>
        <v>1897</v>
      </c>
      <c r="W62" s="15">
        <f t="shared" si="5"/>
        <v>14416</v>
      </c>
      <c r="X62" s="16">
        <f t="shared" si="6"/>
        <v>0.71309655937846839</v>
      </c>
      <c r="Y62" s="15">
        <f t="shared" si="7"/>
        <v>10280</v>
      </c>
      <c r="Z62" s="15">
        <v>21</v>
      </c>
      <c r="AA62" s="15">
        <v>122</v>
      </c>
      <c r="AB62" s="33">
        <f t="shared" si="8"/>
        <v>10137</v>
      </c>
      <c r="AC62" s="29" t="s">
        <v>249</v>
      </c>
      <c r="AD62" s="29" t="str">
        <f>IF(AC62&lt;&gt;"",INDEX('DUN 2021'!$J$3:$J$23,MATCH('UMUR 2021'!AC62,'DUN 2021'!$I$3:$I$23,0),1),"")</f>
        <v>GPS</v>
      </c>
      <c r="AE62" s="33">
        <v>5307</v>
      </c>
      <c r="AF62" s="34">
        <f t="shared" si="9"/>
        <v>0.52352767090855279</v>
      </c>
      <c r="AG62" s="29" t="s">
        <v>252</v>
      </c>
      <c r="AH62" s="29" t="str">
        <f>INDEX('DUN 2021'!$J$3:$J$23,MATCH('UMUR 2021'!AG62,'DUN 2021'!$I$3:$I$23,0),1)</f>
        <v>PSB</v>
      </c>
      <c r="AI62" s="33">
        <v>3410</v>
      </c>
      <c r="AJ62" s="34">
        <f t="shared" si="10"/>
        <v>0.3363914373088685</v>
      </c>
      <c r="AK62" s="29" t="s">
        <v>251</v>
      </c>
      <c r="AL62" s="29" t="str">
        <f>IF(AK62&lt;&gt;"",INDEX('DUN 2021'!$J$3:$J$23,MATCH('UMUR 2021'!AK62,'DUN 2021'!$I$3:$I$23,0),1),"")</f>
        <v>BEBAS</v>
      </c>
      <c r="AM62" s="33">
        <v>546</v>
      </c>
      <c r="AN62" s="34">
        <f t="shared" si="11"/>
        <v>5.3862089375554895E-2</v>
      </c>
      <c r="AO62" s="29" t="s">
        <v>253</v>
      </c>
      <c r="AP62" s="29" t="str">
        <f>IF(AO62&lt;&gt;"",INDEX('DUN 2021'!$J$3:$J$23,MATCH('UMUR 2021'!AO62,'DUN 2021'!$I$3:$I$23,0),1),"")</f>
        <v>PH</v>
      </c>
      <c r="AQ62" s="33">
        <v>375</v>
      </c>
      <c r="AR62" s="34">
        <f t="shared" si="12"/>
        <v>3.6993193252441547E-2</v>
      </c>
      <c r="AS62" s="29" t="s">
        <v>301</v>
      </c>
      <c r="AT62" s="29" t="str">
        <f>IF(AS62&lt;&gt;"",INDEX('DUN 2021'!$J$3:$J$23,MATCH('UMUR 2021'!AS62,'DUN 2021'!$I$3:$I$23,0),1),"")</f>
        <v>LAIN-LAIN</v>
      </c>
      <c r="AU62" s="33">
        <v>337</v>
      </c>
      <c r="AV62" s="34">
        <f t="shared" si="13"/>
        <v>3.3244549669527473E-2</v>
      </c>
      <c r="AW62" s="29" t="s">
        <v>251</v>
      </c>
      <c r="AX62" s="29" t="str">
        <f>IF(AW62&lt;&gt;"",INDEX('DUN 2021'!$J$3:$J$23,MATCH('UMUR 2021'!AW62,'DUN 2021'!$I$3:$I$23,0),1),"")</f>
        <v>BEBAS</v>
      </c>
      <c r="AY62" s="33">
        <v>162</v>
      </c>
      <c r="AZ62" s="34">
        <f t="shared" si="14"/>
        <v>1.5981059485054749E-2</v>
      </c>
      <c r="BA62" s="29"/>
      <c r="BB62" s="29" t="str">
        <f>IF(BA62&lt;&gt;"",INDEX('DUN 2021'!$J$3:$J$23,MATCH('UMUR 2021'!BA62,'DUN 2021'!$I$3:$I$23,0),1),"")</f>
        <v/>
      </c>
      <c r="BC62" s="33"/>
      <c r="BD62" s="34" t="str">
        <f t="shared" si="15"/>
        <v/>
      </c>
      <c r="BE62" s="29"/>
      <c r="BF62" s="29" t="str">
        <f>IF(BE62&lt;&gt;"",INDEX('DUN 2021'!$J$3:$J$23,MATCH('UMUR 2021'!BE62,'DUN 2021'!$I$3:$I$23,0),1),"")</f>
        <v/>
      </c>
      <c r="BG62" s="33"/>
      <c r="BH62" s="34" t="str">
        <f t="shared" si="16"/>
        <v/>
      </c>
    </row>
    <row r="63" spans="1:60">
      <c r="A63" s="13" t="s">
        <v>172</v>
      </c>
      <c r="B63" s="14" t="s">
        <v>175</v>
      </c>
      <c r="C63" s="15">
        <f>'JANTINA 2021'!C63+'JANTINA 2021'!K63</f>
        <v>858</v>
      </c>
      <c r="D63" s="15">
        <f>'JANTINA 2021'!D63+'JANTINA 2021'!L63</f>
        <v>1898</v>
      </c>
      <c r="E63" s="15">
        <f>'JANTINA 2021'!E63+'JANTINA 2021'!M63</f>
        <v>1696</v>
      </c>
      <c r="F63" s="15">
        <f>'JANTINA 2021'!F63+'JANTINA 2021'!N63</f>
        <v>1605</v>
      </c>
      <c r="G63" s="15">
        <f>'JANTINA 2021'!G63+'JANTINA 2021'!O63</f>
        <v>949</v>
      </c>
      <c r="H63" s="15">
        <f>'JANTINA 2021'!H63+'JANTINA 2021'!P63</f>
        <v>559</v>
      </c>
      <c r="I63" s="15">
        <f>'JANTINA 2021'!I63+'JANTINA 2021'!Q63</f>
        <v>230</v>
      </c>
      <c r="J63" s="15">
        <f>'JANTINA 2021'!J63+'JANTINA 2021'!R63</f>
        <v>99</v>
      </c>
      <c r="K63" s="16">
        <f>C63/'JANTINA 2021'!S63</f>
        <v>0.10869014441347859</v>
      </c>
      <c r="L63" s="16">
        <f>D63/'JANTINA 2021'!S63</f>
        <v>0.24043577400557387</v>
      </c>
      <c r="M63" s="16">
        <f>E63/'JANTINA 2021'!S63</f>
        <v>0.2148467190271092</v>
      </c>
      <c r="N63" s="16">
        <f>F63/'JANTINA 2021'!S63</f>
        <v>0.20331897643780086</v>
      </c>
      <c r="O63" s="16">
        <f>G63/'JANTINA 2021'!S63</f>
        <v>0.12021788700278693</v>
      </c>
      <c r="P63" s="16">
        <f>H63/'JANTINA 2021'!S63</f>
        <v>7.0813275905751205E-2</v>
      </c>
      <c r="Q63" s="16">
        <f>I63/'JANTINA 2021'!S63</f>
        <v>2.9136052698251837E-2</v>
      </c>
      <c r="R63" s="16">
        <f t="shared" si="0"/>
        <v>1.2541170509247499E-2</v>
      </c>
      <c r="S63" s="13" t="str">
        <f t="shared" si="1"/>
        <v>30-39</v>
      </c>
      <c r="T63" s="15">
        <f t="shared" si="2"/>
        <v>2756</v>
      </c>
      <c r="U63" s="16">
        <f t="shared" si="3"/>
        <v>0.34912591841905244</v>
      </c>
      <c r="V63" s="15">
        <f t="shared" si="4"/>
        <v>1049</v>
      </c>
      <c r="W63" s="15">
        <f t="shared" si="5"/>
        <v>7894</v>
      </c>
      <c r="X63" s="16">
        <f t="shared" si="6"/>
        <v>0.65277425893083352</v>
      </c>
      <c r="Y63" s="15">
        <f t="shared" si="7"/>
        <v>5153</v>
      </c>
      <c r="Z63" s="15">
        <v>13</v>
      </c>
      <c r="AA63" s="15">
        <v>89</v>
      </c>
      <c r="AB63" s="33">
        <f t="shared" si="8"/>
        <v>5051</v>
      </c>
      <c r="AC63" s="29" t="s">
        <v>249</v>
      </c>
      <c r="AD63" s="29" t="str">
        <f>IF(AC63&lt;&gt;"",INDEX('DUN 2021'!$J$3:$J$23,MATCH('UMUR 2021'!AC63,'DUN 2021'!$I$3:$I$23,0),1),"")</f>
        <v>GPS</v>
      </c>
      <c r="AE63" s="33">
        <v>2843</v>
      </c>
      <c r="AF63" s="34">
        <f t="shared" si="9"/>
        <v>0.56285883983369633</v>
      </c>
      <c r="AG63" s="29" t="s">
        <v>252</v>
      </c>
      <c r="AH63" s="29" t="str">
        <f>INDEX('DUN 2021'!$J$3:$J$23,MATCH('UMUR 2021'!AG63,'DUN 2021'!$I$3:$I$23,0),1)</f>
        <v>PSB</v>
      </c>
      <c r="AI63" s="33">
        <v>1794</v>
      </c>
      <c r="AJ63" s="34">
        <f t="shared" si="10"/>
        <v>0.35517719263512176</v>
      </c>
      <c r="AK63" s="29" t="s">
        <v>244</v>
      </c>
      <c r="AL63" s="29" t="str">
        <f>IF(AK63&lt;&gt;"",INDEX('DUN 2021'!$J$3:$J$23,MATCH('UMUR 2021'!AK63,'DUN 2021'!$I$3:$I$23,0),1),"")</f>
        <v>PH</v>
      </c>
      <c r="AM63" s="33">
        <v>250</v>
      </c>
      <c r="AN63" s="34">
        <f t="shared" si="11"/>
        <v>4.9495149475351413E-2</v>
      </c>
      <c r="AO63" s="29" t="s">
        <v>301</v>
      </c>
      <c r="AP63" s="29" t="str">
        <f>IF(AO63&lt;&gt;"",INDEX('DUN 2021'!$J$3:$J$23,MATCH('UMUR 2021'!AO63,'DUN 2021'!$I$3:$I$23,0),1),"")</f>
        <v>LAIN-LAIN</v>
      </c>
      <c r="AQ63" s="33">
        <v>88</v>
      </c>
      <c r="AR63" s="34">
        <f t="shared" si="12"/>
        <v>1.7422292615323697E-2</v>
      </c>
      <c r="AS63" s="29" t="s">
        <v>303</v>
      </c>
      <c r="AT63" s="29" t="str">
        <f>IF(AS63&lt;&gt;"",INDEX('DUN 2021'!$J$3:$J$23,MATCH('UMUR 2021'!AS63,'DUN 2021'!$I$3:$I$23,0),1),"")</f>
        <v>LAIN-LAIN</v>
      </c>
      <c r="AU63" s="33">
        <v>76</v>
      </c>
      <c r="AV63" s="34">
        <f t="shared" si="13"/>
        <v>1.504652544050683E-2</v>
      </c>
      <c r="AW63" s="29"/>
      <c r="AX63" s="29" t="str">
        <f>IF(AW63&lt;&gt;"",INDEX('DUN 2021'!$J$3:$J$23,MATCH('UMUR 2021'!AW63,'DUN 2021'!$I$3:$I$23,0),1),"")</f>
        <v/>
      </c>
      <c r="AY63" s="33"/>
      <c r="AZ63" s="34" t="str">
        <f t="shared" si="14"/>
        <v/>
      </c>
      <c r="BA63" s="29"/>
      <c r="BB63" s="29" t="str">
        <f>IF(BA63&lt;&gt;"",INDEX('DUN 2021'!$J$3:$J$23,MATCH('UMUR 2021'!BA63,'DUN 2021'!$I$3:$I$23,0),1),"")</f>
        <v/>
      </c>
      <c r="BC63" s="33"/>
      <c r="BD63" s="34" t="str">
        <f t="shared" si="15"/>
        <v/>
      </c>
      <c r="BE63" s="29"/>
      <c r="BF63" s="29" t="str">
        <f>IF(BE63&lt;&gt;"",INDEX('DUN 2021'!$J$3:$J$23,MATCH('UMUR 2021'!BE63,'DUN 2021'!$I$3:$I$23,0),1),"")</f>
        <v/>
      </c>
      <c r="BG63" s="33"/>
      <c r="BH63" s="34" t="str">
        <f t="shared" si="16"/>
        <v/>
      </c>
    </row>
    <row r="64" spans="1:60">
      <c r="A64" s="13" t="s">
        <v>173</v>
      </c>
      <c r="B64" s="14" t="s">
        <v>176</v>
      </c>
      <c r="C64" s="15">
        <f>'JANTINA 2021'!C64+'JANTINA 2021'!K64</f>
        <v>802</v>
      </c>
      <c r="D64" s="15">
        <f>'JANTINA 2021'!D64+'JANTINA 2021'!L64</f>
        <v>2292</v>
      </c>
      <c r="E64" s="15">
        <f>'JANTINA 2021'!E64+'JANTINA 2021'!M64</f>
        <v>2164</v>
      </c>
      <c r="F64" s="15">
        <f>'JANTINA 2021'!F64+'JANTINA 2021'!N64</f>
        <v>2284</v>
      </c>
      <c r="G64" s="15">
        <f>'JANTINA 2021'!G64+'JANTINA 2021'!O64</f>
        <v>1610</v>
      </c>
      <c r="H64" s="15">
        <f>'JANTINA 2021'!H64+'JANTINA 2021'!P64</f>
        <v>864</v>
      </c>
      <c r="I64" s="15">
        <f>'JANTINA 2021'!I64+'JANTINA 2021'!Q64</f>
        <v>362</v>
      </c>
      <c r="J64" s="15">
        <f>'JANTINA 2021'!J64+'JANTINA 2021'!R64</f>
        <v>152</v>
      </c>
      <c r="K64" s="16">
        <f>C64/'JANTINA 2021'!S64</f>
        <v>7.6163342830009501E-2</v>
      </c>
      <c r="L64" s="16">
        <f>D64/'JANTINA 2021'!S64</f>
        <v>0.21766381766381768</v>
      </c>
      <c r="M64" s="16">
        <f>E64/'JANTINA 2021'!S64</f>
        <v>0.20550807217473885</v>
      </c>
      <c r="N64" s="16">
        <f>F64/'JANTINA 2021'!S64</f>
        <v>0.21690408357075025</v>
      </c>
      <c r="O64" s="16">
        <f>G64/'JANTINA 2021'!S64</f>
        <v>0.15289648622981955</v>
      </c>
      <c r="P64" s="16">
        <f>H64/'JANTINA 2021'!S64</f>
        <v>8.2051282051282051E-2</v>
      </c>
      <c r="Q64" s="16">
        <f>I64/'JANTINA 2021'!S64</f>
        <v>3.4377967711301041E-2</v>
      </c>
      <c r="R64" s="16">
        <f t="shared" si="0"/>
        <v>1.4434947768281053E-2</v>
      </c>
      <c r="S64" s="13" t="str">
        <f t="shared" si="1"/>
        <v>30-39</v>
      </c>
      <c r="T64" s="15">
        <f t="shared" si="2"/>
        <v>3094</v>
      </c>
      <c r="U64" s="16">
        <f t="shared" si="3"/>
        <v>0.29382716049382718</v>
      </c>
      <c r="V64" s="15">
        <f t="shared" si="4"/>
        <v>2997</v>
      </c>
      <c r="W64" s="15">
        <f t="shared" si="5"/>
        <v>10530</v>
      </c>
      <c r="X64" s="16">
        <f t="shared" si="6"/>
        <v>0.6295346628679962</v>
      </c>
      <c r="Y64" s="15">
        <f t="shared" si="7"/>
        <v>6629</v>
      </c>
      <c r="Z64" s="15">
        <v>24</v>
      </c>
      <c r="AA64" s="15">
        <v>109</v>
      </c>
      <c r="AB64" s="33">
        <f t="shared" si="8"/>
        <v>6496</v>
      </c>
      <c r="AC64" s="29" t="s">
        <v>243</v>
      </c>
      <c r="AD64" s="29" t="str">
        <f>IF(AC64&lt;&gt;"",INDEX('DUN 2021'!$J$3:$J$23,MATCH('UMUR 2021'!AC64,'DUN 2021'!$I$3:$I$23,0),1),"")</f>
        <v>GPS</v>
      </c>
      <c r="AE64" s="33">
        <v>4198</v>
      </c>
      <c r="AF64" s="34">
        <f t="shared" si="9"/>
        <v>0.64624384236453203</v>
      </c>
      <c r="AG64" s="29" t="s">
        <v>252</v>
      </c>
      <c r="AH64" s="29" t="str">
        <f>INDEX('DUN 2021'!$J$3:$J$23,MATCH('UMUR 2021'!AG64,'DUN 2021'!$I$3:$I$23,0),1)</f>
        <v>PSB</v>
      </c>
      <c r="AI64" s="33">
        <v>1201</v>
      </c>
      <c r="AJ64" s="34">
        <f t="shared" si="10"/>
        <v>0.18488300492610837</v>
      </c>
      <c r="AK64" s="29" t="s">
        <v>253</v>
      </c>
      <c r="AL64" s="29" t="str">
        <f>IF(AK64&lt;&gt;"",INDEX('DUN 2021'!$J$3:$J$23,MATCH('UMUR 2021'!AK64,'DUN 2021'!$I$3:$I$23,0),1),"")</f>
        <v>PH</v>
      </c>
      <c r="AM64" s="33">
        <v>763</v>
      </c>
      <c r="AN64" s="34">
        <f t="shared" si="11"/>
        <v>0.11745689655172414</v>
      </c>
      <c r="AO64" s="29" t="s">
        <v>301</v>
      </c>
      <c r="AP64" s="29" t="str">
        <f>IF(AO64&lt;&gt;"",INDEX('DUN 2021'!$J$3:$J$23,MATCH('UMUR 2021'!AO64,'DUN 2021'!$I$3:$I$23,0),1),"")</f>
        <v>LAIN-LAIN</v>
      </c>
      <c r="AQ64" s="33">
        <v>149</v>
      </c>
      <c r="AR64" s="34">
        <f t="shared" si="12"/>
        <v>2.2937192118226601E-2</v>
      </c>
      <c r="AS64" s="29" t="s">
        <v>251</v>
      </c>
      <c r="AT64" s="29" t="str">
        <f>IF(AS64&lt;&gt;"",INDEX('DUN 2021'!$J$3:$J$23,MATCH('UMUR 2021'!AS64,'DUN 2021'!$I$3:$I$23,0),1),"")</f>
        <v>BEBAS</v>
      </c>
      <c r="AU64" s="33">
        <v>123</v>
      </c>
      <c r="AV64" s="34">
        <f t="shared" si="13"/>
        <v>1.893472906403941E-2</v>
      </c>
      <c r="AW64" s="29" t="s">
        <v>303</v>
      </c>
      <c r="AX64" s="29" t="str">
        <f>IF(AW64&lt;&gt;"",INDEX('DUN 2021'!$J$3:$J$23,MATCH('UMUR 2021'!AW64,'DUN 2021'!$I$3:$I$23,0),1),"")</f>
        <v>LAIN-LAIN</v>
      </c>
      <c r="AY64" s="33">
        <v>62</v>
      </c>
      <c r="AZ64" s="34">
        <f t="shared" si="14"/>
        <v>9.5443349753694586E-3</v>
      </c>
      <c r="BA64" s="29"/>
      <c r="BB64" s="29" t="str">
        <f>IF(BA64&lt;&gt;"",INDEX('DUN 2021'!$J$3:$J$23,MATCH('UMUR 2021'!BA64,'DUN 2021'!$I$3:$I$23,0),1),"")</f>
        <v/>
      </c>
      <c r="BC64" s="33"/>
      <c r="BD64" s="34" t="str">
        <f t="shared" si="15"/>
        <v/>
      </c>
      <c r="BE64" s="29"/>
      <c r="BF64" s="29" t="str">
        <f>IF(BE64&lt;&gt;"",INDEX('DUN 2021'!$J$3:$J$23,MATCH('UMUR 2021'!BE64,'DUN 2021'!$I$3:$I$23,0),1),"")</f>
        <v/>
      </c>
      <c r="BG64" s="33"/>
      <c r="BH64" s="34" t="str">
        <f t="shared" si="16"/>
        <v/>
      </c>
    </row>
    <row r="65" spans="1:60">
      <c r="A65" s="13" t="s">
        <v>174</v>
      </c>
      <c r="B65" s="14" t="s">
        <v>177</v>
      </c>
      <c r="C65" s="15">
        <f>'JANTINA 2021'!C65+'JANTINA 2021'!K65</f>
        <v>1014</v>
      </c>
      <c r="D65" s="15">
        <f>'JANTINA 2021'!D65+'JANTINA 2021'!L65</f>
        <v>2689</v>
      </c>
      <c r="E65" s="15">
        <f>'JANTINA 2021'!E65+'JANTINA 2021'!M65</f>
        <v>2692</v>
      </c>
      <c r="F65" s="15">
        <f>'JANTINA 2021'!F65+'JANTINA 2021'!N65</f>
        <v>2739</v>
      </c>
      <c r="G65" s="15">
        <f>'JANTINA 2021'!G65+'JANTINA 2021'!O65</f>
        <v>1668</v>
      </c>
      <c r="H65" s="15">
        <f>'JANTINA 2021'!H65+'JANTINA 2021'!P65</f>
        <v>885</v>
      </c>
      <c r="I65" s="15">
        <f>'JANTINA 2021'!I65+'JANTINA 2021'!Q65</f>
        <v>319</v>
      </c>
      <c r="J65" s="15">
        <f>'JANTINA 2021'!J65+'JANTINA 2021'!R65</f>
        <v>144</v>
      </c>
      <c r="K65" s="16">
        <f>C65/'JANTINA 2021'!S65</f>
        <v>8.3456790123456789E-2</v>
      </c>
      <c r="L65" s="16">
        <f>D65/'JANTINA 2021'!S65</f>
        <v>0.22131687242798354</v>
      </c>
      <c r="M65" s="16">
        <f>E65/'JANTINA 2021'!S65</f>
        <v>0.22156378600823046</v>
      </c>
      <c r="N65" s="16">
        <f>F65/'JANTINA 2021'!S65</f>
        <v>0.2254320987654321</v>
      </c>
      <c r="O65" s="16">
        <f>G65/'JANTINA 2021'!S65</f>
        <v>0.13728395061728396</v>
      </c>
      <c r="P65" s="16">
        <f>H65/'JANTINA 2021'!S65</f>
        <v>7.2839506172839505E-2</v>
      </c>
      <c r="Q65" s="16">
        <f>I65/'JANTINA 2021'!S65</f>
        <v>2.6255144032921812E-2</v>
      </c>
      <c r="R65" s="16">
        <f t="shared" si="0"/>
        <v>1.1851851851851822E-2</v>
      </c>
      <c r="S65" s="13" t="str">
        <f t="shared" si="1"/>
        <v>50-59</v>
      </c>
      <c r="T65" s="15">
        <f t="shared" si="2"/>
        <v>3703</v>
      </c>
      <c r="U65" s="16">
        <f t="shared" si="3"/>
        <v>0.30477366255144034</v>
      </c>
      <c r="V65" s="15">
        <f t="shared" si="4"/>
        <v>3538</v>
      </c>
      <c r="W65" s="15">
        <f t="shared" si="5"/>
        <v>12150</v>
      </c>
      <c r="X65" s="16">
        <f t="shared" si="6"/>
        <v>0.52510288065843624</v>
      </c>
      <c r="Y65" s="15">
        <f t="shared" si="7"/>
        <v>6380</v>
      </c>
      <c r="Z65" s="15">
        <v>56</v>
      </c>
      <c r="AA65" s="15">
        <v>111</v>
      </c>
      <c r="AB65" s="33">
        <f t="shared" si="8"/>
        <v>6213</v>
      </c>
      <c r="AC65" s="29" t="s">
        <v>243</v>
      </c>
      <c r="AD65" s="29" t="str">
        <f>IF(AC65&lt;&gt;"",INDEX('DUN 2021'!$J$3:$J$23,MATCH('UMUR 2021'!AC65,'DUN 2021'!$I$3:$I$23,0),1),"")</f>
        <v>GPS</v>
      </c>
      <c r="AE65" s="33">
        <v>4253</v>
      </c>
      <c r="AF65" s="34">
        <f t="shared" si="9"/>
        <v>0.68453243199742475</v>
      </c>
      <c r="AG65" s="29" t="s">
        <v>244</v>
      </c>
      <c r="AH65" s="29" t="str">
        <f>INDEX('DUN 2021'!$J$3:$J$23,MATCH('UMUR 2021'!AG65,'DUN 2021'!$I$3:$I$23,0),1)</f>
        <v>PH</v>
      </c>
      <c r="AI65" s="33">
        <v>715</v>
      </c>
      <c r="AJ65" s="34">
        <f t="shared" si="10"/>
        <v>0.1150812811846129</v>
      </c>
      <c r="AK65" s="29" t="s">
        <v>252</v>
      </c>
      <c r="AL65" s="29" t="str">
        <f>IF(AK65&lt;&gt;"",INDEX('DUN 2021'!$J$3:$J$23,MATCH('UMUR 2021'!AK65,'DUN 2021'!$I$3:$I$23,0),1),"")</f>
        <v>PSB</v>
      </c>
      <c r="AM65" s="33">
        <v>689</v>
      </c>
      <c r="AN65" s="34">
        <f t="shared" si="11"/>
        <v>0.11089650732335425</v>
      </c>
      <c r="AO65" s="29" t="s">
        <v>301</v>
      </c>
      <c r="AP65" s="29" t="str">
        <f>IF(AO65&lt;&gt;"",INDEX('DUN 2021'!$J$3:$J$23,MATCH('UMUR 2021'!AO65,'DUN 2021'!$I$3:$I$23,0),1),"")</f>
        <v>LAIN-LAIN</v>
      </c>
      <c r="AQ65" s="33">
        <v>297</v>
      </c>
      <c r="AR65" s="34">
        <f t="shared" si="12"/>
        <v>4.7802993722839207E-2</v>
      </c>
      <c r="AS65" s="29" t="s">
        <v>303</v>
      </c>
      <c r="AT65" s="29" t="str">
        <f>IF(AS65&lt;&gt;"",INDEX('DUN 2021'!$J$3:$J$23,MATCH('UMUR 2021'!AS65,'DUN 2021'!$I$3:$I$23,0),1),"")</f>
        <v>LAIN-LAIN</v>
      </c>
      <c r="AU65" s="33">
        <v>259</v>
      </c>
      <c r="AV65" s="34">
        <f t="shared" si="13"/>
        <v>4.1686785771768875E-2</v>
      </c>
      <c r="AW65" s="29"/>
      <c r="AX65" s="29" t="str">
        <f>IF(AW65&lt;&gt;"",INDEX('DUN 2021'!$J$3:$J$23,MATCH('UMUR 2021'!AW65,'DUN 2021'!$I$3:$I$23,0),1),"")</f>
        <v/>
      </c>
      <c r="AY65" s="33"/>
      <c r="AZ65" s="34" t="str">
        <f t="shared" si="14"/>
        <v/>
      </c>
      <c r="BA65" s="29"/>
      <c r="BB65" s="29" t="str">
        <f>IF(BA65&lt;&gt;"",INDEX('DUN 2021'!$J$3:$J$23,MATCH('UMUR 2021'!BA65,'DUN 2021'!$I$3:$I$23,0),1),"")</f>
        <v/>
      </c>
      <c r="BC65" s="33"/>
      <c r="BD65" s="34" t="str">
        <f t="shared" si="15"/>
        <v/>
      </c>
      <c r="BE65" s="29"/>
      <c r="BF65" s="29" t="str">
        <f>IF(BE65&lt;&gt;"",INDEX('DUN 2021'!$J$3:$J$23,MATCH('UMUR 2021'!BE65,'DUN 2021'!$I$3:$I$23,0),1),"")</f>
        <v/>
      </c>
      <c r="BG65" s="33"/>
      <c r="BH65" s="34" t="str">
        <f t="shared" si="16"/>
        <v/>
      </c>
    </row>
    <row r="66" spans="1:60">
      <c r="A66" s="13" t="s">
        <v>180</v>
      </c>
      <c r="B66" s="14" t="s">
        <v>183</v>
      </c>
      <c r="C66" s="15">
        <f>'JANTINA 2021'!C66+'JANTINA 2021'!K66</f>
        <v>785</v>
      </c>
      <c r="D66" s="15">
        <f>'JANTINA 2021'!D66+'JANTINA 2021'!L66</f>
        <v>2287</v>
      </c>
      <c r="E66" s="15">
        <f>'JANTINA 2021'!E66+'JANTINA 2021'!M66</f>
        <v>2158</v>
      </c>
      <c r="F66" s="15">
        <f>'JANTINA 2021'!F66+'JANTINA 2021'!N66</f>
        <v>2070</v>
      </c>
      <c r="G66" s="15">
        <f>'JANTINA 2021'!G66+'JANTINA 2021'!O66</f>
        <v>1321</v>
      </c>
      <c r="H66" s="15">
        <f>'JANTINA 2021'!H66+'JANTINA 2021'!P66</f>
        <v>889</v>
      </c>
      <c r="I66" s="15">
        <f>'JANTINA 2021'!I66+'JANTINA 2021'!Q66</f>
        <v>418</v>
      </c>
      <c r="J66" s="15">
        <f>'JANTINA 2021'!J66+'JANTINA 2021'!R66</f>
        <v>209</v>
      </c>
      <c r="K66" s="16">
        <f>C66/'JANTINA 2021'!S66</f>
        <v>7.7439084541777642E-2</v>
      </c>
      <c r="L66" s="16">
        <f>D66/'JANTINA 2021'!S66</f>
        <v>0.22560915458222353</v>
      </c>
      <c r="M66" s="16">
        <f>E66/'JANTINA 2021'!S66</f>
        <v>0.21288349610338364</v>
      </c>
      <c r="N66" s="16">
        <f>F66/'JANTINA 2021'!S66</f>
        <v>0.20420242675347736</v>
      </c>
      <c r="O66" s="16">
        <f>G66/'JANTINA 2021'!S66</f>
        <v>0.13031468876393409</v>
      </c>
      <c r="P66" s="16">
        <f>H66/'JANTINA 2021'!S66</f>
        <v>8.7698530137121436E-2</v>
      </c>
      <c r="Q66" s="16">
        <f>I66/'JANTINA 2021'!S66</f>
        <v>4.1235079412054849E-2</v>
      </c>
      <c r="R66" s="16">
        <f t="shared" si="0"/>
        <v>2.0617539706027511E-2</v>
      </c>
      <c r="S66" s="13" t="str">
        <f t="shared" si="1"/>
        <v>30-39</v>
      </c>
      <c r="T66" s="15">
        <f t="shared" si="2"/>
        <v>3072</v>
      </c>
      <c r="U66" s="16">
        <f t="shared" si="3"/>
        <v>0.3030482391240012</v>
      </c>
      <c r="V66" s="15">
        <f t="shared" si="4"/>
        <v>1909</v>
      </c>
      <c r="W66" s="15">
        <f t="shared" si="5"/>
        <v>10137</v>
      </c>
      <c r="X66" s="16">
        <f t="shared" si="6"/>
        <v>0.57531814146197102</v>
      </c>
      <c r="Y66" s="15">
        <f t="shared" si="7"/>
        <v>5832</v>
      </c>
      <c r="Z66" s="15">
        <v>17</v>
      </c>
      <c r="AA66" s="15">
        <v>90</v>
      </c>
      <c r="AB66" s="33">
        <f t="shared" si="8"/>
        <v>5725</v>
      </c>
      <c r="AC66" s="29" t="s">
        <v>249</v>
      </c>
      <c r="AD66" s="29" t="str">
        <f>IF(AC66&lt;&gt;"",INDEX('DUN 2021'!$J$3:$J$23,MATCH('UMUR 2021'!AC66,'DUN 2021'!$I$3:$I$23,0),1),"")</f>
        <v>GPS</v>
      </c>
      <c r="AE66" s="33">
        <v>3541</v>
      </c>
      <c r="AF66" s="34">
        <f t="shared" si="9"/>
        <v>0.61851528384279475</v>
      </c>
      <c r="AG66" s="29" t="s">
        <v>252</v>
      </c>
      <c r="AH66" s="29" t="str">
        <f>INDEX('DUN 2021'!$J$3:$J$23,MATCH('UMUR 2021'!AG66,'DUN 2021'!$I$3:$I$23,0),1)</f>
        <v>PSB</v>
      </c>
      <c r="AI66" s="33">
        <v>1632</v>
      </c>
      <c r="AJ66" s="34">
        <f t="shared" si="10"/>
        <v>0.28506550218340609</v>
      </c>
      <c r="AK66" s="29" t="s">
        <v>244</v>
      </c>
      <c r="AL66" s="29" t="str">
        <f>IF(AK66&lt;&gt;"",INDEX('DUN 2021'!$J$3:$J$23,MATCH('UMUR 2021'!AK66,'DUN 2021'!$I$3:$I$23,0),1),"")</f>
        <v>PH</v>
      </c>
      <c r="AM66" s="33">
        <v>470</v>
      </c>
      <c r="AN66" s="34">
        <f t="shared" si="11"/>
        <v>8.2096069868995633E-2</v>
      </c>
      <c r="AO66" s="29" t="s">
        <v>301</v>
      </c>
      <c r="AP66" s="29" t="str">
        <f>IF(AO66&lt;&gt;"",INDEX('DUN 2021'!$J$3:$J$23,MATCH('UMUR 2021'!AO66,'DUN 2021'!$I$3:$I$23,0),1),"")</f>
        <v>LAIN-LAIN</v>
      </c>
      <c r="AQ66" s="33">
        <v>82</v>
      </c>
      <c r="AR66" s="34">
        <f t="shared" si="12"/>
        <v>1.4323144104803493E-2</v>
      </c>
      <c r="AS66" s="29"/>
      <c r="AT66" s="29" t="str">
        <f>IF(AS66&lt;&gt;"",INDEX('DUN 2021'!$J$3:$J$23,MATCH('UMUR 2021'!AS66,'DUN 2021'!$I$3:$I$23,0),1),"")</f>
        <v/>
      </c>
      <c r="AU66" s="33"/>
      <c r="AV66" s="34" t="str">
        <f t="shared" si="13"/>
        <v/>
      </c>
      <c r="AW66" s="29"/>
      <c r="AX66" s="29" t="str">
        <f>IF(AW66&lt;&gt;"",INDEX('DUN 2021'!$J$3:$J$23,MATCH('UMUR 2021'!AW66,'DUN 2021'!$I$3:$I$23,0),1),"")</f>
        <v/>
      </c>
      <c r="AY66" s="33"/>
      <c r="AZ66" s="34" t="str">
        <f t="shared" si="14"/>
        <v/>
      </c>
      <c r="BA66" s="29"/>
      <c r="BB66" s="29" t="str">
        <f>IF(BA66&lt;&gt;"",INDEX('DUN 2021'!$J$3:$J$23,MATCH('UMUR 2021'!BA66,'DUN 2021'!$I$3:$I$23,0),1),"")</f>
        <v/>
      </c>
      <c r="BC66" s="33"/>
      <c r="BD66" s="34" t="str">
        <f t="shared" si="15"/>
        <v/>
      </c>
      <c r="BE66" s="29"/>
      <c r="BF66" s="29" t="str">
        <f>IF(BE66&lt;&gt;"",INDEX('DUN 2021'!$J$3:$J$23,MATCH('UMUR 2021'!BE66,'DUN 2021'!$I$3:$I$23,0),1),"")</f>
        <v/>
      </c>
      <c r="BG66" s="33"/>
      <c r="BH66" s="34" t="str">
        <f t="shared" si="16"/>
        <v/>
      </c>
    </row>
    <row r="67" spans="1:60">
      <c r="A67" s="13" t="s">
        <v>181</v>
      </c>
      <c r="B67" s="14" t="s">
        <v>184</v>
      </c>
      <c r="C67" s="15">
        <f>'JANTINA 2021'!C67+'JANTINA 2021'!K67</f>
        <v>693</v>
      </c>
      <c r="D67" s="15">
        <f>'JANTINA 2021'!D67+'JANTINA 2021'!L67</f>
        <v>1760</v>
      </c>
      <c r="E67" s="15">
        <f>'JANTINA 2021'!E67+'JANTINA 2021'!M67</f>
        <v>1763</v>
      </c>
      <c r="F67" s="15">
        <f>'JANTINA 2021'!F67+'JANTINA 2021'!N67</f>
        <v>1777</v>
      </c>
      <c r="G67" s="15">
        <f>'JANTINA 2021'!G67+'JANTINA 2021'!O67</f>
        <v>1077</v>
      </c>
      <c r="H67" s="15">
        <f>'JANTINA 2021'!H67+'JANTINA 2021'!P67</f>
        <v>504</v>
      </c>
      <c r="I67" s="15">
        <f>'JANTINA 2021'!I67+'JANTINA 2021'!Q67</f>
        <v>244</v>
      </c>
      <c r="J67" s="15">
        <f>'JANTINA 2021'!J67+'JANTINA 2021'!R67</f>
        <v>185</v>
      </c>
      <c r="K67" s="16">
        <f>C67/'JANTINA 2021'!S67</f>
        <v>8.6592527802074229E-2</v>
      </c>
      <c r="L67" s="16">
        <f>D67/'JANTINA 2021'!S67</f>
        <v>0.2199175309259028</v>
      </c>
      <c r="M67" s="16">
        <f>E67/'JANTINA 2021'!S67</f>
        <v>0.22029239035361739</v>
      </c>
      <c r="N67" s="16">
        <f>F67/'JANTINA 2021'!S67</f>
        <v>0.22204173434961888</v>
      </c>
      <c r="O67" s="16">
        <f>G67/'JANTINA 2021'!S67</f>
        <v>0.13457453454954393</v>
      </c>
      <c r="P67" s="16">
        <f>H67/'JANTINA 2021'!S67</f>
        <v>6.2976383856053975E-2</v>
      </c>
      <c r="Q67" s="16">
        <f>I67/'JANTINA 2021'!S67</f>
        <v>3.0488566787454704E-2</v>
      </c>
      <c r="R67" s="16">
        <f t="shared" si="0"/>
        <v>2.3116331375734048E-2</v>
      </c>
      <c r="S67" s="13" t="str">
        <f t="shared" si="1"/>
        <v>50-59</v>
      </c>
      <c r="T67" s="15">
        <f t="shared" si="2"/>
        <v>2453</v>
      </c>
      <c r="U67" s="16">
        <f t="shared" si="3"/>
        <v>0.30651005872797699</v>
      </c>
      <c r="V67" s="15">
        <f t="shared" si="4"/>
        <v>2245</v>
      </c>
      <c r="W67" s="15">
        <f t="shared" si="5"/>
        <v>8003</v>
      </c>
      <c r="X67" s="16">
        <f t="shared" si="6"/>
        <v>0.63676121454454582</v>
      </c>
      <c r="Y67" s="15">
        <f t="shared" si="7"/>
        <v>5096</v>
      </c>
      <c r="Z67" s="15">
        <v>19</v>
      </c>
      <c r="AA67" s="15">
        <v>40</v>
      </c>
      <c r="AB67" s="33">
        <f t="shared" si="8"/>
        <v>5037</v>
      </c>
      <c r="AC67" s="29" t="s">
        <v>249</v>
      </c>
      <c r="AD67" s="29" t="str">
        <f>IF(AC67&lt;&gt;"",INDEX('DUN 2021'!$J$3:$J$23,MATCH('UMUR 2021'!AC67,'DUN 2021'!$I$3:$I$23,0),1),"")</f>
        <v>GPS</v>
      </c>
      <c r="AE67" s="33">
        <v>3552</v>
      </c>
      <c r="AF67" s="34">
        <f t="shared" si="9"/>
        <v>0.70518165574746872</v>
      </c>
      <c r="AG67" s="29" t="s">
        <v>252</v>
      </c>
      <c r="AH67" s="29" t="str">
        <f>INDEX('DUN 2021'!$J$3:$J$23,MATCH('UMUR 2021'!AG67,'DUN 2021'!$I$3:$I$23,0),1)</f>
        <v>PSB</v>
      </c>
      <c r="AI67" s="33">
        <v>1307</v>
      </c>
      <c r="AJ67" s="34">
        <f t="shared" si="10"/>
        <v>0.2594798491165376</v>
      </c>
      <c r="AK67" s="29" t="s">
        <v>301</v>
      </c>
      <c r="AL67" s="29" t="str">
        <f>IF(AK67&lt;&gt;"",INDEX('DUN 2021'!$J$3:$J$23,MATCH('UMUR 2021'!AK67,'DUN 2021'!$I$3:$I$23,0),1),"")</f>
        <v>LAIN-LAIN</v>
      </c>
      <c r="AM67" s="33">
        <v>97</v>
      </c>
      <c r="AN67" s="34">
        <f t="shared" si="11"/>
        <v>1.9257494540401033E-2</v>
      </c>
      <c r="AO67" s="29" t="s">
        <v>251</v>
      </c>
      <c r="AP67" s="29" t="str">
        <f>IF(AO67&lt;&gt;"",INDEX('DUN 2021'!$J$3:$J$23,MATCH('UMUR 2021'!AO67,'DUN 2021'!$I$3:$I$23,0),1),"")</f>
        <v>BEBAS</v>
      </c>
      <c r="AQ67" s="33">
        <v>81</v>
      </c>
      <c r="AR67" s="34">
        <f t="shared" si="12"/>
        <v>1.6081000595592615E-2</v>
      </c>
      <c r="AS67" s="29"/>
      <c r="AT67" s="29" t="str">
        <f>IF(AS67&lt;&gt;"",INDEX('DUN 2021'!$J$3:$J$23,MATCH('UMUR 2021'!AS67,'DUN 2021'!$I$3:$I$23,0),1),"")</f>
        <v/>
      </c>
      <c r="AU67" s="33"/>
      <c r="AV67" s="34" t="str">
        <f t="shared" si="13"/>
        <v/>
      </c>
      <c r="AW67" s="29"/>
      <c r="AX67" s="29" t="str">
        <f>IF(AW67&lt;&gt;"",INDEX('DUN 2021'!$J$3:$J$23,MATCH('UMUR 2021'!AW67,'DUN 2021'!$I$3:$I$23,0),1),"")</f>
        <v/>
      </c>
      <c r="AY67" s="33"/>
      <c r="AZ67" s="34" t="str">
        <f t="shared" si="14"/>
        <v/>
      </c>
      <c r="BA67" s="29"/>
      <c r="BB67" s="29" t="str">
        <f>IF(BA67&lt;&gt;"",INDEX('DUN 2021'!$J$3:$J$23,MATCH('UMUR 2021'!BA67,'DUN 2021'!$I$3:$I$23,0),1),"")</f>
        <v/>
      </c>
      <c r="BC67" s="33"/>
      <c r="BD67" s="34" t="str">
        <f t="shared" si="15"/>
        <v/>
      </c>
      <c r="BE67" s="29"/>
      <c r="BF67" s="29" t="str">
        <f>IF(BE67&lt;&gt;"",INDEX('DUN 2021'!$J$3:$J$23,MATCH('UMUR 2021'!BE67,'DUN 2021'!$I$3:$I$23,0),1),"")</f>
        <v/>
      </c>
      <c r="BG67" s="33"/>
      <c r="BH67" s="34" t="str">
        <f t="shared" si="16"/>
        <v/>
      </c>
    </row>
    <row r="68" spans="1:60">
      <c r="A68" s="13" t="s">
        <v>182</v>
      </c>
      <c r="B68" s="14" t="s">
        <v>185</v>
      </c>
      <c r="C68" s="15">
        <f>'JANTINA 2021'!C68+'JANTINA 2021'!K68</f>
        <v>1073</v>
      </c>
      <c r="D68" s="15">
        <f>'JANTINA 2021'!D68+'JANTINA 2021'!L68</f>
        <v>2191</v>
      </c>
      <c r="E68" s="15">
        <f>'JANTINA 2021'!E68+'JANTINA 2021'!M68</f>
        <v>2190</v>
      </c>
      <c r="F68" s="15">
        <f>'JANTINA 2021'!F68+'JANTINA 2021'!N68</f>
        <v>2043</v>
      </c>
      <c r="G68" s="15">
        <f>'JANTINA 2021'!G68+'JANTINA 2021'!O68</f>
        <v>1201</v>
      </c>
      <c r="H68" s="15">
        <f>'JANTINA 2021'!H68+'JANTINA 2021'!P68</f>
        <v>575</v>
      </c>
      <c r="I68" s="15">
        <f>'JANTINA 2021'!I68+'JANTINA 2021'!Q68</f>
        <v>288</v>
      </c>
      <c r="J68" s="15">
        <f>'JANTINA 2021'!J68+'JANTINA 2021'!R68</f>
        <v>177</v>
      </c>
      <c r="K68" s="16">
        <f>C68/'JANTINA 2021'!S68</f>
        <v>0.11018689669336619</v>
      </c>
      <c r="L68" s="16">
        <f>D68/'JANTINA 2021'!S68</f>
        <v>0.22499486547545697</v>
      </c>
      <c r="M68" s="16">
        <f>E68/'JANTINA 2021'!S68</f>
        <v>0.22489217498459643</v>
      </c>
      <c r="N68" s="16">
        <f>F68/'JANTINA 2021'!S68</f>
        <v>0.20979667282809611</v>
      </c>
      <c r="O68" s="16">
        <f>G68/'JANTINA 2021'!S68</f>
        <v>0.12333127952351612</v>
      </c>
      <c r="P68" s="16">
        <f>H68/'JANTINA 2021'!S68</f>
        <v>5.9047032244814134E-2</v>
      </c>
      <c r="Q68" s="16">
        <f>I68/'JANTINA 2021'!S68</f>
        <v>2.9574861367837338E-2</v>
      </c>
      <c r="R68" s="16">
        <f t="shared" ref="R68:R84" si="17">1-K68-L68-M68-N68-O68-P68-Q68</f>
        <v>1.8176216882316611E-2</v>
      </c>
      <c r="S68" s="13" t="str">
        <f t="shared" ref="S68:S83" si="18">IF(LARGE(K68:R68,1)=K68,"21-29",IF(LARGE(K68:R68,1)=L68,"30-39",IF(LARGE(K68:R68,1)=M68,"40-49",IF(LARGE(K68:R68,1)=N68,"50-59",IF(LARGE(K68:R68,1)=O68,"60-69",IF(LARGE(K68:R68,1)=P68,"70-79",IF(LARGE(K68:R68,1)=Q68,"80-89","90+")))))))</f>
        <v>30-39</v>
      </c>
      <c r="T68" s="15">
        <f t="shared" ref="T68:T84" si="19">C68+D68</f>
        <v>3264</v>
      </c>
      <c r="U68" s="16">
        <f t="shared" ref="U68:U84" si="20">T68/W68</f>
        <v>0.33518176216882317</v>
      </c>
      <c r="V68" s="15">
        <f t="shared" ref="V68:V84" si="21">AE68-AI68</f>
        <v>2919</v>
      </c>
      <c r="W68" s="15">
        <f t="shared" ref="W68:W84" si="22">SUM(C68:J68)</f>
        <v>9738</v>
      </c>
      <c r="X68" s="16">
        <f t="shared" ref="X68:X84" si="23">Y68/W68</f>
        <v>0.71944957896898742</v>
      </c>
      <c r="Y68" s="15">
        <f t="shared" ref="Y68:Y84" si="24">AB68+AA68+Z68</f>
        <v>7006</v>
      </c>
      <c r="Z68" s="15">
        <v>18</v>
      </c>
      <c r="AA68" s="15">
        <v>67</v>
      </c>
      <c r="AB68" s="33">
        <f t="shared" ref="AB68:AB84" si="25">AE68+AI68+AM68+AQ68+AU68+AY68+BC68+BG68</f>
        <v>6921</v>
      </c>
      <c r="AC68" s="29" t="s">
        <v>249</v>
      </c>
      <c r="AD68" s="29" t="str">
        <f>IF(AC68&lt;&gt;"",INDEX('DUN 2021'!$J$3:$J$23,MATCH('UMUR 2021'!AC68,'DUN 2021'!$I$3:$I$23,0),1),"")</f>
        <v>GPS</v>
      </c>
      <c r="AE68" s="33">
        <v>4584</v>
      </c>
      <c r="AF68" s="34">
        <f t="shared" ref="AF68:AF84" si="26">IF(AE68&lt;&gt;"",AE68/AB68,"")</f>
        <v>0.6623320329432163</v>
      </c>
      <c r="AG68" s="29" t="s">
        <v>252</v>
      </c>
      <c r="AH68" s="29" t="str">
        <f>INDEX('DUN 2021'!$J$3:$J$23,MATCH('UMUR 2021'!AG68,'DUN 2021'!$I$3:$I$23,0),1)</f>
        <v>PSB</v>
      </c>
      <c r="AI68" s="33">
        <v>1665</v>
      </c>
      <c r="AJ68" s="34">
        <f t="shared" ref="AJ68:AJ84" si="27">IF(AI68&lt;&gt;"",AI68/AB68,"")</f>
        <v>0.24057217165149544</v>
      </c>
      <c r="AK68" s="29" t="s">
        <v>253</v>
      </c>
      <c r="AL68" s="29" t="str">
        <f>IF(AK68&lt;&gt;"",INDEX('DUN 2021'!$J$3:$J$23,MATCH('UMUR 2021'!AK68,'DUN 2021'!$I$3:$I$23,0),1),"")</f>
        <v>PH</v>
      </c>
      <c r="AM68" s="33">
        <v>513</v>
      </c>
      <c r="AN68" s="34">
        <f t="shared" ref="AN68:AN84" si="28">IF(AM68&lt;&gt;"",AM68/AB68,"")</f>
        <v>7.4122236671001304E-2</v>
      </c>
      <c r="AO68" s="29" t="s">
        <v>303</v>
      </c>
      <c r="AP68" s="29" t="str">
        <f>IF(AO68&lt;&gt;"",INDEX('DUN 2021'!$J$3:$J$23,MATCH('UMUR 2021'!AO68,'DUN 2021'!$I$3:$I$23,0),1),"")</f>
        <v>LAIN-LAIN</v>
      </c>
      <c r="AQ68" s="33">
        <v>159</v>
      </c>
      <c r="AR68" s="34">
        <f t="shared" ref="AR68:AR84" si="29">IF(AQ68&lt;&gt;"",AQ68/AB68,"")</f>
        <v>2.2973558734286952E-2</v>
      </c>
      <c r="AS68" s="29"/>
      <c r="AT68" s="29" t="str">
        <f>IF(AS68&lt;&gt;"",INDEX('DUN 2021'!$J$3:$J$23,MATCH('UMUR 2021'!AS68,'DUN 2021'!$I$3:$I$23,0),1),"")</f>
        <v/>
      </c>
      <c r="AU68" s="33"/>
      <c r="AV68" s="34" t="str">
        <f t="shared" ref="AV68:AV84" si="30">IF(AU68&lt;&gt;"",AU68/AB68,"")</f>
        <v/>
      </c>
      <c r="AW68" s="29"/>
      <c r="AX68" s="29" t="str">
        <f>IF(AW68&lt;&gt;"",INDEX('DUN 2021'!$J$3:$J$23,MATCH('UMUR 2021'!AW68,'DUN 2021'!$I$3:$I$23,0),1),"")</f>
        <v/>
      </c>
      <c r="AY68" s="33"/>
      <c r="AZ68" s="34" t="str">
        <f t="shared" ref="AZ68:AZ84" si="31">IF(AY68&lt;&gt;"",AY68/AB68,"")</f>
        <v/>
      </c>
      <c r="BA68" s="29"/>
      <c r="BB68" s="29" t="str">
        <f>IF(BA68&lt;&gt;"",INDEX('DUN 2021'!$J$3:$J$23,MATCH('UMUR 2021'!BA68,'DUN 2021'!$I$3:$I$23,0),1),"")</f>
        <v/>
      </c>
      <c r="BC68" s="33"/>
      <c r="BD68" s="34" t="str">
        <f t="shared" ref="BD68:BD84" si="32">IF(BC68&lt;&gt;"",BC68/AB68,"")</f>
        <v/>
      </c>
      <c r="BE68" s="29"/>
      <c r="BF68" s="29" t="str">
        <f>IF(BE68&lt;&gt;"",INDEX('DUN 2021'!$J$3:$J$23,MATCH('UMUR 2021'!BE68,'DUN 2021'!$I$3:$I$23,0),1),"")</f>
        <v/>
      </c>
      <c r="BG68" s="33"/>
      <c r="BH68" s="34" t="str">
        <f t="shared" ref="BH68:BH84" si="33">IF(BG68&lt;&gt;"",BG68/AB68,"")</f>
        <v/>
      </c>
    </row>
    <row r="69" spans="1:60">
      <c r="A69" s="13" t="s">
        <v>188</v>
      </c>
      <c r="B69" s="14" t="s">
        <v>192</v>
      </c>
      <c r="C69" s="15">
        <f>'JANTINA 2021'!C69+'JANTINA 2021'!K69</f>
        <v>1175</v>
      </c>
      <c r="D69" s="15">
        <f>'JANTINA 2021'!D69+'JANTINA 2021'!L69</f>
        <v>3196</v>
      </c>
      <c r="E69" s="15">
        <f>'JANTINA 2021'!E69+'JANTINA 2021'!M69</f>
        <v>3411</v>
      </c>
      <c r="F69" s="15">
        <f>'JANTINA 2021'!F69+'JANTINA 2021'!N69</f>
        <v>3225</v>
      </c>
      <c r="G69" s="15">
        <f>'JANTINA 2021'!G69+'JANTINA 2021'!O69</f>
        <v>2344</v>
      </c>
      <c r="H69" s="15">
        <f>'JANTINA 2021'!H69+'JANTINA 2021'!P69</f>
        <v>928</v>
      </c>
      <c r="I69" s="15">
        <f>'JANTINA 2021'!I69+'JANTINA 2021'!Q69</f>
        <v>260</v>
      </c>
      <c r="J69" s="15">
        <f>'JANTINA 2021'!J69+'JANTINA 2021'!R69</f>
        <v>104</v>
      </c>
      <c r="K69" s="16">
        <f>C69/'JANTINA 2021'!S69</f>
        <v>8.0243119579321176E-2</v>
      </c>
      <c r="L69" s="16">
        <f>D69/'JANTINA 2021'!S69</f>
        <v>0.21826128525575361</v>
      </c>
      <c r="M69" s="16">
        <f>E69/'JANTINA 2021'!S69</f>
        <v>0.23294406883835281</v>
      </c>
      <c r="N69" s="16">
        <f>F69/'JANTINA 2021'!S69</f>
        <v>0.22024175373898791</v>
      </c>
      <c r="O69" s="16">
        <f>G69/'JANTINA 2021'!S69</f>
        <v>0.16007648705866284</v>
      </c>
      <c r="P69" s="16">
        <f>H69/'JANTINA 2021'!S69</f>
        <v>6.3374991463497912E-2</v>
      </c>
      <c r="Q69" s="16">
        <f>I69/'JANTINA 2021'!S69</f>
        <v>1.7755924332445536E-2</v>
      </c>
      <c r="R69" s="16">
        <f t="shared" si="17"/>
        <v>7.1023697329781754E-3</v>
      </c>
      <c r="S69" s="13" t="str">
        <f t="shared" si="18"/>
        <v>40-49</v>
      </c>
      <c r="T69" s="15">
        <f t="shared" si="19"/>
        <v>4371</v>
      </c>
      <c r="U69" s="16">
        <f t="shared" si="20"/>
        <v>0.29850440483507479</v>
      </c>
      <c r="V69" s="15">
        <f t="shared" si="21"/>
        <v>4243</v>
      </c>
      <c r="W69" s="15">
        <f t="shared" si="22"/>
        <v>14643</v>
      </c>
      <c r="X69" s="16">
        <f t="shared" si="23"/>
        <v>0.62958410161852074</v>
      </c>
      <c r="Y69" s="15">
        <f t="shared" si="24"/>
        <v>9219</v>
      </c>
      <c r="Z69" s="15">
        <v>34</v>
      </c>
      <c r="AA69" s="15">
        <v>146</v>
      </c>
      <c r="AB69" s="33">
        <f t="shared" si="25"/>
        <v>9039</v>
      </c>
      <c r="AC69" s="29" t="s">
        <v>243</v>
      </c>
      <c r="AD69" s="29" t="str">
        <f>IF(AC69&lt;&gt;"",INDEX('DUN 2021'!$J$3:$J$23,MATCH('UMUR 2021'!AC69,'DUN 2021'!$I$3:$I$23,0),1),"")</f>
        <v>GPS</v>
      </c>
      <c r="AE69" s="33">
        <v>6277</v>
      </c>
      <c r="AF69" s="34">
        <f t="shared" si="26"/>
        <v>0.6944352251355238</v>
      </c>
      <c r="AG69" s="29" t="s">
        <v>252</v>
      </c>
      <c r="AH69" s="29" t="str">
        <f>INDEX('DUN 2021'!$J$3:$J$23,MATCH('UMUR 2021'!AG69,'DUN 2021'!$I$3:$I$23,0),1)</f>
        <v>PSB</v>
      </c>
      <c r="AI69" s="33">
        <v>2034</v>
      </c>
      <c r="AJ69" s="34">
        <f t="shared" si="27"/>
        <v>0.22502489213408564</v>
      </c>
      <c r="AK69" s="29" t="s">
        <v>301</v>
      </c>
      <c r="AL69" s="29" t="str">
        <f>IF(AK69&lt;&gt;"",INDEX('DUN 2021'!$J$3:$J$23,MATCH('UMUR 2021'!AK69,'DUN 2021'!$I$3:$I$23,0),1),"")</f>
        <v>LAIN-LAIN</v>
      </c>
      <c r="AM69" s="33">
        <v>587</v>
      </c>
      <c r="AN69" s="34">
        <f t="shared" si="28"/>
        <v>6.4940812036729731E-2</v>
      </c>
      <c r="AO69" s="29" t="s">
        <v>251</v>
      </c>
      <c r="AP69" s="29" t="str">
        <f>IF(AO69&lt;&gt;"",INDEX('DUN 2021'!$J$3:$J$23,MATCH('UMUR 2021'!AO69,'DUN 2021'!$I$3:$I$23,0),1),"")</f>
        <v>BEBAS</v>
      </c>
      <c r="AQ69" s="33">
        <v>141</v>
      </c>
      <c r="AR69" s="34">
        <f t="shared" si="29"/>
        <v>1.5599070693660804E-2</v>
      </c>
      <c r="AS69" s="29"/>
      <c r="AT69" s="29" t="str">
        <f>IF(AS69&lt;&gt;"",INDEX('DUN 2021'!$J$3:$J$23,MATCH('UMUR 2021'!AS69,'DUN 2021'!$I$3:$I$23,0),1),"")</f>
        <v/>
      </c>
      <c r="AU69" s="33"/>
      <c r="AV69" s="34" t="str">
        <f t="shared" si="30"/>
        <v/>
      </c>
      <c r="AW69" s="29"/>
      <c r="AX69" s="29" t="str">
        <f>IF(AW69&lt;&gt;"",INDEX('DUN 2021'!$J$3:$J$23,MATCH('UMUR 2021'!AW69,'DUN 2021'!$I$3:$I$23,0),1),"")</f>
        <v/>
      </c>
      <c r="AY69" s="33"/>
      <c r="AZ69" s="34" t="str">
        <f t="shared" si="31"/>
        <v/>
      </c>
      <c r="BA69" s="29"/>
      <c r="BB69" s="29" t="str">
        <f>IF(BA69&lt;&gt;"",INDEX('DUN 2021'!$J$3:$J$23,MATCH('UMUR 2021'!BA69,'DUN 2021'!$I$3:$I$23,0),1),"")</f>
        <v/>
      </c>
      <c r="BC69" s="33"/>
      <c r="BD69" s="34" t="str">
        <f t="shared" si="32"/>
        <v/>
      </c>
      <c r="BE69" s="29"/>
      <c r="BF69" s="29" t="str">
        <f>IF(BE69&lt;&gt;"",INDEX('DUN 2021'!$J$3:$J$23,MATCH('UMUR 2021'!BE69,'DUN 2021'!$I$3:$I$23,0),1),"")</f>
        <v/>
      </c>
      <c r="BG69" s="33"/>
      <c r="BH69" s="34" t="str">
        <f t="shared" si="33"/>
        <v/>
      </c>
    </row>
    <row r="70" spans="1:60">
      <c r="A70" s="13" t="s">
        <v>189</v>
      </c>
      <c r="B70" s="14" t="s">
        <v>193</v>
      </c>
      <c r="C70" s="15">
        <f>'JANTINA 2021'!C70+'JANTINA 2021'!K70</f>
        <v>2628</v>
      </c>
      <c r="D70" s="15">
        <f>'JANTINA 2021'!D70+'JANTINA 2021'!L70</f>
        <v>5495</v>
      </c>
      <c r="E70" s="15">
        <f>'JANTINA 2021'!E70+'JANTINA 2021'!M70</f>
        <v>4770</v>
      </c>
      <c r="F70" s="15">
        <f>'JANTINA 2021'!F70+'JANTINA 2021'!N70</f>
        <v>5121</v>
      </c>
      <c r="G70" s="15">
        <f>'JANTINA 2021'!G70+'JANTINA 2021'!O70</f>
        <v>3395</v>
      </c>
      <c r="H70" s="15">
        <f>'JANTINA 2021'!H70+'JANTINA 2021'!P70</f>
        <v>1016</v>
      </c>
      <c r="I70" s="15">
        <f>'JANTINA 2021'!I70+'JANTINA 2021'!Q70</f>
        <v>279</v>
      </c>
      <c r="J70" s="15">
        <f>'JANTINA 2021'!J70+'JANTINA 2021'!R70</f>
        <v>39</v>
      </c>
      <c r="K70" s="16">
        <f>C70/'JANTINA 2021'!S70</f>
        <v>0.11555203798971111</v>
      </c>
      <c r="L70" s="16">
        <f>D70/'JANTINA 2021'!S70</f>
        <v>0.24161280393967374</v>
      </c>
      <c r="M70" s="16">
        <f>E70/'JANTINA 2021'!S70</f>
        <v>0.20973486347447567</v>
      </c>
      <c r="N70" s="16">
        <f>F70/'JANTINA 2021'!S70</f>
        <v>0.22516818361693708</v>
      </c>
      <c r="O70" s="16">
        <f>G70/'JANTINA 2021'!S70</f>
        <v>0.14927670052323791</v>
      </c>
      <c r="P70" s="16">
        <f>H70/'JANTINA 2021'!S70</f>
        <v>4.4673086224332761E-2</v>
      </c>
      <c r="Q70" s="16">
        <f>I70/'JANTINA 2021'!S70</f>
        <v>1.2267510882469331E-2</v>
      </c>
      <c r="R70" s="16">
        <f t="shared" si="17"/>
        <v>1.7148133491623318E-3</v>
      </c>
      <c r="S70" s="13" t="str">
        <f t="shared" si="18"/>
        <v>30-39</v>
      </c>
      <c r="T70" s="15">
        <f t="shared" si="19"/>
        <v>8123</v>
      </c>
      <c r="U70" s="16">
        <f t="shared" si="20"/>
        <v>0.35716484192938486</v>
      </c>
      <c r="V70" s="15">
        <f t="shared" si="21"/>
        <v>23</v>
      </c>
      <c r="W70" s="15">
        <f t="shared" si="22"/>
        <v>22743</v>
      </c>
      <c r="X70" s="16">
        <f t="shared" si="23"/>
        <v>0.51378446115288223</v>
      </c>
      <c r="Y70" s="15">
        <f t="shared" si="24"/>
        <v>11685</v>
      </c>
      <c r="Z70" s="15">
        <v>49</v>
      </c>
      <c r="AA70" s="15">
        <v>69</v>
      </c>
      <c r="AB70" s="33">
        <f t="shared" si="25"/>
        <v>11567</v>
      </c>
      <c r="AC70" s="29" t="s">
        <v>239</v>
      </c>
      <c r="AD70" s="29" t="str">
        <f>IF(AC70&lt;&gt;"",INDEX('DUN 2021'!$J$3:$J$23,MATCH('UMUR 2021'!AC70,'DUN 2021'!$I$3:$I$23,0),1),"")</f>
        <v>GPS</v>
      </c>
      <c r="AE70" s="33">
        <v>4092</v>
      </c>
      <c r="AF70" s="34">
        <f t="shared" si="26"/>
        <v>0.35376502118094577</v>
      </c>
      <c r="AG70" s="29" t="s">
        <v>244</v>
      </c>
      <c r="AH70" s="29" t="str">
        <f>INDEX('DUN 2021'!$J$3:$J$23,MATCH('UMUR 2021'!AG70,'DUN 2021'!$I$3:$I$23,0),1)</f>
        <v>PH</v>
      </c>
      <c r="AI70" s="33">
        <v>4069</v>
      </c>
      <c r="AJ70" s="34">
        <f t="shared" si="27"/>
        <v>0.35177660586150256</v>
      </c>
      <c r="AK70" s="29" t="s">
        <v>301</v>
      </c>
      <c r="AL70" s="29" t="str">
        <f>IF(AK70&lt;&gt;"",INDEX('DUN 2021'!$J$3:$J$23,MATCH('UMUR 2021'!AK70,'DUN 2021'!$I$3:$I$23,0),1),"")</f>
        <v>LAIN-LAIN</v>
      </c>
      <c r="AM70" s="33">
        <v>2204</v>
      </c>
      <c r="AN70" s="34">
        <f t="shared" si="28"/>
        <v>0.19054205930664822</v>
      </c>
      <c r="AO70" s="29" t="s">
        <v>252</v>
      </c>
      <c r="AP70" s="29" t="str">
        <f>IF(AO70&lt;&gt;"",INDEX('DUN 2021'!$J$3:$J$23,MATCH('UMUR 2021'!AO70,'DUN 2021'!$I$3:$I$23,0),1),"")</f>
        <v>PSB</v>
      </c>
      <c r="AQ70" s="33">
        <v>1071</v>
      </c>
      <c r="AR70" s="34">
        <f t="shared" si="29"/>
        <v>9.2590991614074525E-2</v>
      </c>
      <c r="AS70" s="29" t="s">
        <v>302</v>
      </c>
      <c r="AT70" s="29" t="str">
        <f>IF(AS70&lt;&gt;"",INDEX('DUN 2021'!$J$3:$J$23,MATCH('UMUR 2021'!AS70,'DUN 2021'!$I$3:$I$23,0),1),"")</f>
        <v>LAIN-LAIN</v>
      </c>
      <c r="AU70" s="33">
        <v>93</v>
      </c>
      <c r="AV70" s="34">
        <f t="shared" si="30"/>
        <v>8.0401141177487683E-3</v>
      </c>
      <c r="AW70" s="29" t="s">
        <v>251</v>
      </c>
      <c r="AX70" s="29" t="str">
        <f>IF(AW70&lt;&gt;"",INDEX('DUN 2021'!$J$3:$J$23,MATCH('UMUR 2021'!AW70,'DUN 2021'!$I$3:$I$23,0),1),"")</f>
        <v>BEBAS</v>
      </c>
      <c r="AY70" s="33">
        <v>38</v>
      </c>
      <c r="AZ70" s="34">
        <f t="shared" si="31"/>
        <v>3.2852079190801419E-3</v>
      </c>
      <c r="BA70" s="29"/>
      <c r="BB70" s="29" t="str">
        <f>IF(BA70&lt;&gt;"",INDEX('DUN 2021'!$J$3:$J$23,MATCH('UMUR 2021'!BA70,'DUN 2021'!$I$3:$I$23,0),1),"")</f>
        <v/>
      </c>
      <c r="BC70" s="33"/>
      <c r="BD70" s="34" t="str">
        <f t="shared" si="32"/>
        <v/>
      </c>
      <c r="BE70" s="29"/>
      <c r="BF70" s="29" t="str">
        <f>IF(BE70&lt;&gt;"",INDEX('DUN 2021'!$J$3:$J$23,MATCH('UMUR 2021'!BE70,'DUN 2021'!$I$3:$I$23,0),1),"")</f>
        <v/>
      </c>
      <c r="BG70" s="33"/>
      <c r="BH70" s="34" t="str">
        <f t="shared" si="33"/>
        <v/>
      </c>
    </row>
    <row r="71" spans="1:60">
      <c r="A71" s="13" t="s">
        <v>190</v>
      </c>
      <c r="B71" s="14" t="s">
        <v>194</v>
      </c>
      <c r="C71" s="15">
        <f>'JANTINA 2021'!C71+'JANTINA 2021'!K71</f>
        <v>1027</v>
      </c>
      <c r="D71" s="15">
        <f>'JANTINA 2021'!D71+'JANTINA 2021'!L71</f>
        <v>2769</v>
      </c>
      <c r="E71" s="15">
        <f>'JANTINA 2021'!E71+'JANTINA 2021'!M71</f>
        <v>3175</v>
      </c>
      <c r="F71" s="15">
        <f>'JANTINA 2021'!F71+'JANTINA 2021'!N71</f>
        <v>3279</v>
      </c>
      <c r="G71" s="15">
        <f>'JANTINA 2021'!G71+'JANTINA 2021'!O71</f>
        <v>2198</v>
      </c>
      <c r="H71" s="15">
        <f>'JANTINA 2021'!H71+'JANTINA 2021'!P71</f>
        <v>1237</v>
      </c>
      <c r="I71" s="15">
        <f>'JANTINA 2021'!I71+'JANTINA 2021'!Q71</f>
        <v>362</v>
      </c>
      <c r="J71" s="15">
        <f>'JANTINA 2021'!J71+'JANTINA 2021'!R71</f>
        <v>205</v>
      </c>
      <c r="K71" s="16">
        <f>C71/'JANTINA 2021'!S71</f>
        <v>7.2060061745719897E-2</v>
      </c>
      <c r="L71" s="16">
        <f>D71/'JANTINA 2021'!S71</f>
        <v>0.19428852090934606</v>
      </c>
      <c r="M71" s="16">
        <f>E71/'JANTINA 2021'!S71</f>
        <v>0.22277575077182149</v>
      </c>
      <c r="N71" s="16">
        <f>F71/'JANTINA 2021'!S71</f>
        <v>0.23007297221442605</v>
      </c>
      <c r="O71" s="16">
        <f>G71/'JANTINA 2021'!S71</f>
        <v>0.15422396856581533</v>
      </c>
      <c r="P71" s="16">
        <f>H71/'JANTINA 2021'!S71</f>
        <v>8.679483581251754E-2</v>
      </c>
      <c r="Q71" s="16">
        <f>I71/'JANTINA 2021'!S71</f>
        <v>2.5399943867527364E-2</v>
      </c>
      <c r="R71" s="16">
        <f t="shared" si="17"/>
        <v>1.4383946112826201E-2</v>
      </c>
      <c r="S71" s="13" t="str">
        <f t="shared" si="18"/>
        <v>50-59</v>
      </c>
      <c r="T71" s="15">
        <f t="shared" si="19"/>
        <v>3796</v>
      </c>
      <c r="U71" s="16">
        <f t="shared" si="20"/>
        <v>0.26634858265506595</v>
      </c>
      <c r="V71" s="15">
        <f t="shared" si="21"/>
        <v>3611</v>
      </c>
      <c r="W71" s="15">
        <f t="shared" si="22"/>
        <v>14252</v>
      </c>
      <c r="X71" s="16">
        <f t="shared" si="23"/>
        <v>0.71954813359528491</v>
      </c>
      <c r="Y71" s="15">
        <f t="shared" si="24"/>
        <v>10255</v>
      </c>
      <c r="Z71" s="15">
        <v>21</v>
      </c>
      <c r="AA71" s="15">
        <v>143</v>
      </c>
      <c r="AB71" s="33">
        <f t="shared" si="25"/>
        <v>10091</v>
      </c>
      <c r="AC71" s="29" t="s">
        <v>243</v>
      </c>
      <c r="AD71" s="29" t="str">
        <f>IF(AC71&lt;&gt;"",INDEX('DUN 2021'!$J$3:$J$23,MATCH('UMUR 2021'!AC71,'DUN 2021'!$I$3:$I$23,0),1),"")</f>
        <v>GPS</v>
      </c>
      <c r="AE71" s="33">
        <v>6339</v>
      </c>
      <c r="AF71" s="34">
        <f t="shared" si="26"/>
        <v>0.62818352987810921</v>
      </c>
      <c r="AG71" s="29" t="s">
        <v>252</v>
      </c>
      <c r="AH71" s="29" t="str">
        <f>INDEX('DUN 2021'!$J$3:$J$23,MATCH('UMUR 2021'!AG71,'DUN 2021'!$I$3:$I$23,0),1)</f>
        <v>PSB</v>
      </c>
      <c r="AI71" s="33">
        <v>2728</v>
      </c>
      <c r="AJ71" s="34">
        <f t="shared" si="27"/>
        <v>0.27033990684768605</v>
      </c>
      <c r="AK71" s="29" t="s">
        <v>244</v>
      </c>
      <c r="AL71" s="29" t="str">
        <f>IF(AK71&lt;&gt;"",INDEX('DUN 2021'!$J$3:$J$23,MATCH('UMUR 2021'!AK71,'DUN 2021'!$I$3:$I$23,0),1),"")</f>
        <v>PH</v>
      </c>
      <c r="AM71" s="33">
        <v>399</v>
      </c>
      <c r="AN71" s="34">
        <f t="shared" si="28"/>
        <v>3.9540184322663763E-2</v>
      </c>
      <c r="AO71" s="29" t="s">
        <v>251</v>
      </c>
      <c r="AP71" s="29" t="str">
        <f>IF(AO71&lt;&gt;"",INDEX('DUN 2021'!$J$3:$J$23,MATCH('UMUR 2021'!AO71,'DUN 2021'!$I$3:$I$23,0),1),"")</f>
        <v>BEBAS</v>
      </c>
      <c r="AQ71" s="33">
        <v>331</v>
      </c>
      <c r="AR71" s="34">
        <f t="shared" si="29"/>
        <v>3.28015062927361E-2</v>
      </c>
      <c r="AS71" s="29" t="s">
        <v>301</v>
      </c>
      <c r="AT71" s="29" t="str">
        <f>IF(AS71&lt;&gt;"",INDEX('DUN 2021'!$J$3:$J$23,MATCH('UMUR 2021'!AS71,'DUN 2021'!$I$3:$I$23,0),1),"")</f>
        <v>LAIN-LAIN</v>
      </c>
      <c r="AU71" s="33">
        <v>294</v>
      </c>
      <c r="AV71" s="34">
        <f t="shared" si="30"/>
        <v>2.9134872658804874E-2</v>
      </c>
      <c r="AW71" s="29"/>
      <c r="AX71" s="29" t="str">
        <f>IF(AW71&lt;&gt;"",INDEX('DUN 2021'!$J$3:$J$23,MATCH('UMUR 2021'!AW71,'DUN 2021'!$I$3:$I$23,0),1),"")</f>
        <v/>
      </c>
      <c r="AY71" s="33"/>
      <c r="AZ71" s="34" t="str">
        <f t="shared" si="31"/>
        <v/>
      </c>
      <c r="BA71" s="29"/>
      <c r="BB71" s="29" t="str">
        <f>IF(BA71&lt;&gt;"",INDEX('DUN 2021'!$J$3:$J$23,MATCH('UMUR 2021'!BA71,'DUN 2021'!$I$3:$I$23,0),1),"")</f>
        <v/>
      </c>
      <c r="BC71" s="33"/>
      <c r="BD71" s="34" t="str">
        <f t="shared" si="32"/>
        <v/>
      </c>
      <c r="BE71" s="29"/>
      <c r="BF71" s="29" t="str">
        <f>IF(BE71&lt;&gt;"",INDEX('DUN 2021'!$J$3:$J$23,MATCH('UMUR 2021'!BE71,'DUN 2021'!$I$3:$I$23,0),1),"")</f>
        <v/>
      </c>
      <c r="BG71" s="33"/>
      <c r="BH71" s="34" t="str">
        <f t="shared" si="33"/>
        <v/>
      </c>
    </row>
    <row r="72" spans="1:60">
      <c r="A72" s="13" t="s">
        <v>191</v>
      </c>
      <c r="B72" s="14" t="s">
        <v>195</v>
      </c>
      <c r="C72" s="15">
        <f>'JANTINA 2021'!C72+'JANTINA 2021'!K72</f>
        <v>2634</v>
      </c>
      <c r="D72" s="15">
        <f>'JANTINA 2021'!D72+'JANTINA 2021'!L72</f>
        <v>4535</v>
      </c>
      <c r="E72" s="15">
        <f>'JANTINA 2021'!E72+'JANTINA 2021'!M72</f>
        <v>3873</v>
      </c>
      <c r="F72" s="15">
        <f>'JANTINA 2021'!F72+'JANTINA 2021'!N72</f>
        <v>3785</v>
      </c>
      <c r="G72" s="15">
        <f>'JANTINA 2021'!G72+'JANTINA 2021'!O72</f>
        <v>2216</v>
      </c>
      <c r="H72" s="15">
        <f>'JANTINA 2021'!H72+'JANTINA 2021'!P72</f>
        <v>697</v>
      </c>
      <c r="I72" s="15">
        <f>'JANTINA 2021'!I72+'JANTINA 2021'!Q72</f>
        <v>165</v>
      </c>
      <c r="J72" s="15">
        <f>'JANTINA 2021'!J72+'JANTINA 2021'!R72</f>
        <v>76</v>
      </c>
      <c r="K72" s="16">
        <f>C72/'JANTINA 2021'!S72</f>
        <v>0.14648795951281909</v>
      </c>
      <c r="L72" s="16">
        <f>D72/'JANTINA 2021'!S72</f>
        <v>0.25221066681497134</v>
      </c>
      <c r="M72" s="16">
        <f>E72/'JANTINA 2021'!S72</f>
        <v>0.21539402702853011</v>
      </c>
      <c r="N72" s="16">
        <f>F72/'JANTINA 2021'!S72</f>
        <v>0.21049997219287025</v>
      </c>
      <c r="O72" s="16">
        <f>G72/'JANTINA 2021'!S72</f>
        <v>0.12324119904343474</v>
      </c>
      <c r="P72" s="16">
        <f>H72/'JANTINA 2021'!S72</f>
        <v>3.876313886880596E-2</v>
      </c>
      <c r="Q72" s="16">
        <f>I72/'JANTINA 2021'!S72</f>
        <v>9.1763528168622432E-3</v>
      </c>
      <c r="R72" s="16">
        <f t="shared" si="17"/>
        <v>4.2266837217061759E-3</v>
      </c>
      <c r="S72" s="13" t="str">
        <f t="shared" si="18"/>
        <v>30-39</v>
      </c>
      <c r="T72" s="15">
        <f t="shared" si="19"/>
        <v>7169</v>
      </c>
      <c r="U72" s="16">
        <f t="shared" si="20"/>
        <v>0.39869862632779046</v>
      </c>
      <c r="V72" s="15">
        <f t="shared" si="21"/>
        <v>6043</v>
      </c>
      <c r="W72" s="15">
        <f t="shared" si="22"/>
        <v>17981</v>
      </c>
      <c r="X72" s="16">
        <f t="shared" si="23"/>
        <v>0.6368388854902397</v>
      </c>
      <c r="Y72" s="15">
        <f t="shared" si="24"/>
        <v>11451</v>
      </c>
      <c r="Z72" s="15">
        <v>25</v>
      </c>
      <c r="AA72" s="15">
        <v>171</v>
      </c>
      <c r="AB72" s="33">
        <f t="shared" si="25"/>
        <v>11255</v>
      </c>
      <c r="AC72" s="29" t="s">
        <v>249</v>
      </c>
      <c r="AD72" s="29" t="str">
        <f>IF(AC72&lt;&gt;"",INDEX('DUN 2021'!$J$3:$J$23,MATCH('UMUR 2021'!AC72,'DUN 2021'!$I$3:$I$23,0),1),"")</f>
        <v>GPS</v>
      </c>
      <c r="AE72" s="33">
        <v>7547</v>
      </c>
      <c r="AF72" s="34">
        <f t="shared" si="26"/>
        <v>0.67054642381163931</v>
      </c>
      <c r="AG72" s="29" t="s">
        <v>244</v>
      </c>
      <c r="AH72" s="29" t="str">
        <f>INDEX('DUN 2021'!$J$3:$J$23,MATCH('UMUR 2021'!AG72,'DUN 2021'!$I$3:$I$23,0),1)</f>
        <v>PH</v>
      </c>
      <c r="AI72" s="33">
        <v>1504</v>
      </c>
      <c r="AJ72" s="34">
        <f t="shared" si="27"/>
        <v>0.1336294980008885</v>
      </c>
      <c r="AK72" s="29" t="s">
        <v>252</v>
      </c>
      <c r="AL72" s="29" t="str">
        <f>IF(AK72&lt;&gt;"",INDEX('DUN 2021'!$J$3:$J$23,MATCH('UMUR 2021'!AK72,'DUN 2021'!$I$3:$I$23,0),1),"")</f>
        <v>PSB</v>
      </c>
      <c r="AM72" s="33">
        <v>1496</v>
      </c>
      <c r="AN72" s="34">
        <f t="shared" si="28"/>
        <v>0.13291870279875612</v>
      </c>
      <c r="AO72" s="29" t="s">
        <v>301</v>
      </c>
      <c r="AP72" s="29" t="str">
        <f>IF(AO72&lt;&gt;"",INDEX('DUN 2021'!$J$3:$J$23,MATCH('UMUR 2021'!AO72,'DUN 2021'!$I$3:$I$23,0),1),"")</f>
        <v>LAIN-LAIN</v>
      </c>
      <c r="AQ72" s="33">
        <v>509</v>
      </c>
      <c r="AR72" s="34">
        <f t="shared" si="29"/>
        <v>4.5224344735673036E-2</v>
      </c>
      <c r="AS72" s="29" t="s">
        <v>303</v>
      </c>
      <c r="AT72" s="29" t="str">
        <f>IF(AS72&lt;&gt;"",INDEX('DUN 2021'!$J$3:$J$23,MATCH('UMUR 2021'!AS72,'DUN 2021'!$I$3:$I$23,0),1),"")</f>
        <v>LAIN-LAIN</v>
      </c>
      <c r="AU72" s="33">
        <v>199</v>
      </c>
      <c r="AV72" s="34">
        <f t="shared" si="30"/>
        <v>1.7681030653043092E-2</v>
      </c>
      <c r="AW72" s="29"/>
      <c r="AX72" s="29" t="str">
        <f>IF(AW72&lt;&gt;"",INDEX('DUN 2021'!$J$3:$J$23,MATCH('UMUR 2021'!AW72,'DUN 2021'!$I$3:$I$23,0),1),"")</f>
        <v/>
      </c>
      <c r="AY72" s="33"/>
      <c r="AZ72" s="34" t="str">
        <f t="shared" si="31"/>
        <v/>
      </c>
      <c r="BA72" s="29"/>
      <c r="BB72" s="29" t="str">
        <f>IF(BA72&lt;&gt;"",INDEX('DUN 2021'!$J$3:$J$23,MATCH('UMUR 2021'!BA72,'DUN 2021'!$I$3:$I$23,0),1),"")</f>
        <v/>
      </c>
      <c r="BC72" s="33"/>
      <c r="BD72" s="34" t="str">
        <f t="shared" si="32"/>
        <v/>
      </c>
      <c r="BE72" s="29"/>
      <c r="BF72" s="29" t="str">
        <f>IF(BE72&lt;&gt;"",INDEX('DUN 2021'!$J$3:$J$23,MATCH('UMUR 2021'!BE72,'DUN 2021'!$I$3:$I$23,0),1),"")</f>
        <v/>
      </c>
      <c r="BG72" s="33"/>
      <c r="BH72" s="34" t="str">
        <f t="shared" si="33"/>
        <v/>
      </c>
    </row>
    <row r="73" spans="1:60">
      <c r="A73" s="13" t="s">
        <v>198</v>
      </c>
      <c r="B73" s="14" t="s">
        <v>200</v>
      </c>
      <c r="C73" s="15">
        <f>'JANTINA 2021'!C73+'JANTINA 2021'!K73</f>
        <v>728</v>
      </c>
      <c r="D73" s="15">
        <f>'JANTINA 2021'!D73+'JANTINA 2021'!L73</f>
        <v>2439</v>
      </c>
      <c r="E73" s="15">
        <f>'JANTINA 2021'!E73+'JANTINA 2021'!M73</f>
        <v>2581</v>
      </c>
      <c r="F73" s="15">
        <f>'JANTINA 2021'!F73+'JANTINA 2021'!N73</f>
        <v>2634</v>
      </c>
      <c r="G73" s="15">
        <f>'JANTINA 2021'!G73+'JANTINA 2021'!O73</f>
        <v>2690</v>
      </c>
      <c r="H73" s="15">
        <f>'JANTINA 2021'!H73+'JANTINA 2021'!P73</f>
        <v>1190</v>
      </c>
      <c r="I73" s="15">
        <f>'JANTINA 2021'!I73+'JANTINA 2021'!Q73</f>
        <v>314</v>
      </c>
      <c r="J73" s="15">
        <f>'JANTINA 2021'!J73+'JANTINA 2021'!R73</f>
        <v>98</v>
      </c>
      <c r="K73" s="16">
        <f>C73/'JANTINA 2021'!S73</f>
        <v>5.744042922518542E-2</v>
      </c>
      <c r="L73" s="16">
        <f>D73/'JANTINA 2021'!S73</f>
        <v>0.19244121824207039</v>
      </c>
      <c r="M73" s="16">
        <f>E73/'JANTINA 2021'!S73</f>
        <v>0.20364525800852137</v>
      </c>
      <c r="N73" s="16">
        <f>F73/'JANTINA 2021'!S73</f>
        <v>0.20782704749881648</v>
      </c>
      <c r="O73" s="16">
        <f>G73/'JANTINA 2021'!S73</f>
        <v>0.21224554205459997</v>
      </c>
      <c r="P73" s="16">
        <f>H73/'JANTINA 2021'!S73</f>
        <v>9.3893009310399247E-2</v>
      </c>
      <c r="Q73" s="16">
        <f>I73/'JANTINA 2021'!S73</f>
        <v>2.4775130187786019E-2</v>
      </c>
      <c r="R73" s="16">
        <f t="shared" si="17"/>
        <v>7.7323654726210549E-3</v>
      </c>
      <c r="S73" s="13" t="str">
        <f t="shared" si="18"/>
        <v>60-69</v>
      </c>
      <c r="T73" s="15">
        <f t="shared" si="19"/>
        <v>3167</v>
      </c>
      <c r="U73" s="16">
        <f t="shared" si="20"/>
        <v>0.2498816474672558</v>
      </c>
      <c r="V73" s="15">
        <f t="shared" si="21"/>
        <v>5397</v>
      </c>
      <c r="W73" s="15">
        <f t="shared" si="22"/>
        <v>12674</v>
      </c>
      <c r="X73" s="16">
        <f t="shared" si="23"/>
        <v>0.64478459839040558</v>
      </c>
      <c r="Y73" s="15">
        <f t="shared" si="24"/>
        <v>8172</v>
      </c>
      <c r="Z73" s="15">
        <v>48</v>
      </c>
      <c r="AA73" s="15">
        <v>140</v>
      </c>
      <c r="AB73" s="33">
        <f t="shared" si="25"/>
        <v>7984</v>
      </c>
      <c r="AC73" s="29" t="s">
        <v>243</v>
      </c>
      <c r="AD73" s="29" t="str">
        <f>IF(AC73&lt;&gt;"",INDEX('DUN 2021'!$J$3:$J$23,MATCH('UMUR 2021'!AC73,'DUN 2021'!$I$3:$I$23,0),1),"")</f>
        <v>GPS</v>
      </c>
      <c r="AE73" s="33">
        <v>6354</v>
      </c>
      <c r="AF73" s="34">
        <f t="shared" si="26"/>
        <v>0.79584168336673344</v>
      </c>
      <c r="AG73" s="29" t="s">
        <v>253</v>
      </c>
      <c r="AH73" s="29" t="str">
        <f>INDEX('DUN 2021'!$J$3:$J$23,MATCH('UMUR 2021'!AG73,'DUN 2021'!$I$3:$I$23,0),1)</f>
        <v>PH</v>
      </c>
      <c r="AI73" s="33">
        <v>957</v>
      </c>
      <c r="AJ73" s="34">
        <f t="shared" si="27"/>
        <v>0.11986472945891784</v>
      </c>
      <c r="AK73" s="29" t="s">
        <v>252</v>
      </c>
      <c r="AL73" s="29" t="str">
        <f>IF(AK73&lt;&gt;"",INDEX('DUN 2021'!$J$3:$J$23,MATCH('UMUR 2021'!AK73,'DUN 2021'!$I$3:$I$23,0),1),"")</f>
        <v>PSB</v>
      </c>
      <c r="AM73" s="33">
        <v>377</v>
      </c>
      <c r="AN73" s="34">
        <f t="shared" si="28"/>
        <v>4.721943887775551E-2</v>
      </c>
      <c r="AO73" s="29" t="s">
        <v>301</v>
      </c>
      <c r="AP73" s="29" t="str">
        <f>IF(AO73&lt;&gt;"",INDEX('DUN 2021'!$J$3:$J$23,MATCH('UMUR 2021'!AO73,'DUN 2021'!$I$3:$I$23,0),1),"")</f>
        <v>LAIN-LAIN</v>
      </c>
      <c r="AQ73" s="33">
        <v>296</v>
      </c>
      <c r="AR73" s="34">
        <f t="shared" si="29"/>
        <v>3.7074148296593189E-2</v>
      </c>
      <c r="AS73" s="29"/>
      <c r="AT73" s="29" t="str">
        <f>IF(AS73&lt;&gt;"",INDEX('DUN 2021'!$J$3:$J$23,MATCH('UMUR 2021'!AS73,'DUN 2021'!$I$3:$I$23,0),1),"")</f>
        <v/>
      </c>
      <c r="AU73" s="33"/>
      <c r="AV73" s="34" t="str">
        <f t="shared" si="30"/>
        <v/>
      </c>
      <c r="AW73" s="29"/>
      <c r="AX73" s="29" t="str">
        <f>IF(AW73&lt;&gt;"",INDEX('DUN 2021'!$J$3:$J$23,MATCH('UMUR 2021'!AW73,'DUN 2021'!$I$3:$I$23,0),1),"")</f>
        <v/>
      </c>
      <c r="AY73" s="33"/>
      <c r="AZ73" s="34" t="str">
        <f t="shared" si="31"/>
        <v/>
      </c>
      <c r="BA73" s="29"/>
      <c r="BB73" s="29" t="str">
        <f>IF(BA73&lt;&gt;"",INDEX('DUN 2021'!$J$3:$J$23,MATCH('UMUR 2021'!BA73,'DUN 2021'!$I$3:$I$23,0),1),"")</f>
        <v/>
      </c>
      <c r="BC73" s="33"/>
      <c r="BD73" s="34" t="str">
        <f t="shared" si="32"/>
        <v/>
      </c>
      <c r="BE73" s="29"/>
      <c r="BF73" s="29" t="str">
        <f>IF(BE73&lt;&gt;"",INDEX('DUN 2021'!$J$3:$J$23,MATCH('UMUR 2021'!BE73,'DUN 2021'!$I$3:$I$23,0),1),"")</f>
        <v/>
      </c>
      <c r="BG73" s="33"/>
      <c r="BH73" s="34" t="str">
        <f t="shared" si="33"/>
        <v/>
      </c>
    </row>
    <row r="74" spans="1:60">
      <c r="A74" s="13" t="s">
        <v>199</v>
      </c>
      <c r="B74" s="14" t="s">
        <v>201</v>
      </c>
      <c r="C74" s="15">
        <f>'JANTINA 2021'!C74+'JANTINA 2021'!K74</f>
        <v>2053</v>
      </c>
      <c r="D74" s="15">
        <f>'JANTINA 2021'!D74+'JANTINA 2021'!L74</f>
        <v>5208</v>
      </c>
      <c r="E74" s="15">
        <f>'JANTINA 2021'!E74+'JANTINA 2021'!M74</f>
        <v>4414</v>
      </c>
      <c r="F74" s="15">
        <f>'JANTINA 2021'!F74+'JANTINA 2021'!N74</f>
        <v>3990</v>
      </c>
      <c r="G74" s="15">
        <f>'JANTINA 2021'!G74+'JANTINA 2021'!O74</f>
        <v>2741</v>
      </c>
      <c r="H74" s="15">
        <f>'JANTINA 2021'!H74+'JANTINA 2021'!P74</f>
        <v>1151</v>
      </c>
      <c r="I74" s="15">
        <f>'JANTINA 2021'!I74+'JANTINA 2021'!Q74</f>
        <v>267</v>
      </c>
      <c r="J74" s="15">
        <f>'JANTINA 2021'!J74+'JANTINA 2021'!R74</f>
        <v>83</v>
      </c>
      <c r="K74" s="16">
        <f>C74/'JANTINA 2021'!S74</f>
        <v>0.10312955241874718</v>
      </c>
      <c r="L74" s="16">
        <f>D74/'JANTINA 2021'!S74</f>
        <v>0.26161651680313458</v>
      </c>
      <c r="M74" s="16">
        <f>E74/'JANTINA 2021'!S74</f>
        <v>0.22173104937961521</v>
      </c>
      <c r="N74" s="16">
        <f>F74/'JANTINA 2021'!S74</f>
        <v>0.20043200884111118</v>
      </c>
      <c r="O74" s="16">
        <f>G74/'JANTINA 2021'!S74</f>
        <v>0.13769025970764054</v>
      </c>
      <c r="P74" s="16">
        <f>H74/'JANTINA 2021'!S74</f>
        <v>5.7818857688250361E-2</v>
      </c>
      <c r="Q74" s="16">
        <f>I74/'JANTINA 2021'!S74</f>
        <v>1.3412367508916461E-2</v>
      </c>
      <c r="R74" s="16">
        <f t="shared" si="17"/>
        <v>4.1693876525844813E-3</v>
      </c>
      <c r="S74" s="13" t="str">
        <f t="shared" si="18"/>
        <v>30-39</v>
      </c>
      <c r="T74" s="15">
        <f t="shared" si="19"/>
        <v>7261</v>
      </c>
      <c r="U74" s="16">
        <f t="shared" si="20"/>
        <v>0.36474606922188174</v>
      </c>
      <c r="V74" s="15">
        <f t="shared" si="21"/>
        <v>5562</v>
      </c>
      <c r="W74" s="15">
        <f t="shared" si="22"/>
        <v>19907</v>
      </c>
      <c r="X74" s="16">
        <f t="shared" si="23"/>
        <v>0.51514542623197868</v>
      </c>
      <c r="Y74" s="15">
        <f t="shared" si="24"/>
        <v>10255</v>
      </c>
      <c r="Z74" s="15">
        <v>109</v>
      </c>
      <c r="AA74" s="15">
        <v>60</v>
      </c>
      <c r="AB74" s="33">
        <f t="shared" si="25"/>
        <v>10086</v>
      </c>
      <c r="AC74" s="29" t="s">
        <v>243</v>
      </c>
      <c r="AD74" s="29" t="str">
        <f>IF(AC74&lt;&gt;"",INDEX('DUN 2021'!$J$3:$J$23,MATCH('UMUR 2021'!AC74,'DUN 2021'!$I$3:$I$23,0),1),"")</f>
        <v>GPS</v>
      </c>
      <c r="AE74" s="33">
        <v>6860</v>
      </c>
      <c r="AF74" s="34">
        <f t="shared" si="26"/>
        <v>0.68015070394606381</v>
      </c>
      <c r="AG74" s="29" t="s">
        <v>252</v>
      </c>
      <c r="AH74" s="29" t="str">
        <f>INDEX('DUN 2021'!$J$3:$J$23,MATCH('UMUR 2021'!AG74,'DUN 2021'!$I$3:$I$23,0),1)</f>
        <v>PSB</v>
      </c>
      <c r="AI74" s="33">
        <v>1298</v>
      </c>
      <c r="AJ74" s="34">
        <f t="shared" si="27"/>
        <v>0.12869323815189371</v>
      </c>
      <c r="AK74" s="29" t="s">
        <v>253</v>
      </c>
      <c r="AL74" s="29" t="str">
        <f>IF(AK74&lt;&gt;"",INDEX('DUN 2021'!$J$3:$J$23,MATCH('UMUR 2021'!AK74,'DUN 2021'!$I$3:$I$23,0),1),"")</f>
        <v>PH</v>
      </c>
      <c r="AM74" s="33">
        <v>1139</v>
      </c>
      <c r="AN74" s="34">
        <f t="shared" si="28"/>
        <v>0.11292881221495142</v>
      </c>
      <c r="AO74" s="29" t="s">
        <v>301</v>
      </c>
      <c r="AP74" s="29" t="str">
        <f>IF(AO74&lt;&gt;"",INDEX('DUN 2021'!$J$3:$J$23,MATCH('UMUR 2021'!AO74,'DUN 2021'!$I$3:$I$23,0),1),"")</f>
        <v>LAIN-LAIN</v>
      </c>
      <c r="AQ74" s="33">
        <v>789</v>
      </c>
      <c r="AR74" s="34">
        <f t="shared" si="29"/>
        <v>7.8227245687091024E-2</v>
      </c>
      <c r="AS74" s="29"/>
      <c r="AT74" s="29" t="str">
        <f>IF(AS74&lt;&gt;"",INDEX('DUN 2021'!$J$3:$J$23,MATCH('UMUR 2021'!AS74,'DUN 2021'!$I$3:$I$23,0),1),"")</f>
        <v/>
      </c>
      <c r="AU74" s="33"/>
      <c r="AV74" s="34" t="str">
        <f t="shared" si="30"/>
        <v/>
      </c>
      <c r="AW74" s="29"/>
      <c r="AX74" s="29" t="str">
        <f>IF(AW74&lt;&gt;"",INDEX('DUN 2021'!$J$3:$J$23,MATCH('UMUR 2021'!AW74,'DUN 2021'!$I$3:$I$23,0),1),"")</f>
        <v/>
      </c>
      <c r="AY74" s="33"/>
      <c r="AZ74" s="34" t="str">
        <f t="shared" si="31"/>
        <v/>
      </c>
      <c r="BA74" s="29"/>
      <c r="BB74" s="29" t="str">
        <f>IF(BA74&lt;&gt;"",INDEX('DUN 2021'!$J$3:$J$23,MATCH('UMUR 2021'!BA74,'DUN 2021'!$I$3:$I$23,0),1),"")</f>
        <v/>
      </c>
      <c r="BC74" s="33"/>
      <c r="BD74" s="34" t="str">
        <f t="shared" si="32"/>
        <v/>
      </c>
      <c r="BE74" s="29"/>
      <c r="BF74" s="29" t="str">
        <f>IF(BE74&lt;&gt;"",INDEX('DUN 2021'!$J$3:$J$23,MATCH('UMUR 2021'!BE74,'DUN 2021'!$I$3:$I$23,0),1),"")</f>
        <v/>
      </c>
      <c r="BG74" s="33"/>
      <c r="BH74" s="34" t="str">
        <f t="shared" si="33"/>
        <v/>
      </c>
    </row>
    <row r="75" spans="1:60">
      <c r="A75" s="13" t="s">
        <v>204</v>
      </c>
      <c r="B75" s="14" t="s">
        <v>207</v>
      </c>
      <c r="C75" s="15">
        <f>'JANTINA 2021'!C75+'JANTINA 2021'!K75</f>
        <v>1091</v>
      </c>
      <c r="D75" s="15">
        <f>'JANTINA 2021'!D75+'JANTINA 2021'!L75</f>
        <v>3288</v>
      </c>
      <c r="E75" s="15">
        <f>'JANTINA 2021'!E75+'JANTINA 2021'!M75</f>
        <v>3726</v>
      </c>
      <c r="F75" s="15">
        <f>'JANTINA 2021'!F75+'JANTINA 2021'!N75</f>
        <v>4569</v>
      </c>
      <c r="G75" s="15">
        <f>'JANTINA 2021'!G75+'JANTINA 2021'!O75</f>
        <v>4918</v>
      </c>
      <c r="H75" s="15">
        <f>'JANTINA 2021'!H75+'JANTINA 2021'!P75</f>
        <v>2505</v>
      </c>
      <c r="I75" s="15">
        <f>'JANTINA 2021'!I75+'JANTINA 2021'!Q75</f>
        <v>951</v>
      </c>
      <c r="J75" s="15">
        <f>'JANTINA 2021'!J75+'JANTINA 2021'!R75</f>
        <v>329</v>
      </c>
      <c r="K75" s="16">
        <f>C75/'JANTINA 2021'!S75</f>
        <v>5.1036160359264629E-2</v>
      </c>
      <c r="L75" s="16">
        <f>D75/'JANTINA 2021'!S75</f>
        <v>0.15381016980867288</v>
      </c>
      <c r="M75" s="16">
        <f>E75/'JANTINA 2021'!S75</f>
        <v>0.17429948075033916</v>
      </c>
      <c r="N75" s="16">
        <f>F75/'JANTINA 2021'!S75</f>
        <v>0.21373438742573794</v>
      </c>
      <c r="O75" s="16">
        <f>G75/'JANTINA 2021'!S75</f>
        <v>0.23006034523085558</v>
      </c>
      <c r="P75" s="16">
        <f>H75/'JANTINA 2021'!S75</f>
        <v>0.11718201805679</v>
      </c>
      <c r="Q75" s="16">
        <f>I75/'JANTINA 2021'!S75</f>
        <v>4.4487065537727466E-2</v>
      </c>
      <c r="R75" s="16">
        <f t="shared" si="17"/>
        <v>1.5390372830612328E-2</v>
      </c>
      <c r="S75" s="13" t="str">
        <f t="shared" si="18"/>
        <v>60-69</v>
      </c>
      <c r="T75" s="15">
        <f t="shared" si="19"/>
        <v>4379</v>
      </c>
      <c r="U75" s="16">
        <f t="shared" si="20"/>
        <v>0.20484633016793749</v>
      </c>
      <c r="V75" s="15">
        <f t="shared" si="21"/>
        <v>4988</v>
      </c>
      <c r="W75" s="15">
        <f t="shared" si="22"/>
        <v>21377</v>
      </c>
      <c r="X75" s="16">
        <f t="shared" si="23"/>
        <v>0.48070355990082797</v>
      </c>
      <c r="Y75" s="15">
        <f t="shared" si="24"/>
        <v>10276</v>
      </c>
      <c r="Z75" s="15">
        <v>23</v>
      </c>
      <c r="AA75" s="15">
        <v>59</v>
      </c>
      <c r="AB75" s="33">
        <f t="shared" si="25"/>
        <v>10194</v>
      </c>
      <c r="AC75" s="29" t="s">
        <v>239</v>
      </c>
      <c r="AD75" s="29" t="str">
        <f>IF(AC75&lt;&gt;"",INDEX('DUN 2021'!$J$3:$J$23,MATCH('UMUR 2021'!AC75,'DUN 2021'!$I$3:$I$23,0),1),"")</f>
        <v>GPS</v>
      </c>
      <c r="AE75" s="33">
        <v>6790</v>
      </c>
      <c r="AF75" s="34">
        <f t="shared" si="26"/>
        <v>0.66607808514812639</v>
      </c>
      <c r="AG75" s="29" t="s">
        <v>244</v>
      </c>
      <c r="AH75" s="29" t="str">
        <f>INDEX('DUN 2021'!$J$3:$J$23,MATCH('UMUR 2021'!AG75,'DUN 2021'!$I$3:$I$23,0),1)</f>
        <v>PH</v>
      </c>
      <c r="AI75" s="33">
        <v>1802</v>
      </c>
      <c r="AJ75" s="34">
        <f t="shared" si="27"/>
        <v>0.17677064940160878</v>
      </c>
      <c r="AK75" s="29" t="s">
        <v>252</v>
      </c>
      <c r="AL75" s="29" t="str">
        <f>IF(AK75&lt;&gt;"",INDEX('DUN 2021'!$J$3:$J$23,MATCH('UMUR 2021'!AK75,'DUN 2021'!$I$3:$I$23,0),1),"")</f>
        <v>PSB</v>
      </c>
      <c r="AM75" s="33">
        <v>816</v>
      </c>
      <c r="AN75" s="34">
        <f t="shared" si="28"/>
        <v>8.0047086521483221E-2</v>
      </c>
      <c r="AO75" s="29" t="s">
        <v>301</v>
      </c>
      <c r="AP75" s="29" t="str">
        <f>IF(AO75&lt;&gt;"",INDEX('DUN 2021'!$J$3:$J$23,MATCH('UMUR 2021'!AO75,'DUN 2021'!$I$3:$I$23,0),1),"")</f>
        <v>LAIN-LAIN</v>
      </c>
      <c r="AQ75" s="33">
        <v>665</v>
      </c>
      <c r="AR75" s="34">
        <f t="shared" si="29"/>
        <v>6.523445163821856E-2</v>
      </c>
      <c r="AS75" s="29" t="s">
        <v>302</v>
      </c>
      <c r="AT75" s="29" t="str">
        <f>IF(AS75&lt;&gt;"",INDEX('DUN 2021'!$J$3:$J$23,MATCH('UMUR 2021'!AS75,'DUN 2021'!$I$3:$I$23,0),1),"")</f>
        <v>LAIN-LAIN</v>
      </c>
      <c r="AU75" s="33">
        <v>121</v>
      </c>
      <c r="AV75" s="34">
        <f t="shared" si="30"/>
        <v>1.1869727290563077E-2</v>
      </c>
      <c r="AW75" s="29"/>
      <c r="AX75" s="29" t="str">
        <f>IF(AW75&lt;&gt;"",INDEX('DUN 2021'!$J$3:$J$23,MATCH('UMUR 2021'!AW75,'DUN 2021'!$I$3:$I$23,0),1),"")</f>
        <v/>
      </c>
      <c r="AY75" s="33"/>
      <c r="AZ75" s="34" t="str">
        <f t="shared" si="31"/>
        <v/>
      </c>
      <c r="BA75" s="29"/>
      <c r="BB75" s="29" t="str">
        <f>IF(BA75&lt;&gt;"",INDEX('DUN 2021'!$J$3:$J$23,MATCH('UMUR 2021'!BA75,'DUN 2021'!$I$3:$I$23,0),1),"")</f>
        <v/>
      </c>
      <c r="BC75" s="33"/>
      <c r="BD75" s="34" t="str">
        <f t="shared" si="32"/>
        <v/>
      </c>
      <c r="BE75" s="29"/>
      <c r="BF75" s="29" t="str">
        <f>IF(BE75&lt;&gt;"",INDEX('DUN 2021'!$J$3:$J$23,MATCH('UMUR 2021'!BE75,'DUN 2021'!$I$3:$I$23,0),1),"")</f>
        <v/>
      </c>
      <c r="BG75" s="33"/>
      <c r="BH75" s="34" t="str">
        <f t="shared" si="33"/>
        <v/>
      </c>
    </row>
    <row r="76" spans="1:60">
      <c r="A76" s="13" t="s">
        <v>205</v>
      </c>
      <c r="B76" s="14" t="s">
        <v>208</v>
      </c>
      <c r="C76" s="15">
        <f>'JANTINA 2021'!C76+'JANTINA 2021'!K76</f>
        <v>1709</v>
      </c>
      <c r="D76" s="15">
        <f>'JANTINA 2021'!D76+'JANTINA 2021'!L76</f>
        <v>5639</v>
      </c>
      <c r="E76" s="15">
        <f>'JANTINA 2021'!E76+'JANTINA 2021'!M76</f>
        <v>6015</v>
      </c>
      <c r="F76" s="15">
        <f>'JANTINA 2021'!F76+'JANTINA 2021'!N76</f>
        <v>6158</v>
      </c>
      <c r="G76" s="15">
        <f>'JANTINA 2021'!G76+'JANTINA 2021'!O76</f>
        <v>5262</v>
      </c>
      <c r="H76" s="15">
        <f>'JANTINA 2021'!H76+'JANTINA 2021'!P76</f>
        <v>2005</v>
      </c>
      <c r="I76" s="15">
        <f>'JANTINA 2021'!I76+'JANTINA 2021'!Q76</f>
        <v>613</v>
      </c>
      <c r="J76" s="15">
        <f>'JANTINA 2021'!J76+'JANTINA 2021'!R76</f>
        <v>166</v>
      </c>
      <c r="K76" s="16">
        <f>C76/'JANTINA 2021'!S76</f>
        <v>6.1994413610476293E-2</v>
      </c>
      <c r="L76" s="16">
        <f>D76/'JANTINA 2021'!S76</f>
        <v>0.20455617223491857</v>
      </c>
      <c r="M76" s="16">
        <f>E76/'JANTINA 2021'!S76</f>
        <v>0.21819566873435631</v>
      </c>
      <c r="N76" s="16">
        <f>F76/'JANTINA 2021'!S76</f>
        <v>0.22338303043494032</v>
      </c>
      <c r="O76" s="16">
        <f>G76/'JANTINA 2021'!S76</f>
        <v>0.1908804004788334</v>
      </c>
      <c r="P76" s="16">
        <f>H76/'JANTINA 2021'!S76</f>
        <v>7.2731889578118769E-2</v>
      </c>
      <c r="Q76" s="16">
        <f>I76/'JANTINA 2021'!S76</f>
        <v>2.2236732324881197E-2</v>
      </c>
      <c r="R76" s="16">
        <f t="shared" si="17"/>
        <v>6.0216926034751157E-3</v>
      </c>
      <c r="S76" s="13" t="str">
        <f t="shared" si="18"/>
        <v>50-59</v>
      </c>
      <c r="T76" s="15">
        <f t="shared" si="19"/>
        <v>7348</v>
      </c>
      <c r="U76" s="16">
        <f t="shared" si="20"/>
        <v>0.26655058584539487</v>
      </c>
      <c r="V76" s="15">
        <f t="shared" si="21"/>
        <v>1566</v>
      </c>
      <c r="W76" s="15">
        <f t="shared" si="22"/>
        <v>27567</v>
      </c>
      <c r="X76" s="16">
        <f t="shared" si="23"/>
        <v>0.45514564515543948</v>
      </c>
      <c r="Y76" s="15">
        <f t="shared" si="24"/>
        <v>12547</v>
      </c>
      <c r="Z76" s="15">
        <v>60</v>
      </c>
      <c r="AA76" s="15">
        <v>96</v>
      </c>
      <c r="AB76" s="33">
        <f t="shared" si="25"/>
        <v>12391</v>
      </c>
      <c r="AC76" s="29" t="s">
        <v>239</v>
      </c>
      <c r="AD76" s="29" t="str">
        <f>IF(AC76&lt;&gt;"",INDEX('DUN 2021'!$J$3:$J$23,MATCH('UMUR 2021'!AC76,'DUN 2021'!$I$3:$I$23,0),1),"")</f>
        <v>GPS</v>
      </c>
      <c r="AE76" s="33">
        <v>5558</v>
      </c>
      <c r="AF76" s="34">
        <f t="shared" si="26"/>
        <v>0.44855136792833511</v>
      </c>
      <c r="AG76" s="29" t="s">
        <v>244</v>
      </c>
      <c r="AH76" s="29" t="str">
        <f>INDEX('DUN 2021'!$J$3:$J$23,MATCH('UMUR 2021'!AG76,'DUN 2021'!$I$3:$I$23,0),1)</f>
        <v>PH</v>
      </c>
      <c r="AI76" s="33">
        <v>3992</v>
      </c>
      <c r="AJ76" s="34">
        <f t="shared" si="27"/>
        <v>0.32216931643935115</v>
      </c>
      <c r="AK76" s="29" t="s">
        <v>252</v>
      </c>
      <c r="AL76" s="29" t="str">
        <f>IF(AK76&lt;&gt;"",INDEX('DUN 2021'!$J$3:$J$23,MATCH('UMUR 2021'!AK76,'DUN 2021'!$I$3:$I$23,0),1),"")</f>
        <v>PSB</v>
      </c>
      <c r="AM76" s="33">
        <v>1667</v>
      </c>
      <c r="AN76" s="34">
        <f t="shared" si="28"/>
        <v>0.13453312888386731</v>
      </c>
      <c r="AO76" s="29" t="s">
        <v>301</v>
      </c>
      <c r="AP76" s="29" t="str">
        <f>IF(AO76&lt;&gt;"",INDEX('DUN 2021'!$J$3:$J$23,MATCH('UMUR 2021'!AO76,'DUN 2021'!$I$3:$I$23,0),1),"")</f>
        <v>LAIN-LAIN</v>
      </c>
      <c r="AQ76" s="33">
        <v>1022</v>
      </c>
      <c r="AR76" s="34">
        <f t="shared" si="29"/>
        <v>8.2479218787829878E-2</v>
      </c>
      <c r="AS76" s="29" t="s">
        <v>302</v>
      </c>
      <c r="AT76" s="29" t="str">
        <f>IF(AS76&lt;&gt;"",INDEX('DUN 2021'!$J$3:$J$23,MATCH('UMUR 2021'!AS76,'DUN 2021'!$I$3:$I$23,0),1),"")</f>
        <v>LAIN-LAIN</v>
      </c>
      <c r="AU76" s="33">
        <v>152</v>
      </c>
      <c r="AV76" s="34">
        <f t="shared" si="30"/>
        <v>1.2266967960616576E-2</v>
      </c>
      <c r="AW76" s="29"/>
      <c r="AX76" s="29" t="str">
        <f>IF(AW76&lt;&gt;"",INDEX('DUN 2021'!$J$3:$J$23,MATCH('UMUR 2021'!AW76,'DUN 2021'!$I$3:$I$23,0),1),"")</f>
        <v/>
      </c>
      <c r="AY76" s="33"/>
      <c r="AZ76" s="34" t="str">
        <f t="shared" si="31"/>
        <v/>
      </c>
      <c r="BA76" s="29"/>
      <c r="BB76" s="29" t="str">
        <f>IF(BA76&lt;&gt;"",INDEX('DUN 2021'!$J$3:$J$23,MATCH('UMUR 2021'!BA76,'DUN 2021'!$I$3:$I$23,0),1),"")</f>
        <v/>
      </c>
      <c r="BC76" s="33"/>
      <c r="BD76" s="34" t="str">
        <f t="shared" si="32"/>
        <v/>
      </c>
      <c r="BE76" s="29"/>
      <c r="BF76" s="29" t="str">
        <f>IF(BE76&lt;&gt;"",INDEX('DUN 2021'!$J$3:$J$23,MATCH('UMUR 2021'!BE76,'DUN 2021'!$I$3:$I$23,0),1),"")</f>
        <v/>
      </c>
      <c r="BG76" s="33"/>
      <c r="BH76" s="34" t="str">
        <f t="shared" si="33"/>
        <v/>
      </c>
    </row>
    <row r="77" spans="1:60">
      <c r="A77" s="13" t="s">
        <v>206</v>
      </c>
      <c r="B77" s="14" t="s">
        <v>209</v>
      </c>
      <c r="C77" s="15">
        <f>'JANTINA 2021'!C77+'JANTINA 2021'!K77</f>
        <v>3651</v>
      </c>
      <c r="D77" s="15">
        <f>'JANTINA 2021'!D77+'JANTINA 2021'!L77</f>
        <v>8755</v>
      </c>
      <c r="E77" s="15">
        <f>'JANTINA 2021'!E77+'JANTINA 2021'!M77</f>
        <v>8429</v>
      </c>
      <c r="F77" s="15">
        <f>'JANTINA 2021'!F77+'JANTINA 2021'!N77</f>
        <v>7073</v>
      </c>
      <c r="G77" s="15">
        <f>'JANTINA 2021'!G77+'JANTINA 2021'!O77</f>
        <v>4293</v>
      </c>
      <c r="H77" s="15">
        <f>'JANTINA 2021'!H77+'JANTINA 2021'!P77</f>
        <v>1515</v>
      </c>
      <c r="I77" s="15">
        <f>'JANTINA 2021'!I77+'JANTINA 2021'!Q77</f>
        <v>322</v>
      </c>
      <c r="J77" s="15">
        <f>'JANTINA 2021'!J77+'JANTINA 2021'!R77</f>
        <v>79</v>
      </c>
      <c r="K77" s="16">
        <f>C77/'JANTINA 2021'!S77</f>
        <v>0.10701409854324824</v>
      </c>
      <c r="L77" s="16">
        <f>D77/'JANTINA 2021'!S77</f>
        <v>0.25661693583843831</v>
      </c>
      <c r="M77" s="16">
        <f>E77/'JANTINA 2021'!S77</f>
        <v>0.24706158220242108</v>
      </c>
      <c r="N77" s="16">
        <f>F77/'JANTINA 2021'!S77</f>
        <v>0.20731600082070523</v>
      </c>
      <c r="O77" s="16">
        <f>G77/'JANTINA 2021'!S77</f>
        <v>0.1258316968080429</v>
      </c>
      <c r="P77" s="16">
        <f>H77/'JANTINA 2021'!S77</f>
        <v>4.4406014596828559E-2</v>
      </c>
      <c r="Q77" s="16">
        <f>I77/'JANTINA 2021'!S77</f>
        <v>9.4381100331213177E-3</v>
      </c>
      <c r="R77" s="16">
        <f t="shared" si="17"/>
        <v>2.3155611571942653E-3</v>
      </c>
      <c r="S77" s="13" t="str">
        <f t="shared" si="18"/>
        <v>30-39</v>
      </c>
      <c r="T77" s="15">
        <f t="shared" si="19"/>
        <v>12406</v>
      </c>
      <c r="U77" s="16">
        <f t="shared" si="20"/>
        <v>0.36363103438168654</v>
      </c>
      <c r="V77" s="15">
        <f t="shared" si="21"/>
        <v>7591</v>
      </c>
      <c r="W77" s="15">
        <f t="shared" si="22"/>
        <v>34117</v>
      </c>
      <c r="X77" s="16">
        <f t="shared" si="23"/>
        <v>0.50370782894158339</v>
      </c>
      <c r="Y77" s="15">
        <f t="shared" si="24"/>
        <v>17185</v>
      </c>
      <c r="Z77" s="15">
        <v>87</v>
      </c>
      <c r="AA77" s="15">
        <v>189</v>
      </c>
      <c r="AB77" s="33">
        <f t="shared" si="25"/>
        <v>16909</v>
      </c>
      <c r="AC77" s="29" t="s">
        <v>239</v>
      </c>
      <c r="AD77" s="29" t="str">
        <f>IF(AC77&lt;&gt;"",INDEX('DUN 2021'!$J$3:$J$23,MATCH('UMUR 2021'!AC77,'DUN 2021'!$I$3:$I$23,0),1),"")</f>
        <v>GPS</v>
      </c>
      <c r="AE77" s="33">
        <v>10535</v>
      </c>
      <c r="AF77" s="34">
        <f t="shared" si="26"/>
        <v>0.62304098409131237</v>
      </c>
      <c r="AG77" s="29" t="s">
        <v>244</v>
      </c>
      <c r="AH77" s="29" t="str">
        <f>INDEX('DUN 2021'!$J$3:$J$23,MATCH('UMUR 2021'!AG77,'DUN 2021'!$I$3:$I$23,0),1)</f>
        <v>PH</v>
      </c>
      <c r="AI77" s="33">
        <v>2944</v>
      </c>
      <c r="AJ77" s="34">
        <f t="shared" si="27"/>
        <v>0.17410846294872553</v>
      </c>
      <c r="AK77" s="29" t="s">
        <v>252</v>
      </c>
      <c r="AL77" s="29" t="str">
        <f>IF(AK77&lt;&gt;"",INDEX('DUN 2021'!$J$3:$J$23,MATCH('UMUR 2021'!AK77,'DUN 2021'!$I$3:$I$23,0),1),"")</f>
        <v>PSB</v>
      </c>
      <c r="AM77" s="33">
        <v>1896</v>
      </c>
      <c r="AN77" s="34">
        <f t="shared" si="28"/>
        <v>0.11212963510556509</v>
      </c>
      <c r="AO77" s="29" t="s">
        <v>301</v>
      </c>
      <c r="AP77" s="29" t="str">
        <f>IF(AO77&lt;&gt;"",INDEX('DUN 2021'!$J$3:$J$23,MATCH('UMUR 2021'!AO77,'DUN 2021'!$I$3:$I$23,0),1),"")</f>
        <v>LAIN-LAIN</v>
      </c>
      <c r="AQ77" s="33">
        <v>1023</v>
      </c>
      <c r="AR77" s="34">
        <f t="shared" si="29"/>
        <v>6.0500325270565973E-2</v>
      </c>
      <c r="AS77" s="29" t="s">
        <v>303</v>
      </c>
      <c r="AT77" s="29" t="str">
        <f>IF(AS77&lt;&gt;"",INDEX('DUN 2021'!$J$3:$J$23,MATCH('UMUR 2021'!AS77,'DUN 2021'!$I$3:$I$23,0),1),"")</f>
        <v>LAIN-LAIN</v>
      </c>
      <c r="AU77" s="33">
        <v>511</v>
      </c>
      <c r="AV77" s="34">
        <f t="shared" si="30"/>
        <v>3.0220592583831096E-2</v>
      </c>
      <c r="AW77" s="29"/>
      <c r="AX77" s="29" t="str">
        <f>IF(AW77&lt;&gt;"",INDEX('DUN 2021'!$J$3:$J$23,MATCH('UMUR 2021'!AW77,'DUN 2021'!$I$3:$I$23,0),1),"")</f>
        <v/>
      </c>
      <c r="AY77" s="33"/>
      <c r="AZ77" s="34" t="str">
        <f t="shared" si="31"/>
        <v/>
      </c>
      <c r="BA77" s="29"/>
      <c r="BB77" s="29" t="str">
        <f>IF(BA77&lt;&gt;"",INDEX('DUN 2021'!$J$3:$J$23,MATCH('UMUR 2021'!BA77,'DUN 2021'!$I$3:$I$23,0),1),"")</f>
        <v/>
      </c>
      <c r="BC77" s="33"/>
      <c r="BD77" s="34" t="str">
        <f t="shared" si="32"/>
        <v/>
      </c>
      <c r="BE77" s="29"/>
      <c r="BF77" s="29" t="str">
        <f>IF(BE77&lt;&gt;"",INDEX('DUN 2021'!$J$3:$J$23,MATCH('UMUR 2021'!BE77,'DUN 2021'!$I$3:$I$23,0),1),"")</f>
        <v/>
      </c>
      <c r="BG77" s="33"/>
      <c r="BH77" s="34" t="str">
        <f t="shared" si="33"/>
        <v/>
      </c>
    </row>
    <row r="78" spans="1:60">
      <c r="A78" s="13" t="s">
        <v>212</v>
      </c>
      <c r="B78" s="14" t="s">
        <v>215</v>
      </c>
      <c r="C78" s="15">
        <f>'JANTINA 2021'!C78+'JANTINA 2021'!K78</f>
        <v>1324</v>
      </c>
      <c r="D78" s="15">
        <f>'JANTINA 2021'!D78+'JANTINA 2021'!L78</f>
        <v>3171</v>
      </c>
      <c r="E78" s="15">
        <f>'JANTINA 2021'!E78+'JANTINA 2021'!M78</f>
        <v>3418</v>
      </c>
      <c r="F78" s="15">
        <f>'JANTINA 2021'!F78+'JANTINA 2021'!N78</f>
        <v>3630</v>
      </c>
      <c r="G78" s="15">
        <f>'JANTINA 2021'!G78+'JANTINA 2021'!O78</f>
        <v>2776</v>
      </c>
      <c r="H78" s="15">
        <f>'JANTINA 2021'!H78+'JANTINA 2021'!P78</f>
        <v>1314</v>
      </c>
      <c r="I78" s="15">
        <f>'JANTINA 2021'!I78+'JANTINA 2021'!Q78</f>
        <v>551</v>
      </c>
      <c r="J78" s="15">
        <f>'JANTINA 2021'!J78+'JANTINA 2021'!R78</f>
        <v>294</v>
      </c>
      <c r="K78" s="16">
        <f>C78/'JANTINA 2021'!S78</f>
        <v>8.0349556985071E-2</v>
      </c>
      <c r="L78" s="16">
        <f>D78/'JANTINA 2021'!S78</f>
        <v>0.19243840271877655</v>
      </c>
      <c r="M78" s="16">
        <f>E78/'JANTINA 2021'!S78</f>
        <v>0.20742808593275883</v>
      </c>
      <c r="N78" s="16">
        <f>F78/'JANTINA 2021'!S78</f>
        <v>0.22029372496662217</v>
      </c>
      <c r="O78" s="16">
        <f>G78/'JANTINA 2021'!S78</f>
        <v>0.16846704697171988</v>
      </c>
      <c r="P78" s="16">
        <f>H78/'JANTINA 2021'!S78</f>
        <v>7.9742687219322733E-2</v>
      </c>
      <c r="Q78" s="16">
        <f>I78/'JANTINA 2021'!S78</f>
        <v>3.3438524092729703E-2</v>
      </c>
      <c r="R78" s="16">
        <f t="shared" si="17"/>
        <v>1.7841971112999185E-2</v>
      </c>
      <c r="S78" s="13" t="str">
        <f t="shared" si="18"/>
        <v>50-59</v>
      </c>
      <c r="T78" s="15">
        <f t="shared" si="19"/>
        <v>4495</v>
      </c>
      <c r="U78" s="16">
        <f t="shared" si="20"/>
        <v>0.27278795970384756</v>
      </c>
      <c r="V78" s="15">
        <f t="shared" si="21"/>
        <v>5976</v>
      </c>
      <c r="W78" s="15">
        <f t="shared" si="22"/>
        <v>16478</v>
      </c>
      <c r="X78" s="16">
        <f t="shared" si="23"/>
        <v>0.67587085811384873</v>
      </c>
      <c r="Y78" s="15">
        <f t="shared" si="24"/>
        <v>11137</v>
      </c>
      <c r="Z78" s="15">
        <v>39</v>
      </c>
      <c r="AA78" s="15">
        <v>138</v>
      </c>
      <c r="AB78" s="33">
        <f t="shared" si="25"/>
        <v>10960</v>
      </c>
      <c r="AC78" s="29" t="s">
        <v>240</v>
      </c>
      <c r="AD78" s="29" t="str">
        <f>IF(AC78&lt;&gt;"",INDEX('DUN 2021'!$J$3:$J$23,MATCH('UMUR 2021'!AC78,'DUN 2021'!$I$3:$I$23,0),1),"")</f>
        <v>GPS</v>
      </c>
      <c r="AE78" s="33">
        <v>8169</v>
      </c>
      <c r="AF78" s="34">
        <f t="shared" si="26"/>
        <v>0.74534671532846719</v>
      </c>
      <c r="AG78" s="29" t="s">
        <v>252</v>
      </c>
      <c r="AH78" s="29" t="str">
        <f>INDEX('DUN 2021'!$J$3:$J$23,MATCH('UMUR 2021'!AG78,'DUN 2021'!$I$3:$I$23,0),1)</f>
        <v>PSB</v>
      </c>
      <c r="AI78" s="33">
        <v>2193</v>
      </c>
      <c r="AJ78" s="34">
        <f t="shared" si="27"/>
        <v>0.2000912408759124</v>
      </c>
      <c r="AK78" s="29" t="s">
        <v>253</v>
      </c>
      <c r="AL78" s="29" t="str">
        <f>IF(AK78&lt;&gt;"",INDEX('DUN 2021'!$J$3:$J$23,MATCH('UMUR 2021'!AK78,'DUN 2021'!$I$3:$I$23,0),1),"")</f>
        <v>PH</v>
      </c>
      <c r="AM78" s="33">
        <v>373</v>
      </c>
      <c r="AN78" s="34">
        <f t="shared" si="28"/>
        <v>3.4032846715328469E-2</v>
      </c>
      <c r="AO78" s="29" t="s">
        <v>303</v>
      </c>
      <c r="AP78" s="29" t="str">
        <f>IF(AO78&lt;&gt;"",INDEX('DUN 2021'!$J$3:$J$23,MATCH('UMUR 2021'!AO78,'DUN 2021'!$I$3:$I$23,0),1),"")</f>
        <v>LAIN-LAIN</v>
      </c>
      <c r="AQ78" s="33">
        <v>124</v>
      </c>
      <c r="AR78" s="34">
        <f t="shared" si="29"/>
        <v>1.1313868613138687E-2</v>
      </c>
      <c r="AS78" s="29" t="s">
        <v>301</v>
      </c>
      <c r="AT78" s="29" t="str">
        <f>IF(AS78&lt;&gt;"",INDEX('DUN 2021'!$J$3:$J$23,MATCH('UMUR 2021'!AS78,'DUN 2021'!$I$3:$I$23,0),1),"")</f>
        <v>LAIN-LAIN</v>
      </c>
      <c r="AU78" s="33">
        <v>101</v>
      </c>
      <c r="AV78" s="34">
        <f t="shared" si="30"/>
        <v>9.2153284671532849E-3</v>
      </c>
      <c r="AW78" s="29"/>
      <c r="AX78" s="29" t="str">
        <f>IF(AW78&lt;&gt;"",INDEX('DUN 2021'!$J$3:$J$23,MATCH('UMUR 2021'!AW78,'DUN 2021'!$I$3:$I$23,0),1),"")</f>
        <v/>
      </c>
      <c r="AY78" s="33"/>
      <c r="AZ78" s="34" t="str">
        <f t="shared" si="31"/>
        <v/>
      </c>
      <c r="BA78" s="29"/>
      <c r="BB78" s="29" t="str">
        <f>IF(BA78&lt;&gt;"",INDEX('DUN 2021'!$J$3:$J$23,MATCH('UMUR 2021'!BA78,'DUN 2021'!$I$3:$I$23,0),1),"")</f>
        <v/>
      </c>
      <c r="BC78" s="33"/>
      <c r="BD78" s="34" t="str">
        <f t="shared" si="32"/>
        <v/>
      </c>
      <c r="BE78" s="29"/>
      <c r="BF78" s="29" t="str">
        <f>IF(BE78&lt;&gt;"",INDEX('DUN 2021'!$J$3:$J$23,MATCH('UMUR 2021'!BE78,'DUN 2021'!$I$3:$I$23,0),1),"")</f>
        <v/>
      </c>
      <c r="BG78" s="33"/>
      <c r="BH78" s="34" t="str">
        <f t="shared" si="33"/>
        <v/>
      </c>
    </row>
    <row r="79" spans="1:60">
      <c r="A79" s="13" t="s">
        <v>213</v>
      </c>
      <c r="B79" s="14" t="s">
        <v>216</v>
      </c>
      <c r="C79" s="15">
        <f>'JANTINA 2021'!C79+'JANTINA 2021'!K79</f>
        <v>855</v>
      </c>
      <c r="D79" s="15">
        <f>'JANTINA 2021'!D79+'JANTINA 2021'!L79</f>
        <v>2136</v>
      </c>
      <c r="E79" s="15">
        <f>'JANTINA 2021'!E79+'JANTINA 2021'!M79</f>
        <v>2254</v>
      </c>
      <c r="F79" s="15">
        <f>'JANTINA 2021'!F79+'JANTINA 2021'!N79</f>
        <v>2588</v>
      </c>
      <c r="G79" s="15">
        <f>'JANTINA 2021'!G79+'JANTINA 2021'!O79</f>
        <v>1902</v>
      </c>
      <c r="H79" s="15">
        <f>'JANTINA 2021'!H79+'JANTINA 2021'!P79</f>
        <v>768</v>
      </c>
      <c r="I79" s="15">
        <f>'JANTINA 2021'!I79+'JANTINA 2021'!Q79</f>
        <v>528</v>
      </c>
      <c r="J79" s="15">
        <f>'JANTINA 2021'!J79+'JANTINA 2021'!R79</f>
        <v>434</v>
      </c>
      <c r="K79" s="16">
        <f>C79/'JANTINA 2021'!S79</f>
        <v>7.4574792847797639E-2</v>
      </c>
      <c r="L79" s="16">
        <f>D79/'JANTINA 2021'!S79</f>
        <v>0.18630614914958571</v>
      </c>
      <c r="M79" s="16">
        <f>E79/'JANTINA 2021'!S79</f>
        <v>0.19659834278238117</v>
      </c>
      <c r="N79" s="16">
        <f>F79/'JANTINA 2021'!S79</f>
        <v>0.22573048408198867</v>
      </c>
      <c r="O79" s="16">
        <f>G79/'JANTINA 2021'!S79</f>
        <v>0.16589620584387266</v>
      </c>
      <c r="P79" s="16">
        <f>H79/'JANTINA 2021'!S79</f>
        <v>6.6986480593109465E-2</v>
      </c>
      <c r="Q79" s="16">
        <f>I79/'JANTINA 2021'!S79</f>
        <v>4.6053205407762754E-2</v>
      </c>
      <c r="R79" s="16">
        <f t="shared" si="17"/>
        <v>3.7854339293501793E-2</v>
      </c>
      <c r="S79" s="13" t="str">
        <f t="shared" si="18"/>
        <v>50-59</v>
      </c>
      <c r="T79" s="15">
        <f t="shared" si="19"/>
        <v>2991</v>
      </c>
      <c r="U79" s="16">
        <f t="shared" si="20"/>
        <v>0.26088094199738332</v>
      </c>
      <c r="V79" s="15">
        <f t="shared" si="21"/>
        <v>2422</v>
      </c>
      <c r="W79" s="15">
        <f t="shared" si="22"/>
        <v>11465</v>
      </c>
      <c r="X79" s="16">
        <f t="shared" si="23"/>
        <v>0.57235063235935457</v>
      </c>
      <c r="Y79" s="15">
        <f t="shared" si="24"/>
        <v>6562</v>
      </c>
      <c r="Z79" s="15">
        <v>24</v>
      </c>
      <c r="AA79" s="15">
        <v>77</v>
      </c>
      <c r="AB79" s="33">
        <f t="shared" si="25"/>
        <v>6461</v>
      </c>
      <c r="AC79" s="29" t="s">
        <v>243</v>
      </c>
      <c r="AD79" s="29" t="str">
        <f>IF(AC79&lt;&gt;"",INDEX('DUN 2021'!$J$3:$J$23,MATCH('UMUR 2021'!AC79,'DUN 2021'!$I$3:$I$23,0),1),"")</f>
        <v>GPS</v>
      </c>
      <c r="AE79" s="33">
        <v>3861</v>
      </c>
      <c r="AF79" s="34">
        <f t="shared" si="26"/>
        <v>0.59758551307847085</v>
      </c>
      <c r="AG79" s="29" t="s">
        <v>252</v>
      </c>
      <c r="AH79" s="29" t="str">
        <f>INDEX('DUN 2021'!$J$3:$J$23,MATCH('UMUR 2021'!AG79,'DUN 2021'!$I$3:$I$23,0),1)</f>
        <v>PSB</v>
      </c>
      <c r="AI79" s="33">
        <v>1439</v>
      </c>
      <c r="AJ79" s="34">
        <f t="shared" si="27"/>
        <v>0.22272094103080017</v>
      </c>
      <c r="AK79" s="29" t="s">
        <v>253</v>
      </c>
      <c r="AL79" s="29" t="str">
        <f>IF(AK79&lt;&gt;"",INDEX('DUN 2021'!$J$3:$J$23,MATCH('UMUR 2021'!AK79,'DUN 2021'!$I$3:$I$23,0),1),"")</f>
        <v>PH</v>
      </c>
      <c r="AM79" s="33">
        <v>1093</v>
      </c>
      <c r="AN79" s="34">
        <f t="shared" si="28"/>
        <v>0.16916885930970438</v>
      </c>
      <c r="AO79" s="29" t="s">
        <v>301</v>
      </c>
      <c r="AP79" s="29" t="str">
        <f>IF(AO79&lt;&gt;"",INDEX('DUN 2021'!$J$3:$J$23,MATCH('UMUR 2021'!AO79,'DUN 2021'!$I$3:$I$23,0),1),"")</f>
        <v>LAIN-LAIN</v>
      </c>
      <c r="AQ79" s="33">
        <v>68</v>
      </c>
      <c r="AR79" s="34">
        <f t="shared" si="29"/>
        <v>1.0524686581024609E-2</v>
      </c>
      <c r="AS79" s="29"/>
      <c r="AT79" s="29" t="str">
        <f>IF(AS79&lt;&gt;"",INDEX('DUN 2021'!$J$3:$J$23,MATCH('UMUR 2021'!AS79,'DUN 2021'!$I$3:$I$23,0),1),"")</f>
        <v/>
      </c>
      <c r="AU79" s="33"/>
      <c r="AV79" s="34" t="str">
        <f t="shared" si="30"/>
        <v/>
      </c>
      <c r="AW79" s="29"/>
      <c r="AX79" s="29" t="str">
        <f>IF(AW79&lt;&gt;"",INDEX('DUN 2021'!$J$3:$J$23,MATCH('UMUR 2021'!AW79,'DUN 2021'!$I$3:$I$23,0),1),"")</f>
        <v/>
      </c>
      <c r="AY79" s="33"/>
      <c r="AZ79" s="34" t="str">
        <f t="shared" si="31"/>
        <v/>
      </c>
      <c r="BA79" s="29"/>
      <c r="BB79" s="29" t="str">
        <f>IF(BA79&lt;&gt;"",INDEX('DUN 2021'!$J$3:$J$23,MATCH('UMUR 2021'!BA79,'DUN 2021'!$I$3:$I$23,0),1),"")</f>
        <v/>
      </c>
      <c r="BC79" s="33"/>
      <c r="BD79" s="34" t="str">
        <f t="shared" si="32"/>
        <v/>
      </c>
      <c r="BE79" s="29"/>
      <c r="BF79" s="29" t="str">
        <f>IF(BE79&lt;&gt;"",INDEX('DUN 2021'!$J$3:$J$23,MATCH('UMUR 2021'!BE79,'DUN 2021'!$I$3:$I$23,0),1),"")</f>
        <v/>
      </c>
      <c r="BG79" s="33"/>
      <c r="BH79" s="34" t="str">
        <f t="shared" si="33"/>
        <v/>
      </c>
    </row>
    <row r="80" spans="1:60">
      <c r="A80" s="13" t="s">
        <v>214</v>
      </c>
      <c r="B80" s="14" t="s">
        <v>217</v>
      </c>
      <c r="C80" s="15">
        <f>'JANTINA 2021'!C80+'JANTINA 2021'!K80</f>
        <v>618</v>
      </c>
      <c r="D80" s="15">
        <f>'JANTINA 2021'!D80+'JANTINA 2021'!L80</f>
        <v>1645</v>
      </c>
      <c r="E80" s="15">
        <f>'JANTINA 2021'!E80+'JANTINA 2021'!M80</f>
        <v>1875</v>
      </c>
      <c r="F80" s="15">
        <f>'JANTINA 2021'!F80+'JANTINA 2021'!N80</f>
        <v>2267</v>
      </c>
      <c r="G80" s="15">
        <f>'JANTINA 2021'!G80+'JANTINA 2021'!O80</f>
        <v>1663</v>
      </c>
      <c r="H80" s="15">
        <f>'JANTINA 2021'!H80+'JANTINA 2021'!P80</f>
        <v>783</v>
      </c>
      <c r="I80" s="15">
        <f>'JANTINA 2021'!I80+'JANTINA 2021'!Q80</f>
        <v>440</v>
      </c>
      <c r="J80" s="15">
        <f>'JANTINA 2021'!J80+'JANTINA 2021'!R80</f>
        <v>281</v>
      </c>
      <c r="K80" s="16">
        <f>C80/'JANTINA 2021'!S80</f>
        <v>6.4563309653155029E-2</v>
      </c>
      <c r="L80" s="16">
        <f>D80/'JANTINA 2021'!S80</f>
        <v>0.17185541161721687</v>
      </c>
      <c r="M80" s="16">
        <f>E80/'JANTINA 2021'!S80</f>
        <v>0.19588382783117425</v>
      </c>
      <c r="N80" s="16">
        <f>F80/'JANTINA 2021'!S80</f>
        <v>0.23683660676974508</v>
      </c>
      <c r="O80" s="16">
        <f>G80/'JANTINA 2021'!S80</f>
        <v>0.17373589636439615</v>
      </c>
      <c r="P80" s="16">
        <f>H80/'JANTINA 2021'!S80</f>
        <v>8.1801086502298365E-2</v>
      </c>
      <c r="Q80" s="16">
        <f>I80/'JANTINA 2021'!S80</f>
        <v>4.5967404931048894E-2</v>
      </c>
      <c r="R80" s="16">
        <f t="shared" si="17"/>
        <v>2.9356456330965341E-2</v>
      </c>
      <c r="S80" s="13" t="str">
        <f t="shared" si="18"/>
        <v>50-59</v>
      </c>
      <c r="T80" s="15">
        <f t="shared" si="19"/>
        <v>2263</v>
      </c>
      <c r="U80" s="16">
        <f t="shared" si="20"/>
        <v>0.23641872127037192</v>
      </c>
      <c r="V80" s="15">
        <f t="shared" si="21"/>
        <v>2875</v>
      </c>
      <c r="W80" s="15">
        <f t="shared" si="22"/>
        <v>9572</v>
      </c>
      <c r="X80" s="16">
        <f t="shared" si="23"/>
        <v>0.60614291684078558</v>
      </c>
      <c r="Y80" s="15">
        <f t="shared" si="24"/>
        <v>5802</v>
      </c>
      <c r="Z80" s="15">
        <v>34</v>
      </c>
      <c r="AA80" s="15">
        <v>172</v>
      </c>
      <c r="AB80" s="33">
        <f t="shared" si="25"/>
        <v>5596</v>
      </c>
      <c r="AC80" s="29" t="s">
        <v>243</v>
      </c>
      <c r="AD80" s="29" t="str">
        <f>IF(AC80&lt;&gt;"",INDEX('DUN 2021'!$J$3:$J$23,MATCH('UMUR 2021'!AC80,'DUN 2021'!$I$3:$I$23,0),1),"")</f>
        <v>GPS</v>
      </c>
      <c r="AE80" s="33">
        <v>3731</v>
      </c>
      <c r="AF80" s="34">
        <f t="shared" si="26"/>
        <v>0.66672623302358824</v>
      </c>
      <c r="AG80" s="29" t="s">
        <v>252</v>
      </c>
      <c r="AH80" s="29" t="str">
        <f>INDEX('DUN 2021'!$J$3:$J$23,MATCH('UMUR 2021'!AG80,'DUN 2021'!$I$3:$I$23,0),1)</f>
        <v>PSB</v>
      </c>
      <c r="AI80" s="33">
        <v>856</v>
      </c>
      <c r="AJ80" s="34">
        <f t="shared" si="27"/>
        <v>0.15296640457469621</v>
      </c>
      <c r="AK80" s="29" t="s">
        <v>253</v>
      </c>
      <c r="AL80" s="29" t="str">
        <f>IF(AK80&lt;&gt;"",INDEX('DUN 2021'!$J$3:$J$23,MATCH('UMUR 2021'!AK80,'DUN 2021'!$I$3:$I$23,0),1),"")</f>
        <v>PH</v>
      </c>
      <c r="AM80" s="33">
        <v>810</v>
      </c>
      <c r="AN80" s="34">
        <f t="shared" si="28"/>
        <v>0.14474624731951394</v>
      </c>
      <c r="AO80" s="29" t="s">
        <v>301</v>
      </c>
      <c r="AP80" s="29" t="str">
        <f>IF(AO80&lt;&gt;"",INDEX('DUN 2021'!$J$3:$J$23,MATCH('UMUR 2021'!AO80,'DUN 2021'!$I$3:$I$23,0),1),"")</f>
        <v>LAIN-LAIN</v>
      </c>
      <c r="AQ80" s="33">
        <v>199</v>
      </c>
      <c r="AR80" s="34">
        <f t="shared" si="29"/>
        <v>3.5561115082201569E-2</v>
      </c>
      <c r="AS80" s="29"/>
      <c r="AT80" s="29" t="str">
        <f>IF(AS80&lt;&gt;"",INDEX('DUN 2021'!$J$3:$J$23,MATCH('UMUR 2021'!AS80,'DUN 2021'!$I$3:$I$23,0),1),"")</f>
        <v/>
      </c>
      <c r="AU80" s="33"/>
      <c r="AV80" s="34" t="str">
        <f t="shared" si="30"/>
        <v/>
      </c>
      <c r="AW80" s="29"/>
      <c r="AX80" s="29" t="str">
        <f>IF(AW80&lt;&gt;"",INDEX('DUN 2021'!$J$3:$J$23,MATCH('UMUR 2021'!AW80,'DUN 2021'!$I$3:$I$23,0),1),"")</f>
        <v/>
      </c>
      <c r="AY80" s="33"/>
      <c r="AZ80" s="34" t="str">
        <f t="shared" si="31"/>
        <v/>
      </c>
      <c r="BA80" s="29"/>
      <c r="BB80" s="29" t="str">
        <f>IF(BA80&lt;&gt;"",INDEX('DUN 2021'!$J$3:$J$23,MATCH('UMUR 2021'!BA80,'DUN 2021'!$I$3:$I$23,0),1),"")</f>
        <v/>
      </c>
      <c r="BC80" s="33"/>
      <c r="BD80" s="34" t="str">
        <f t="shared" si="32"/>
        <v/>
      </c>
      <c r="BE80" s="29"/>
      <c r="BF80" s="29" t="str">
        <f>IF(BE80&lt;&gt;"",INDEX('DUN 2021'!$J$3:$J$23,MATCH('UMUR 2021'!BE80,'DUN 2021'!$I$3:$I$23,0),1),"")</f>
        <v/>
      </c>
      <c r="BG80" s="33"/>
      <c r="BH80" s="34" t="str">
        <f t="shared" si="33"/>
        <v/>
      </c>
    </row>
    <row r="81" spans="1:60">
      <c r="A81" s="13" t="s">
        <v>221</v>
      </c>
      <c r="B81" s="14" t="s">
        <v>223</v>
      </c>
      <c r="C81" s="15">
        <f>'JANTINA 2021'!C81+'JANTINA 2021'!K81</f>
        <v>1396</v>
      </c>
      <c r="D81" s="15">
        <f>'JANTINA 2021'!D81+'JANTINA 2021'!L81</f>
        <v>3910</v>
      </c>
      <c r="E81" s="15">
        <f>'JANTINA 2021'!E81+'JANTINA 2021'!M81</f>
        <v>3672</v>
      </c>
      <c r="F81" s="15">
        <f>'JANTINA 2021'!F81+'JANTINA 2021'!N81</f>
        <v>3402</v>
      </c>
      <c r="G81" s="15">
        <f>'JANTINA 2021'!G81+'JANTINA 2021'!O81</f>
        <v>2884</v>
      </c>
      <c r="H81" s="15">
        <f>'JANTINA 2021'!H81+'JANTINA 2021'!P81</f>
        <v>1150</v>
      </c>
      <c r="I81" s="15">
        <f>'JANTINA 2021'!I81+'JANTINA 2021'!Q81</f>
        <v>433</v>
      </c>
      <c r="J81" s="15">
        <f>'JANTINA 2021'!J81+'JANTINA 2021'!R81</f>
        <v>128</v>
      </c>
      <c r="K81" s="16">
        <f>C81/'JANTINA 2021'!S81</f>
        <v>8.2238586156111931E-2</v>
      </c>
      <c r="L81" s="16">
        <f>D81/'JANTINA 2021'!S81</f>
        <v>0.23033873343151692</v>
      </c>
      <c r="M81" s="16">
        <f>E81/'JANTINA 2021'!S81</f>
        <v>0.21631811487481589</v>
      </c>
      <c r="N81" s="16">
        <f>F81/'JANTINA 2021'!S81</f>
        <v>0.20041237113402061</v>
      </c>
      <c r="O81" s="16">
        <f>G81/'JANTINA 2021'!S81</f>
        <v>0.16989690721649484</v>
      </c>
      <c r="P81" s="16">
        <f>H81/'JANTINA 2021'!S81</f>
        <v>6.774668630338733E-2</v>
      </c>
      <c r="Q81" s="16">
        <f>I81/'JANTINA 2021'!S81</f>
        <v>2.5508100147275406E-2</v>
      </c>
      <c r="R81" s="16">
        <f t="shared" si="17"/>
        <v>7.5405007363771315E-3</v>
      </c>
      <c r="S81" s="13" t="str">
        <f t="shared" si="18"/>
        <v>30-39</v>
      </c>
      <c r="T81" s="15">
        <f t="shared" si="19"/>
        <v>5306</v>
      </c>
      <c r="U81" s="16">
        <f t="shared" si="20"/>
        <v>0.31257731958762885</v>
      </c>
      <c r="V81" s="15">
        <f t="shared" si="21"/>
        <v>4986</v>
      </c>
      <c r="W81" s="15">
        <f t="shared" si="22"/>
        <v>16975</v>
      </c>
      <c r="X81" s="16">
        <f t="shared" si="23"/>
        <v>0.48972017673048601</v>
      </c>
      <c r="Y81" s="15">
        <f t="shared" si="24"/>
        <v>8313</v>
      </c>
      <c r="Z81" s="15">
        <v>62</v>
      </c>
      <c r="AA81" s="15">
        <v>61</v>
      </c>
      <c r="AB81" s="33">
        <f t="shared" si="25"/>
        <v>8190</v>
      </c>
      <c r="AC81" s="29" t="s">
        <v>243</v>
      </c>
      <c r="AD81" s="29" t="str">
        <f>IF(AC81&lt;&gt;"",INDEX('DUN 2021'!$J$3:$J$23,MATCH('UMUR 2021'!AC81,'DUN 2021'!$I$3:$I$23,0),1),"")</f>
        <v>GPS</v>
      </c>
      <c r="AE81" s="33">
        <v>6454</v>
      </c>
      <c r="AF81" s="34">
        <f t="shared" si="26"/>
        <v>0.78803418803418801</v>
      </c>
      <c r="AG81" s="29" t="s">
        <v>252</v>
      </c>
      <c r="AH81" s="29" t="str">
        <f>INDEX('DUN 2021'!$J$3:$J$23,MATCH('UMUR 2021'!AG81,'DUN 2021'!$I$3:$I$23,0),1)</f>
        <v>PSB</v>
      </c>
      <c r="AI81" s="33">
        <v>1468</v>
      </c>
      <c r="AJ81" s="34">
        <f t="shared" si="27"/>
        <v>0.17924297924297924</v>
      </c>
      <c r="AK81" s="29" t="s">
        <v>301</v>
      </c>
      <c r="AL81" s="29" t="str">
        <f>IF(AK81&lt;&gt;"",INDEX('DUN 2021'!$J$3:$J$23,MATCH('UMUR 2021'!AK81,'DUN 2021'!$I$3:$I$23,0),1),"")</f>
        <v>LAIN-LAIN</v>
      </c>
      <c r="AM81" s="33">
        <v>206</v>
      </c>
      <c r="AN81" s="34">
        <f t="shared" si="28"/>
        <v>2.5152625152625153E-2</v>
      </c>
      <c r="AO81" s="29" t="s">
        <v>251</v>
      </c>
      <c r="AP81" s="29" t="str">
        <f>IF(AO81&lt;&gt;"",INDEX('DUN 2021'!$J$3:$J$23,MATCH('UMUR 2021'!AO81,'DUN 2021'!$I$3:$I$23,0),1),"")</f>
        <v>BEBAS</v>
      </c>
      <c r="AQ81" s="33">
        <v>62</v>
      </c>
      <c r="AR81" s="34">
        <f t="shared" si="29"/>
        <v>7.5702075702075702E-3</v>
      </c>
      <c r="AS81" s="29"/>
      <c r="AT81" s="29" t="str">
        <f>IF(AS81&lt;&gt;"",INDEX('DUN 2021'!$J$3:$J$23,MATCH('UMUR 2021'!AS81,'DUN 2021'!$I$3:$I$23,0),1),"")</f>
        <v/>
      </c>
      <c r="AU81" s="33"/>
      <c r="AV81" s="34" t="str">
        <f t="shared" si="30"/>
        <v/>
      </c>
      <c r="AW81" s="29"/>
      <c r="AX81" s="29" t="str">
        <f>IF(AW81&lt;&gt;"",INDEX('DUN 2021'!$J$3:$J$23,MATCH('UMUR 2021'!AW81,'DUN 2021'!$I$3:$I$23,0),1),"")</f>
        <v/>
      </c>
      <c r="AY81" s="33"/>
      <c r="AZ81" s="34" t="str">
        <f t="shared" si="31"/>
        <v/>
      </c>
      <c r="BA81" s="29"/>
      <c r="BB81" s="29" t="str">
        <f>IF(BA81&lt;&gt;"",INDEX('DUN 2021'!$J$3:$J$23,MATCH('UMUR 2021'!BA81,'DUN 2021'!$I$3:$I$23,0),1),"")</f>
        <v/>
      </c>
      <c r="BC81" s="33"/>
      <c r="BD81" s="34" t="str">
        <f t="shared" si="32"/>
        <v/>
      </c>
      <c r="BE81" s="29"/>
      <c r="BF81" s="29" t="str">
        <f>IF(BE81&lt;&gt;"",INDEX('DUN 2021'!$J$3:$J$23,MATCH('UMUR 2021'!BE81,'DUN 2021'!$I$3:$I$23,0),1),"")</f>
        <v/>
      </c>
      <c r="BG81" s="33"/>
      <c r="BH81" s="34" t="str">
        <f t="shared" si="33"/>
        <v/>
      </c>
    </row>
    <row r="82" spans="1:60">
      <c r="A82" s="13" t="s">
        <v>222</v>
      </c>
      <c r="B82" s="14" t="s">
        <v>224</v>
      </c>
      <c r="C82" s="15">
        <f>'JANTINA 2021'!C82+'JANTINA 2021'!K82</f>
        <v>608</v>
      </c>
      <c r="D82" s="15">
        <f>'JANTINA 2021'!D82+'JANTINA 2021'!L82</f>
        <v>1963</v>
      </c>
      <c r="E82" s="15">
        <f>'JANTINA 2021'!E82+'JANTINA 2021'!M82</f>
        <v>2099</v>
      </c>
      <c r="F82" s="15">
        <f>'JANTINA 2021'!F82+'JANTINA 2021'!N82</f>
        <v>2187</v>
      </c>
      <c r="G82" s="15">
        <f>'JANTINA 2021'!G82+'JANTINA 2021'!O82</f>
        <v>1597</v>
      </c>
      <c r="H82" s="15">
        <f>'JANTINA 2021'!H82+'JANTINA 2021'!P82</f>
        <v>638</v>
      </c>
      <c r="I82" s="15">
        <f>'JANTINA 2021'!I82+'JANTINA 2021'!Q82</f>
        <v>204</v>
      </c>
      <c r="J82" s="15">
        <f>'JANTINA 2021'!J82+'JANTINA 2021'!R82</f>
        <v>79</v>
      </c>
      <c r="K82" s="16">
        <f>C82/'JANTINA 2021'!S82</f>
        <v>6.4853333333333332E-2</v>
      </c>
      <c r="L82" s="16">
        <f>D82/'JANTINA 2021'!S82</f>
        <v>0.20938666666666667</v>
      </c>
      <c r="M82" s="16">
        <f>E82/'JANTINA 2021'!S82</f>
        <v>0.22389333333333333</v>
      </c>
      <c r="N82" s="16">
        <f>F82/'JANTINA 2021'!S82</f>
        <v>0.23327999999999999</v>
      </c>
      <c r="O82" s="16">
        <f>G82/'JANTINA 2021'!S82</f>
        <v>0.17034666666666667</v>
      </c>
      <c r="P82" s="16">
        <f>H82/'JANTINA 2021'!S82</f>
        <v>6.8053333333333327E-2</v>
      </c>
      <c r="Q82" s="16">
        <f>I82/'JANTINA 2021'!S82</f>
        <v>2.1760000000000002E-2</v>
      </c>
      <c r="R82" s="16">
        <f t="shared" si="17"/>
        <v>8.4266666666666934E-3</v>
      </c>
      <c r="S82" s="13" t="str">
        <f t="shared" si="18"/>
        <v>50-59</v>
      </c>
      <c r="T82" s="15">
        <f t="shared" si="19"/>
        <v>2571</v>
      </c>
      <c r="U82" s="16">
        <f t="shared" si="20"/>
        <v>0.27423999999999998</v>
      </c>
      <c r="V82" s="15">
        <f t="shared" si="21"/>
        <v>706</v>
      </c>
      <c r="W82" s="15">
        <f t="shared" si="22"/>
        <v>9375</v>
      </c>
      <c r="X82" s="16">
        <f t="shared" si="23"/>
        <v>0.61887999999999999</v>
      </c>
      <c r="Y82" s="15">
        <f t="shared" si="24"/>
        <v>5802</v>
      </c>
      <c r="Z82" s="15">
        <v>32</v>
      </c>
      <c r="AA82" s="15">
        <v>68</v>
      </c>
      <c r="AB82" s="33">
        <f t="shared" si="25"/>
        <v>5702</v>
      </c>
      <c r="AC82" s="29" t="s">
        <v>243</v>
      </c>
      <c r="AD82" s="29" t="str">
        <f>IF(AC82&lt;&gt;"",INDEX('DUN 2021'!$J$3:$J$23,MATCH('UMUR 2021'!AC82,'DUN 2021'!$I$3:$I$23,0),1),"")</f>
        <v>GPS</v>
      </c>
      <c r="AE82" s="33">
        <v>3030</v>
      </c>
      <c r="AF82" s="34">
        <f t="shared" si="26"/>
        <v>0.53139249386180287</v>
      </c>
      <c r="AG82" s="29" t="s">
        <v>252</v>
      </c>
      <c r="AH82" s="29" t="str">
        <f>INDEX('DUN 2021'!$J$3:$J$23,MATCH('UMUR 2021'!AG82,'DUN 2021'!$I$3:$I$23,0),1)</f>
        <v>PSB</v>
      </c>
      <c r="AI82" s="33">
        <v>2324</v>
      </c>
      <c r="AJ82" s="34">
        <f t="shared" si="27"/>
        <v>0.40757628902139598</v>
      </c>
      <c r="AK82" s="29" t="s">
        <v>253</v>
      </c>
      <c r="AL82" s="29" t="str">
        <f>IF(AK82&lt;&gt;"",INDEX('DUN 2021'!$J$3:$J$23,MATCH('UMUR 2021'!AK82,'DUN 2021'!$I$3:$I$23,0),1),"")</f>
        <v>PH</v>
      </c>
      <c r="AM82" s="33">
        <v>268</v>
      </c>
      <c r="AN82" s="34">
        <f t="shared" si="28"/>
        <v>4.7001052262364083E-2</v>
      </c>
      <c r="AO82" s="29" t="s">
        <v>301</v>
      </c>
      <c r="AP82" s="29" t="str">
        <f>IF(AO82&lt;&gt;"",INDEX('DUN 2021'!$J$3:$J$23,MATCH('UMUR 2021'!AO82,'DUN 2021'!$I$3:$I$23,0),1),"")</f>
        <v>LAIN-LAIN</v>
      </c>
      <c r="AQ82" s="33">
        <v>80</v>
      </c>
      <c r="AR82" s="34">
        <f t="shared" si="29"/>
        <v>1.403016485443704E-2</v>
      </c>
      <c r="AS82" s="29"/>
      <c r="AT82" s="29" t="str">
        <f>IF(AS82&lt;&gt;"",INDEX('DUN 2021'!$J$3:$J$23,MATCH('UMUR 2021'!AS82,'DUN 2021'!$I$3:$I$23,0),1),"")</f>
        <v/>
      </c>
      <c r="AU82" s="33"/>
      <c r="AV82" s="34" t="str">
        <f t="shared" si="30"/>
        <v/>
      </c>
      <c r="AW82" s="29"/>
      <c r="AX82" s="29" t="str">
        <f>IF(AW82&lt;&gt;"",INDEX('DUN 2021'!$J$3:$J$23,MATCH('UMUR 2021'!AW82,'DUN 2021'!$I$3:$I$23,0),1),"")</f>
        <v/>
      </c>
      <c r="AY82" s="33"/>
      <c r="AZ82" s="34" t="str">
        <f t="shared" si="31"/>
        <v/>
      </c>
      <c r="BA82" s="29"/>
      <c r="BB82" s="29" t="str">
        <f>IF(BA82&lt;&gt;"",INDEX('DUN 2021'!$J$3:$J$23,MATCH('UMUR 2021'!BA82,'DUN 2021'!$I$3:$I$23,0),1),"")</f>
        <v/>
      </c>
      <c r="BC82" s="33"/>
      <c r="BD82" s="34" t="str">
        <f t="shared" si="32"/>
        <v/>
      </c>
      <c r="BE82" s="29"/>
      <c r="BF82" s="29" t="str">
        <f>IF(BE82&lt;&gt;"",INDEX('DUN 2021'!$J$3:$J$23,MATCH('UMUR 2021'!BE82,'DUN 2021'!$I$3:$I$23,0),1),"")</f>
        <v/>
      </c>
      <c r="BG82" s="33"/>
      <c r="BH82" s="34" t="str">
        <f t="shared" si="33"/>
        <v/>
      </c>
    </row>
    <row r="83" spans="1:60">
      <c r="A83" s="13" t="s">
        <v>226</v>
      </c>
      <c r="B83" s="14" t="s">
        <v>228</v>
      </c>
      <c r="C83" s="15">
        <f>'JANTINA 2021'!C83+'JANTINA 2021'!K83</f>
        <v>770</v>
      </c>
      <c r="D83" s="15">
        <f>'JANTINA 2021'!D83+'JANTINA 2021'!L83</f>
        <v>1796</v>
      </c>
      <c r="E83" s="15">
        <f>'JANTINA 2021'!E83+'JANTINA 2021'!M83</f>
        <v>1866</v>
      </c>
      <c r="F83" s="15">
        <f>'JANTINA 2021'!F83+'JANTINA 2021'!N83</f>
        <v>1969</v>
      </c>
      <c r="G83" s="15">
        <f>'JANTINA 2021'!G83+'JANTINA 2021'!O83</f>
        <v>1291</v>
      </c>
      <c r="H83" s="15">
        <f>'JANTINA 2021'!H83+'JANTINA 2021'!P83</f>
        <v>512</v>
      </c>
      <c r="I83" s="15">
        <f>'JANTINA 2021'!I83+'JANTINA 2021'!Q83</f>
        <v>214</v>
      </c>
      <c r="J83" s="15">
        <f>'JANTINA 2021'!J83+'JANTINA 2021'!R83</f>
        <v>85</v>
      </c>
      <c r="K83" s="16">
        <f>C83/'JANTINA 2021'!S83</f>
        <v>9.0556274256144889E-2</v>
      </c>
      <c r="L83" s="16">
        <f>D83/'JANTINA 2021'!S83</f>
        <v>0.2112195695636834</v>
      </c>
      <c r="M83" s="16">
        <f>E83/'JANTINA 2021'!S83</f>
        <v>0.21945195813242385</v>
      </c>
      <c r="N83" s="16">
        <f>F83/'JANTINA 2021'!S83</f>
        <v>0.23156532988357051</v>
      </c>
      <c r="O83" s="16">
        <f>G83/'JANTINA 2021'!S83</f>
        <v>0.1518287663177702</v>
      </c>
      <c r="P83" s="16">
        <f>H83/'JANTINA 2021'!S83</f>
        <v>6.0214042102787253E-2</v>
      </c>
      <c r="Q83" s="16">
        <f>I83/'JANTINA 2021'!S83</f>
        <v>2.516758791014936E-2</v>
      </c>
      <c r="R83" s="16">
        <f t="shared" si="17"/>
        <v>9.9964718334705736E-3</v>
      </c>
      <c r="S83" s="13" t="str">
        <f t="shared" si="18"/>
        <v>50-59</v>
      </c>
      <c r="T83" s="15">
        <f t="shared" si="19"/>
        <v>2566</v>
      </c>
      <c r="U83" s="16">
        <f t="shared" si="20"/>
        <v>0.3017758438198283</v>
      </c>
      <c r="V83" s="15">
        <f t="shared" si="21"/>
        <v>680</v>
      </c>
      <c r="W83" s="15">
        <f t="shared" si="22"/>
        <v>8503</v>
      </c>
      <c r="X83" s="16">
        <f t="shared" si="23"/>
        <v>0.5884981771139598</v>
      </c>
      <c r="Y83" s="15">
        <f t="shared" si="24"/>
        <v>5004</v>
      </c>
      <c r="Z83" s="15">
        <v>26</v>
      </c>
      <c r="AA83" s="15">
        <v>62</v>
      </c>
      <c r="AB83" s="33">
        <f t="shared" si="25"/>
        <v>4916</v>
      </c>
      <c r="AC83" s="29" t="s">
        <v>252</v>
      </c>
      <c r="AD83" s="29" t="str">
        <f>IF(AC83&lt;&gt;"",INDEX('DUN 2021'!$J$3:$J$23,MATCH('UMUR 2021'!AC83,'DUN 2021'!$I$3:$I$23,0),1),"")</f>
        <v>PSB</v>
      </c>
      <c r="AE83" s="33">
        <v>2687</v>
      </c>
      <c r="AF83" s="34">
        <f t="shared" si="26"/>
        <v>0.5465825874694874</v>
      </c>
      <c r="AG83" s="29" t="s">
        <v>240</v>
      </c>
      <c r="AH83" s="29" t="str">
        <f>INDEX('DUN 2021'!$J$3:$J$23,MATCH('UMUR 2021'!AG83,'DUN 2021'!$I$3:$I$23,0),1)</f>
        <v>GPS</v>
      </c>
      <c r="AI83" s="33">
        <v>2007</v>
      </c>
      <c r="AJ83" s="34">
        <f t="shared" si="27"/>
        <v>0.40825874694873882</v>
      </c>
      <c r="AK83" s="29" t="s">
        <v>301</v>
      </c>
      <c r="AL83" s="29" t="str">
        <f>IF(AK83&lt;&gt;"",INDEX('DUN 2021'!$J$3:$J$23,MATCH('UMUR 2021'!AK83,'DUN 2021'!$I$3:$I$23,0),1),"")</f>
        <v>LAIN-LAIN</v>
      </c>
      <c r="AM83" s="33">
        <v>110</v>
      </c>
      <c r="AN83" s="34">
        <f t="shared" si="28"/>
        <v>2.2375915378356388E-2</v>
      </c>
      <c r="AO83" s="29" t="s">
        <v>253</v>
      </c>
      <c r="AP83" s="29" t="str">
        <f>IF(AO83&lt;&gt;"",INDEX('DUN 2021'!$J$3:$J$23,MATCH('UMUR 2021'!AO83,'DUN 2021'!$I$3:$I$23,0),1),"")</f>
        <v>PH</v>
      </c>
      <c r="AQ83" s="33">
        <v>57</v>
      </c>
      <c r="AR83" s="34">
        <f t="shared" si="29"/>
        <v>1.1594792514239219E-2</v>
      </c>
      <c r="AS83" s="29" t="s">
        <v>251</v>
      </c>
      <c r="AT83" s="29" t="str">
        <f>IF(AS83&lt;&gt;"",INDEX('DUN 2021'!$J$3:$J$23,MATCH('UMUR 2021'!AS83,'DUN 2021'!$I$3:$I$23,0),1),"")</f>
        <v>BEBAS</v>
      </c>
      <c r="AU83" s="33">
        <v>55</v>
      </c>
      <c r="AV83" s="34">
        <f t="shared" si="30"/>
        <v>1.1187957689178194E-2</v>
      </c>
      <c r="AW83" s="29"/>
      <c r="AX83" s="29" t="str">
        <f>IF(AW83&lt;&gt;"",INDEX('DUN 2021'!$J$3:$J$23,MATCH('UMUR 2021'!AW83,'DUN 2021'!$I$3:$I$23,0),1),"")</f>
        <v/>
      </c>
      <c r="AY83" s="33"/>
      <c r="AZ83" s="34" t="str">
        <f t="shared" si="31"/>
        <v/>
      </c>
      <c r="BA83" s="29"/>
      <c r="BB83" s="29" t="str">
        <f>IF(BA83&lt;&gt;"",INDEX('DUN 2021'!$J$3:$J$23,MATCH('UMUR 2021'!BA83,'DUN 2021'!$I$3:$I$23,0),1),"")</f>
        <v/>
      </c>
      <c r="BC83" s="33"/>
      <c r="BD83" s="34" t="str">
        <f t="shared" si="32"/>
        <v/>
      </c>
      <c r="BE83" s="29"/>
      <c r="BF83" s="29" t="str">
        <f>IF(BE83&lt;&gt;"",INDEX('DUN 2021'!$J$3:$J$23,MATCH('UMUR 2021'!BE83,'DUN 2021'!$I$3:$I$23,0),1),"")</f>
        <v/>
      </c>
      <c r="BG83" s="33"/>
      <c r="BH83" s="34" t="str">
        <f t="shared" si="33"/>
        <v/>
      </c>
    </row>
    <row r="84" spans="1:60">
      <c r="A84" s="13" t="s">
        <v>227</v>
      </c>
      <c r="B84" s="14" t="s">
        <v>229</v>
      </c>
      <c r="C84" s="15">
        <f>'JANTINA 2021'!C84+'JANTINA 2021'!K84</f>
        <v>1237</v>
      </c>
      <c r="D84" s="15">
        <f>'JANTINA 2021'!D84+'JANTINA 2021'!L84</f>
        <v>3147</v>
      </c>
      <c r="E84" s="15">
        <f>'JANTINA 2021'!E84+'JANTINA 2021'!M84</f>
        <v>2826</v>
      </c>
      <c r="F84" s="15">
        <f>'JANTINA 2021'!F84+'JANTINA 2021'!N84</f>
        <v>2563</v>
      </c>
      <c r="G84" s="15">
        <f>'JANTINA 2021'!G84+'JANTINA 2021'!O84</f>
        <v>2088</v>
      </c>
      <c r="H84" s="15">
        <f>'JANTINA 2021'!H84+'JANTINA 2021'!P84</f>
        <v>793</v>
      </c>
      <c r="I84" s="15">
        <f>'JANTINA 2021'!I84+'JANTINA 2021'!Q84</f>
        <v>291</v>
      </c>
      <c r="J84" s="15">
        <f>'JANTINA 2021'!J84+'JANTINA 2021'!R84</f>
        <v>109</v>
      </c>
      <c r="K84" s="16">
        <f>C84/'JANTINA 2021'!S84</f>
        <v>9.4760226750421325E-2</v>
      </c>
      <c r="L84" s="16">
        <f>D84/'JANTINA 2021'!S84</f>
        <v>0.2410755324038609</v>
      </c>
      <c r="M84" s="16">
        <f>E84/'JANTINA 2021'!S84</f>
        <v>0.21648536846943467</v>
      </c>
      <c r="N84" s="16">
        <f>F84/'JANTINA 2021'!S84</f>
        <v>0.19633828711506052</v>
      </c>
      <c r="O84" s="16">
        <f>G84/'JANTINA 2021'!S84</f>
        <v>0.15995097288187529</v>
      </c>
      <c r="P84" s="16">
        <f>H84/'JANTINA 2021'!S84</f>
        <v>6.0747663551401869E-2</v>
      </c>
      <c r="Q84" s="16">
        <f>I84/'JANTINA 2021'!S84</f>
        <v>2.2292017772330319E-2</v>
      </c>
      <c r="R84" s="16">
        <f t="shared" si="17"/>
        <v>8.349931055615125E-3</v>
      </c>
      <c r="S84" s="13" t="str">
        <f>IF(LARGE(K84:R84,1)=K84,"21-29",IF(LARGE(K84:R84,1)=L84,"30-39",IF(LARGE(K84:R84,1)=M84,"40-49",IF(LARGE(K84:R84,1)=N84,"50-59",IF(LARGE(K84:R84,1)=O84,"60-69",IF(LARGE(K84:R84,1)=P84,"70-79",IF(LARGE(K84:R84,1)=Q84,"80-89","90+")))))))</f>
        <v>30-39</v>
      </c>
      <c r="T84" s="15">
        <f t="shared" si="19"/>
        <v>4384</v>
      </c>
      <c r="U84" s="16">
        <f t="shared" si="20"/>
        <v>0.33583575915428221</v>
      </c>
      <c r="V84" s="15">
        <f t="shared" si="21"/>
        <v>5636</v>
      </c>
      <c r="W84" s="15">
        <f t="shared" si="22"/>
        <v>13054</v>
      </c>
      <c r="X84" s="16">
        <f t="shared" si="23"/>
        <v>0.57009345794392519</v>
      </c>
      <c r="Y84" s="15">
        <f t="shared" si="24"/>
        <v>7442</v>
      </c>
      <c r="Z84" s="53">
        <v>79</v>
      </c>
      <c r="AA84" s="53">
        <v>64</v>
      </c>
      <c r="AB84" s="33">
        <f t="shared" si="25"/>
        <v>7299</v>
      </c>
      <c r="AC84" s="29" t="s">
        <v>243</v>
      </c>
      <c r="AD84" s="29" t="str">
        <f>IF(AC84&lt;&gt;"",INDEX('DUN 2021'!$J$3:$J$23,MATCH('UMUR 2021'!AC84,'DUN 2021'!$I$3:$I$23,0),1),"")</f>
        <v>GPS</v>
      </c>
      <c r="AE84" s="33">
        <v>6385</v>
      </c>
      <c r="AF84" s="34">
        <f t="shared" si="26"/>
        <v>0.87477736676257023</v>
      </c>
      <c r="AG84" s="29" t="s">
        <v>252</v>
      </c>
      <c r="AH84" s="29" t="str">
        <f>INDEX('DUN 2021'!$J$3:$J$23,MATCH('UMUR 2021'!AG84,'DUN 2021'!$I$3:$I$23,0),1)</f>
        <v>PSB</v>
      </c>
      <c r="AI84" s="33">
        <v>749</v>
      </c>
      <c r="AJ84" s="34">
        <f t="shared" si="27"/>
        <v>0.10261679682148239</v>
      </c>
      <c r="AK84" s="29" t="s">
        <v>301</v>
      </c>
      <c r="AL84" s="29" t="str">
        <f>IF(AK84&lt;&gt;"",INDEX('DUN 2021'!$J$3:$J$23,MATCH('UMUR 2021'!AK84,'DUN 2021'!$I$3:$I$23,0),1),"")</f>
        <v>LAIN-LAIN</v>
      </c>
      <c r="AM84" s="33">
        <v>165</v>
      </c>
      <c r="AN84" s="34">
        <f t="shared" si="28"/>
        <v>2.2605836415947388E-2</v>
      </c>
      <c r="AO84" s="29"/>
      <c r="AP84" s="29" t="str">
        <f>IF(AO84&lt;&gt;"",INDEX('DUN 2021'!$J$3:$J$23,MATCH('UMUR 2021'!AO84,'DUN 2021'!$I$3:$I$23,0),1),"")</f>
        <v/>
      </c>
      <c r="AQ84" s="33"/>
      <c r="AR84" s="34" t="str">
        <f t="shared" si="29"/>
        <v/>
      </c>
      <c r="AS84" s="29"/>
      <c r="AT84" s="29" t="str">
        <f>IF(AS84&lt;&gt;"",INDEX('DUN 2021'!$J$3:$J$23,MATCH('UMUR 2021'!AS84,'DUN 2021'!$I$3:$I$23,0),1),"")</f>
        <v/>
      </c>
      <c r="AU84" s="33"/>
      <c r="AV84" s="34" t="str">
        <f t="shared" si="30"/>
        <v/>
      </c>
      <c r="AW84" s="29"/>
      <c r="AX84" s="29" t="str">
        <f>IF(AW84&lt;&gt;"",INDEX('DUN 2021'!$J$3:$J$23,MATCH('UMUR 2021'!AW84,'DUN 2021'!$I$3:$I$23,0),1),"")</f>
        <v/>
      </c>
      <c r="AY84" s="33"/>
      <c r="AZ84" s="34" t="str">
        <f t="shared" si="31"/>
        <v/>
      </c>
      <c r="BA84" s="29"/>
      <c r="BB84" s="29" t="str">
        <f>IF(BA84&lt;&gt;"",INDEX('DUN 2021'!$J$3:$J$23,MATCH('UMUR 2021'!BA84,'DUN 2021'!$I$3:$I$23,0),1),"")</f>
        <v/>
      </c>
      <c r="BC84" s="33"/>
      <c r="BD84" s="34" t="str">
        <f t="shared" si="32"/>
        <v/>
      </c>
      <c r="BE84" s="29"/>
      <c r="BF84" s="29" t="str">
        <f>IF(BE84&lt;&gt;"",INDEX('DUN 2021'!$J$3:$J$23,MATCH('UMUR 2021'!BE84,'DUN 2021'!$I$3:$I$23,0),1),"")</f>
        <v/>
      </c>
      <c r="BG84" s="33"/>
      <c r="BH84" s="34" t="str">
        <f t="shared" si="33"/>
        <v/>
      </c>
    </row>
    <row r="85" spans="1:60">
      <c r="S85" s="4"/>
      <c r="T85" s="4"/>
      <c r="U85" s="4"/>
    </row>
    <row r="86" spans="1:60">
      <c r="C86" s="85" t="s">
        <v>288</v>
      </c>
      <c r="D86" s="85" t="s">
        <v>289</v>
      </c>
      <c r="E86" s="85" t="s">
        <v>290</v>
      </c>
      <c r="F86" s="85" t="s">
        <v>291</v>
      </c>
      <c r="G86" s="85" t="s">
        <v>292</v>
      </c>
      <c r="H86" s="85" t="s">
        <v>293</v>
      </c>
      <c r="I86" s="85" t="s">
        <v>294</v>
      </c>
      <c r="J86" s="85" t="s">
        <v>295</v>
      </c>
      <c r="K86" s="85" t="s">
        <v>233</v>
      </c>
      <c r="L86" s="85" t="s">
        <v>233</v>
      </c>
      <c r="M86" s="85" t="s">
        <v>233</v>
      </c>
      <c r="N86" s="85" t="s">
        <v>233</v>
      </c>
      <c r="O86" s="85" t="s">
        <v>233</v>
      </c>
      <c r="P86" s="85" t="s">
        <v>233</v>
      </c>
      <c r="Q86" s="85" t="s">
        <v>233</v>
      </c>
      <c r="R86" s="85" t="s">
        <v>233</v>
      </c>
      <c r="S86" s="85" t="s">
        <v>280</v>
      </c>
      <c r="T86" s="85" t="s">
        <v>298</v>
      </c>
      <c r="U86" s="85" t="s">
        <v>233</v>
      </c>
      <c r="V86" s="85" t="s">
        <v>261</v>
      </c>
      <c r="W86" s="85" t="s">
        <v>264</v>
      </c>
      <c r="X86" s="85" t="s">
        <v>262</v>
      </c>
      <c r="Y86" s="85" t="s">
        <v>265</v>
      </c>
      <c r="Z86" s="85" t="s">
        <v>268</v>
      </c>
      <c r="AA86" s="85" t="s">
        <v>263</v>
      </c>
      <c r="AB86" s="85" t="s">
        <v>257</v>
      </c>
    </row>
    <row r="87" spans="1:60" ht="14.25" customHeight="1"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</row>
    <row r="88" spans="1:60" ht="15">
      <c r="A88" s="87" t="s">
        <v>271</v>
      </c>
      <c r="B88" s="88"/>
      <c r="C88" s="51">
        <f t="shared" ref="C88:J88" si="34">SUM(C3:C84)</f>
        <v>111394</v>
      </c>
      <c r="D88" s="51">
        <f t="shared" si="34"/>
        <v>271879</v>
      </c>
      <c r="E88" s="51">
        <f t="shared" si="34"/>
        <v>270099</v>
      </c>
      <c r="F88" s="51">
        <f t="shared" si="34"/>
        <v>266515</v>
      </c>
      <c r="G88" s="51">
        <f t="shared" si="34"/>
        <v>197334</v>
      </c>
      <c r="H88" s="51">
        <f t="shared" si="34"/>
        <v>93533</v>
      </c>
      <c r="I88" s="51">
        <f t="shared" si="34"/>
        <v>31062</v>
      </c>
      <c r="J88" s="51">
        <f t="shared" si="34"/>
        <v>10198</v>
      </c>
      <c r="K88" s="16">
        <f>C88/W88</f>
        <v>8.8971848557603983E-2</v>
      </c>
      <c r="L88" s="16">
        <f>D88/W88</f>
        <v>0.21715332256668057</v>
      </c>
      <c r="M88" s="16">
        <f>E88/W88</f>
        <v>0.21573161322477225</v>
      </c>
      <c r="N88" s="16">
        <f>F88/W88</f>
        <v>0.21286902542623326</v>
      </c>
      <c r="O88" s="16">
        <f>G88/W88</f>
        <v>0.15761325352591904</v>
      </c>
      <c r="P88" s="16">
        <f>H88/W88</f>
        <v>7.4706033638601482E-2</v>
      </c>
      <c r="Q88" s="16">
        <f>I88/W88</f>
        <v>2.4809626729413569E-2</v>
      </c>
      <c r="R88" s="16">
        <f>1-K88-L88-M88-N88-O88-P88-Q88</f>
        <v>8.1452763307759031E-3</v>
      </c>
      <c r="S88" s="13" t="str">
        <f>IF(LARGE(K88:R88,1)=K88,"21-29",IF(LARGE(K88:R88,1)=L88,"30-39",IF(LARGE(K88:R88,1)=M88,"40-49",IF(LARGE(K88:R88,1)=N88,"50-59",IF(LARGE(K88:R88,1)=O88,"60-69",IF(LARGE(K88:R88,1)=P88,"70-79",IF(LARGE(K88:R88,1)=Q88,"80-89","90+")))))))</f>
        <v>30-39</v>
      </c>
      <c r="T88" s="10">
        <f>C88+D88</f>
        <v>383273</v>
      </c>
      <c r="U88" s="12">
        <f t="shared" ref="U88" si="35">T88/W88</f>
        <v>0.30612517112428456</v>
      </c>
      <c r="V88" s="33">
        <f>AVERAGE(V3:V84)</f>
        <v>3509.1341463414633</v>
      </c>
      <c r="W88" s="33">
        <f>SUM(W3:W84)</f>
        <v>1252014</v>
      </c>
      <c r="X88" s="16">
        <f t="shared" ref="X88" si="36">Y88/W88</f>
        <v>0.60673203334786996</v>
      </c>
      <c r="Y88" s="33">
        <f>SUM(Y3:Y84)</f>
        <v>759637</v>
      </c>
      <c r="Z88" s="33">
        <f>SUM(Z3:Z84)</f>
        <v>3404</v>
      </c>
      <c r="AA88" s="33">
        <f>SUM(AA3:AA84)</f>
        <v>9884</v>
      </c>
      <c r="AB88" s="33">
        <f>SUM(AB3:AB84)</f>
        <v>746349</v>
      </c>
      <c r="AC88" s="23"/>
      <c r="AD88" s="23"/>
    </row>
    <row r="89" spans="1:60">
      <c r="B89" s="24"/>
      <c r="S89" s="24"/>
      <c r="T89" s="24"/>
      <c r="U89" s="24"/>
      <c r="Z89" s="32">
        <f>Z88/$Y$88</f>
        <v>4.4810876774038126E-3</v>
      </c>
      <c r="AA89" s="32">
        <f>AA88/$Y$88</f>
        <v>1.301147785060496E-2</v>
      </c>
      <c r="AB89" s="32">
        <f>AB88/$Y$88</f>
        <v>0.98250743447199118</v>
      </c>
      <c r="AC89" s="23"/>
      <c r="AD89" s="23"/>
    </row>
    <row r="90" spans="1:60">
      <c r="B90" s="24"/>
      <c r="S90" s="24"/>
      <c r="T90" s="24"/>
      <c r="U90" s="24"/>
      <c r="AC90" s="23"/>
      <c r="AD90" s="23"/>
    </row>
    <row r="91" spans="1:60">
      <c r="B91" s="24"/>
      <c r="S91" s="24"/>
      <c r="T91" s="24"/>
      <c r="U91" s="24"/>
      <c r="AC91" s="23"/>
      <c r="AD91" s="23"/>
    </row>
    <row r="92" spans="1:60">
      <c r="B92" s="24"/>
      <c r="S92" s="24"/>
      <c r="T92" s="24"/>
      <c r="U92" s="24"/>
      <c r="AC92" s="23"/>
      <c r="AD92" s="23"/>
    </row>
    <row r="93" spans="1:60">
      <c r="B93" s="24"/>
      <c r="S93" s="24"/>
      <c r="T93" s="24"/>
      <c r="U93" s="24"/>
      <c r="AC93" s="23"/>
      <c r="AD93" s="23"/>
    </row>
    <row r="94" spans="1:60">
      <c r="B94" s="24"/>
      <c r="S94" s="24"/>
      <c r="T94" s="24"/>
      <c r="U94" s="24"/>
      <c r="AC94" s="23"/>
      <c r="AD94" s="23"/>
    </row>
    <row r="95" spans="1:60">
      <c r="B95" s="24"/>
      <c r="S95" s="24"/>
      <c r="T95" s="24"/>
      <c r="U95" s="24"/>
      <c r="AC95" s="23"/>
      <c r="AD95" s="23"/>
    </row>
    <row r="96" spans="1:60">
      <c r="B96" s="24"/>
      <c r="S96" s="24"/>
      <c r="T96" s="24"/>
      <c r="U96" s="24"/>
      <c r="AC96" s="23"/>
      <c r="AD96" s="23"/>
    </row>
    <row r="97" spans="2:60">
      <c r="B97" s="24"/>
      <c r="S97" s="24"/>
      <c r="T97" s="24"/>
      <c r="U97" s="24"/>
      <c r="AC97" s="23"/>
      <c r="AD97" s="23"/>
    </row>
    <row r="98" spans="2:60">
      <c r="B98" s="24"/>
      <c r="S98" s="24"/>
      <c r="T98" s="24"/>
      <c r="U98" s="24"/>
      <c r="AC98" s="23"/>
      <c r="AD98" s="23"/>
    </row>
    <row r="99" spans="2:60" s="24" customFormat="1">
      <c r="C99" s="39"/>
      <c r="D99" s="39"/>
      <c r="E99" s="39"/>
      <c r="F99" s="39"/>
      <c r="G99" s="39"/>
      <c r="H99" s="39"/>
      <c r="I99" s="39"/>
      <c r="J99" s="39"/>
      <c r="K99" s="32"/>
      <c r="L99" s="32"/>
      <c r="M99" s="32"/>
      <c r="N99" s="32"/>
      <c r="O99" s="32"/>
      <c r="P99" s="32"/>
      <c r="Q99" s="32"/>
      <c r="R99" s="32"/>
      <c r="AC99" s="23"/>
      <c r="AD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</row>
    <row r="100" spans="2:60" s="24" customFormat="1">
      <c r="C100" s="39"/>
      <c r="D100" s="39"/>
      <c r="E100" s="39"/>
      <c r="F100" s="39"/>
      <c r="G100" s="39"/>
      <c r="H100" s="39"/>
      <c r="I100" s="39"/>
      <c r="J100" s="39"/>
      <c r="K100" s="32"/>
      <c r="L100" s="32"/>
      <c r="M100" s="32"/>
      <c r="N100" s="32"/>
      <c r="O100" s="32"/>
      <c r="P100" s="32"/>
      <c r="Q100" s="32"/>
      <c r="R100" s="32"/>
    </row>
    <row r="101" spans="2:60" s="24" customFormat="1">
      <c r="C101" s="39"/>
      <c r="D101" s="39"/>
      <c r="E101" s="39"/>
      <c r="F101" s="39"/>
      <c r="G101" s="39"/>
      <c r="H101" s="39"/>
      <c r="I101" s="39"/>
      <c r="J101" s="39"/>
      <c r="K101" s="32"/>
      <c r="L101" s="32"/>
      <c r="M101" s="32"/>
      <c r="N101" s="32"/>
      <c r="O101" s="32"/>
      <c r="P101" s="32"/>
      <c r="Q101" s="32"/>
      <c r="R101" s="32"/>
    </row>
    <row r="102" spans="2:60" s="24" customFormat="1">
      <c r="C102" s="39"/>
      <c r="D102" s="39"/>
      <c r="E102" s="39"/>
      <c r="F102" s="39"/>
      <c r="G102" s="39"/>
      <c r="H102" s="39"/>
      <c r="I102" s="39"/>
      <c r="J102" s="39"/>
      <c r="K102" s="32"/>
      <c r="L102" s="32"/>
      <c r="M102" s="32"/>
      <c r="N102" s="32"/>
      <c r="O102" s="32"/>
      <c r="P102" s="32"/>
      <c r="Q102" s="32"/>
      <c r="R102" s="32"/>
    </row>
    <row r="103" spans="2:60" s="24" customFormat="1">
      <c r="C103" s="39"/>
      <c r="D103" s="39"/>
      <c r="E103" s="39"/>
      <c r="F103" s="39"/>
      <c r="G103" s="39"/>
      <c r="H103" s="39"/>
      <c r="I103" s="39"/>
      <c r="J103" s="39"/>
      <c r="K103" s="32"/>
      <c r="L103" s="32"/>
      <c r="M103" s="32"/>
      <c r="N103" s="32"/>
      <c r="O103" s="32"/>
      <c r="P103" s="32"/>
      <c r="Q103" s="32"/>
      <c r="R103" s="32"/>
    </row>
    <row r="104" spans="2:60" s="24" customFormat="1">
      <c r="C104" s="39"/>
      <c r="D104" s="39"/>
      <c r="E104" s="39"/>
      <c r="F104" s="39"/>
      <c r="G104" s="39"/>
      <c r="H104" s="39"/>
      <c r="I104" s="39"/>
      <c r="J104" s="39"/>
      <c r="K104" s="32"/>
      <c r="L104" s="32"/>
      <c r="M104" s="32"/>
      <c r="N104" s="32"/>
      <c r="O104" s="32"/>
      <c r="P104" s="32"/>
      <c r="Q104" s="32"/>
      <c r="R104" s="32"/>
    </row>
    <row r="105" spans="2:60" s="24" customFormat="1">
      <c r="C105" s="39"/>
      <c r="D105" s="39"/>
      <c r="E105" s="39"/>
      <c r="F105" s="39"/>
      <c r="G105" s="39"/>
      <c r="H105" s="39"/>
      <c r="I105" s="39"/>
      <c r="J105" s="39"/>
      <c r="K105" s="32"/>
      <c r="L105" s="32"/>
      <c r="M105" s="32"/>
      <c r="N105" s="32"/>
      <c r="O105" s="32"/>
      <c r="P105" s="32"/>
      <c r="Q105" s="32"/>
      <c r="R105" s="32"/>
    </row>
    <row r="106" spans="2:60" s="24" customFormat="1">
      <c r="C106" s="39"/>
      <c r="D106" s="39"/>
      <c r="E106" s="39"/>
      <c r="F106" s="39"/>
      <c r="G106" s="39"/>
      <c r="H106" s="39"/>
      <c r="I106" s="39"/>
      <c r="J106" s="39"/>
      <c r="K106" s="32"/>
      <c r="L106" s="32"/>
      <c r="M106" s="32"/>
      <c r="N106" s="32"/>
      <c r="O106" s="32"/>
      <c r="P106" s="32"/>
      <c r="Q106" s="32"/>
      <c r="R106" s="32"/>
    </row>
    <row r="107" spans="2:60" s="24" customFormat="1">
      <c r="C107" s="39"/>
      <c r="D107" s="39"/>
      <c r="E107" s="39"/>
      <c r="F107" s="39"/>
      <c r="G107" s="39"/>
      <c r="H107" s="39"/>
      <c r="I107" s="39"/>
      <c r="J107" s="39"/>
      <c r="K107" s="32"/>
      <c r="L107" s="32"/>
      <c r="M107" s="32"/>
      <c r="N107" s="32"/>
      <c r="O107" s="32"/>
      <c r="P107" s="32"/>
      <c r="Q107" s="32"/>
      <c r="R107" s="32"/>
    </row>
    <row r="108" spans="2:60" s="24" customFormat="1">
      <c r="C108" s="39"/>
      <c r="D108" s="39"/>
      <c r="E108" s="39"/>
      <c r="F108" s="39"/>
      <c r="G108" s="39"/>
      <c r="H108" s="39"/>
      <c r="I108" s="39"/>
      <c r="J108" s="39"/>
      <c r="K108" s="32"/>
      <c r="L108" s="32"/>
      <c r="M108" s="32"/>
      <c r="N108" s="32"/>
      <c r="O108" s="32"/>
      <c r="P108" s="32"/>
      <c r="Q108" s="32"/>
      <c r="R108" s="32"/>
    </row>
    <row r="109" spans="2:60" s="24" customFormat="1">
      <c r="C109" s="39"/>
      <c r="D109" s="39"/>
      <c r="E109" s="39"/>
      <c r="F109" s="39"/>
      <c r="G109" s="39"/>
      <c r="H109" s="39"/>
      <c r="I109" s="39"/>
      <c r="J109" s="39"/>
      <c r="K109" s="32"/>
      <c r="L109" s="32"/>
      <c r="M109" s="32"/>
      <c r="N109" s="32"/>
      <c r="O109" s="32"/>
      <c r="P109" s="32"/>
      <c r="Q109" s="32"/>
      <c r="R109" s="32"/>
    </row>
    <row r="110" spans="2:60" s="24" customFormat="1">
      <c r="C110" s="39"/>
      <c r="D110" s="39"/>
      <c r="E110" s="39"/>
      <c r="F110" s="39"/>
      <c r="G110" s="39"/>
      <c r="H110" s="39"/>
      <c r="I110" s="39"/>
      <c r="J110" s="39"/>
      <c r="K110" s="32"/>
      <c r="L110" s="32"/>
      <c r="M110" s="32"/>
      <c r="N110" s="32"/>
      <c r="O110" s="32"/>
      <c r="P110" s="32"/>
      <c r="Q110" s="32"/>
      <c r="R110" s="32"/>
    </row>
    <row r="111" spans="2:60" s="24" customFormat="1">
      <c r="C111" s="39"/>
      <c r="D111" s="39"/>
      <c r="E111" s="39"/>
      <c r="F111" s="39"/>
      <c r="G111" s="39"/>
      <c r="H111" s="39"/>
      <c r="I111" s="39"/>
      <c r="J111" s="39"/>
      <c r="K111" s="32"/>
      <c r="L111" s="32"/>
      <c r="M111" s="32"/>
      <c r="N111" s="32"/>
      <c r="O111" s="32"/>
      <c r="P111" s="32"/>
      <c r="Q111" s="32"/>
      <c r="R111" s="32"/>
      <c r="AC111" s="23"/>
      <c r="AD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</row>
    <row r="112" spans="2:60" s="24" customFormat="1">
      <c r="C112" s="39"/>
      <c r="D112" s="39"/>
      <c r="E112" s="39"/>
      <c r="F112" s="39"/>
      <c r="G112" s="39"/>
      <c r="H112" s="39"/>
      <c r="I112" s="39"/>
      <c r="J112" s="39"/>
      <c r="K112" s="32"/>
      <c r="L112" s="32"/>
      <c r="M112" s="32"/>
      <c r="N112" s="32"/>
      <c r="O112" s="32"/>
      <c r="P112" s="32"/>
      <c r="Q112" s="32"/>
      <c r="R112" s="32"/>
      <c r="AC112" s="23"/>
      <c r="AD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</row>
    <row r="113" spans="3:18" s="24" customFormat="1">
      <c r="C113" s="39"/>
      <c r="D113" s="39"/>
      <c r="E113" s="39"/>
      <c r="F113" s="39"/>
      <c r="G113" s="39"/>
      <c r="H113" s="39"/>
      <c r="I113" s="39"/>
      <c r="J113" s="39"/>
      <c r="K113" s="32"/>
      <c r="L113" s="32"/>
      <c r="M113" s="32"/>
      <c r="N113" s="32"/>
      <c r="O113" s="32"/>
      <c r="P113" s="32"/>
      <c r="Q113" s="32"/>
      <c r="R113" s="32"/>
    </row>
    <row r="114" spans="3:18" s="24" customFormat="1">
      <c r="C114" s="39"/>
      <c r="D114" s="39"/>
      <c r="E114" s="39"/>
      <c r="F114" s="39"/>
      <c r="G114" s="39"/>
      <c r="H114" s="39"/>
      <c r="I114" s="39"/>
      <c r="J114" s="39"/>
      <c r="K114" s="32"/>
      <c r="L114" s="32"/>
      <c r="M114" s="32"/>
      <c r="N114" s="32"/>
      <c r="O114" s="32"/>
      <c r="P114" s="32"/>
      <c r="Q114" s="32"/>
      <c r="R114" s="32"/>
    </row>
    <row r="115" spans="3:18" s="24" customFormat="1">
      <c r="C115" s="39"/>
      <c r="D115" s="39"/>
      <c r="E115" s="39"/>
      <c r="F115" s="39"/>
      <c r="G115" s="39"/>
      <c r="H115" s="39"/>
      <c r="I115" s="39"/>
      <c r="J115" s="39"/>
      <c r="K115" s="32"/>
      <c r="L115" s="32"/>
      <c r="M115" s="32"/>
      <c r="N115" s="32"/>
      <c r="O115" s="32"/>
      <c r="P115" s="32"/>
      <c r="Q115" s="32"/>
      <c r="R115" s="32"/>
    </row>
    <row r="116" spans="3:18" s="24" customFormat="1">
      <c r="C116" s="39"/>
      <c r="D116" s="39"/>
      <c r="E116" s="39"/>
      <c r="F116" s="39"/>
      <c r="G116" s="39"/>
      <c r="H116" s="39"/>
      <c r="I116" s="39"/>
      <c r="J116" s="39"/>
      <c r="K116" s="32"/>
      <c r="L116" s="32"/>
      <c r="M116" s="32"/>
      <c r="N116" s="32"/>
      <c r="O116" s="32"/>
      <c r="P116" s="32"/>
      <c r="Q116" s="32"/>
      <c r="R116" s="32"/>
    </row>
    <row r="117" spans="3:18" s="24" customFormat="1">
      <c r="C117" s="39"/>
      <c r="D117" s="39"/>
      <c r="E117" s="39"/>
      <c r="F117" s="39"/>
      <c r="G117" s="39"/>
      <c r="H117" s="39"/>
      <c r="I117" s="39"/>
      <c r="J117" s="39"/>
      <c r="K117" s="32"/>
      <c r="L117" s="32"/>
      <c r="M117" s="32"/>
      <c r="N117" s="32"/>
      <c r="O117" s="32"/>
      <c r="P117" s="32"/>
      <c r="Q117" s="32"/>
      <c r="R117" s="32"/>
    </row>
    <row r="118" spans="3:18" s="24" customFormat="1">
      <c r="C118" s="39"/>
      <c r="D118" s="39"/>
      <c r="E118" s="39"/>
      <c r="F118" s="39"/>
      <c r="G118" s="39"/>
      <c r="H118" s="39"/>
      <c r="I118" s="39"/>
      <c r="J118" s="39"/>
      <c r="K118" s="32"/>
      <c r="L118" s="32"/>
      <c r="M118" s="32"/>
      <c r="N118" s="32"/>
      <c r="O118" s="32"/>
      <c r="P118" s="32"/>
      <c r="Q118" s="32"/>
      <c r="R118" s="32"/>
    </row>
    <row r="119" spans="3:18" s="24" customFormat="1">
      <c r="C119" s="39"/>
      <c r="D119" s="39"/>
      <c r="E119" s="39"/>
      <c r="F119" s="39"/>
      <c r="G119" s="39"/>
      <c r="H119" s="39"/>
      <c r="I119" s="39"/>
      <c r="J119" s="39"/>
      <c r="K119" s="32"/>
      <c r="L119" s="32"/>
      <c r="M119" s="32"/>
      <c r="N119" s="32"/>
      <c r="O119" s="32"/>
      <c r="P119" s="32"/>
      <c r="Q119" s="32"/>
      <c r="R119" s="32"/>
    </row>
    <row r="120" spans="3:18" s="24" customFormat="1">
      <c r="C120" s="39"/>
      <c r="D120" s="39"/>
      <c r="E120" s="39"/>
      <c r="F120" s="39"/>
      <c r="G120" s="39"/>
      <c r="H120" s="39"/>
      <c r="I120" s="39"/>
      <c r="J120" s="39"/>
      <c r="K120" s="32"/>
      <c r="L120" s="32"/>
      <c r="M120" s="32"/>
      <c r="N120" s="32"/>
      <c r="O120" s="32"/>
      <c r="P120" s="32"/>
      <c r="Q120" s="32"/>
      <c r="R120" s="32"/>
    </row>
    <row r="121" spans="3:18" s="24" customFormat="1">
      <c r="C121" s="39"/>
      <c r="D121" s="39"/>
      <c r="E121" s="39"/>
      <c r="F121" s="39"/>
      <c r="G121" s="39"/>
      <c r="H121" s="39"/>
      <c r="I121" s="39"/>
      <c r="J121" s="39"/>
      <c r="K121" s="32"/>
      <c r="L121" s="32"/>
      <c r="M121" s="32"/>
      <c r="N121" s="32"/>
      <c r="O121" s="32"/>
      <c r="P121" s="32"/>
      <c r="Q121" s="32"/>
      <c r="R121" s="32"/>
    </row>
    <row r="122" spans="3:18" s="24" customFormat="1">
      <c r="C122" s="39"/>
      <c r="D122" s="39"/>
      <c r="E122" s="39"/>
      <c r="F122" s="39"/>
      <c r="G122" s="39"/>
      <c r="H122" s="39"/>
      <c r="I122" s="39"/>
      <c r="J122" s="39"/>
      <c r="K122" s="32"/>
      <c r="L122" s="32"/>
      <c r="M122" s="32"/>
      <c r="N122" s="32"/>
      <c r="O122" s="32"/>
      <c r="P122" s="32"/>
      <c r="Q122" s="32"/>
      <c r="R122" s="32"/>
    </row>
    <row r="123" spans="3:18" s="24" customFormat="1">
      <c r="C123" s="39"/>
      <c r="D123" s="39"/>
      <c r="E123" s="39"/>
      <c r="F123" s="39"/>
      <c r="G123" s="39"/>
      <c r="H123" s="39"/>
      <c r="I123" s="39"/>
      <c r="J123" s="39"/>
      <c r="K123" s="32"/>
      <c r="L123" s="32"/>
      <c r="M123" s="32"/>
      <c r="N123" s="32"/>
      <c r="O123" s="32"/>
      <c r="P123" s="32"/>
      <c r="Q123" s="32"/>
      <c r="R123" s="32"/>
    </row>
    <row r="124" spans="3:18" s="24" customFormat="1">
      <c r="C124" s="39"/>
      <c r="D124" s="39"/>
      <c r="E124" s="39"/>
      <c r="F124" s="39"/>
      <c r="G124" s="39"/>
      <c r="H124" s="39"/>
      <c r="I124" s="39"/>
      <c r="J124" s="39"/>
      <c r="K124" s="32"/>
      <c r="L124" s="32"/>
      <c r="M124" s="32"/>
      <c r="N124" s="32"/>
      <c r="O124" s="32"/>
      <c r="P124" s="32"/>
      <c r="Q124" s="32"/>
      <c r="R124" s="32"/>
    </row>
    <row r="125" spans="3:18" s="24" customFormat="1">
      <c r="C125" s="39"/>
      <c r="D125" s="39"/>
      <c r="E125" s="39"/>
      <c r="F125" s="39"/>
      <c r="G125" s="39"/>
      <c r="H125" s="39"/>
      <c r="I125" s="39"/>
      <c r="J125" s="39"/>
      <c r="K125" s="32"/>
      <c r="L125" s="32"/>
      <c r="M125" s="32"/>
      <c r="N125" s="32"/>
      <c r="O125" s="32"/>
      <c r="P125" s="32"/>
      <c r="Q125" s="32"/>
      <c r="R125" s="32"/>
    </row>
    <row r="126" spans="3:18" s="24" customFormat="1">
      <c r="C126" s="39"/>
      <c r="D126" s="39"/>
      <c r="E126" s="39"/>
      <c r="F126" s="39"/>
      <c r="G126" s="39"/>
      <c r="H126" s="39"/>
      <c r="I126" s="39"/>
      <c r="J126" s="39"/>
      <c r="K126" s="32"/>
      <c r="L126" s="32"/>
      <c r="M126" s="32"/>
      <c r="N126" s="32"/>
      <c r="O126" s="32"/>
      <c r="P126" s="32"/>
      <c r="Q126" s="32"/>
      <c r="R126" s="32"/>
    </row>
    <row r="127" spans="3:18" s="24" customFormat="1">
      <c r="C127" s="39"/>
      <c r="D127" s="39"/>
      <c r="E127" s="39"/>
      <c r="F127" s="39"/>
      <c r="G127" s="39"/>
      <c r="H127" s="39"/>
      <c r="I127" s="39"/>
      <c r="J127" s="39"/>
      <c r="K127" s="32"/>
      <c r="L127" s="32"/>
      <c r="M127" s="32"/>
      <c r="N127" s="32"/>
      <c r="O127" s="32"/>
      <c r="P127" s="32"/>
      <c r="Q127" s="32"/>
      <c r="R127" s="32"/>
    </row>
    <row r="128" spans="3:18" s="24" customFormat="1">
      <c r="C128" s="39"/>
      <c r="D128" s="39"/>
      <c r="E128" s="39"/>
      <c r="F128" s="39"/>
      <c r="G128" s="39"/>
      <c r="H128" s="39"/>
      <c r="I128" s="39"/>
      <c r="J128" s="39"/>
      <c r="K128" s="32"/>
      <c r="L128" s="32"/>
      <c r="M128" s="32"/>
      <c r="N128" s="32"/>
      <c r="O128" s="32"/>
      <c r="P128" s="32"/>
      <c r="Q128" s="32"/>
      <c r="R128" s="32"/>
    </row>
    <row r="129" spans="3:18" s="24" customFormat="1">
      <c r="C129" s="39"/>
      <c r="D129" s="39"/>
      <c r="E129" s="39"/>
      <c r="F129" s="39"/>
      <c r="G129" s="39"/>
      <c r="H129" s="39"/>
      <c r="I129" s="39"/>
      <c r="J129" s="39"/>
      <c r="K129" s="32"/>
      <c r="L129" s="32"/>
      <c r="M129" s="32"/>
      <c r="N129" s="32"/>
      <c r="O129" s="32"/>
      <c r="P129" s="32"/>
      <c r="Q129" s="32"/>
      <c r="R129" s="32"/>
    </row>
    <row r="130" spans="3:18" s="24" customFormat="1">
      <c r="C130" s="39"/>
      <c r="D130" s="39"/>
      <c r="E130" s="39"/>
      <c r="F130" s="39"/>
      <c r="G130" s="39"/>
      <c r="H130" s="39"/>
      <c r="I130" s="39"/>
      <c r="J130" s="39"/>
      <c r="K130" s="32"/>
      <c r="L130" s="32"/>
      <c r="M130" s="32"/>
      <c r="N130" s="32"/>
      <c r="O130" s="32"/>
      <c r="P130" s="32"/>
      <c r="Q130" s="32"/>
      <c r="R130" s="32"/>
    </row>
    <row r="131" spans="3:18" s="24" customFormat="1">
      <c r="C131" s="39"/>
      <c r="D131" s="39"/>
      <c r="E131" s="39"/>
      <c r="F131" s="39"/>
      <c r="G131" s="39"/>
      <c r="H131" s="39"/>
      <c r="I131" s="39"/>
      <c r="J131" s="39"/>
      <c r="K131" s="32"/>
      <c r="L131" s="32"/>
      <c r="M131" s="32"/>
      <c r="N131" s="32"/>
      <c r="O131" s="32"/>
      <c r="P131" s="32"/>
      <c r="Q131" s="32"/>
      <c r="R131" s="32"/>
    </row>
    <row r="132" spans="3:18" s="24" customFormat="1">
      <c r="C132" s="39"/>
      <c r="D132" s="39"/>
      <c r="E132" s="39"/>
      <c r="F132" s="39"/>
      <c r="G132" s="39"/>
      <c r="H132" s="39"/>
      <c r="I132" s="39"/>
      <c r="J132" s="39"/>
      <c r="K132" s="32"/>
      <c r="L132" s="32"/>
      <c r="M132" s="32"/>
      <c r="N132" s="32"/>
      <c r="O132" s="32"/>
      <c r="P132" s="32"/>
      <c r="Q132" s="32"/>
      <c r="R132" s="32"/>
    </row>
    <row r="133" spans="3:18" s="24" customFormat="1">
      <c r="C133" s="39"/>
      <c r="D133" s="39"/>
      <c r="E133" s="39"/>
      <c r="F133" s="39"/>
      <c r="G133" s="39"/>
      <c r="H133" s="39"/>
      <c r="I133" s="39"/>
      <c r="J133" s="39"/>
      <c r="K133" s="32"/>
      <c r="L133" s="32"/>
      <c r="M133" s="32"/>
      <c r="N133" s="32"/>
      <c r="O133" s="32"/>
      <c r="P133" s="32"/>
      <c r="Q133" s="32"/>
      <c r="R133" s="32"/>
    </row>
    <row r="134" spans="3:18" s="24" customFormat="1">
      <c r="C134" s="39"/>
      <c r="D134" s="39"/>
      <c r="E134" s="39"/>
      <c r="F134" s="39"/>
      <c r="G134" s="39"/>
      <c r="H134" s="39"/>
      <c r="I134" s="39"/>
      <c r="J134" s="39"/>
      <c r="K134" s="32"/>
      <c r="L134" s="32"/>
      <c r="M134" s="32"/>
      <c r="N134" s="32"/>
      <c r="O134" s="32"/>
      <c r="P134" s="32"/>
      <c r="Q134" s="32"/>
      <c r="R134" s="32"/>
    </row>
    <row r="135" spans="3:18" s="24" customFormat="1">
      <c r="C135" s="39"/>
      <c r="D135" s="39"/>
      <c r="E135" s="39"/>
      <c r="F135" s="39"/>
      <c r="G135" s="39"/>
      <c r="H135" s="39"/>
      <c r="I135" s="39"/>
      <c r="J135" s="39"/>
      <c r="K135" s="32"/>
      <c r="L135" s="32"/>
      <c r="M135" s="32"/>
      <c r="N135" s="32"/>
      <c r="O135" s="32"/>
      <c r="P135" s="32"/>
      <c r="Q135" s="32"/>
      <c r="R135" s="32"/>
    </row>
  </sheetData>
  <mergeCells count="63">
    <mergeCell ref="V1:V2"/>
    <mergeCell ref="W1:W2"/>
    <mergeCell ref="X1:X2"/>
    <mergeCell ref="A1:A2"/>
    <mergeCell ref="B1:B2"/>
    <mergeCell ref="BE1:BH1"/>
    <mergeCell ref="Y1:Y2"/>
    <mergeCell ref="Z1:Z2"/>
    <mergeCell ref="AA1:AA2"/>
    <mergeCell ref="AB1:AB2"/>
    <mergeCell ref="AC1:AF1"/>
    <mergeCell ref="AG1:AJ1"/>
    <mergeCell ref="AK1:AN1"/>
    <mergeCell ref="AO1:AR1"/>
    <mergeCell ref="AS1:AV1"/>
    <mergeCell ref="AW1:AZ1"/>
    <mergeCell ref="BA1:BD1"/>
    <mergeCell ref="A88:B88"/>
    <mergeCell ref="N1:N2"/>
    <mergeCell ref="M1:M2"/>
    <mergeCell ref="L1:L2"/>
    <mergeCell ref="K1:K2"/>
    <mergeCell ref="C1:C2"/>
    <mergeCell ref="D1:D2"/>
    <mergeCell ref="E1:E2"/>
    <mergeCell ref="F1:F2"/>
    <mergeCell ref="C86:C87"/>
    <mergeCell ref="I86:I87"/>
    <mergeCell ref="G1:G2"/>
    <mergeCell ref="P1:P2"/>
    <mergeCell ref="H1:H2"/>
    <mergeCell ref="J1:J2"/>
    <mergeCell ref="I1:I2"/>
    <mergeCell ref="O1:O2"/>
    <mergeCell ref="D86:D87"/>
    <mergeCell ref="E86:E87"/>
    <mergeCell ref="F86:F87"/>
    <mergeCell ref="G86:G87"/>
    <mergeCell ref="H86:H87"/>
    <mergeCell ref="V86:V87"/>
    <mergeCell ref="W86:W87"/>
    <mergeCell ref="J86:J87"/>
    <mergeCell ref="K86:K87"/>
    <mergeCell ref="L86:L87"/>
    <mergeCell ref="M86:M87"/>
    <mergeCell ref="N86:N87"/>
    <mergeCell ref="O86:O87"/>
    <mergeCell ref="T1:T2"/>
    <mergeCell ref="U1:U2"/>
    <mergeCell ref="T86:T87"/>
    <mergeCell ref="U86:U87"/>
    <mergeCell ref="P86:P87"/>
    <mergeCell ref="Q86:Q87"/>
    <mergeCell ref="R86:R87"/>
    <mergeCell ref="S86:S87"/>
    <mergeCell ref="Q1:Q2"/>
    <mergeCell ref="R1:R2"/>
    <mergeCell ref="S1:S2"/>
    <mergeCell ref="X86:X87"/>
    <mergeCell ref="Y86:Y87"/>
    <mergeCell ref="Z86:Z87"/>
    <mergeCell ref="AA86:AA87"/>
    <mergeCell ref="AB86:AB87"/>
  </mergeCells>
  <conditionalFormatting sqref="X3:X84">
    <cfRule type="colorScale" priority="116">
      <colorScale>
        <cfvo type="percentile" val="10"/>
        <cfvo type="percentile" val="50"/>
        <cfvo type="percentile" val="90"/>
        <color rgb="FFFFCCCC"/>
        <color rgb="FFFFEB84"/>
        <color theme="9" tint="0.59999389629810485"/>
      </colorScale>
    </cfRule>
  </conditionalFormatting>
  <conditionalFormatting sqref="AF3:AF84">
    <cfRule type="cellIs" dxfId="114" priority="113" operator="greaterThan">
      <formula>60%</formula>
    </cfRule>
    <cfRule type="cellIs" dxfId="113" priority="114" operator="between">
      <formula>56%</formula>
      <formula>59.99%</formula>
    </cfRule>
    <cfRule type="cellIs" dxfId="112" priority="115" operator="lessThan">
      <formula>55.99%</formula>
    </cfRule>
  </conditionalFormatting>
  <conditionalFormatting sqref="AN3:AN84 AR3:AR84 AJ3:AJ84">
    <cfRule type="cellIs" dxfId="111" priority="111" operator="greaterThan">
      <formula>0.125</formula>
    </cfRule>
    <cfRule type="cellIs" dxfId="110" priority="112" operator="lessThan">
      <formula>0.125</formula>
    </cfRule>
  </conditionalFormatting>
  <conditionalFormatting sqref="X88">
    <cfRule type="colorScale" priority="110">
      <colorScale>
        <cfvo type="percentile" val="10"/>
        <cfvo type="percentile" val="50"/>
        <cfvo type="percentile" val="90"/>
        <color rgb="FFFFCCCC"/>
        <color rgb="FFFFEB84"/>
        <color theme="9" tint="0.59999389629810485"/>
      </colorScale>
    </cfRule>
  </conditionalFormatting>
  <conditionalFormatting sqref="V88 V3:V84">
    <cfRule type="cellIs" dxfId="109" priority="106" operator="greaterThan">
      <formula>1001</formula>
    </cfRule>
    <cfRule type="cellIs" dxfId="108" priority="107" operator="between">
      <formula>501</formula>
      <formula>1000</formula>
    </cfRule>
    <cfRule type="cellIs" dxfId="107" priority="108" operator="between">
      <formula>101</formula>
      <formula>500</formula>
    </cfRule>
    <cfRule type="cellIs" dxfId="106" priority="109" operator="lessThan">
      <formula>100</formula>
    </cfRule>
  </conditionalFormatting>
  <conditionalFormatting sqref="AV3:AV84">
    <cfRule type="cellIs" dxfId="105" priority="104" operator="greaterThan">
      <formula>0.125</formula>
    </cfRule>
    <cfRule type="cellIs" dxfId="104" priority="105" operator="lessThan">
      <formula>0.125</formula>
    </cfRule>
  </conditionalFormatting>
  <conditionalFormatting sqref="AD3:AD84">
    <cfRule type="cellIs" dxfId="103" priority="100" operator="equal">
      <formula>"PN"</formula>
    </cfRule>
    <cfRule type="cellIs" dxfId="102" priority="101" operator="equal">
      <formula>"GPS"</formula>
    </cfRule>
    <cfRule type="cellIs" dxfId="101" priority="102" operator="equal">
      <formula>"PH"</formula>
    </cfRule>
  </conditionalFormatting>
  <conditionalFormatting sqref="V3:V84">
    <cfRule type="cellIs" dxfId="100" priority="99" operator="equal">
      <formula>"N/A"</formula>
    </cfRule>
  </conditionalFormatting>
  <conditionalFormatting sqref="AF3:AF84 AN3:AN84 AR3:AR84 AV3:AV84 AJ3:AJ84">
    <cfRule type="cellIs" dxfId="99" priority="98" operator="equal">
      <formula>""</formula>
    </cfRule>
  </conditionalFormatting>
  <conditionalFormatting sqref="AZ3:AZ84">
    <cfRule type="cellIs" dxfId="98" priority="74" operator="greaterThan">
      <formula>0.125</formula>
    </cfRule>
    <cfRule type="cellIs" dxfId="97" priority="75" operator="lessThan">
      <formula>0.125</formula>
    </cfRule>
  </conditionalFormatting>
  <conditionalFormatting sqref="AZ3:AZ84">
    <cfRule type="cellIs" dxfId="96" priority="72" operator="equal">
      <formula>""</formula>
    </cfRule>
  </conditionalFormatting>
  <conditionalFormatting sqref="BD3:BD84">
    <cfRule type="cellIs" dxfId="95" priority="70" operator="greaterThan">
      <formula>0.125</formula>
    </cfRule>
    <cfRule type="cellIs" dxfId="94" priority="71" operator="lessThan">
      <formula>0.125</formula>
    </cfRule>
  </conditionalFormatting>
  <conditionalFormatting sqref="BD3:BD84">
    <cfRule type="cellIs" dxfId="93" priority="68" operator="equal">
      <formula>""</formula>
    </cfRule>
  </conditionalFormatting>
  <conditionalFormatting sqref="BH3:BH84">
    <cfRule type="cellIs" dxfId="92" priority="66" operator="greaterThan">
      <formula>0.125</formula>
    </cfRule>
    <cfRule type="cellIs" dxfId="91" priority="67" operator="lessThan">
      <formula>0.125</formula>
    </cfRule>
  </conditionalFormatting>
  <conditionalFormatting sqref="BH3:BH84">
    <cfRule type="cellIs" dxfId="90" priority="64" operator="equal">
      <formula>""</formula>
    </cfRule>
  </conditionalFormatting>
  <conditionalFormatting sqref="K3:R3">
    <cfRule type="colorScale" priority="33">
      <colorScale>
        <cfvo type="min"/>
        <cfvo type="max"/>
        <color rgb="FFFF9999"/>
        <color theme="9" tint="0.39997558519241921"/>
      </colorScale>
    </cfRule>
  </conditionalFormatting>
  <conditionalFormatting sqref="U3:U84 U88">
    <cfRule type="cellIs" dxfId="89" priority="26" operator="greaterThan">
      <formula>0.4</formula>
    </cfRule>
    <cfRule type="cellIs" dxfId="88" priority="27" operator="between">
      <formula>0.3</formula>
      <formula>0.3999</formula>
    </cfRule>
    <cfRule type="cellIs" dxfId="87" priority="28" operator="between">
      <formula>0.2</formula>
      <formula>0.2999</formula>
    </cfRule>
    <cfRule type="cellIs" dxfId="86" priority="29" operator="between">
      <formula>0.1</formula>
      <formula>0.1999</formula>
    </cfRule>
    <cfRule type="cellIs" dxfId="85" priority="30" operator="lessThan">
      <formula>0.1</formula>
    </cfRule>
  </conditionalFormatting>
  <conditionalFormatting sqref="K88:R88 K4:R84">
    <cfRule type="colorScale" priority="25">
      <colorScale>
        <cfvo type="min"/>
        <cfvo type="max"/>
        <color rgb="FFFF9999"/>
        <color theme="9" tint="0.39997558519241921"/>
      </colorScale>
    </cfRule>
  </conditionalFormatting>
  <conditionalFormatting sqref="AH4:AH84">
    <cfRule type="cellIs" dxfId="84" priority="22" operator="equal">
      <formula>"PN"</formula>
    </cfRule>
    <cfRule type="cellIs" dxfId="83" priority="23" operator="equal">
      <formula>"GPS"</formula>
    </cfRule>
    <cfRule type="cellIs" dxfId="82" priority="24" operator="equal">
      <formula>"PH"</formula>
    </cfRule>
  </conditionalFormatting>
  <conditionalFormatting sqref="AH3 AL3:AL84 AP3:AP84 AT3:AT84 AX3:AX84 BB3:BB84 BF3:BF84">
    <cfRule type="cellIs" dxfId="81" priority="1" operator="equal">
      <formula>"PN"</formula>
    </cfRule>
    <cfRule type="cellIs" dxfId="80" priority="2" operator="equal">
      <formula>"GPS"</formula>
    </cfRule>
    <cfRule type="cellIs" dxfId="79" priority="3" operator="equal">
      <formula>"PH"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C0FB-C6E0-4F6E-8E16-AC354A2DC830}">
  <dimension ref="A1:Q134"/>
  <sheetViews>
    <sheetView workbookViewId="0">
      <selection activeCell="O33" sqref="O33"/>
    </sheetView>
  </sheetViews>
  <sheetFormatPr defaultRowHeight="14.25"/>
  <cols>
    <col min="1" max="1" width="5.75" style="24" customWidth="1"/>
    <col min="2" max="2" width="19.375" style="23" customWidth="1"/>
    <col min="3" max="3" width="14.125" customWidth="1"/>
    <col min="4" max="4" width="8.875" bestFit="1" customWidth="1"/>
    <col min="5" max="5" width="8.625" bestFit="1" customWidth="1"/>
    <col min="6" max="6" width="7.375" bestFit="1" customWidth="1"/>
    <col min="7" max="7" width="5.75" bestFit="1" customWidth="1"/>
    <col min="9" max="9" width="9.75" bestFit="1" customWidth="1"/>
    <col min="10" max="10" width="13.5" bestFit="1" customWidth="1"/>
    <col min="11" max="11" width="13.125" bestFit="1" customWidth="1"/>
    <col min="12" max="12" width="11.75" bestFit="1" customWidth="1"/>
    <col min="13" max="13" width="9.875" bestFit="1" customWidth="1"/>
    <col min="14" max="14" width="13" bestFit="1" customWidth="1"/>
    <col min="15" max="15" width="9.625" bestFit="1" customWidth="1"/>
  </cols>
  <sheetData>
    <row r="1" spans="1:15" s="65" customFormat="1" ht="30">
      <c r="A1" s="27" t="s">
        <v>0</v>
      </c>
      <c r="B1" s="27" t="s">
        <v>1</v>
      </c>
      <c r="C1" s="64" t="s">
        <v>334</v>
      </c>
      <c r="D1" s="64" t="s">
        <v>235</v>
      </c>
      <c r="E1" s="64" t="s">
        <v>335</v>
      </c>
      <c r="F1" s="64" t="s">
        <v>276</v>
      </c>
      <c r="G1" s="64" t="s">
        <v>336</v>
      </c>
      <c r="H1" s="64" t="s">
        <v>337</v>
      </c>
      <c r="I1" s="64" t="s">
        <v>279</v>
      </c>
      <c r="J1" s="64" t="s">
        <v>338</v>
      </c>
      <c r="K1" s="64" t="s">
        <v>339</v>
      </c>
      <c r="L1" s="64" t="s">
        <v>340</v>
      </c>
      <c r="M1" s="64" t="s">
        <v>341</v>
      </c>
      <c r="N1" s="64" t="s">
        <v>342</v>
      </c>
      <c r="O1" s="64" t="s">
        <v>343</v>
      </c>
    </row>
    <row r="2" spans="1:15" ht="15">
      <c r="A2" s="13" t="s">
        <v>5</v>
      </c>
      <c r="B2" s="14" t="s">
        <v>6</v>
      </c>
      <c r="C2" s="43">
        <f>'UMUR 2021'!W3</f>
        <v>11436</v>
      </c>
      <c r="D2" s="42">
        <f>SUM(E2:O2)</f>
        <v>11486</v>
      </c>
      <c r="E2" s="66">
        <v>453</v>
      </c>
      <c r="F2" s="66">
        <v>804</v>
      </c>
      <c r="G2" s="66">
        <v>11</v>
      </c>
      <c r="H2" s="66">
        <v>1</v>
      </c>
      <c r="I2" s="66">
        <v>32</v>
      </c>
      <c r="J2" s="66">
        <v>1159</v>
      </c>
      <c r="K2" s="66">
        <v>7968</v>
      </c>
      <c r="L2" s="66">
        <v>914</v>
      </c>
      <c r="M2" s="66">
        <v>14</v>
      </c>
      <c r="N2" s="66">
        <v>100</v>
      </c>
      <c r="O2" s="43">
        <v>30</v>
      </c>
    </row>
    <row r="3" spans="1:15" ht="15">
      <c r="A3" s="13" t="s">
        <v>8</v>
      </c>
      <c r="B3" s="14" t="s">
        <v>7</v>
      </c>
      <c r="C3" s="43">
        <f>'UMUR 2021'!W4</f>
        <v>18715</v>
      </c>
      <c r="D3" s="42">
        <f t="shared" ref="D3:D66" si="0">SUM(E3:O3)</f>
        <v>18823</v>
      </c>
      <c r="E3" s="43">
        <v>1251</v>
      </c>
      <c r="F3" s="43">
        <v>4471</v>
      </c>
      <c r="G3" s="43">
        <v>37</v>
      </c>
      <c r="H3" s="43">
        <v>3</v>
      </c>
      <c r="I3" s="43">
        <v>31</v>
      </c>
      <c r="J3" s="43">
        <v>1207</v>
      </c>
      <c r="K3" s="43">
        <v>11171</v>
      </c>
      <c r="L3" s="43">
        <v>497</v>
      </c>
      <c r="M3" s="43">
        <v>35</v>
      </c>
      <c r="N3" s="43">
        <v>50</v>
      </c>
      <c r="O3" s="43">
        <v>70</v>
      </c>
    </row>
    <row r="4" spans="1:15" ht="15">
      <c r="A4" s="13" t="s">
        <v>12</v>
      </c>
      <c r="B4" s="14" t="s">
        <v>15</v>
      </c>
      <c r="C4" s="43">
        <f>'UMUR 2021'!W5</f>
        <v>11384</v>
      </c>
      <c r="D4" s="42">
        <f t="shared" si="0"/>
        <v>11443</v>
      </c>
      <c r="E4" s="43">
        <v>6097</v>
      </c>
      <c r="F4" s="43">
        <v>1949</v>
      </c>
      <c r="G4" s="43">
        <v>5</v>
      </c>
      <c r="H4" s="43">
        <v>2</v>
      </c>
      <c r="I4" s="43">
        <v>11</v>
      </c>
      <c r="J4" s="43">
        <v>502</v>
      </c>
      <c r="K4" s="43">
        <v>994</v>
      </c>
      <c r="L4" s="43">
        <v>1765</v>
      </c>
      <c r="M4" s="43">
        <v>62</v>
      </c>
      <c r="N4" s="43">
        <v>32</v>
      </c>
      <c r="O4" s="43">
        <v>24</v>
      </c>
    </row>
    <row r="5" spans="1:15" ht="15">
      <c r="A5" s="13" t="s">
        <v>13</v>
      </c>
      <c r="B5" s="14" t="s">
        <v>16</v>
      </c>
      <c r="C5" s="43">
        <f>'UMUR 2021'!W6</f>
        <v>20506</v>
      </c>
      <c r="D5" s="42">
        <f t="shared" si="0"/>
        <v>20603</v>
      </c>
      <c r="E5" s="43">
        <v>18455</v>
      </c>
      <c r="F5" s="43">
        <v>509</v>
      </c>
      <c r="G5" s="43">
        <v>6</v>
      </c>
      <c r="H5" s="43">
        <v>3</v>
      </c>
      <c r="I5" s="43">
        <v>26</v>
      </c>
      <c r="J5" s="43">
        <v>448</v>
      </c>
      <c r="K5" s="43">
        <v>248</v>
      </c>
      <c r="L5" s="43">
        <v>559</v>
      </c>
      <c r="M5" s="43">
        <v>306</v>
      </c>
      <c r="N5" s="43">
        <v>21</v>
      </c>
      <c r="O5" s="43">
        <v>22</v>
      </c>
    </row>
    <row r="6" spans="1:15" ht="15">
      <c r="A6" s="13" t="s">
        <v>14</v>
      </c>
      <c r="B6" s="14" t="s">
        <v>17</v>
      </c>
      <c r="C6" s="43">
        <f>'UMUR 2021'!W7</f>
        <v>14813</v>
      </c>
      <c r="D6" s="42">
        <f t="shared" si="0"/>
        <v>14890</v>
      </c>
      <c r="E6" s="43">
        <v>13103</v>
      </c>
      <c r="F6" s="43">
        <v>1035</v>
      </c>
      <c r="G6" s="43">
        <v>8</v>
      </c>
      <c r="H6" s="43">
        <v>1</v>
      </c>
      <c r="I6" s="43">
        <v>16</v>
      </c>
      <c r="J6" s="43">
        <v>159</v>
      </c>
      <c r="K6" s="43">
        <v>179</v>
      </c>
      <c r="L6" s="43">
        <v>281</v>
      </c>
      <c r="M6" s="43">
        <v>86</v>
      </c>
      <c r="N6" s="43">
        <v>12</v>
      </c>
      <c r="O6" s="43">
        <v>10</v>
      </c>
    </row>
    <row r="7" spans="1:15" ht="15">
      <c r="A7" s="13" t="s">
        <v>20</v>
      </c>
      <c r="B7" s="14" t="s">
        <v>23</v>
      </c>
      <c r="C7" s="43">
        <f>'UMUR 2021'!W8</f>
        <v>26004</v>
      </c>
      <c r="D7" s="42">
        <f t="shared" si="0"/>
        <v>26113</v>
      </c>
      <c r="E7" s="43">
        <v>17076</v>
      </c>
      <c r="F7" s="43">
        <v>4494</v>
      </c>
      <c r="G7" s="43">
        <v>199</v>
      </c>
      <c r="H7" s="43">
        <v>1</v>
      </c>
      <c r="I7" s="43">
        <v>89</v>
      </c>
      <c r="J7" s="43">
        <v>625</v>
      </c>
      <c r="K7" s="43">
        <v>1273</v>
      </c>
      <c r="L7" s="43">
        <v>1622</v>
      </c>
      <c r="M7" s="43">
        <v>613</v>
      </c>
      <c r="N7" s="43">
        <v>74</v>
      </c>
      <c r="O7" s="43">
        <v>47</v>
      </c>
    </row>
    <row r="8" spans="1:15" ht="15">
      <c r="A8" s="13" t="s">
        <v>21</v>
      </c>
      <c r="B8" s="14" t="s">
        <v>24</v>
      </c>
      <c r="C8" s="43">
        <f>'UMUR 2021'!W9</f>
        <v>21363</v>
      </c>
      <c r="D8" s="42">
        <f t="shared" si="0"/>
        <v>21459</v>
      </c>
      <c r="E8" s="43">
        <v>18899</v>
      </c>
      <c r="F8" s="43">
        <v>308</v>
      </c>
      <c r="G8" s="43">
        <v>28</v>
      </c>
      <c r="H8" s="43"/>
      <c r="I8" s="43">
        <v>44</v>
      </c>
      <c r="J8" s="43">
        <v>322</v>
      </c>
      <c r="K8" s="43">
        <v>310</v>
      </c>
      <c r="L8" s="43">
        <v>1026</v>
      </c>
      <c r="M8" s="43">
        <v>461</v>
      </c>
      <c r="N8" s="43">
        <v>35</v>
      </c>
      <c r="O8" s="43">
        <v>26</v>
      </c>
    </row>
    <row r="9" spans="1:15" ht="15">
      <c r="A9" s="13" t="s">
        <v>22</v>
      </c>
      <c r="B9" s="14" t="s">
        <v>25</v>
      </c>
      <c r="C9" s="43">
        <f>'UMUR 2021'!W10</f>
        <v>14314</v>
      </c>
      <c r="D9" s="42">
        <f t="shared" si="0"/>
        <v>14392</v>
      </c>
      <c r="E9" s="43">
        <v>9874</v>
      </c>
      <c r="F9" s="43">
        <v>2950</v>
      </c>
      <c r="G9" s="43">
        <v>106</v>
      </c>
      <c r="H9" s="43">
        <v>3</v>
      </c>
      <c r="I9" s="43">
        <v>39</v>
      </c>
      <c r="J9" s="43">
        <v>364</v>
      </c>
      <c r="K9" s="43">
        <v>295</v>
      </c>
      <c r="L9" s="43">
        <v>493</v>
      </c>
      <c r="M9" s="43">
        <v>173</v>
      </c>
      <c r="N9" s="43">
        <v>26</v>
      </c>
      <c r="O9" s="43">
        <v>69</v>
      </c>
    </row>
    <row r="10" spans="1:15" ht="15">
      <c r="A10" s="13" t="s">
        <v>28</v>
      </c>
      <c r="B10" s="14" t="s">
        <v>31</v>
      </c>
      <c r="C10" s="43">
        <f>'UMUR 2021'!W11</f>
        <v>20949</v>
      </c>
      <c r="D10" s="42">
        <f t="shared" si="0"/>
        <v>21100</v>
      </c>
      <c r="E10" s="43">
        <v>927</v>
      </c>
      <c r="F10" s="43">
        <v>19390</v>
      </c>
      <c r="G10" s="43">
        <v>115</v>
      </c>
      <c r="H10" s="43"/>
      <c r="I10" s="43">
        <v>37</v>
      </c>
      <c r="J10" s="43">
        <v>84</v>
      </c>
      <c r="K10" s="43">
        <v>203</v>
      </c>
      <c r="L10" s="43">
        <v>243</v>
      </c>
      <c r="M10" s="43">
        <v>38</v>
      </c>
      <c r="N10" s="43">
        <v>25</v>
      </c>
      <c r="O10" s="43">
        <v>38</v>
      </c>
    </row>
    <row r="11" spans="1:15" ht="15">
      <c r="A11" s="13" t="s">
        <v>29</v>
      </c>
      <c r="B11" s="14" t="s">
        <v>32</v>
      </c>
      <c r="C11" s="43">
        <f>'UMUR 2021'!W12</f>
        <v>29747</v>
      </c>
      <c r="D11" s="42">
        <f t="shared" si="0"/>
        <v>29923</v>
      </c>
      <c r="E11" s="43">
        <v>1516</v>
      </c>
      <c r="F11" s="43">
        <v>26648</v>
      </c>
      <c r="G11" s="43">
        <v>76</v>
      </c>
      <c r="H11" s="43">
        <v>2</v>
      </c>
      <c r="I11" s="43">
        <v>62</v>
      </c>
      <c r="J11" s="43">
        <v>200</v>
      </c>
      <c r="K11" s="43">
        <v>475</v>
      </c>
      <c r="L11" s="43">
        <v>794</v>
      </c>
      <c r="M11" s="43">
        <v>39</v>
      </c>
      <c r="N11" s="43">
        <v>25</v>
      </c>
      <c r="O11" s="43">
        <v>86</v>
      </c>
    </row>
    <row r="12" spans="1:15" ht="15">
      <c r="A12" s="13" t="s">
        <v>30</v>
      </c>
      <c r="B12" s="14" t="s">
        <v>33</v>
      </c>
      <c r="C12" s="43">
        <f>'UMUR 2021'!W13</f>
        <v>29694</v>
      </c>
      <c r="D12" s="42">
        <f t="shared" si="0"/>
        <v>29808</v>
      </c>
      <c r="E12" s="43">
        <v>921</v>
      </c>
      <c r="F12" s="43">
        <v>25295</v>
      </c>
      <c r="G12" s="43">
        <v>344</v>
      </c>
      <c r="H12" s="43">
        <v>1</v>
      </c>
      <c r="I12" s="43">
        <v>95</v>
      </c>
      <c r="J12" s="43">
        <v>365</v>
      </c>
      <c r="K12" s="43">
        <v>809</v>
      </c>
      <c r="L12" s="43">
        <v>1706</v>
      </c>
      <c r="M12" s="43">
        <v>131</v>
      </c>
      <c r="N12" s="43">
        <v>97</v>
      </c>
      <c r="O12" s="43">
        <v>44</v>
      </c>
    </row>
    <row r="13" spans="1:15" ht="15">
      <c r="A13" s="13" t="s">
        <v>36</v>
      </c>
      <c r="B13" s="14" t="s">
        <v>39</v>
      </c>
      <c r="C13" s="43">
        <f>'UMUR 2021'!W14</f>
        <v>28392</v>
      </c>
      <c r="D13" s="42">
        <f t="shared" si="0"/>
        <v>28507</v>
      </c>
      <c r="E13" s="43">
        <v>3223</v>
      </c>
      <c r="F13" s="43">
        <v>20796</v>
      </c>
      <c r="G13" s="43">
        <v>165</v>
      </c>
      <c r="H13" s="43">
        <v>5</v>
      </c>
      <c r="I13" s="43">
        <v>69</v>
      </c>
      <c r="J13" s="43">
        <v>500</v>
      </c>
      <c r="K13" s="43">
        <v>1118</v>
      </c>
      <c r="L13" s="43">
        <v>2346</v>
      </c>
      <c r="M13" s="43">
        <v>125</v>
      </c>
      <c r="N13" s="43">
        <v>102</v>
      </c>
      <c r="O13" s="43">
        <v>58</v>
      </c>
    </row>
    <row r="14" spans="1:15" ht="15">
      <c r="A14" s="13" t="s">
        <v>37</v>
      </c>
      <c r="B14" s="14" t="s">
        <v>40</v>
      </c>
      <c r="C14" s="43">
        <f>'UMUR 2021'!W15</f>
        <v>20820</v>
      </c>
      <c r="D14" s="42">
        <f t="shared" si="0"/>
        <v>20902</v>
      </c>
      <c r="E14" s="43">
        <v>4566</v>
      </c>
      <c r="F14" s="43">
        <v>11563</v>
      </c>
      <c r="G14" s="43">
        <v>102</v>
      </c>
      <c r="H14" s="43">
        <v>2</v>
      </c>
      <c r="I14" s="43">
        <v>30</v>
      </c>
      <c r="J14" s="43">
        <v>497</v>
      </c>
      <c r="K14" s="43">
        <v>2934</v>
      </c>
      <c r="L14" s="43">
        <v>1017</v>
      </c>
      <c r="M14" s="43">
        <v>88</v>
      </c>
      <c r="N14" s="43">
        <v>69</v>
      </c>
      <c r="O14" s="43">
        <v>34</v>
      </c>
    </row>
    <row r="15" spans="1:15" ht="15">
      <c r="A15" s="13" t="s">
        <v>38</v>
      </c>
      <c r="B15" s="14" t="s">
        <v>41</v>
      </c>
      <c r="C15" s="43">
        <f>'UMUR 2021'!W16</f>
        <v>20681</v>
      </c>
      <c r="D15" s="42">
        <f t="shared" si="0"/>
        <v>20765</v>
      </c>
      <c r="E15" s="43">
        <v>3614</v>
      </c>
      <c r="F15" s="43">
        <v>11947</v>
      </c>
      <c r="G15" s="43">
        <v>241</v>
      </c>
      <c r="H15" s="43">
        <v>9</v>
      </c>
      <c r="I15" s="43">
        <v>50</v>
      </c>
      <c r="J15" s="43">
        <v>550</v>
      </c>
      <c r="K15" s="43">
        <v>1596</v>
      </c>
      <c r="L15" s="43">
        <v>2475</v>
      </c>
      <c r="M15" s="43">
        <v>109</v>
      </c>
      <c r="N15" s="43">
        <v>94</v>
      </c>
      <c r="O15" s="43">
        <v>80</v>
      </c>
    </row>
    <row r="16" spans="1:15" ht="15">
      <c r="A16" s="13" t="s">
        <v>44</v>
      </c>
      <c r="B16" s="14" t="s">
        <v>47</v>
      </c>
      <c r="C16" s="43">
        <f>'UMUR 2021'!W17</f>
        <v>12349</v>
      </c>
      <c r="D16" s="42">
        <f t="shared" si="0"/>
        <v>12419</v>
      </c>
      <c r="E16" s="43">
        <v>9981</v>
      </c>
      <c r="F16" s="43">
        <v>1181</v>
      </c>
      <c r="G16" s="43">
        <v>6</v>
      </c>
      <c r="H16" s="43">
        <v>1</v>
      </c>
      <c r="I16" s="43">
        <v>10</v>
      </c>
      <c r="J16" s="43">
        <v>215</v>
      </c>
      <c r="K16" s="43">
        <v>57</v>
      </c>
      <c r="L16" s="43">
        <v>920</v>
      </c>
      <c r="M16" s="43">
        <v>32</v>
      </c>
      <c r="N16" s="43">
        <v>7</v>
      </c>
      <c r="O16" s="43">
        <v>9</v>
      </c>
    </row>
    <row r="17" spans="1:15" ht="15">
      <c r="A17" s="13" t="s">
        <v>45</v>
      </c>
      <c r="B17" s="14" t="s">
        <v>48</v>
      </c>
      <c r="C17" s="43">
        <f>'UMUR 2021'!W18</f>
        <v>18644</v>
      </c>
      <c r="D17" s="42">
        <f t="shared" si="0"/>
        <v>19539</v>
      </c>
      <c r="E17" s="43">
        <v>13005</v>
      </c>
      <c r="F17" s="43">
        <v>1090</v>
      </c>
      <c r="G17" s="43">
        <v>17</v>
      </c>
      <c r="H17" s="43">
        <v>3</v>
      </c>
      <c r="I17" s="43">
        <v>40</v>
      </c>
      <c r="J17" s="43">
        <v>487</v>
      </c>
      <c r="K17" s="43">
        <v>987</v>
      </c>
      <c r="L17" s="43">
        <v>2934</v>
      </c>
      <c r="M17" s="43">
        <v>888</v>
      </c>
      <c r="N17" s="43">
        <v>51</v>
      </c>
      <c r="O17" s="43">
        <v>37</v>
      </c>
    </row>
    <row r="18" spans="1:15" ht="15">
      <c r="A18" s="13" t="s">
        <v>46</v>
      </c>
      <c r="B18" s="14" t="s">
        <v>49</v>
      </c>
      <c r="C18" s="43">
        <f>'UMUR 2021'!W19</f>
        <v>16992</v>
      </c>
      <c r="D18" s="42">
        <f t="shared" si="0"/>
        <v>17047</v>
      </c>
      <c r="E18" s="43">
        <v>6524</v>
      </c>
      <c r="F18" s="43">
        <v>3187</v>
      </c>
      <c r="G18" s="43">
        <v>114</v>
      </c>
      <c r="H18" s="43">
        <v>21</v>
      </c>
      <c r="I18" s="43">
        <v>71</v>
      </c>
      <c r="J18" s="43">
        <v>873</v>
      </c>
      <c r="K18" s="43">
        <v>2561</v>
      </c>
      <c r="L18" s="43">
        <v>3176</v>
      </c>
      <c r="M18" s="43">
        <v>153</v>
      </c>
      <c r="N18" s="43">
        <v>95</v>
      </c>
      <c r="O18" s="43">
        <v>272</v>
      </c>
    </row>
    <row r="19" spans="1:15" ht="15">
      <c r="A19" s="13" t="s">
        <v>52</v>
      </c>
      <c r="B19" s="14" t="s">
        <v>55</v>
      </c>
      <c r="C19" s="43">
        <f>'UMUR 2021'!W20</f>
        <v>9834</v>
      </c>
      <c r="D19" s="42">
        <f t="shared" si="0"/>
        <v>9890</v>
      </c>
      <c r="E19" s="43">
        <v>488</v>
      </c>
      <c r="F19" s="43">
        <v>2030</v>
      </c>
      <c r="G19" s="43">
        <v>16</v>
      </c>
      <c r="H19" s="43">
        <v>7</v>
      </c>
      <c r="I19" s="43">
        <v>20</v>
      </c>
      <c r="J19" s="43">
        <v>631</v>
      </c>
      <c r="K19" s="43">
        <v>6432</v>
      </c>
      <c r="L19" s="43">
        <v>207</v>
      </c>
      <c r="M19" s="43">
        <v>14</v>
      </c>
      <c r="N19" s="43">
        <v>31</v>
      </c>
      <c r="O19" s="43">
        <v>14</v>
      </c>
    </row>
    <row r="20" spans="1:15" ht="15">
      <c r="A20" s="13" t="s">
        <v>53</v>
      </c>
      <c r="B20" s="14" t="s">
        <v>56</v>
      </c>
      <c r="C20" s="43">
        <f>'UMUR 2021'!W21</f>
        <v>19315</v>
      </c>
      <c r="D20" s="42">
        <f t="shared" si="0"/>
        <v>19416</v>
      </c>
      <c r="E20" s="43">
        <v>852</v>
      </c>
      <c r="F20" s="43">
        <v>4779</v>
      </c>
      <c r="G20" s="43">
        <v>58</v>
      </c>
      <c r="H20" s="43">
        <v>7</v>
      </c>
      <c r="I20" s="43">
        <v>62</v>
      </c>
      <c r="J20" s="43">
        <v>1118</v>
      </c>
      <c r="K20" s="43">
        <v>11286</v>
      </c>
      <c r="L20" s="43">
        <v>1025</v>
      </c>
      <c r="M20" s="43">
        <v>53</v>
      </c>
      <c r="N20" s="43">
        <v>93</v>
      </c>
      <c r="O20" s="43">
        <v>83</v>
      </c>
    </row>
    <row r="21" spans="1:15" ht="15">
      <c r="A21" s="13" t="s">
        <v>54</v>
      </c>
      <c r="B21" s="14" t="s">
        <v>57</v>
      </c>
      <c r="C21" s="43">
        <f>'UMUR 2021'!W22</f>
        <v>17717</v>
      </c>
      <c r="D21" s="42">
        <f t="shared" si="0"/>
        <v>17824</v>
      </c>
      <c r="E21" s="43">
        <v>1020</v>
      </c>
      <c r="F21" s="43">
        <v>5119</v>
      </c>
      <c r="G21" s="43">
        <v>17</v>
      </c>
      <c r="H21" s="43">
        <v>47</v>
      </c>
      <c r="I21" s="43">
        <v>39</v>
      </c>
      <c r="J21" s="43">
        <v>1069</v>
      </c>
      <c r="K21" s="43">
        <v>9862</v>
      </c>
      <c r="L21" s="43">
        <v>560</v>
      </c>
      <c r="M21" s="43">
        <v>19</v>
      </c>
      <c r="N21" s="43">
        <v>36</v>
      </c>
      <c r="O21" s="43">
        <v>36</v>
      </c>
    </row>
    <row r="22" spans="1:15" ht="15">
      <c r="A22" s="13" t="s">
        <v>60</v>
      </c>
      <c r="B22" s="14" t="s">
        <v>63</v>
      </c>
      <c r="C22" s="43">
        <f>'UMUR 2021'!W23</f>
        <v>12040</v>
      </c>
      <c r="D22" s="42">
        <f t="shared" si="0"/>
        <v>12118</v>
      </c>
      <c r="E22" s="43">
        <v>173</v>
      </c>
      <c r="F22" s="43">
        <v>175</v>
      </c>
      <c r="G22" s="43">
        <v>5</v>
      </c>
      <c r="H22" s="43">
        <v>66</v>
      </c>
      <c r="I22" s="43">
        <v>19</v>
      </c>
      <c r="J22" s="43">
        <v>1314</v>
      </c>
      <c r="K22" s="43">
        <v>10035</v>
      </c>
      <c r="L22" s="43">
        <v>257</v>
      </c>
      <c r="M22" s="43">
        <v>13</v>
      </c>
      <c r="N22" s="43">
        <v>40</v>
      </c>
      <c r="O22" s="43">
        <v>21</v>
      </c>
    </row>
    <row r="23" spans="1:15" ht="15">
      <c r="A23" s="13" t="s">
        <v>61</v>
      </c>
      <c r="B23" s="14" t="s">
        <v>64</v>
      </c>
      <c r="C23" s="43">
        <f>'UMUR 2021'!W24</f>
        <v>11202</v>
      </c>
      <c r="D23" s="42">
        <f t="shared" si="0"/>
        <v>11288</v>
      </c>
      <c r="E23" s="43">
        <v>105</v>
      </c>
      <c r="F23" s="43">
        <v>732</v>
      </c>
      <c r="G23" s="43">
        <v>5</v>
      </c>
      <c r="H23" s="43">
        <v>62</v>
      </c>
      <c r="I23" s="43">
        <v>27</v>
      </c>
      <c r="J23" s="43">
        <v>711</v>
      </c>
      <c r="K23" s="43">
        <v>7911</v>
      </c>
      <c r="L23" s="43">
        <v>1692</v>
      </c>
      <c r="M23" s="43">
        <v>4</v>
      </c>
      <c r="N23" s="43">
        <v>19</v>
      </c>
      <c r="O23" s="43">
        <v>20</v>
      </c>
    </row>
    <row r="24" spans="1:15" ht="15">
      <c r="A24" s="13" t="s">
        <v>62</v>
      </c>
      <c r="B24" s="14" t="s">
        <v>65</v>
      </c>
      <c r="C24" s="43">
        <f>'UMUR 2021'!W25</f>
        <v>14893</v>
      </c>
      <c r="D24" s="42">
        <f t="shared" si="0"/>
        <v>14979</v>
      </c>
      <c r="E24" s="43">
        <v>2742</v>
      </c>
      <c r="F24" s="43">
        <v>2861</v>
      </c>
      <c r="G24" s="43">
        <v>40</v>
      </c>
      <c r="H24" s="43">
        <v>90</v>
      </c>
      <c r="I24" s="43">
        <v>25</v>
      </c>
      <c r="J24" s="43">
        <v>1027</v>
      </c>
      <c r="K24" s="43">
        <v>6158</v>
      </c>
      <c r="L24" s="43">
        <v>1923</v>
      </c>
      <c r="M24" s="43">
        <v>29</v>
      </c>
      <c r="N24" s="43">
        <v>41</v>
      </c>
      <c r="O24" s="43">
        <v>43</v>
      </c>
    </row>
    <row r="25" spans="1:15" ht="15">
      <c r="A25" s="13" t="s">
        <v>68</v>
      </c>
      <c r="B25" s="14" t="s">
        <v>71</v>
      </c>
      <c r="C25" s="43">
        <f>'UMUR 2021'!W26</f>
        <v>7653</v>
      </c>
      <c r="D25" s="42">
        <f t="shared" si="0"/>
        <v>7697</v>
      </c>
      <c r="E25" s="43">
        <v>6914</v>
      </c>
      <c r="F25" s="43">
        <v>586</v>
      </c>
      <c r="G25" s="43">
        <v>2</v>
      </c>
      <c r="H25" s="43"/>
      <c r="I25" s="43">
        <v>6</v>
      </c>
      <c r="J25" s="43">
        <v>63</v>
      </c>
      <c r="K25" s="43">
        <v>37</v>
      </c>
      <c r="L25" s="43">
        <v>51</v>
      </c>
      <c r="M25" s="43">
        <v>22</v>
      </c>
      <c r="N25" s="43">
        <v>10</v>
      </c>
      <c r="O25" s="43">
        <v>6</v>
      </c>
    </row>
    <row r="26" spans="1:15" ht="15">
      <c r="A26" s="13" t="s">
        <v>69</v>
      </c>
      <c r="B26" s="14" t="s">
        <v>72</v>
      </c>
      <c r="C26" s="43">
        <f>'UMUR 2021'!W27</f>
        <v>8299</v>
      </c>
      <c r="D26" s="42">
        <f t="shared" si="0"/>
        <v>8364</v>
      </c>
      <c r="E26" s="43">
        <v>5320</v>
      </c>
      <c r="F26" s="43">
        <v>483</v>
      </c>
      <c r="G26" s="43">
        <v>7</v>
      </c>
      <c r="H26" s="43">
        <v>1</v>
      </c>
      <c r="I26" s="43">
        <v>25</v>
      </c>
      <c r="J26" s="43">
        <v>338</v>
      </c>
      <c r="K26" s="43">
        <v>56</v>
      </c>
      <c r="L26" s="43">
        <v>2074</v>
      </c>
      <c r="M26" s="43">
        <v>32</v>
      </c>
      <c r="N26" s="43">
        <v>9</v>
      </c>
      <c r="O26" s="43">
        <v>19</v>
      </c>
    </row>
    <row r="27" spans="1:15" ht="15">
      <c r="A27" s="13" t="s">
        <v>70</v>
      </c>
      <c r="B27" s="14" t="s">
        <v>73</v>
      </c>
      <c r="C27" s="43">
        <f>'UMUR 2021'!W28</f>
        <v>7208</v>
      </c>
      <c r="D27" s="42">
        <f t="shared" si="0"/>
        <v>7247</v>
      </c>
      <c r="E27" s="43">
        <v>4449</v>
      </c>
      <c r="F27" s="43">
        <v>78</v>
      </c>
      <c r="G27" s="43">
        <v>2</v>
      </c>
      <c r="H27" s="43">
        <v>10</v>
      </c>
      <c r="I27" s="43">
        <v>25</v>
      </c>
      <c r="J27" s="43">
        <v>389</v>
      </c>
      <c r="K27" s="43">
        <v>62</v>
      </c>
      <c r="L27" s="43">
        <v>2194</v>
      </c>
      <c r="M27" s="43">
        <v>21</v>
      </c>
      <c r="N27" s="43">
        <v>7</v>
      </c>
      <c r="O27" s="43">
        <v>10</v>
      </c>
    </row>
    <row r="28" spans="1:15" ht="15">
      <c r="A28" s="13" t="s">
        <v>76</v>
      </c>
      <c r="B28" s="14" t="s">
        <v>79</v>
      </c>
      <c r="C28" s="43">
        <f>'UMUR 2021'!W29</f>
        <v>9367</v>
      </c>
      <c r="D28" s="42">
        <f t="shared" si="0"/>
        <v>9415</v>
      </c>
      <c r="E28" s="43">
        <v>6085</v>
      </c>
      <c r="F28" s="43">
        <v>267</v>
      </c>
      <c r="G28" s="43">
        <v>2</v>
      </c>
      <c r="H28" s="43">
        <v>2</v>
      </c>
      <c r="I28" s="43">
        <v>11</v>
      </c>
      <c r="J28" s="43">
        <v>323</v>
      </c>
      <c r="K28" s="43">
        <v>42</v>
      </c>
      <c r="L28" s="43">
        <v>2629</v>
      </c>
      <c r="M28" s="43">
        <v>28</v>
      </c>
      <c r="N28" s="43">
        <v>11</v>
      </c>
      <c r="O28" s="43">
        <v>15</v>
      </c>
    </row>
    <row r="29" spans="1:15" ht="15">
      <c r="A29" s="13" t="s">
        <v>77</v>
      </c>
      <c r="B29" s="14" t="s">
        <v>80</v>
      </c>
      <c r="C29" s="43">
        <f>'UMUR 2021'!W30</f>
        <v>9578</v>
      </c>
      <c r="D29" s="42">
        <f t="shared" si="0"/>
        <v>9667</v>
      </c>
      <c r="E29" s="43">
        <v>6155</v>
      </c>
      <c r="F29" s="43">
        <v>388</v>
      </c>
      <c r="G29" s="43">
        <v>3</v>
      </c>
      <c r="H29" s="43">
        <v>1</v>
      </c>
      <c r="I29" s="43">
        <v>8</v>
      </c>
      <c r="J29" s="43">
        <v>534</v>
      </c>
      <c r="K29" s="43">
        <v>35</v>
      </c>
      <c r="L29" s="43">
        <v>2472</v>
      </c>
      <c r="M29" s="43">
        <v>50</v>
      </c>
      <c r="N29" s="43">
        <v>12</v>
      </c>
      <c r="O29" s="43">
        <v>9</v>
      </c>
    </row>
    <row r="30" spans="1:15" ht="15">
      <c r="A30" s="13" t="s">
        <v>78</v>
      </c>
      <c r="B30" s="14" t="s">
        <v>81</v>
      </c>
      <c r="C30" s="43">
        <f>'UMUR 2021'!W31</f>
        <v>11094</v>
      </c>
      <c r="D30" s="42">
        <f t="shared" si="0"/>
        <v>11187</v>
      </c>
      <c r="E30" s="43">
        <v>10046</v>
      </c>
      <c r="F30" s="43">
        <v>165</v>
      </c>
      <c r="G30" s="43">
        <v>2</v>
      </c>
      <c r="H30" s="43">
        <v>2</v>
      </c>
      <c r="I30" s="43">
        <v>5</v>
      </c>
      <c r="J30" s="43">
        <v>200</v>
      </c>
      <c r="K30" s="43">
        <v>8</v>
      </c>
      <c r="L30" s="43">
        <v>698</v>
      </c>
      <c r="M30" s="43">
        <v>51</v>
      </c>
      <c r="N30" s="43">
        <v>3</v>
      </c>
      <c r="O30" s="43">
        <v>7</v>
      </c>
    </row>
    <row r="31" spans="1:15" ht="15">
      <c r="A31" s="13" t="s">
        <v>84</v>
      </c>
      <c r="B31" s="14" t="s">
        <v>87</v>
      </c>
      <c r="C31" s="43">
        <f>'UMUR 2021'!W32</f>
        <v>10791</v>
      </c>
      <c r="D31" s="42">
        <f t="shared" si="0"/>
        <v>10869</v>
      </c>
      <c r="E31" s="43">
        <v>518</v>
      </c>
      <c r="F31" s="43">
        <v>709</v>
      </c>
      <c r="G31" s="43">
        <v>3</v>
      </c>
      <c r="H31" s="43">
        <v>29</v>
      </c>
      <c r="I31" s="43">
        <v>31</v>
      </c>
      <c r="J31" s="43">
        <v>1375</v>
      </c>
      <c r="K31" s="43">
        <v>193</v>
      </c>
      <c r="L31" s="43">
        <v>7954</v>
      </c>
      <c r="M31" s="43">
        <v>10</v>
      </c>
      <c r="N31" s="43">
        <v>28</v>
      </c>
      <c r="O31" s="43">
        <v>19</v>
      </c>
    </row>
    <row r="32" spans="1:15" ht="15">
      <c r="A32" s="13" t="s">
        <v>85</v>
      </c>
      <c r="B32" s="14" t="s">
        <v>88</v>
      </c>
      <c r="C32" s="43">
        <f>'UMUR 2021'!W33</f>
        <v>9632</v>
      </c>
      <c r="D32" s="42">
        <f t="shared" si="0"/>
        <v>9721</v>
      </c>
      <c r="E32" s="43">
        <v>1517</v>
      </c>
      <c r="F32" s="43">
        <v>530</v>
      </c>
      <c r="G32" s="43">
        <v>1</v>
      </c>
      <c r="H32" s="43">
        <v>6</v>
      </c>
      <c r="I32" s="43">
        <v>17</v>
      </c>
      <c r="J32" s="43">
        <v>1216</v>
      </c>
      <c r="K32" s="43">
        <v>80</v>
      </c>
      <c r="L32" s="43">
        <v>6284</v>
      </c>
      <c r="M32" s="43">
        <v>24</v>
      </c>
      <c r="N32" s="43">
        <v>21</v>
      </c>
      <c r="O32" s="43">
        <v>25</v>
      </c>
    </row>
    <row r="33" spans="1:15" ht="15">
      <c r="A33" s="13" t="s">
        <v>86</v>
      </c>
      <c r="B33" s="14" t="s">
        <v>89</v>
      </c>
      <c r="C33" s="43">
        <f>'UMUR 2021'!W34</f>
        <v>13224</v>
      </c>
      <c r="D33" s="42">
        <f t="shared" si="0"/>
        <v>13318</v>
      </c>
      <c r="E33" s="43">
        <v>1518</v>
      </c>
      <c r="F33" s="43">
        <v>4234</v>
      </c>
      <c r="G33" s="43">
        <v>11</v>
      </c>
      <c r="H33" s="43">
        <v>3</v>
      </c>
      <c r="I33" s="43">
        <v>20</v>
      </c>
      <c r="J33" s="43">
        <v>1096</v>
      </c>
      <c r="K33" s="43">
        <v>127</v>
      </c>
      <c r="L33" s="43">
        <v>6220</v>
      </c>
      <c r="M33" s="43">
        <v>37</v>
      </c>
      <c r="N33" s="43">
        <v>20</v>
      </c>
      <c r="O33" s="43">
        <v>32</v>
      </c>
    </row>
    <row r="34" spans="1:15" ht="15">
      <c r="A34" s="13" t="s">
        <v>92</v>
      </c>
      <c r="B34" s="14" t="s">
        <v>94</v>
      </c>
      <c r="C34" s="43">
        <f>'UMUR 2021'!W35</f>
        <v>11039</v>
      </c>
      <c r="D34" s="42">
        <f t="shared" si="0"/>
        <v>11140</v>
      </c>
      <c r="E34" s="43">
        <v>207</v>
      </c>
      <c r="F34" s="43">
        <v>1266</v>
      </c>
      <c r="G34" s="43">
        <v>2</v>
      </c>
      <c r="H34" s="43">
        <v>2</v>
      </c>
      <c r="I34" s="43">
        <v>17</v>
      </c>
      <c r="J34" s="43">
        <v>1898</v>
      </c>
      <c r="K34" s="43">
        <v>46</v>
      </c>
      <c r="L34" s="43">
        <v>7638</v>
      </c>
      <c r="M34" s="43">
        <v>12</v>
      </c>
      <c r="N34" s="43">
        <v>24</v>
      </c>
      <c r="O34" s="43">
        <v>28</v>
      </c>
    </row>
    <row r="35" spans="1:15" ht="15">
      <c r="A35" s="13" t="s">
        <v>93</v>
      </c>
      <c r="B35" s="14" t="s">
        <v>95</v>
      </c>
      <c r="C35" s="43">
        <f>'UMUR 2021'!W36</f>
        <v>9929</v>
      </c>
      <c r="D35" s="42">
        <f t="shared" si="0"/>
        <v>10009</v>
      </c>
      <c r="E35" s="43">
        <v>152</v>
      </c>
      <c r="F35" s="43">
        <v>340</v>
      </c>
      <c r="G35" s="43">
        <v>3</v>
      </c>
      <c r="H35" s="43">
        <v>1</v>
      </c>
      <c r="I35" s="43">
        <v>11</v>
      </c>
      <c r="J35" s="43">
        <v>2103</v>
      </c>
      <c r="K35" s="43">
        <v>38</v>
      </c>
      <c r="L35" s="43">
        <v>7314</v>
      </c>
      <c r="M35" s="43">
        <v>8</v>
      </c>
      <c r="N35" s="43">
        <v>12</v>
      </c>
      <c r="O35" s="43">
        <v>27</v>
      </c>
    </row>
    <row r="36" spans="1:15" ht="15">
      <c r="A36" s="13" t="s">
        <v>98</v>
      </c>
      <c r="B36" s="14" t="s">
        <v>101</v>
      </c>
      <c r="C36" s="43">
        <f>'UMUR 2021'!W37</f>
        <v>10984</v>
      </c>
      <c r="D36" s="42">
        <f t="shared" si="0"/>
        <v>11068</v>
      </c>
      <c r="E36" s="43">
        <v>8936</v>
      </c>
      <c r="F36" s="43">
        <v>333</v>
      </c>
      <c r="G36" s="43">
        <v>5</v>
      </c>
      <c r="H36" s="43">
        <v>5</v>
      </c>
      <c r="I36" s="43">
        <v>15</v>
      </c>
      <c r="J36" s="43">
        <v>215</v>
      </c>
      <c r="K36" s="43">
        <v>20</v>
      </c>
      <c r="L36" s="43">
        <v>1464</v>
      </c>
      <c r="M36" s="43">
        <v>62</v>
      </c>
      <c r="N36" s="43">
        <v>4</v>
      </c>
      <c r="O36" s="43">
        <v>9</v>
      </c>
    </row>
    <row r="37" spans="1:15" ht="15">
      <c r="A37" s="13" t="s">
        <v>99</v>
      </c>
      <c r="B37" s="14" t="s">
        <v>102</v>
      </c>
      <c r="C37" s="43">
        <f>'UMUR 2021'!W38</f>
        <v>9334</v>
      </c>
      <c r="D37" s="42">
        <f t="shared" si="0"/>
        <v>9383</v>
      </c>
      <c r="E37" s="43">
        <v>1392</v>
      </c>
      <c r="F37" s="43">
        <v>1152</v>
      </c>
      <c r="G37" s="43">
        <v>9</v>
      </c>
      <c r="H37" s="43"/>
      <c r="I37" s="43">
        <v>16</v>
      </c>
      <c r="J37" s="43">
        <v>1415</v>
      </c>
      <c r="K37" s="43">
        <v>72</v>
      </c>
      <c r="L37" s="43">
        <v>5260</v>
      </c>
      <c r="M37" s="43">
        <v>19</v>
      </c>
      <c r="N37" s="43">
        <v>22</v>
      </c>
      <c r="O37" s="43">
        <v>26</v>
      </c>
    </row>
    <row r="38" spans="1:15" ht="15">
      <c r="A38" s="13" t="s">
        <v>100</v>
      </c>
      <c r="B38" s="14" t="s">
        <v>103</v>
      </c>
      <c r="C38" s="43">
        <f>'UMUR 2021'!W39</f>
        <v>9523</v>
      </c>
      <c r="D38" s="42">
        <f t="shared" si="0"/>
        <v>9592</v>
      </c>
      <c r="E38" s="43">
        <v>2687</v>
      </c>
      <c r="F38" s="43">
        <v>419</v>
      </c>
      <c r="G38" s="43">
        <v>3</v>
      </c>
      <c r="H38" s="43">
        <v>2</v>
      </c>
      <c r="I38" s="43">
        <v>11</v>
      </c>
      <c r="J38" s="43">
        <v>1160</v>
      </c>
      <c r="K38" s="43">
        <v>50</v>
      </c>
      <c r="L38" s="43">
        <v>5214</v>
      </c>
      <c r="M38" s="43">
        <v>20</v>
      </c>
      <c r="N38" s="43">
        <v>18</v>
      </c>
      <c r="O38" s="43">
        <v>8</v>
      </c>
    </row>
    <row r="39" spans="1:15" ht="15">
      <c r="A39" s="13" t="s">
        <v>106</v>
      </c>
      <c r="B39" s="14" t="s">
        <v>109</v>
      </c>
      <c r="C39" s="43">
        <f>'UMUR 2021'!W40</f>
        <v>8052</v>
      </c>
      <c r="D39" s="42">
        <f t="shared" si="0"/>
        <v>8101</v>
      </c>
      <c r="E39" s="43">
        <v>4798</v>
      </c>
      <c r="F39" s="43">
        <v>893</v>
      </c>
      <c r="G39" s="43">
        <v>2</v>
      </c>
      <c r="H39" s="43">
        <v>2</v>
      </c>
      <c r="I39" s="43">
        <v>6</v>
      </c>
      <c r="J39" s="43">
        <v>402</v>
      </c>
      <c r="K39" s="43">
        <v>19</v>
      </c>
      <c r="L39" s="43">
        <v>1894</v>
      </c>
      <c r="M39" s="43">
        <v>58</v>
      </c>
      <c r="N39" s="43">
        <v>11</v>
      </c>
      <c r="O39" s="43">
        <v>16</v>
      </c>
    </row>
    <row r="40" spans="1:15" ht="15">
      <c r="A40" s="13" t="s">
        <v>107</v>
      </c>
      <c r="B40" s="14" t="s">
        <v>110</v>
      </c>
      <c r="C40" s="43">
        <f>'UMUR 2021'!W41</f>
        <v>13074</v>
      </c>
      <c r="D40" s="42">
        <f t="shared" si="0"/>
        <v>13191</v>
      </c>
      <c r="E40" s="43">
        <v>157</v>
      </c>
      <c r="F40" s="43">
        <v>481</v>
      </c>
      <c r="G40" s="43">
        <v>5</v>
      </c>
      <c r="H40" s="43">
        <v>1</v>
      </c>
      <c r="I40" s="43">
        <v>24</v>
      </c>
      <c r="J40" s="43">
        <v>1720</v>
      </c>
      <c r="K40" s="43">
        <v>77</v>
      </c>
      <c r="L40" s="43">
        <v>10666</v>
      </c>
      <c r="M40" s="43">
        <v>17</v>
      </c>
      <c r="N40" s="43">
        <v>29</v>
      </c>
      <c r="O40" s="43">
        <v>14</v>
      </c>
    </row>
    <row r="41" spans="1:15" ht="15">
      <c r="A41" s="13" t="s">
        <v>108</v>
      </c>
      <c r="B41" s="14" t="s">
        <v>111</v>
      </c>
      <c r="C41" s="43">
        <f>'UMUR 2021'!W42</f>
        <v>10111</v>
      </c>
      <c r="D41" s="42">
        <f t="shared" si="0"/>
        <v>10166</v>
      </c>
      <c r="E41" s="43">
        <v>6647</v>
      </c>
      <c r="F41" s="43">
        <v>590</v>
      </c>
      <c r="G41" s="43">
        <v>1</v>
      </c>
      <c r="H41" s="43">
        <v>2</v>
      </c>
      <c r="I41" s="43">
        <v>7</v>
      </c>
      <c r="J41" s="43">
        <v>545</v>
      </c>
      <c r="K41" s="43">
        <v>26</v>
      </c>
      <c r="L41" s="43">
        <v>2251</v>
      </c>
      <c r="M41" s="43">
        <v>75</v>
      </c>
      <c r="N41" s="43">
        <v>15</v>
      </c>
      <c r="O41" s="43">
        <v>7</v>
      </c>
    </row>
    <row r="42" spans="1:15" ht="15">
      <c r="A42" s="13" t="s">
        <v>114</v>
      </c>
      <c r="B42" s="14" t="s">
        <v>116</v>
      </c>
      <c r="C42" s="43">
        <f>'UMUR 2021'!W43</f>
        <v>11428</v>
      </c>
      <c r="D42" s="42">
        <f t="shared" si="0"/>
        <v>11508</v>
      </c>
      <c r="E42" s="43">
        <v>3482</v>
      </c>
      <c r="F42" s="43">
        <v>628</v>
      </c>
      <c r="G42" s="43">
        <v>6</v>
      </c>
      <c r="H42" s="43">
        <v>2</v>
      </c>
      <c r="I42" s="43">
        <v>54</v>
      </c>
      <c r="J42" s="43">
        <v>1399</v>
      </c>
      <c r="K42" s="43">
        <v>22</v>
      </c>
      <c r="L42" s="43">
        <v>2481</v>
      </c>
      <c r="M42" s="43">
        <v>3386</v>
      </c>
      <c r="N42" s="43">
        <v>14</v>
      </c>
      <c r="O42" s="43">
        <v>34</v>
      </c>
    </row>
    <row r="43" spans="1:15" ht="15">
      <c r="A43" s="13" t="s">
        <v>115</v>
      </c>
      <c r="B43" s="14" t="s">
        <v>117</v>
      </c>
      <c r="C43" s="43">
        <f>'UMUR 2021'!W44</f>
        <v>10297</v>
      </c>
      <c r="D43" s="42">
        <f t="shared" si="0"/>
        <v>10377</v>
      </c>
      <c r="E43" s="43">
        <v>2541</v>
      </c>
      <c r="F43" s="43">
        <v>421</v>
      </c>
      <c r="G43" s="43"/>
      <c r="H43" s="43">
        <v>2</v>
      </c>
      <c r="I43" s="43">
        <v>49</v>
      </c>
      <c r="J43" s="43">
        <v>853</v>
      </c>
      <c r="K43" s="43">
        <v>14</v>
      </c>
      <c r="L43" s="43">
        <v>1668</v>
      </c>
      <c r="M43" s="43">
        <v>4793</v>
      </c>
      <c r="N43" s="43">
        <v>15</v>
      </c>
      <c r="O43" s="43">
        <v>21</v>
      </c>
    </row>
    <row r="44" spans="1:15" ht="15">
      <c r="A44" s="13" t="s">
        <v>120</v>
      </c>
      <c r="B44" s="14" t="s">
        <v>122</v>
      </c>
      <c r="C44" s="43">
        <f>'UMUR 2021'!W45</f>
        <v>9195</v>
      </c>
      <c r="D44" s="42">
        <f t="shared" si="0"/>
        <v>9260</v>
      </c>
      <c r="E44" s="43">
        <v>793</v>
      </c>
      <c r="F44" s="43">
        <v>307</v>
      </c>
      <c r="G44" s="43">
        <v>6</v>
      </c>
      <c r="H44" s="43"/>
      <c r="I44" s="43">
        <v>18</v>
      </c>
      <c r="J44" s="43">
        <v>1276</v>
      </c>
      <c r="K44" s="43">
        <v>29</v>
      </c>
      <c r="L44" s="43">
        <v>2150</v>
      </c>
      <c r="M44" s="43">
        <v>4629</v>
      </c>
      <c r="N44" s="43">
        <v>14</v>
      </c>
      <c r="O44" s="43">
        <v>38</v>
      </c>
    </row>
    <row r="45" spans="1:15" ht="15">
      <c r="A45" s="13" t="s">
        <v>121</v>
      </c>
      <c r="B45" s="14" t="s">
        <v>123</v>
      </c>
      <c r="C45" s="43">
        <f>'UMUR 2021'!W46</f>
        <v>9963</v>
      </c>
      <c r="D45" s="42">
        <f t="shared" si="0"/>
        <v>10035</v>
      </c>
      <c r="E45" s="43">
        <v>600</v>
      </c>
      <c r="F45" s="43">
        <v>390</v>
      </c>
      <c r="G45" s="43">
        <v>2</v>
      </c>
      <c r="H45" s="43">
        <v>2</v>
      </c>
      <c r="I45" s="43">
        <v>24</v>
      </c>
      <c r="J45" s="43">
        <v>1286</v>
      </c>
      <c r="K45" s="43">
        <v>11</v>
      </c>
      <c r="L45" s="43">
        <v>448</v>
      </c>
      <c r="M45" s="43">
        <v>7228</v>
      </c>
      <c r="N45" s="43">
        <v>13</v>
      </c>
      <c r="O45" s="43">
        <v>31</v>
      </c>
    </row>
    <row r="46" spans="1:15" ht="15">
      <c r="A46" s="13" t="s">
        <v>126</v>
      </c>
      <c r="B46" s="14" t="s">
        <v>128</v>
      </c>
      <c r="C46" s="43">
        <f>'UMUR 2021'!W47</f>
        <v>23541</v>
      </c>
      <c r="D46" s="42">
        <f t="shared" si="0"/>
        <v>23664</v>
      </c>
      <c r="E46" s="43">
        <v>1266</v>
      </c>
      <c r="F46" s="43">
        <v>16012</v>
      </c>
      <c r="G46" s="43">
        <v>7</v>
      </c>
      <c r="H46" s="43">
        <v>4</v>
      </c>
      <c r="I46" s="43">
        <v>46</v>
      </c>
      <c r="J46" s="43">
        <v>1162</v>
      </c>
      <c r="K46" s="43">
        <v>92</v>
      </c>
      <c r="L46" s="43">
        <v>4502</v>
      </c>
      <c r="M46" s="43">
        <v>483</v>
      </c>
      <c r="N46" s="43">
        <v>55</v>
      </c>
      <c r="O46" s="43">
        <v>35</v>
      </c>
    </row>
    <row r="47" spans="1:15" ht="15">
      <c r="A47" s="13" t="s">
        <v>127</v>
      </c>
      <c r="B47" s="14" t="s">
        <v>129</v>
      </c>
      <c r="C47" s="43">
        <f>'UMUR 2021'!W48</f>
        <v>18156</v>
      </c>
      <c r="D47" s="42">
        <f t="shared" si="0"/>
        <v>18253</v>
      </c>
      <c r="E47" s="43">
        <v>692</v>
      </c>
      <c r="F47" s="43">
        <v>9153</v>
      </c>
      <c r="G47" s="43">
        <v>4</v>
      </c>
      <c r="H47" s="43"/>
      <c r="I47" s="43">
        <v>20</v>
      </c>
      <c r="J47" s="43">
        <v>1792</v>
      </c>
      <c r="K47" s="43">
        <v>65</v>
      </c>
      <c r="L47" s="43">
        <v>6347</v>
      </c>
      <c r="M47" s="43">
        <v>84</v>
      </c>
      <c r="N47" s="43">
        <v>67</v>
      </c>
      <c r="O47" s="43">
        <v>29</v>
      </c>
    </row>
    <row r="48" spans="1:15" ht="15">
      <c r="A48" s="13" t="s">
        <v>132</v>
      </c>
      <c r="B48" s="14" t="s">
        <v>134</v>
      </c>
      <c r="C48" s="43">
        <f>'UMUR 2021'!W49</f>
        <v>11154</v>
      </c>
      <c r="D48" s="42">
        <f t="shared" si="0"/>
        <v>11222</v>
      </c>
      <c r="E48" s="43">
        <v>81</v>
      </c>
      <c r="F48" s="43">
        <v>665</v>
      </c>
      <c r="G48" s="43">
        <v>4</v>
      </c>
      <c r="H48" s="43">
        <v>1</v>
      </c>
      <c r="I48" s="43">
        <v>17</v>
      </c>
      <c r="J48" s="43">
        <v>1189</v>
      </c>
      <c r="K48" s="43">
        <v>55</v>
      </c>
      <c r="L48" s="43">
        <v>9139</v>
      </c>
      <c r="M48" s="43">
        <v>16</v>
      </c>
      <c r="N48" s="43">
        <v>43</v>
      </c>
      <c r="O48" s="43">
        <v>12</v>
      </c>
    </row>
    <row r="49" spans="1:15" ht="15">
      <c r="A49" s="13" t="s">
        <v>133</v>
      </c>
      <c r="B49" s="14" t="s">
        <v>135</v>
      </c>
      <c r="C49" s="43">
        <f>'UMUR 2021'!W50</f>
        <v>14671</v>
      </c>
      <c r="D49" s="42">
        <f t="shared" si="0"/>
        <v>14764</v>
      </c>
      <c r="E49" s="43">
        <v>86</v>
      </c>
      <c r="F49" s="43">
        <v>505</v>
      </c>
      <c r="G49" s="43">
        <v>2</v>
      </c>
      <c r="H49" s="43">
        <v>3</v>
      </c>
      <c r="I49" s="43">
        <v>12</v>
      </c>
      <c r="J49" s="43">
        <v>2003</v>
      </c>
      <c r="K49" s="43">
        <v>73</v>
      </c>
      <c r="L49" s="43">
        <v>11985</v>
      </c>
      <c r="M49" s="43">
        <v>28</v>
      </c>
      <c r="N49" s="43">
        <v>41</v>
      </c>
      <c r="O49" s="43">
        <v>26</v>
      </c>
    </row>
    <row r="50" spans="1:15" ht="15">
      <c r="A50" s="13" t="s">
        <v>138</v>
      </c>
      <c r="B50" s="14" t="s">
        <v>140</v>
      </c>
      <c r="C50" s="43">
        <f>'UMUR 2021'!W51</f>
        <v>9853</v>
      </c>
      <c r="D50" s="42">
        <f t="shared" si="0"/>
        <v>9960</v>
      </c>
      <c r="E50" s="43">
        <v>33</v>
      </c>
      <c r="F50" s="43">
        <v>636</v>
      </c>
      <c r="G50" s="43">
        <v>2</v>
      </c>
      <c r="H50" s="43">
        <v>2</v>
      </c>
      <c r="I50" s="43">
        <v>10</v>
      </c>
      <c r="J50" s="43">
        <v>1537</v>
      </c>
      <c r="K50" s="43">
        <v>23</v>
      </c>
      <c r="L50" s="43">
        <v>7646</v>
      </c>
      <c r="M50" s="43">
        <v>33</v>
      </c>
      <c r="N50" s="43">
        <v>30</v>
      </c>
      <c r="O50" s="43">
        <v>8</v>
      </c>
    </row>
    <row r="51" spans="1:15" ht="15">
      <c r="A51" s="13" t="s">
        <v>139</v>
      </c>
      <c r="B51" s="14" t="s">
        <v>141</v>
      </c>
      <c r="C51" s="43">
        <f>'UMUR 2021'!W52</f>
        <v>11763</v>
      </c>
      <c r="D51" s="42">
        <f t="shared" si="0"/>
        <v>11869</v>
      </c>
      <c r="E51" s="43">
        <v>369</v>
      </c>
      <c r="F51" s="43">
        <v>1854</v>
      </c>
      <c r="G51" s="43">
        <v>2</v>
      </c>
      <c r="H51" s="43">
        <v>3</v>
      </c>
      <c r="I51" s="43">
        <v>19</v>
      </c>
      <c r="J51" s="43">
        <v>1666</v>
      </c>
      <c r="K51" s="43">
        <v>60</v>
      </c>
      <c r="L51" s="43">
        <v>7665</v>
      </c>
      <c r="M51" s="43">
        <v>162</v>
      </c>
      <c r="N51" s="43">
        <v>52</v>
      </c>
      <c r="O51" s="43">
        <v>17</v>
      </c>
    </row>
    <row r="52" spans="1:15" ht="15">
      <c r="A52" s="13" t="s">
        <v>144</v>
      </c>
      <c r="B52" s="14" t="s">
        <v>146</v>
      </c>
      <c r="C52" s="43">
        <f>'UMUR 2021'!W53</f>
        <v>27636</v>
      </c>
      <c r="D52" s="42">
        <f t="shared" si="0"/>
        <v>27825</v>
      </c>
      <c r="E52" s="43">
        <v>615</v>
      </c>
      <c r="F52" s="43">
        <v>24474</v>
      </c>
      <c r="G52" s="43">
        <v>12</v>
      </c>
      <c r="H52" s="43">
        <v>2</v>
      </c>
      <c r="I52" s="43">
        <v>20</v>
      </c>
      <c r="J52" s="43">
        <v>502</v>
      </c>
      <c r="K52" s="43">
        <v>30</v>
      </c>
      <c r="L52" s="43">
        <v>1368</v>
      </c>
      <c r="M52" s="43">
        <v>754</v>
      </c>
      <c r="N52" s="43">
        <v>37</v>
      </c>
      <c r="O52" s="43">
        <v>11</v>
      </c>
    </row>
    <row r="53" spans="1:15" ht="15">
      <c r="A53" s="13" t="s">
        <v>145</v>
      </c>
      <c r="B53" s="14" t="s">
        <v>147</v>
      </c>
      <c r="C53" s="43">
        <f>'UMUR 2021'!W54</f>
        <v>34955</v>
      </c>
      <c r="D53" s="42">
        <f t="shared" si="0"/>
        <v>35153</v>
      </c>
      <c r="E53" s="43">
        <v>2084</v>
      </c>
      <c r="F53" s="43">
        <v>17811</v>
      </c>
      <c r="G53" s="43">
        <v>21</v>
      </c>
      <c r="H53" s="43">
        <v>6</v>
      </c>
      <c r="I53" s="43">
        <v>51</v>
      </c>
      <c r="J53" s="43">
        <v>2832</v>
      </c>
      <c r="K53" s="43">
        <v>229</v>
      </c>
      <c r="L53" s="43">
        <v>10496</v>
      </c>
      <c r="M53" s="43">
        <v>1177</v>
      </c>
      <c r="N53" s="43">
        <v>211</v>
      </c>
      <c r="O53" s="43">
        <v>235</v>
      </c>
    </row>
    <row r="54" spans="1:15" ht="15">
      <c r="A54" s="13" t="s">
        <v>150</v>
      </c>
      <c r="B54" s="14" t="s">
        <v>153</v>
      </c>
      <c r="C54" s="43">
        <f>'UMUR 2021'!W55</f>
        <v>19650</v>
      </c>
      <c r="D54" s="42">
        <f t="shared" si="0"/>
        <v>19802</v>
      </c>
      <c r="E54" s="43">
        <v>347</v>
      </c>
      <c r="F54" s="43">
        <v>9533</v>
      </c>
      <c r="G54" s="43">
        <v>4</v>
      </c>
      <c r="H54" s="43">
        <v>2</v>
      </c>
      <c r="I54" s="43">
        <v>26</v>
      </c>
      <c r="J54" s="43">
        <v>1048</v>
      </c>
      <c r="K54" s="43">
        <v>69</v>
      </c>
      <c r="L54" s="43">
        <v>7827</v>
      </c>
      <c r="M54" s="43">
        <v>833</v>
      </c>
      <c r="N54" s="43">
        <v>89</v>
      </c>
      <c r="O54" s="43">
        <v>24</v>
      </c>
    </row>
    <row r="55" spans="1:15" ht="15">
      <c r="A55" s="13" t="s">
        <v>151</v>
      </c>
      <c r="B55" s="14" t="s">
        <v>154</v>
      </c>
      <c r="C55" s="43">
        <f>'UMUR 2021'!W56</f>
        <v>34466</v>
      </c>
      <c r="D55" s="42">
        <f t="shared" si="0"/>
        <v>34598</v>
      </c>
      <c r="E55" s="43">
        <v>866</v>
      </c>
      <c r="F55" s="43">
        <v>31618</v>
      </c>
      <c r="G55" s="43">
        <v>32</v>
      </c>
      <c r="H55" s="43">
        <v>6</v>
      </c>
      <c r="I55" s="43">
        <v>24</v>
      </c>
      <c r="J55" s="43">
        <v>277</v>
      </c>
      <c r="K55" s="43">
        <v>78</v>
      </c>
      <c r="L55" s="43">
        <v>951</v>
      </c>
      <c r="M55" s="43">
        <v>596</v>
      </c>
      <c r="N55" s="43">
        <v>70</v>
      </c>
      <c r="O55" s="43">
        <v>80</v>
      </c>
    </row>
    <row r="56" spans="1:15" ht="15">
      <c r="A56" s="13" t="s">
        <v>152</v>
      </c>
      <c r="B56" s="14" t="s">
        <v>155</v>
      </c>
      <c r="C56" s="43">
        <f>'UMUR 2021'!W57</f>
        <v>23092</v>
      </c>
      <c r="D56" s="42">
        <f t="shared" si="0"/>
        <v>23258</v>
      </c>
      <c r="E56" s="43">
        <v>8155</v>
      </c>
      <c r="F56" s="43">
        <v>5473</v>
      </c>
      <c r="G56" s="43">
        <v>58</v>
      </c>
      <c r="H56" s="43">
        <v>18</v>
      </c>
      <c r="I56" s="43">
        <v>80</v>
      </c>
      <c r="J56" s="43">
        <v>1171</v>
      </c>
      <c r="K56" s="43">
        <v>191</v>
      </c>
      <c r="L56" s="43">
        <v>4530</v>
      </c>
      <c r="M56" s="43">
        <v>3238</v>
      </c>
      <c r="N56" s="43">
        <v>134</v>
      </c>
      <c r="O56" s="43">
        <v>210</v>
      </c>
    </row>
    <row r="57" spans="1:15" ht="15">
      <c r="A57" s="13" t="s">
        <v>158</v>
      </c>
      <c r="B57" s="14" t="s">
        <v>161</v>
      </c>
      <c r="C57" s="43">
        <f>'UMUR 2021'!W58</f>
        <v>12503</v>
      </c>
      <c r="D57" s="42">
        <f t="shared" si="0"/>
        <v>12559</v>
      </c>
      <c r="E57" s="43">
        <v>396</v>
      </c>
      <c r="F57" s="43">
        <v>968</v>
      </c>
      <c r="G57" s="43">
        <v>1</v>
      </c>
      <c r="H57" s="43">
        <v>1</v>
      </c>
      <c r="I57" s="43">
        <v>17</v>
      </c>
      <c r="J57" s="43">
        <v>1729</v>
      </c>
      <c r="K57" s="43">
        <v>12</v>
      </c>
      <c r="L57" s="43">
        <v>180</v>
      </c>
      <c r="M57" s="43">
        <v>9166</v>
      </c>
      <c r="N57" s="43">
        <v>43</v>
      </c>
      <c r="O57" s="43">
        <v>46</v>
      </c>
    </row>
    <row r="58" spans="1:15" ht="15">
      <c r="A58" s="13" t="s">
        <v>159</v>
      </c>
      <c r="B58" s="14" t="s">
        <v>162</v>
      </c>
      <c r="C58" s="43">
        <f>'UMUR 2021'!W59</f>
        <v>10059</v>
      </c>
      <c r="D58" s="42">
        <f t="shared" si="0"/>
        <v>10132</v>
      </c>
      <c r="E58" s="43">
        <v>424</v>
      </c>
      <c r="F58" s="43">
        <v>1308</v>
      </c>
      <c r="G58" s="43">
        <v>10</v>
      </c>
      <c r="H58" s="43">
        <v>1</v>
      </c>
      <c r="I58" s="43">
        <v>24</v>
      </c>
      <c r="J58" s="43">
        <v>1286</v>
      </c>
      <c r="K58" s="43">
        <v>23</v>
      </c>
      <c r="L58" s="43">
        <v>2480</v>
      </c>
      <c r="M58" s="43">
        <v>4500</v>
      </c>
      <c r="N58" s="43">
        <v>33</v>
      </c>
      <c r="O58" s="43">
        <v>43</v>
      </c>
    </row>
    <row r="59" spans="1:15" ht="15">
      <c r="A59" s="13" t="s">
        <v>160</v>
      </c>
      <c r="B59" s="14" t="s">
        <v>163</v>
      </c>
      <c r="C59" s="43">
        <f>'UMUR 2021'!W60</f>
        <v>8704</v>
      </c>
      <c r="D59" s="42">
        <f t="shared" si="0"/>
        <v>8749</v>
      </c>
      <c r="E59" s="43">
        <v>261</v>
      </c>
      <c r="F59" s="43">
        <v>562</v>
      </c>
      <c r="G59" s="43"/>
      <c r="H59" s="43">
        <v>1</v>
      </c>
      <c r="I59" s="43">
        <v>37</v>
      </c>
      <c r="J59" s="43">
        <v>1368</v>
      </c>
      <c r="K59" s="43">
        <v>11</v>
      </c>
      <c r="L59" s="43">
        <v>2163</v>
      </c>
      <c r="M59" s="43">
        <v>4304</v>
      </c>
      <c r="N59" s="43">
        <v>16</v>
      </c>
      <c r="O59" s="43">
        <v>26</v>
      </c>
    </row>
    <row r="60" spans="1:15" ht="15">
      <c r="A60" s="13" t="s">
        <v>166</v>
      </c>
      <c r="B60" s="14" t="s">
        <v>168</v>
      </c>
      <c r="C60" s="43">
        <f>'UMUR 2021'!W61</f>
        <v>16681</v>
      </c>
      <c r="D60" s="42">
        <f t="shared" si="0"/>
        <v>16774</v>
      </c>
      <c r="E60" s="43">
        <v>85</v>
      </c>
      <c r="F60" s="43">
        <v>443</v>
      </c>
      <c r="G60" s="43">
        <v>2</v>
      </c>
      <c r="H60" s="43">
        <v>2</v>
      </c>
      <c r="I60" s="43">
        <v>21</v>
      </c>
      <c r="J60" s="43">
        <v>1898</v>
      </c>
      <c r="K60" s="43">
        <v>58</v>
      </c>
      <c r="L60" s="43">
        <v>14044</v>
      </c>
      <c r="M60" s="43">
        <v>88</v>
      </c>
      <c r="N60" s="43">
        <v>108</v>
      </c>
      <c r="O60" s="43">
        <v>25</v>
      </c>
    </row>
    <row r="61" spans="1:15" ht="15">
      <c r="A61" s="13" t="s">
        <v>167</v>
      </c>
      <c r="B61" s="14" t="s">
        <v>169</v>
      </c>
      <c r="C61" s="43">
        <f>'UMUR 2021'!W62</f>
        <v>14416</v>
      </c>
      <c r="D61" s="42">
        <f t="shared" si="0"/>
        <v>14525</v>
      </c>
      <c r="E61" s="43">
        <v>267</v>
      </c>
      <c r="F61" s="43">
        <v>608</v>
      </c>
      <c r="G61" s="43">
        <v>1</v>
      </c>
      <c r="H61" s="43">
        <v>1</v>
      </c>
      <c r="I61" s="43">
        <v>93</v>
      </c>
      <c r="J61" s="43">
        <v>2055</v>
      </c>
      <c r="K61" s="43">
        <v>48</v>
      </c>
      <c r="L61" s="43">
        <v>10264</v>
      </c>
      <c r="M61" s="43">
        <v>318</v>
      </c>
      <c r="N61" s="43">
        <v>845</v>
      </c>
      <c r="O61" s="43">
        <v>25</v>
      </c>
    </row>
    <row r="62" spans="1:15" ht="15">
      <c r="A62" s="13" t="s">
        <v>172</v>
      </c>
      <c r="B62" s="14" t="s">
        <v>175</v>
      </c>
      <c r="C62" s="43">
        <f>'UMUR 2021'!W63</f>
        <v>7894</v>
      </c>
      <c r="D62" s="42">
        <f t="shared" si="0"/>
        <v>7947</v>
      </c>
      <c r="E62" s="43">
        <v>24</v>
      </c>
      <c r="F62" s="43">
        <v>44</v>
      </c>
      <c r="G62" s="43">
        <v>1</v>
      </c>
      <c r="H62" s="43">
        <v>1</v>
      </c>
      <c r="I62" s="43">
        <v>10</v>
      </c>
      <c r="J62" s="43">
        <v>1609</v>
      </c>
      <c r="K62" s="43">
        <v>11</v>
      </c>
      <c r="L62" s="43">
        <v>6149</v>
      </c>
      <c r="M62" s="43">
        <v>26</v>
      </c>
      <c r="N62" s="43">
        <v>68</v>
      </c>
      <c r="O62" s="43">
        <v>4</v>
      </c>
    </row>
    <row r="63" spans="1:15" ht="15">
      <c r="A63" s="13" t="s">
        <v>173</v>
      </c>
      <c r="B63" s="14" t="s">
        <v>176</v>
      </c>
      <c r="C63" s="43">
        <f>'UMUR 2021'!W64</f>
        <v>10530</v>
      </c>
      <c r="D63" s="42">
        <f t="shared" si="0"/>
        <v>10614</v>
      </c>
      <c r="E63" s="43">
        <v>323</v>
      </c>
      <c r="F63" s="43">
        <v>493</v>
      </c>
      <c r="G63" s="43">
        <v>9</v>
      </c>
      <c r="H63" s="43">
        <v>1</v>
      </c>
      <c r="I63" s="43">
        <v>16</v>
      </c>
      <c r="J63" s="43">
        <v>1788</v>
      </c>
      <c r="K63" s="43">
        <v>29</v>
      </c>
      <c r="L63" s="43">
        <v>7834</v>
      </c>
      <c r="M63" s="43">
        <v>50</v>
      </c>
      <c r="N63" s="43">
        <v>49</v>
      </c>
      <c r="O63" s="43">
        <v>22</v>
      </c>
    </row>
    <row r="64" spans="1:15" ht="15">
      <c r="A64" s="13" t="s">
        <v>174</v>
      </c>
      <c r="B64" s="14" t="s">
        <v>177</v>
      </c>
      <c r="C64" s="43">
        <f>'UMUR 2021'!W65</f>
        <v>12150</v>
      </c>
      <c r="D64" s="42">
        <f t="shared" si="0"/>
        <v>12227</v>
      </c>
      <c r="E64" s="43">
        <v>543</v>
      </c>
      <c r="F64" s="43">
        <v>2242</v>
      </c>
      <c r="G64" s="43">
        <v>8</v>
      </c>
      <c r="H64" s="43">
        <v>4</v>
      </c>
      <c r="I64" s="43">
        <v>17</v>
      </c>
      <c r="J64" s="43">
        <v>2019</v>
      </c>
      <c r="K64" s="43">
        <v>30</v>
      </c>
      <c r="L64" s="43">
        <v>7050</v>
      </c>
      <c r="M64" s="43">
        <v>129</v>
      </c>
      <c r="N64" s="43">
        <v>158</v>
      </c>
      <c r="O64" s="43">
        <v>27</v>
      </c>
    </row>
    <row r="65" spans="1:15" ht="15">
      <c r="A65" s="13" t="s">
        <v>180</v>
      </c>
      <c r="B65" s="14" t="s">
        <v>183</v>
      </c>
      <c r="C65" s="43">
        <f>'UMUR 2021'!W66</f>
        <v>10137</v>
      </c>
      <c r="D65" s="42">
        <f t="shared" si="0"/>
        <v>10226</v>
      </c>
      <c r="E65" s="43">
        <v>17</v>
      </c>
      <c r="F65" s="43">
        <v>49</v>
      </c>
      <c r="G65" s="43"/>
      <c r="H65" s="43">
        <v>1</v>
      </c>
      <c r="I65" s="43">
        <v>15</v>
      </c>
      <c r="J65" s="43">
        <v>1991</v>
      </c>
      <c r="K65" s="43">
        <v>9</v>
      </c>
      <c r="L65" s="43">
        <v>8025</v>
      </c>
      <c r="M65" s="43">
        <v>11</v>
      </c>
      <c r="N65" s="43">
        <v>94</v>
      </c>
      <c r="O65" s="43">
        <v>14</v>
      </c>
    </row>
    <row r="66" spans="1:15" ht="15">
      <c r="A66" s="13" t="s">
        <v>181</v>
      </c>
      <c r="B66" s="14" t="s">
        <v>184</v>
      </c>
      <c r="C66" s="43">
        <f>'UMUR 2021'!W67</f>
        <v>8003</v>
      </c>
      <c r="D66" s="42">
        <f t="shared" si="0"/>
        <v>8043</v>
      </c>
      <c r="E66" s="43">
        <v>271</v>
      </c>
      <c r="F66" s="43">
        <v>259</v>
      </c>
      <c r="G66" s="43">
        <v>4</v>
      </c>
      <c r="H66" s="43">
        <v>24</v>
      </c>
      <c r="I66" s="43">
        <v>33</v>
      </c>
      <c r="J66" s="43">
        <v>1628</v>
      </c>
      <c r="K66" s="43">
        <v>21</v>
      </c>
      <c r="L66" s="43">
        <v>1616</v>
      </c>
      <c r="M66" s="43">
        <v>26</v>
      </c>
      <c r="N66" s="43">
        <v>4118</v>
      </c>
      <c r="O66" s="43">
        <v>43</v>
      </c>
    </row>
    <row r="67" spans="1:15" ht="15">
      <c r="A67" s="13" t="s">
        <v>182</v>
      </c>
      <c r="B67" s="14" t="s">
        <v>185</v>
      </c>
      <c r="C67" s="43">
        <f>'UMUR 2021'!W68</f>
        <v>9738</v>
      </c>
      <c r="D67" s="42">
        <f t="shared" ref="D67:D83" si="1">SUM(E67:O67)</f>
        <v>9769</v>
      </c>
      <c r="E67" s="43">
        <v>37</v>
      </c>
      <c r="F67" s="43">
        <v>150</v>
      </c>
      <c r="G67" s="43">
        <v>3</v>
      </c>
      <c r="H67" s="43">
        <v>37</v>
      </c>
      <c r="I67" s="43">
        <v>19</v>
      </c>
      <c r="J67" s="43">
        <v>1297</v>
      </c>
      <c r="K67" s="43">
        <v>36</v>
      </c>
      <c r="L67" s="43">
        <v>1793</v>
      </c>
      <c r="M67" s="43">
        <v>45</v>
      </c>
      <c r="N67" s="43">
        <v>6335</v>
      </c>
      <c r="O67" s="43">
        <v>17</v>
      </c>
    </row>
    <row r="68" spans="1:15" ht="15">
      <c r="A68" s="13" t="s">
        <v>188</v>
      </c>
      <c r="B68" s="14" t="s">
        <v>192</v>
      </c>
      <c r="C68" s="43">
        <f>'UMUR 2021'!W69</f>
        <v>14643</v>
      </c>
      <c r="D68" s="42">
        <f t="shared" si="1"/>
        <v>14718</v>
      </c>
      <c r="E68" s="43">
        <v>3165</v>
      </c>
      <c r="F68" s="43">
        <v>951</v>
      </c>
      <c r="G68" s="43">
        <v>14</v>
      </c>
      <c r="H68" s="43">
        <v>2</v>
      </c>
      <c r="I68" s="43">
        <v>34</v>
      </c>
      <c r="J68" s="43">
        <v>1118</v>
      </c>
      <c r="K68" s="43">
        <v>75</v>
      </c>
      <c r="L68" s="43">
        <v>4151</v>
      </c>
      <c r="M68" s="43">
        <v>4915</v>
      </c>
      <c r="N68" s="43">
        <v>232</v>
      </c>
      <c r="O68" s="43">
        <v>61</v>
      </c>
    </row>
    <row r="69" spans="1:15" ht="15">
      <c r="A69" s="13" t="s">
        <v>189</v>
      </c>
      <c r="B69" s="14" t="s">
        <v>193</v>
      </c>
      <c r="C69" s="43">
        <f>'UMUR 2021'!W70</f>
        <v>22743</v>
      </c>
      <c r="D69" s="42">
        <f t="shared" si="1"/>
        <v>22809</v>
      </c>
      <c r="E69" s="43">
        <v>1739</v>
      </c>
      <c r="F69" s="43">
        <v>16006</v>
      </c>
      <c r="G69" s="43">
        <v>32</v>
      </c>
      <c r="H69" s="43">
        <v>3</v>
      </c>
      <c r="I69" s="43">
        <v>37</v>
      </c>
      <c r="J69" s="43">
        <v>1073</v>
      </c>
      <c r="K69" s="43">
        <v>191</v>
      </c>
      <c r="L69" s="43">
        <v>2306</v>
      </c>
      <c r="M69" s="43">
        <v>874</v>
      </c>
      <c r="N69" s="43">
        <v>432</v>
      </c>
      <c r="O69" s="43">
        <v>116</v>
      </c>
    </row>
    <row r="70" spans="1:15" ht="15">
      <c r="A70" s="13" t="s">
        <v>190</v>
      </c>
      <c r="B70" s="14" t="s">
        <v>194</v>
      </c>
      <c r="C70" s="43">
        <f>'UMUR 2021'!W71</f>
        <v>14252</v>
      </c>
      <c r="D70" s="42">
        <f t="shared" si="1"/>
        <v>14368</v>
      </c>
      <c r="E70" s="43">
        <v>296</v>
      </c>
      <c r="F70" s="43">
        <v>553</v>
      </c>
      <c r="G70" s="43">
        <v>2</v>
      </c>
      <c r="H70" s="43"/>
      <c r="I70" s="43">
        <v>15</v>
      </c>
      <c r="J70" s="43">
        <v>2202</v>
      </c>
      <c r="K70" s="43">
        <v>49</v>
      </c>
      <c r="L70" s="43">
        <v>10209</v>
      </c>
      <c r="M70" s="43">
        <v>591</v>
      </c>
      <c r="N70" s="43">
        <v>426</v>
      </c>
      <c r="O70" s="43">
        <v>25</v>
      </c>
    </row>
    <row r="71" spans="1:15" ht="15">
      <c r="A71" s="13" t="s">
        <v>191</v>
      </c>
      <c r="B71" s="14" t="s">
        <v>195</v>
      </c>
      <c r="C71" s="43">
        <f>'UMUR 2021'!W72</f>
        <v>17981</v>
      </c>
      <c r="D71" s="42">
        <f t="shared" si="1"/>
        <v>18065</v>
      </c>
      <c r="E71" s="43">
        <v>2449</v>
      </c>
      <c r="F71" s="43">
        <v>2148</v>
      </c>
      <c r="G71" s="43">
        <v>17</v>
      </c>
      <c r="H71" s="43">
        <v>2</v>
      </c>
      <c r="I71" s="43">
        <v>48</v>
      </c>
      <c r="J71" s="43">
        <v>2511</v>
      </c>
      <c r="K71" s="43">
        <v>329</v>
      </c>
      <c r="L71" s="43">
        <v>8664</v>
      </c>
      <c r="M71" s="43">
        <v>997</v>
      </c>
      <c r="N71" s="43">
        <v>758</v>
      </c>
      <c r="O71" s="43">
        <v>142</v>
      </c>
    </row>
    <row r="72" spans="1:15" ht="15">
      <c r="A72" s="13" t="s">
        <v>198</v>
      </c>
      <c r="B72" s="14" t="s">
        <v>200</v>
      </c>
      <c r="C72" s="43">
        <f>'UMUR 2021'!W73</f>
        <v>12674</v>
      </c>
      <c r="D72" s="42">
        <f t="shared" si="1"/>
        <v>12764</v>
      </c>
      <c r="E72" s="43">
        <v>3684</v>
      </c>
      <c r="F72" s="43">
        <v>1599</v>
      </c>
      <c r="G72" s="43">
        <v>4</v>
      </c>
      <c r="H72" s="43">
        <v>1</v>
      </c>
      <c r="I72" s="43">
        <v>62</v>
      </c>
      <c r="J72" s="43">
        <v>1068</v>
      </c>
      <c r="K72" s="43">
        <v>90</v>
      </c>
      <c r="L72" s="43">
        <v>3948</v>
      </c>
      <c r="M72" s="43">
        <v>289</v>
      </c>
      <c r="N72" s="43">
        <v>1965</v>
      </c>
      <c r="O72" s="43">
        <v>54</v>
      </c>
    </row>
    <row r="73" spans="1:15" ht="15">
      <c r="A73" s="13" t="s">
        <v>199</v>
      </c>
      <c r="B73" s="14" t="s">
        <v>201</v>
      </c>
      <c r="C73" s="43">
        <f>'UMUR 2021'!W74</f>
        <v>19907</v>
      </c>
      <c r="D73" s="42">
        <f t="shared" si="1"/>
        <v>19993</v>
      </c>
      <c r="E73" s="43">
        <v>4209</v>
      </c>
      <c r="F73" s="43">
        <v>5477</v>
      </c>
      <c r="G73" s="43">
        <v>32</v>
      </c>
      <c r="H73" s="43">
        <v>3</v>
      </c>
      <c r="I73" s="43">
        <v>70</v>
      </c>
      <c r="J73" s="43">
        <v>1424</v>
      </c>
      <c r="K73" s="43">
        <v>308</v>
      </c>
      <c r="L73" s="43">
        <v>5273</v>
      </c>
      <c r="M73" s="43">
        <v>733</v>
      </c>
      <c r="N73" s="43">
        <v>2367</v>
      </c>
      <c r="O73" s="43">
        <v>97</v>
      </c>
    </row>
    <row r="74" spans="1:15" ht="15">
      <c r="A74" s="13" t="s">
        <v>204</v>
      </c>
      <c r="B74" s="14" t="s">
        <v>207</v>
      </c>
      <c r="C74" s="43">
        <f>'UMUR 2021'!W75</f>
        <v>21377</v>
      </c>
      <c r="D74" s="42">
        <f t="shared" si="1"/>
        <v>21514</v>
      </c>
      <c r="E74" s="43">
        <v>3591</v>
      </c>
      <c r="F74" s="43">
        <v>12602</v>
      </c>
      <c r="G74" s="43">
        <v>85</v>
      </c>
      <c r="H74" s="43">
        <v>3</v>
      </c>
      <c r="I74" s="43">
        <v>68</v>
      </c>
      <c r="J74" s="43">
        <v>850</v>
      </c>
      <c r="K74" s="43">
        <v>200</v>
      </c>
      <c r="L74" s="43">
        <v>2662</v>
      </c>
      <c r="M74" s="43">
        <v>788</v>
      </c>
      <c r="N74" s="43">
        <v>553</v>
      </c>
      <c r="O74" s="43">
        <v>112</v>
      </c>
    </row>
    <row r="75" spans="1:15" ht="15">
      <c r="A75" s="13" t="s">
        <v>205</v>
      </c>
      <c r="B75" s="14" t="s">
        <v>208</v>
      </c>
      <c r="C75" s="43">
        <f>'UMUR 2021'!W76</f>
        <v>27567</v>
      </c>
      <c r="D75" s="42">
        <f t="shared" si="1"/>
        <v>27679</v>
      </c>
      <c r="E75" s="43">
        <v>4218</v>
      </c>
      <c r="F75" s="43">
        <v>18413</v>
      </c>
      <c r="G75" s="43">
        <v>114</v>
      </c>
      <c r="H75" s="43">
        <v>4</v>
      </c>
      <c r="I75" s="43">
        <v>86</v>
      </c>
      <c r="J75" s="43">
        <v>77</v>
      </c>
      <c r="K75" s="43">
        <v>278</v>
      </c>
      <c r="L75" s="43">
        <v>2206</v>
      </c>
      <c r="M75" s="43">
        <v>1342</v>
      </c>
      <c r="N75" s="43">
        <v>834</v>
      </c>
      <c r="O75" s="43">
        <v>107</v>
      </c>
    </row>
    <row r="76" spans="1:15" ht="15">
      <c r="A76" s="13" t="s">
        <v>206</v>
      </c>
      <c r="B76" s="14" t="s">
        <v>209</v>
      </c>
      <c r="C76" s="43">
        <f>'UMUR 2021'!W77</f>
        <v>34117</v>
      </c>
      <c r="D76" s="42">
        <f t="shared" si="1"/>
        <v>34241</v>
      </c>
      <c r="E76" s="43">
        <v>6021</v>
      </c>
      <c r="F76" s="43">
        <v>13873</v>
      </c>
      <c r="G76" s="43">
        <v>49</v>
      </c>
      <c r="H76" s="43">
        <v>3</v>
      </c>
      <c r="I76" s="43">
        <v>105</v>
      </c>
      <c r="J76" s="43">
        <v>2683</v>
      </c>
      <c r="K76" s="43">
        <v>421</v>
      </c>
      <c r="L76" s="43">
        <v>7924</v>
      </c>
      <c r="M76" s="43">
        <v>1269</v>
      </c>
      <c r="N76" s="43">
        <v>1650</v>
      </c>
      <c r="O76" s="43">
        <v>243</v>
      </c>
    </row>
    <row r="77" spans="1:15" ht="15">
      <c r="A77" s="13" t="s">
        <v>212</v>
      </c>
      <c r="B77" s="14" t="s">
        <v>215</v>
      </c>
      <c r="C77" s="43">
        <f>'UMUR 2021'!W78</f>
        <v>16478</v>
      </c>
      <c r="D77" s="42">
        <f t="shared" si="1"/>
        <v>16612</v>
      </c>
      <c r="E77" s="43">
        <v>1690</v>
      </c>
      <c r="F77" s="43">
        <v>2183</v>
      </c>
      <c r="G77" s="43">
        <v>8</v>
      </c>
      <c r="H77" s="43">
        <v>15</v>
      </c>
      <c r="I77" s="43">
        <v>26</v>
      </c>
      <c r="J77" s="43">
        <v>2074</v>
      </c>
      <c r="K77" s="43">
        <v>51</v>
      </c>
      <c r="L77" s="43">
        <v>8654</v>
      </c>
      <c r="M77" s="43">
        <v>77</v>
      </c>
      <c r="N77" s="43">
        <v>1782</v>
      </c>
      <c r="O77" s="43">
        <v>52</v>
      </c>
    </row>
    <row r="78" spans="1:15" ht="15">
      <c r="A78" s="13" t="s">
        <v>213</v>
      </c>
      <c r="B78" s="14" t="s">
        <v>216</v>
      </c>
      <c r="C78" s="43">
        <f>'UMUR 2021'!W79</f>
        <v>11465</v>
      </c>
      <c r="D78" s="42">
        <f t="shared" si="1"/>
        <v>11535</v>
      </c>
      <c r="E78" s="43">
        <v>31</v>
      </c>
      <c r="F78" s="43">
        <v>358</v>
      </c>
      <c r="G78" s="43">
        <v>6</v>
      </c>
      <c r="H78" s="43">
        <v>24</v>
      </c>
      <c r="I78" s="43">
        <v>40</v>
      </c>
      <c r="J78" s="43">
        <v>2444</v>
      </c>
      <c r="K78" s="43">
        <v>26</v>
      </c>
      <c r="L78" s="43">
        <v>183</v>
      </c>
      <c r="M78" s="43">
        <v>19</v>
      </c>
      <c r="N78" s="43">
        <v>8382</v>
      </c>
      <c r="O78" s="43">
        <v>22</v>
      </c>
    </row>
    <row r="79" spans="1:15" ht="15">
      <c r="A79" s="13" t="s">
        <v>214</v>
      </c>
      <c r="B79" s="14" t="s">
        <v>217</v>
      </c>
      <c r="C79" s="43">
        <f>'UMUR 2021'!W80</f>
        <v>9572</v>
      </c>
      <c r="D79" s="42">
        <f t="shared" si="1"/>
        <v>10319</v>
      </c>
      <c r="E79" s="43">
        <v>775</v>
      </c>
      <c r="F79" s="43">
        <v>281</v>
      </c>
      <c r="G79" s="43">
        <v>4</v>
      </c>
      <c r="H79" s="43">
        <v>49</v>
      </c>
      <c r="I79" s="43">
        <v>24</v>
      </c>
      <c r="J79" s="43">
        <v>1878</v>
      </c>
      <c r="K79" s="43">
        <v>37</v>
      </c>
      <c r="L79" s="43">
        <v>2070</v>
      </c>
      <c r="M79" s="43">
        <v>7</v>
      </c>
      <c r="N79" s="43">
        <v>5046</v>
      </c>
      <c r="O79" s="43">
        <v>148</v>
      </c>
    </row>
    <row r="80" spans="1:15" ht="15">
      <c r="A80" s="13" t="s">
        <v>221</v>
      </c>
      <c r="B80" s="14" t="s">
        <v>223</v>
      </c>
      <c r="C80" s="43">
        <f>'UMUR 2021'!W81</f>
        <v>16975</v>
      </c>
      <c r="D80" s="42">
        <f t="shared" si="1"/>
        <v>17055</v>
      </c>
      <c r="E80" s="43">
        <v>7225</v>
      </c>
      <c r="F80" s="43">
        <v>4375</v>
      </c>
      <c r="G80" s="43">
        <v>20</v>
      </c>
      <c r="H80" s="43">
        <v>9</v>
      </c>
      <c r="I80" s="43">
        <v>36</v>
      </c>
      <c r="J80" s="43">
        <v>615</v>
      </c>
      <c r="K80" s="43">
        <v>76</v>
      </c>
      <c r="L80" s="43">
        <v>1341</v>
      </c>
      <c r="M80" s="43">
        <v>65</v>
      </c>
      <c r="N80" s="43">
        <v>2921</v>
      </c>
      <c r="O80" s="43">
        <v>372</v>
      </c>
    </row>
    <row r="81" spans="1:17" ht="15">
      <c r="A81" s="13" t="s">
        <v>222</v>
      </c>
      <c r="B81" s="14" t="s">
        <v>224</v>
      </c>
      <c r="C81" s="43">
        <f>'UMUR 2021'!W82</f>
        <v>9375</v>
      </c>
      <c r="D81" s="42">
        <f t="shared" si="1"/>
        <v>9435</v>
      </c>
      <c r="E81" s="43">
        <v>382</v>
      </c>
      <c r="F81" s="43">
        <v>299</v>
      </c>
      <c r="G81" s="43">
        <v>2</v>
      </c>
      <c r="H81" s="43">
        <v>2</v>
      </c>
      <c r="I81" s="43">
        <v>39</v>
      </c>
      <c r="J81" s="43">
        <v>1336</v>
      </c>
      <c r="K81" s="43">
        <v>25</v>
      </c>
      <c r="L81" s="43">
        <v>4187</v>
      </c>
      <c r="M81" s="43">
        <v>12</v>
      </c>
      <c r="N81" s="43">
        <v>1530</v>
      </c>
      <c r="O81" s="43">
        <v>1621</v>
      </c>
    </row>
    <row r="82" spans="1:17" ht="15">
      <c r="A82" s="13" t="s">
        <v>226</v>
      </c>
      <c r="B82" s="14" t="s">
        <v>228</v>
      </c>
      <c r="C82" s="43">
        <f>'UMUR 2021'!W83</f>
        <v>8503</v>
      </c>
      <c r="D82" s="42">
        <f t="shared" si="1"/>
        <v>8552</v>
      </c>
      <c r="E82" s="43">
        <v>241</v>
      </c>
      <c r="F82" s="43">
        <v>380</v>
      </c>
      <c r="G82" s="43">
        <v>7</v>
      </c>
      <c r="H82" s="43">
        <v>3</v>
      </c>
      <c r="I82" s="43">
        <v>55</v>
      </c>
      <c r="J82" s="43">
        <v>1022</v>
      </c>
      <c r="K82" s="43">
        <v>28</v>
      </c>
      <c r="L82" s="43">
        <v>239</v>
      </c>
      <c r="M82" s="43">
        <v>4</v>
      </c>
      <c r="N82" s="43">
        <v>6384</v>
      </c>
      <c r="O82" s="43">
        <v>189</v>
      </c>
    </row>
    <row r="83" spans="1:17" ht="15">
      <c r="A83" s="13" t="s">
        <v>227</v>
      </c>
      <c r="B83" s="14" t="s">
        <v>229</v>
      </c>
      <c r="C83" s="43">
        <f>'UMUR 2021'!W84</f>
        <v>13054</v>
      </c>
      <c r="D83" s="42">
        <f t="shared" si="1"/>
        <v>13097</v>
      </c>
      <c r="E83" s="43">
        <v>8350</v>
      </c>
      <c r="F83" s="43">
        <v>1583</v>
      </c>
      <c r="G83" s="43">
        <v>9</v>
      </c>
      <c r="H83" s="43">
        <v>1</v>
      </c>
      <c r="I83" s="43">
        <v>38</v>
      </c>
      <c r="J83" s="43">
        <v>412</v>
      </c>
      <c r="K83" s="43">
        <v>25</v>
      </c>
      <c r="L83" s="43">
        <v>191</v>
      </c>
      <c r="M83" s="43">
        <v>66</v>
      </c>
      <c r="N83" s="43">
        <v>2202</v>
      </c>
      <c r="O83" s="43">
        <v>220</v>
      </c>
      <c r="P83" s="67"/>
      <c r="Q83" s="68"/>
    </row>
    <row r="86" spans="1:17" ht="30">
      <c r="C86" s="63" t="s">
        <v>334</v>
      </c>
      <c r="D86" s="63" t="s">
        <v>235</v>
      </c>
      <c r="E86" s="64" t="s">
        <v>335</v>
      </c>
      <c r="F86" s="64" t="s">
        <v>276</v>
      </c>
      <c r="G86" s="64" t="s">
        <v>336</v>
      </c>
      <c r="H86" s="64" t="s">
        <v>337</v>
      </c>
      <c r="I86" s="64" t="s">
        <v>279</v>
      </c>
      <c r="J86" s="64" t="s">
        <v>338</v>
      </c>
      <c r="K86" s="64" t="s">
        <v>339</v>
      </c>
      <c r="L86" s="64" t="s">
        <v>340</v>
      </c>
      <c r="M86" s="64" t="s">
        <v>341</v>
      </c>
      <c r="N86" s="64" t="s">
        <v>342</v>
      </c>
      <c r="O86" s="64" t="s">
        <v>343</v>
      </c>
    </row>
    <row r="87" spans="1:17" ht="15">
      <c r="A87" s="87" t="s">
        <v>271</v>
      </c>
      <c r="B87" s="88"/>
      <c r="C87" s="42">
        <f>SUM(C2:C83)</f>
        <v>1252014</v>
      </c>
      <c r="D87" s="42">
        <f>SUM(D2:D83)</f>
        <v>1260738</v>
      </c>
      <c r="E87" s="42">
        <f t="shared" ref="E87:O87" si="2">SUM(E2:E83)</f>
        <v>275087</v>
      </c>
      <c r="F87" s="42">
        <f t="shared" si="2"/>
        <v>373914</v>
      </c>
      <c r="G87" s="42">
        <f t="shared" si="2"/>
        <v>2390</v>
      </c>
      <c r="H87" s="42">
        <f t="shared" si="2"/>
        <v>657</v>
      </c>
      <c r="I87" s="42">
        <f t="shared" si="2"/>
        <v>2754</v>
      </c>
      <c r="J87" s="42">
        <f t="shared" si="2"/>
        <v>90867</v>
      </c>
      <c r="K87" s="42">
        <f t="shared" si="2"/>
        <v>89388</v>
      </c>
      <c r="L87" s="42">
        <f t="shared" si="2"/>
        <v>305718</v>
      </c>
      <c r="M87" s="42">
        <f t="shared" si="2"/>
        <v>62182</v>
      </c>
      <c r="N87" s="42">
        <f t="shared" si="2"/>
        <v>51647</v>
      </c>
      <c r="O87" s="42">
        <f t="shared" si="2"/>
        <v>6134</v>
      </c>
    </row>
    <row r="88" spans="1:17">
      <c r="B88" s="24"/>
    </row>
    <row r="89" spans="1:17">
      <c r="B89" s="24"/>
    </row>
    <row r="90" spans="1:17">
      <c r="B90" s="24"/>
    </row>
    <row r="91" spans="1:17">
      <c r="B91" s="24"/>
    </row>
    <row r="92" spans="1:17">
      <c r="B92" s="24"/>
    </row>
    <row r="93" spans="1:17">
      <c r="B93" s="24"/>
    </row>
    <row r="94" spans="1:17">
      <c r="B94" s="24"/>
    </row>
    <row r="95" spans="1:17">
      <c r="B95" s="24"/>
    </row>
    <row r="96" spans="1:17">
      <c r="B96" s="24"/>
    </row>
    <row r="97" spans="2:2">
      <c r="B97" s="24"/>
    </row>
    <row r="98" spans="2:2">
      <c r="B98" s="24"/>
    </row>
    <row r="99" spans="2:2">
      <c r="B99" s="24"/>
    </row>
    <row r="100" spans="2:2">
      <c r="B100" s="24"/>
    </row>
    <row r="101" spans="2:2">
      <c r="B101" s="24"/>
    </row>
    <row r="102" spans="2:2">
      <c r="B102" s="24"/>
    </row>
    <row r="103" spans="2:2">
      <c r="B103" s="24"/>
    </row>
    <row r="104" spans="2:2">
      <c r="B104" s="24"/>
    </row>
    <row r="105" spans="2:2">
      <c r="B105" s="24"/>
    </row>
    <row r="106" spans="2:2">
      <c r="B106" s="24"/>
    </row>
    <row r="107" spans="2:2">
      <c r="B107" s="24"/>
    </row>
    <row r="108" spans="2:2">
      <c r="B108" s="24"/>
    </row>
    <row r="109" spans="2:2">
      <c r="B109" s="24"/>
    </row>
    <row r="110" spans="2:2">
      <c r="B110" s="24"/>
    </row>
    <row r="111" spans="2:2">
      <c r="B111" s="24"/>
    </row>
    <row r="112" spans="2:2">
      <c r="B112" s="24"/>
    </row>
    <row r="113" spans="2:2">
      <c r="B113" s="24"/>
    </row>
    <row r="114" spans="2:2">
      <c r="B114" s="24"/>
    </row>
    <row r="115" spans="2:2">
      <c r="B115" s="24"/>
    </row>
    <row r="116" spans="2:2">
      <c r="B116" s="24"/>
    </row>
    <row r="117" spans="2:2">
      <c r="B117" s="24"/>
    </row>
    <row r="118" spans="2:2">
      <c r="B118" s="24"/>
    </row>
    <row r="119" spans="2:2">
      <c r="B119" s="24"/>
    </row>
    <row r="120" spans="2:2">
      <c r="B120" s="24"/>
    </row>
    <row r="121" spans="2:2">
      <c r="B121" s="24"/>
    </row>
    <row r="122" spans="2:2">
      <c r="B122" s="24"/>
    </row>
    <row r="123" spans="2:2">
      <c r="B123" s="24"/>
    </row>
    <row r="124" spans="2:2">
      <c r="B124" s="24"/>
    </row>
    <row r="125" spans="2:2">
      <c r="B125" s="24"/>
    </row>
    <row r="126" spans="2:2">
      <c r="B126" s="24"/>
    </row>
    <row r="127" spans="2:2">
      <c r="B127" s="24"/>
    </row>
    <row r="128" spans="2:2">
      <c r="B128" s="24"/>
    </row>
    <row r="129" spans="2:2">
      <c r="B129" s="24"/>
    </row>
    <row r="130" spans="2:2">
      <c r="B130" s="24"/>
    </row>
    <row r="131" spans="2:2">
      <c r="B131" s="24"/>
    </row>
    <row r="132" spans="2:2">
      <c r="B132" s="24"/>
    </row>
    <row r="133" spans="2:2">
      <c r="B133" s="24"/>
    </row>
    <row r="134" spans="2:2">
      <c r="B134" s="24"/>
    </row>
  </sheetData>
  <mergeCells count="1">
    <mergeCell ref="A87:B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SARAWAK</vt:lpstr>
      <vt:lpstr>DUN 2016</vt:lpstr>
      <vt:lpstr>PRN 2016</vt:lpstr>
      <vt:lpstr>DUN 2021</vt:lpstr>
      <vt:lpstr>Analysis 2021</vt:lpstr>
      <vt:lpstr>Comparison 2016 2021</vt:lpstr>
      <vt:lpstr>JANTINA 2021</vt:lpstr>
      <vt:lpstr>UMUR 2021</vt:lpstr>
      <vt:lpstr>ETNIK 2021</vt:lpstr>
      <vt:lpstr>PRN 2021</vt:lpstr>
      <vt:lpstr>SARAWAK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Santhul Narwhal</dc:creator>
  <cp:lastModifiedBy>Santhul Narwhal</cp:lastModifiedBy>
  <cp:lastPrinted>2021-12-22T06:38:26Z</cp:lastPrinted>
  <dcterms:created xsi:type="dcterms:W3CDTF">2021-11-24T05:40:37Z</dcterms:created>
  <dcterms:modified xsi:type="dcterms:W3CDTF">2021-12-22T14:52:33Z</dcterms:modified>
</cp:coreProperties>
</file>