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xr:revisionPtr revIDLastSave="0" documentId="10_ncr:8100000_{DE7C7166-92E4-4BC4-BBF6-27C88CF8A33D}" xr6:coauthVersionLast="34" xr6:coauthVersionMax="34" xr10:uidLastSave="{00000000-0000-0000-0000-000000000000}"/>
  <bookViews>
    <workbookView xWindow="0" yWindow="0" windowWidth="20490" windowHeight="8625" tabRatio="759" activeTab="6" xr2:uid="{00000000-000D-0000-FFFF-FFFF00000000}"/>
  </bookViews>
  <sheets>
    <sheet name="Financial Table" sheetId="1" r:id="rId1"/>
    <sheet name="Cash Flow 2019" sheetId="2" r:id="rId2"/>
    <sheet name="BreakEven Point" sheetId="5" r:id="rId3"/>
    <sheet name="Revenues" sheetId="3" r:id="rId4"/>
    <sheet name="Salary" sheetId="4" r:id="rId5"/>
    <sheet name="Income Statement" sheetId="6" r:id="rId6"/>
    <sheet name="Balance" sheetId="9" r:id="rId7"/>
    <sheet name="Graphics" sheetId="10" r:id="rId8"/>
    <sheet name="DRAFT" sheetId="1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1" l="1"/>
  <c r="B25" i="11"/>
  <c r="M9" i="2" l="1"/>
  <c r="D13" i="4" l="1"/>
  <c r="F30" i="11" l="1"/>
  <c r="F31" i="11" s="1"/>
  <c r="F32" i="11" s="1"/>
  <c r="F33" i="11" s="1"/>
  <c r="F34" i="11" s="1"/>
  <c r="F35" i="11" s="1"/>
  <c r="F36" i="11" s="1"/>
  <c r="F37" i="11" s="1"/>
  <c r="F38" i="11" s="1"/>
  <c r="F28" i="11"/>
  <c r="C48" i="9"/>
  <c r="F25" i="11"/>
  <c r="B29" i="11"/>
  <c r="B28" i="11" l="1"/>
  <c r="B27" i="11"/>
  <c r="E48" i="9"/>
  <c r="C23" i="10"/>
  <c r="D23" i="10"/>
  <c r="B23" i="10"/>
  <c r="C44" i="10"/>
  <c r="D44" i="10"/>
  <c r="B44" i="10"/>
  <c r="D48" i="9"/>
  <c r="H77" i="3"/>
  <c r="H76" i="3"/>
  <c r="H75" i="3"/>
  <c r="H74" i="3"/>
  <c r="H73" i="3"/>
  <c r="H72" i="3"/>
  <c r="H71" i="3"/>
  <c r="H69" i="3"/>
  <c r="H63" i="3"/>
  <c r="B48" i="9"/>
  <c r="C42" i="9"/>
  <c r="B42" i="9"/>
  <c r="B69" i="2"/>
  <c r="E56" i="2"/>
  <c r="E69" i="2"/>
  <c r="D69" i="2"/>
  <c r="B70" i="2"/>
  <c r="D70" i="2" s="1"/>
  <c r="B71" i="2" s="1"/>
  <c r="D71" i="2" s="1"/>
  <c r="B72" i="2" s="1"/>
  <c r="D72" i="2" s="1"/>
  <c r="B73" i="2" s="1"/>
  <c r="D73" i="2" s="1"/>
  <c r="B74" i="2" s="1"/>
  <c r="D74" i="2" s="1"/>
  <c r="B75" i="2" s="1"/>
  <c r="D75" i="2" s="1"/>
  <c r="B76" i="2" s="1"/>
  <c r="D76" i="2" s="1"/>
  <c r="D68" i="2"/>
  <c r="B62" i="2"/>
  <c r="D62" i="2"/>
  <c r="E14" i="2"/>
  <c r="C11" i="9" l="1"/>
  <c r="D11" i="9" s="1"/>
  <c r="E11" i="9" l="1"/>
  <c r="C14" i="9"/>
  <c r="D14" i="9" s="1"/>
  <c r="E14" i="9" s="1"/>
  <c r="D15" i="9" l="1"/>
  <c r="C15" i="9"/>
  <c r="B12" i="11"/>
  <c r="C71" i="3" l="1"/>
  <c r="E15" i="9"/>
  <c r="F14" i="2"/>
  <c r="G14" i="2"/>
  <c r="H14" i="2"/>
  <c r="I14" i="2"/>
  <c r="J14" i="2"/>
  <c r="K14" i="2"/>
  <c r="L14" i="2"/>
  <c r="M14" i="2"/>
  <c r="D14" i="2"/>
  <c r="E13" i="2"/>
  <c r="F13" i="2"/>
  <c r="G13" i="2"/>
  <c r="H13" i="2"/>
  <c r="I13" i="2"/>
  <c r="J13" i="2"/>
  <c r="K13" i="2"/>
  <c r="L13" i="2"/>
  <c r="M13" i="2"/>
  <c r="D13" i="2"/>
  <c r="E16" i="2" l="1"/>
  <c r="F16" i="2"/>
  <c r="G16" i="2"/>
  <c r="H16" i="2"/>
  <c r="I16" i="2"/>
  <c r="J16" i="2"/>
  <c r="K16" i="2"/>
  <c r="L16" i="2"/>
  <c r="M16" i="2"/>
  <c r="D16" i="2"/>
  <c r="E119" i="3"/>
  <c r="E133" i="3"/>
  <c r="B7" i="11"/>
  <c r="B10" i="2" l="1"/>
  <c r="D41" i="1" l="1"/>
  <c r="D9" i="9" l="1"/>
  <c r="B49" i="9"/>
  <c r="E9" i="9" l="1"/>
  <c r="D12" i="9"/>
  <c r="B50" i="9"/>
  <c r="C49" i="9" l="1"/>
  <c r="C50" i="9" l="1"/>
  <c r="D49" i="9" s="1"/>
  <c r="D50" i="9" s="1"/>
  <c r="E49" i="9" l="1"/>
  <c r="E23" i="10" s="1"/>
  <c r="F49" i="9" l="1"/>
  <c r="E50" i="9"/>
  <c r="E44" i="10" s="1"/>
  <c r="H15" i="9"/>
  <c r="I15" i="9" s="1"/>
  <c r="J15" i="9" s="1"/>
  <c r="H5" i="9" l="1"/>
  <c r="H6" i="9" s="1"/>
  <c r="D25" i="1" l="1"/>
  <c r="F9" i="6" s="1"/>
  <c r="G9" i="6" s="1"/>
  <c r="H9" i="6" s="1"/>
  <c r="N24" i="2"/>
  <c r="B13" i="6" s="1"/>
  <c r="N25" i="2"/>
  <c r="B14" i="6" s="1"/>
  <c r="C17" i="1"/>
  <c r="D96" i="3"/>
  <c r="F55" i="2" s="1"/>
  <c r="C125" i="3"/>
  <c r="D124" i="3"/>
  <c r="E124" i="3" s="1"/>
  <c r="F124" i="3" s="1"/>
  <c r="C111" i="3"/>
  <c r="D110" i="3"/>
  <c r="C68" i="2" s="1"/>
  <c r="K70" i="3"/>
  <c r="D12" i="6"/>
  <c r="B29" i="2"/>
  <c r="C29" i="2"/>
  <c r="B26" i="2"/>
  <c r="C26" i="2"/>
  <c r="C22" i="2"/>
  <c r="D22" i="2"/>
  <c r="E22" i="2"/>
  <c r="F22" i="2"/>
  <c r="G22" i="2"/>
  <c r="H22" i="2"/>
  <c r="I22" i="2"/>
  <c r="J22" i="2"/>
  <c r="K22" i="2"/>
  <c r="L22" i="2"/>
  <c r="M22" i="2"/>
  <c r="B22" i="2"/>
  <c r="C23" i="2"/>
  <c r="D23" i="2"/>
  <c r="E23" i="2"/>
  <c r="F23" i="2"/>
  <c r="G23" i="2"/>
  <c r="H23" i="2"/>
  <c r="I23" i="2"/>
  <c r="J23" i="2"/>
  <c r="K23" i="2"/>
  <c r="L23" i="2"/>
  <c r="M23" i="2"/>
  <c r="B23" i="2"/>
  <c r="D18" i="1"/>
  <c r="C18" i="2"/>
  <c r="D18" i="2"/>
  <c r="E18" i="2"/>
  <c r="F18" i="2"/>
  <c r="G18" i="2"/>
  <c r="H18" i="2"/>
  <c r="I18" i="2"/>
  <c r="J18" i="2"/>
  <c r="K18" i="2"/>
  <c r="L18" i="2"/>
  <c r="M18" i="2"/>
  <c r="B18" i="2"/>
  <c r="D11" i="1"/>
  <c r="G13" i="1"/>
  <c r="B24" i="1"/>
  <c r="D24" i="1" s="1"/>
  <c r="E110" i="3" l="1"/>
  <c r="F110" i="3" s="1"/>
  <c r="F68" i="2"/>
  <c r="F8" i="6"/>
  <c r="H8" i="6" s="1"/>
  <c r="E24" i="1"/>
  <c r="E25" i="1"/>
  <c r="F25" i="1" s="1"/>
  <c r="G25" i="1" s="1"/>
  <c r="H25" i="1" s="1"/>
  <c r="D15" i="2"/>
  <c r="D111" i="3"/>
  <c r="C112" i="3"/>
  <c r="D125" i="3"/>
  <c r="C126" i="3"/>
  <c r="D126" i="3" s="1"/>
  <c r="N22" i="2"/>
  <c r="B11" i="6" s="1"/>
  <c r="C11" i="6" s="1"/>
  <c r="D11" i="6" s="1"/>
  <c r="N23" i="2"/>
  <c r="N18" i="2"/>
  <c r="B10" i="6" s="1"/>
  <c r="C10" i="6" s="1"/>
  <c r="G8" i="6" l="1"/>
  <c r="E111" i="3"/>
  <c r="F111" i="3" s="1"/>
  <c r="C69" i="2"/>
  <c r="E125" i="3"/>
  <c r="F125" i="3" s="1"/>
  <c r="F69" i="2"/>
  <c r="F70" i="2"/>
  <c r="E126" i="3"/>
  <c r="F126" i="3" s="1"/>
  <c r="F24" i="1"/>
  <c r="C127" i="3"/>
  <c r="C113" i="3"/>
  <c r="D112" i="3"/>
  <c r="D10" i="6"/>
  <c r="C70" i="2" l="1"/>
  <c r="F15" i="2" s="1"/>
  <c r="E112" i="3"/>
  <c r="F112" i="3" s="1"/>
  <c r="E15" i="2"/>
  <c r="G24" i="1"/>
  <c r="C114" i="3"/>
  <c r="D113" i="3"/>
  <c r="C128" i="3"/>
  <c r="D127" i="3"/>
  <c r="C71" i="2" l="1"/>
  <c r="E113" i="3"/>
  <c r="F113" i="3" s="1"/>
  <c r="F71" i="2"/>
  <c r="E127" i="3"/>
  <c r="F127" i="3" s="1"/>
  <c r="H24" i="1"/>
  <c r="C115" i="3"/>
  <c r="D114" i="3"/>
  <c r="C129" i="3"/>
  <c r="D128" i="3"/>
  <c r="G15" i="2" l="1"/>
  <c r="C72" i="2"/>
  <c r="E114" i="3"/>
  <c r="F114" i="3" s="1"/>
  <c r="F72" i="2"/>
  <c r="E128" i="3"/>
  <c r="F128" i="3" s="1"/>
  <c r="C130" i="3"/>
  <c r="D129" i="3"/>
  <c r="C116" i="3"/>
  <c r="D115" i="3"/>
  <c r="H15" i="2" l="1"/>
  <c r="E115" i="3"/>
  <c r="F115" i="3" s="1"/>
  <c r="C73" i="2"/>
  <c r="E129" i="3"/>
  <c r="F129" i="3" s="1"/>
  <c r="F73" i="2"/>
  <c r="C117" i="3"/>
  <c r="D116" i="3"/>
  <c r="D130" i="3"/>
  <c r="C131" i="3"/>
  <c r="I15" i="2" l="1"/>
  <c r="E116" i="3"/>
  <c r="F116" i="3" s="1"/>
  <c r="C74" i="2"/>
  <c r="F74" i="2"/>
  <c r="E130" i="3"/>
  <c r="F130" i="3" s="1"/>
  <c r="C132" i="3"/>
  <c r="D131" i="3"/>
  <c r="C118" i="3"/>
  <c r="D117" i="3"/>
  <c r="J15" i="2" l="1"/>
  <c r="C75" i="2"/>
  <c r="E117" i="3"/>
  <c r="F117" i="3" s="1"/>
  <c r="F75" i="2"/>
  <c r="E131" i="3"/>
  <c r="F131" i="3" s="1"/>
  <c r="C119" i="3"/>
  <c r="D118" i="3"/>
  <c r="C133" i="3"/>
  <c r="D132" i="3"/>
  <c r="K15" i="2" l="1"/>
  <c r="E118" i="3"/>
  <c r="F118" i="3" s="1"/>
  <c r="C76" i="2"/>
  <c r="F76" i="2"/>
  <c r="E132" i="3"/>
  <c r="F132" i="3" s="1"/>
  <c r="D133" i="3"/>
  <c r="C134" i="3"/>
  <c r="D134" i="3" s="1"/>
  <c r="E134" i="3" s="1"/>
  <c r="F134" i="3" s="1"/>
  <c r="D119" i="3"/>
  <c r="C120" i="3"/>
  <c r="D120" i="3" s="1"/>
  <c r="E120" i="3" s="1"/>
  <c r="F120" i="3" s="1"/>
  <c r="L15" i="2" l="1"/>
  <c r="F119" i="3"/>
  <c r="C77" i="2"/>
  <c r="F77" i="2"/>
  <c r="C14" i="6"/>
  <c r="D14" i="6" s="1"/>
  <c r="C97" i="3"/>
  <c r="D82" i="3"/>
  <c r="M15" i="2" l="1"/>
  <c r="N15" i="2" s="1"/>
  <c r="F6" i="6" s="1"/>
  <c r="C12" i="9" s="1"/>
  <c r="F133" i="3"/>
  <c r="C55" i="2"/>
  <c r="D8" i="2" s="1"/>
  <c r="F82" i="3"/>
  <c r="E82" i="3"/>
  <c r="D97" i="3"/>
  <c r="C98" i="3"/>
  <c r="C83" i="3"/>
  <c r="G6" i="6" l="1"/>
  <c r="H6" i="6" s="1"/>
  <c r="F56" i="2"/>
  <c r="F97" i="3"/>
  <c r="E97" i="3"/>
  <c r="F96" i="3"/>
  <c r="E96" i="3"/>
  <c r="G82" i="3"/>
  <c r="C99" i="3"/>
  <c r="D98" i="3"/>
  <c r="D83" i="3"/>
  <c r="C84" i="3"/>
  <c r="F83" i="3" l="1"/>
  <c r="E83" i="3"/>
  <c r="F57" i="2"/>
  <c r="E98" i="3"/>
  <c r="F98" i="3"/>
  <c r="C56" i="2"/>
  <c r="E8" i="2" s="1"/>
  <c r="D84" i="3"/>
  <c r="C85" i="3"/>
  <c r="G97" i="3"/>
  <c r="C100" i="3"/>
  <c r="D99" i="3"/>
  <c r="G96" i="3"/>
  <c r="D9" i="2" s="1"/>
  <c r="E12" i="9" l="1"/>
  <c r="F84" i="3"/>
  <c r="E84" i="3"/>
  <c r="F58" i="2"/>
  <c r="E99" i="3"/>
  <c r="F99" i="3"/>
  <c r="G98" i="3"/>
  <c r="G83" i="3"/>
  <c r="E9" i="2" s="1"/>
  <c r="C57" i="2"/>
  <c r="F8" i="2" s="1"/>
  <c r="C86" i="3"/>
  <c r="D85" i="3"/>
  <c r="C101" i="3"/>
  <c r="D100" i="3"/>
  <c r="F59" i="2" l="1"/>
  <c r="F100" i="3"/>
  <c r="E100" i="3"/>
  <c r="F85" i="3"/>
  <c r="E85" i="3"/>
  <c r="G84" i="3"/>
  <c r="F9" i="2" s="1"/>
  <c r="G99" i="3"/>
  <c r="C58" i="2"/>
  <c r="G8" i="2" s="1"/>
  <c r="D86" i="3"/>
  <c r="C87" i="3"/>
  <c r="C102" i="3"/>
  <c r="D101" i="3"/>
  <c r="E86" i="3" l="1"/>
  <c r="F86" i="3"/>
  <c r="F60" i="2"/>
  <c r="F101" i="3"/>
  <c r="E101" i="3"/>
  <c r="G100" i="3"/>
  <c r="G85" i="3"/>
  <c r="G9" i="2" s="1"/>
  <c r="D87" i="3"/>
  <c r="C88" i="3"/>
  <c r="C59" i="2"/>
  <c r="H8" i="2" s="1"/>
  <c r="C103" i="3"/>
  <c r="D102" i="3"/>
  <c r="F61" i="2" l="1"/>
  <c r="E102" i="3"/>
  <c r="F102" i="3"/>
  <c r="F87" i="3"/>
  <c r="E87" i="3"/>
  <c r="G101" i="3"/>
  <c r="D88" i="3"/>
  <c r="C89" i="3"/>
  <c r="C60" i="2"/>
  <c r="I8" i="2" s="1"/>
  <c r="G86" i="3"/>
  <c r="H9" i="2" s="1"/>
  <c r="C104" i="3"/>
  <c r="D103" i="3"/>
  <c r="F62" i="2" l="1"/>
  <c r="E103" i="3"/>
  <c r="F103" i="3"/>
  <c r="F88" i="3"/>
  <c r="E88" i="3"/>
  <c r="G102" i="3"/>
  <c r="D89" i="3"/>
  <c r="C90" i="3"/>
  <c r="G87" i="3"/>
  <c r="I9" i="2" s="1"/>
  <c r="C61" i="2"/>
  <c r="J8" i="2" s="1"/>
  <c r="C105" i="3"/>
  <c r="D104" i="3"/>
  <c r="F89" i="3" l="1"/>
  <c r="E89" i="3"/>
  <c r="F63" i="2"/>
  <c r="F104" i="3"/>
  <c r="E104" i="3"/>
  <c r="G88" i="3"/>
  <c r="J9" i="2" s="1"/>
  <c r="D90" i="3"/>
  <c r="C91" i="3"/>
  <c r="C62" i="2"/>
  <c r="K8" i="2" s="1"/>
  <c r="D105" i="3"/>
  <c r="C106" i="3"/>
  <c r="D106" i="3" s="1"/>
  <c r="G103" i="3"/>
  <c r="E106" i="3" l="1"/>
  <c r="F106" i="3"/>
  <c r="E90" i="3"/>
  <c r="F90" i="3"/>
  <c r="F64" i="2"/>
  <c r="F105" i="3"/>
  <c r="E105" i="3"/>
  <c r="G89" i="3"/>
  <c r="K9" i="2" s="1"/>
  <c r="G104" i="3"/>
  <c r="D91" i="3"/>
  <c r="C92" i="3"/>
  <c r="D92" i="3" s="1"/>
  <c r="C63" i="2"/>
  <c r="L8" i="2" s="1"/>
  <c r="F91" i="3" l="1"/>
  <c r="E91" i="3"/>
  <c r="F92" i="3"/>
  <c r="E92" i="3"/>
  <c r="G105" i="3"/>
  <c r="C64" i="2"/>
  <c r="M8" i="2" s="1"/>
  <c r="N8" i="2" s="1"/>
  <c r="G90" i="3"/>
  <c r="L9" i="2" s="1"/>
  <c r="G106" i="3"/>
  <c r="G92" i="3" l="1"/>
  <c r="G91" i="3"/>
  <c r="N9" i="2" s="1"/>
  <c r="D16" i="1"/>
  <c r="D31" i="2"/>
  <c r="M26" i="2"/>
  <c r="M27" i="2" s="1"/>
  <c r="E29" i="2"/>
  <c r="F29" i="2"/>
  <c r="G29" i="2"/>
  <c r="H29" i="2"/>
  <c r="I29" i="2"/>
  <c r="J29" i="2"/>
  <c r="K29" i="2"/>
  <c r="L29" i="2"/>
  <c r="M29" i="2"/>
  <c r="D29" i="2"/>
  <c r="E13" i="4"/>
  <c r="F13" i="4"/>
  <c r="G13" i="4"/>
  <c r="C13" i="4"/>
  <c r="E26" i="2"/>
  <c r="F26" i="2"/>
  <c r="G26" i="2"/>
  <c r="H26" i="2"/>
  <c r="I26" i="2"/>
  <c r="J26" i="2"/>
  <c r="K26" i="2"/>
  <c r="L26" i="2"/>
  <c r="D26" i="2"/>
  <c r="E28" i="4"/>
  <c r="F27" i="4"/>
  <c r="F26" i="4"/>
  <c r="F25" i="4"/>
  <c r="F24" i="4"/>
  <c r="F23" i="4"/>
  <c r="F28" i="4" s="1"/>
  <c r="D23" i="4"/>
  <c r="G11" i="4"/>
  <c r="F11" i="4"/>
  <c r="E11" i="4"/>
  <c r="D11" i="4"/>
  <c r="C11" i="4"/>
  <c r="I11" i="4" s="1"/>
  <c r="C20" i="2"/>
  <c r="D20" i="2"/>
  <c r="B20" i="2"/>
  <c r="D5" i="1"/>
  <c r="C19" i="2"/>
  <c r="D19" i="2"/>
  <c r="E19" i="2"/>
  <c r="F19" i="2"/>
  <c r="G19" i="2"/>
  <c r="H19" i="2"/>
  <c r="I19" i="2"/>
  <c r="J19" i="2"/>
  <c r="K19" i="2"/>
  <c r="L19" i="2"/>
  <c r="M19" i="2"/>
  <c r="B19" i="2"/>
  <c r="E69" i="3"/>
  <c r="D69" i="3"/>
  <c r="I58" i="3" s="1"/>
  <c r="C69" i="3"/>
  <c r="I49" i="3" s="1"/>
  <c r="E68" i="3"/>
  <c r="D68" i="3"/>
  <c r="I57" i="3" s="1"/>
  <c r="C68" i="3"/>
  <c r="I48" i="3" s="1"/>
  <c r="E67" i="3"/>
  <c r="D67" i="3"/>
  <c r="I56" i="3" s="1"/>
  <c r="C67" i="3"/>
  <c r="I47" i="3" s="1"/>
  <c r="E66" i="3"/>
  <c r="D66" i="3"/>
  <c r="I55" i="3" s="1"/>
  <c r="C66" i="3"/>
  <c r="I46" i="3" s="1"/>
  <c r="E65" i="3"/>
  <c r="D65" i="3"/>
  <c r="I54" i="3" s="1"/>
  <c r="C65" i="3"/>
  <c r="I45" i="3" s="1"/>
  <c r="E53" i="3"/>
  <c r="D53" i="3"/>
  <c r="H58" i="3" s="1"/>
  <c r="C53" i="3"/>
  <c r="H49" i="3" s="1"/>
  <c r="E52" i="3"/>
  <c r="D52" i="3"/>
  <c r="H57" i="3" s="1"/>
  <c r="C52" i="3"/>
  <c r="H48" i="3" s="1"/>
  <c r="E51" i="3"/>
  <c r="D51" i="3"/>
  <c r="H56" i="3" s="1"/>
  <c r="C51" i="3"/>
  <c r="H47" i="3" s="1"/>
  <c r="E50" i="3"/>
  <c r="D50" i="3"/>
  <c r="H55" i="3" s="1"/>
  <c r="C50" i="3"/>
  <c r="H46" i="3" s="1"/>
  <c r="E49" i="3"/>
  <c r="D49" i="3"/>
  <c r="H54" i="3" s="1"/>
  <c r="C49" i="3"/>
  <c r="H45" i="3" s="1"/>
  <c r="E36" i="3"/>
  <c r="E35" i="3"/>
  <c r="E34" i="3"/>
  <c r="E33" i="3"/>
  <c r="E32" i="3"/>
  <c r="E31" i="3"/>
  <c r="E30" i="3"/>
  <c r="E27" i="3"/>
  <c r="Q27" i="3" s="1"/>
  <c r="E26" i="3"/>
  <c r="N26" i="3" s="1"/>
  <c r="E25" i="3"/>
  <c r="P25" i="3" s="1"/>
  <c r="E24" i="3"/>
  <c r="E23" i="3"/>
  <c r="Q23" i="3" s="1"/>
  <c r="E22" i="3"/>
  <c r="Q22" i="3" s="1"/>
  <c r="E21" i="3"/>
  <c r="J21" i="3" s="1"/>
  <c r="Q18" i="3"/>
  <c r="P18" i="3"/>
  <c r="O18" i="3"/>
  <c r="N18" i="3"/>
  <c r="M18" i="3"/>
  <c r="L18" i="3"/>
  <c r="K18" i="3"/>
  <c r="J18" i="3"/>
  <c r="I18" i="3"/>
  <c r="H18" i="3"/>
  <c r="G18" i="3"/>
  <c r="F18" i="3"/>
  <c r="E18" i="3"/>
  <c r="Q17" i="3"/>
  <c r="P17" i="3"/>
  <c r="O17" i="3"/>
  <c r="N17" i="3"/>
  <c r="M17" i="3"/>
  <c r="L17" i="3"/>
  <c r="K17" i="3"/>
  <c r="J17" i="3"/>
  <c r="I17" i="3"/>
  <c r="H17" i="3"/>
  <c r="G17" i="3"/>
  <c r="F17" i="3"/>
  <c r="E17" i="3"/>
  <c r="Q16" i="3"/>
  <c r="P16" i="3"/>
  <c r="O16" i="3"/>
  <c r="N16" i="3"/>
  <c r="M16" i="3"/>
  <c r="L16" i="3"/>
  <c r="K16" i="3"/>
  <c r="J16" i="3"/>
  <c r="I16" i="3"/>
  <c r="H16" i="3"/>
  <c r="G16" i="3"/>
  <c r="F16" i="3"/>
  <c r="E16" i="3"/>
  <c r="Q15" i="3"/>
  <c r="P15" i="3"/>
  <c r="O15" i="3"/>
  <c r="N15" i="3"/>
  <c r="M15" i="3"/>
  <c r="L15" i="3"/>
  <c r="K15" i="3"/>
  <c r="J15" i="3"/>
  <c r="I15" i="3"/>
  <c r="H15" i="3"/>
  <c r="G15" i="3"/>
  <c r="F15" i="3"/>
  <c r="E15" i="3"/>
  <c r="Q14" i="3"/>
  <c r="P14" i="3"/>
  <c r="O14" i="3"/>
  <c r="N14" i="3"/>
  <c r="M14" i="3"/>
  <c r="L14" i="3"/>
  <c r="K14" i="3"/>
  <c r="J14" i="3"/>
  <c r="I14" i="3"/>
  <c r="H14" i="3"/>
  <c r="G14" i="3"/>
  <c r="F14" i="3"/>
  <c r="E14" i="3"/>
  <c r="Q13" i="3"/>
  <c r="P13" i="3"/>
  <c r="O13" i="3"/>
  <c r="N13" i="3"/>
  <c r="M13" i="3"/>
  <c r="L13" i="3"/>
  <c r="K13" i="3"/>
  <c r="J13" i="3"/>
  <c r="I13" i="3"/>
  <c r="H13" i="3"/>
  <c r="G13" i="3"/>
  <c r="F13" i="3"/>
  <c r="E13" i="3"/>
  <c r="Q12" i="3"/>
  <c r="P12" i="3"/>
  <c r="O12" i="3"/>
  <c r="N12" i="3"/>
  <c r="M12" i="3"/>
  <c r="L12" i="3"/>
  <c r="K12" i="3"/>
  <c r="J12" i="3"/>
  <c r="I12" i="3"/>
  <c r="H12" i="3"/>
  <c r="G12" i="3"/>
  <c r="F12" i="3"/>
  <c r="E12" i="3"/>
  <c r="E9" i="3"/>
  <c r="E8" i="3"/>
  <c r="E7" i="3"/>
  <c r="E6" i="3"/>
  <c r="E5" i="3"/>
  <c r="E4" i="3"/>
  <c r="E3" i="3"/>
  <c r="I63" i="3" l="1"/>
  <c r="L63" i="3" s="1"/>
  <c r="L64" i="3" s="1"/>
  <c r="L65" i="3" s="1"/>
  <c r="N29" i="2"/>
  <c r="B18" i="6" s="1"/>
  <c r="C18" i="6" s="1"/>
  <c r="D18" i="6" s="1"/>
  <c r="N19" i="2"/>
  <c r="B15" i="6" s="1"/>
  <c r="N27" i="2"/>
  <c r="B19" i="6" s="1"/>
  <c r="C19" i="6" s="1"/>
  <c r="D19" i="6" s="1"/>
  <c r="M28" i="2"/>
  <c r="N28" i="2" s="1"/>
  <c r="B20" i="6" s="1"/>
  <c r="C20" i="6" s="1"/>
  <c r="D20" i="6" s="1"/>
  <c r="N20" i="2"/>
  <c r="B16" i="6" s="1"/>
  <c r="C16" i="6" s="1"/>
  <c r="D16" i="6" s="1"/>
  <c r="K63" i="3"/>
  <c r="J49" i="3"/>
  <c r="J46" i="3"/>
  <c r="J45" i="3"/>
  <c r="J55" i="3"/>
  <c r="J56" i="3"/>
  <c r="J47" i="3"/>
  <c r="J54" i="3"/>
  <c r="J48" i="3"/>
  <c r="L23" i="3"/>
  <c r="L32" i="3" s="1"/>
  <c r="J57" i="3"/>
  <c r="H21" i="3"/>
  <c r="H30" i="3" s="1"/>
  <c r="F23" i="3"/>
  <c r="F32" i="3" s="1"/>
  <c r="N23" i="3"/>
  <c r="N32" i="3" s="1"/>
  <c r="M21" i="3"/>
  <c r="M30" i="3" s="1"/>
  <c r="G23" i="3"/>
  <c r="P23" i="3"/>
  <c r="P32" i="3" s="1"/>
  <c r="Q31" i="3"/>
  <c r="H23" i="3"/>
  <c r="H32" i="3" s="1"/>
  <c r="J58" i="3"/>
  <c r="K23" i="3"/>
  <c r="K32" i="3" s="1"/>
  <c r="F27" i="3"/>
  <c r="F36" i="3" s="1"/>
  <c r="P27" i="3"/>
  <c r="P36" i="3" s="1"/>
  <c r="H27" i="3"/>
  <c r="H36" i="3" s="1"/>
  <c r="N27" i="3"/>
  <c r="N36" i="3" s="1"/>
  <c r="K27" i="3"/>
  <c r="K36" i="3" s="1"/>
  <c r="N35" i="3"/>
  <c r="L26" i="3"/>
  <c r="L35" i="3" s="1"/>
  <c r="H19" i="3"/>
  <c r="D5" i="2" s="1"/>
  <c r="L19" i="3"/>
  <c r="H5" i="2" s="1"/>
  <c r="P19" i="3"/>
  <c r="L5" i="2" s="1"/>
  <c r="G19" i="3"/>
  <c r="C5" i="2" s="1"/>
  <c r="C10" i="2" s="1"/>
  <c r="K19" i="3"/>
  <c r="G5" i="2" s="1"/>
  <c r="O19" i="3"/>
  <c r="K5" i="2" s="1"/>
  <c r="F19" i="3"/>
  <c r="B5" i="2" s="1"/>
  <c r="P34" i="3"/>
  <c r="Q32" i="3"/>
  <c r="J23" i="3"/>
  <c r="J32" i="3" s="1"/>
  <c r="O23" i="3"/>
  <c r="O32" i="3" s="1"/>
  <c r="H25" i="3"/>
  <c r="H34" i="3" s="1"/>
  <c r="G26" i="3"/>
  <c r="G35" i="3" s="1"/>
  <c r="O26" i="3"/>
  <c r="O35" i="3" s="1"/>
  <c r="G27" i="3"/>
  <c r="G36" i="3" s="1"/>
  <c r="L27" i="3"/>
  <c r="L36" i="3" s="1"/>
  <c r="L25" i="3"/>
  <c r="L34" i="3" s="1"/>
  <c r="H26" i="3"/>
  <c r="H35" i="3" s="1"/>
  <c r="P26" i="3"/>
  <c r="P35" i="3" s="1"/>
  <c r="J19" i="3"/>
  <c r="F5" i="2" s="1"/>
  <c r="N19" i="3"/>
  <c r="J5" i="2" s="1"/>
  <c r="G32" i="3"/>
  <c r="K26" i="3"/>
  <c r="K35" i="3" s="1"/>
  <c r="Q36" i="3"/>
  <c r="J27" i="3"/>
  <c r="J36" i="3" s="1"/>
  <c r="O27" i="3"/>
  <c r="O36" i="3" s="1"/>
  <c r="J30" i="3"/>
  <c r="K22" i="3"/>
  <c r="K31" i="3" s="1"/>
  <c r="P22" i="3"/>
  <c r="P31" i="3" s="1"/>
  <c r="P24" i="3"/>
  <c r="P33" i="3" s="1"/>
  <c r="L24" i="3"/>
  <c r="L33" i="3" s="1"/>
  <c r="H24" i="3"/>
  <c r="H33" i="3" s="1"/>
  <c r="O24" i="3"/>
  <c r="O33" i="3" s="1"/>
  <c r="Q24" i="3"/>
  <c r="Q33" i="3" s="1"/>
  <c r="I19" i="3"/>
  <c r="E5" i="2" s="1"/>
  <c r="M19" i="3"/>
  <c r="I5" i="2" s="1"/>
  <c r="Q19" i="3"/>
  <c r="M5" i="2" s="1"/>
  <c r="I21" i="3"/>
  <c r="N21" i="3"/>
  <c r="G22" i="3"/>
  <c r="G31" i="3" s="1"/>
  <c r="L22" i="3"/>
  <c r="L31" i="3" s="1"/>
  <c r="F24" i="3"/>
  <c r="F33" i="3" s="1"/>
  <c r="K24" i="3"/>
  <c r="K33" i="3" s="1"/>
  <c r="O25" i="3"/>
  <c r="O34" i="3" s="1"/>
  <c r="K25" i="3"/>
  <c r="K34" i="3" s="1"/>
  <c r="G25" i="3"/>
  <c r="G34" i="3" s="1"/>
  <c r="N25" i="3"/>
  <c r="N34" i="3" s="1"/>
  <c r="J25" i="3"/>
  <c r="J34" i="3" s="1"/>
  <c r="F25" i="3"/>
  <c r="F34" i="3" s="1"/>
  <c r="M25" i="3"/>
  <c r="M34" i="3" s="1"/>
  <c r="G24" i="3"/>
  <c r="G33" i="3" s="1"/>
  <c r="M24" i="3"/>
  <c r="M33" i="3" s="1"/>
  <c r="N22" i="3"/>
  <c r="N31" i="3" s="1"/>
  <c r="J22" i="3"/>
  <c r="J31" i="3" s="1"/>
  <c r="F22" i="3"/>
  <c r="F31" i="3" s="1"/>
  <c r="J24" i="3"/>
  <c r="J33" i="3" s="1"/>
  <c r="O21" i="3"/>
  <c r="K21" i="3"/>
  <c r="G21" i="3"/>
  <c r="P21" i="3"/>
  <c r="H22" i="3"/>
  <c r="H31" i="3" s="1"/>
  <c r="M22" i="3"/>
  <c r="M31" i="3" s="1"/>
  <c r="F21" i="3"/>
  <c r="L21" i="3"/>
  <c r="Q21" i="3"/>
  <c r="I22" i="3"/>
  <c r="I31" i="3" s="1"/>
  <c r="O22" i="3"/>
  <c r="O31" i="3" s="1"/>
  <c r="I24" i="3"/>
  <c r="I33" i="3" s="1"/>
  <c r="N24" i="3"/>
  <c r="N33" i="3" s="1"/>
  <c r="I25" i="3"/>
  <c r="I34" i="3" s="1"/>
  <c r="Q25" i="3"/>
  <c r="Q34" i="3" s="1"/>
  <c r="I26" i="3"/>
  <c r="I35" i="3" s="1"/>
  <c r="M26" i="3"/>
  <c r="M35" i="3" s="1"/>
  <c r="Q26" i="3"/>
  <c r="Q35" i="3" s="1"/>
  <c r="I23" i="3"/>
  <c r="I32" i="3" s="1"/>
  <c r="M23" i="3"/>
  <c r="M32" i="3" s="1"/>
  <c r="F26" i="3"/>
  <c r="F35" i="3" s="1"/>
  <c r="J26" i="3"/>
  <c r="J35" i="3" s="1"/>
  <c r="I27" i="3"/>
  <c r="I36" i="3" s="1"/>
  <c r="M27" i="3"/>
  <c r="M36" i="3" s="1"/>
  <c r="G7" i="2" l="1"/>
  <c r="I7" i="2"/>
  <c r="K7" i="2"/>
  <c r="L7" i="2"/>
  <c r="I64" i="3"/>
  <c r="I65" i="3" s="1"/>
  <c r="E7" i="2"/>
  <c r="J7" i="2"/>
  <c r="H7" i="2"/>
  <c r="M7" i="2"/>
  <c r="D7" i="2"/>
  <c r="F7" i="2"/>
  <c r="N7" i="2" s="1"/>
  <c r="C15" i="6"/>
  <c r="D15" i="6"/>
  <c r="N14" i="2"/>
  <c r="I69" i="3"/>
  <c r="N13" i="2"/>
  <c r="E6" i="2"/>
  <c r="E10" i="2" s="1"/>
  <c r="I6" i="2"/>
  <c r="I10" i="2" s="1"/>
  <c r="M6" i="2"/>
  <c r="H6" i="2"/>
  <c r="H10" i="2" s="1"/>
  <c r="F6" i="2"/>
  <c r="J6" i="2"/>
  <c r="D6" i="2"/>
  <c r="G6" i="2"/>
  <c r="G10" i="2" s="1"/>
  <c r="K6" i="2"/>
  <c r="K10" i="2" s="1"/>
  <c r="L6" i="2"/>
  <c r="L10" i="2" s="1"/>
  <c r="J63" i="3"/>
  <c r="H64" i="3"/>
  <c r="H65" i="3" s="1"/>
  <c r="R19" i="3"/>
  <c r="M28" i="3"/>
  <c r="L28" i="3"/>
  <c r="L30" i="3"/>
  <c r="L37" i="3" s="1"/>
  <c r="P28" i="3"/>
  <c r="P30" i="3"/>
  <c r="P37" i="3" s="1"/>
  <c r="H37" i="3"/>
  <c r="J28" i="3"/>
  <c r="I28" i="3"/>
  <c r="I30" i="3"/>
  <c r="I37" i="3" s="1"/>
  <c r="F30" i="3"/>
  <c r="F37" i="3" s="1"/>
  <c r="F28" i="3"/>
  <c r="G30" i="3"/>
  <c r="G37" i="3" s="1"/>
  <c r="G28" i="3"/>
  <c r="J37" i="3"/>
  <c r="Q28" i="3"/>
  <c r="Q30" i="3"/>
  <c r="Q37" i="3" s="1"/>
  <c r="O30" i="3"/>
  <c r="O37" i="3" s="1"/>
  <c r="O28" i="3"/>
  <c r="H28" i="3"/>
  <c r="K30" i="3"/>
  <c r="K37" i="3" s="1"/>
  <c r="K28" i="3"/>
  <c r="N30" i="3"/>
  <c r="N37" i="3" s="1"/>
  <c r="N28" i="3"/>
  <c r="M37" i="3"/>
  <c r="N16" i="2" l="1"/>
  <c r="F10" i="2"/>
  <c r="M10" i="2"/>
  <c r="J10" i="2"/>
  <c r="D10" i="2"/>
  <c r="F5" i="6"/>
  <c r="G5" i="6" s="1"/>
  <c r="E55" i="2"/>
  <c r="G55" i="2" s="1"/>
  <c r="E42" i="2"/>
  <c r="D42" i="2" s="1"/>
  <c r="K72" i="3"/>
  <c r="I70" i="3"/>
  <c r="C42" i="2"/>
  <c r="H70" i="3"/>
  <c r="C43" i="2" s="1"/>
  <c r="B55" i="2"/>
  <c r="M63" i="3"/>
  <c r="M64" i="3" s="1"/>
  <c r="M65" i="3" s="1"/>
  <c r="K64" i="3"/>
  <c r="K65" i="3" s="1"/>
  <c r="J69" i="3"/>
  <c r="J64" i="3"/>
  <c r="J65" i="3" s="1"/>
  <c r="R28" i="3"/>
  <c r="R37" i="3"/>
  <c r="H5" i="6" l="1"/>
  <c r="G56" i="2"/>
  <c r="E68" i="2"/>
  <c r="G68" i="2" s="1"/>
  <c r="G69" i="2" s="1"/>
  <c r="D55" i="2"/>
  <c r="I71" i="3"/>
  <c r="E43" i="2"/>
  <c r="D43" i="2" s="1"/>
  <c r="B42" i="2"/>
  <c r="F42" i="2"/>
  <c r="B43" i="2"/>
  <c r="J70" i="3"/>
  <c r="C44" i="2"/>
  <c r="B68" i="2" l="1"/>
  <c r="B56" i="2"/>
  <c r="E57" i="2"/>
  <c r="G57" i="2" s="1"/>
  <c r="I72" i="3"/>
  <c r="E44" i="2"/>
  <c r="D44" i="2" s="1"/>
  <c r="D56" i="2"/>
  <c r="B57" i="2" s="1"/>
  <c r="B44" i="2"/>
  <c r="F43" i="2"/>
  <c r="J71" i="3"/>
  <c r="C45" i="2"/>
  <c r="F44" i="2" l="1"/>
  <c r="E58" i="2"/>
  <c r="G58" i="2" s="1"/>
  <c r="B45" i="2"/>
  <c r="D57" i="2"/>
  <c r="B58" i="2" s="1"/>
  <c r="I73" i="3"/>
  <c r="E45" i="2"/>
  <c r="D45" i="2" s="1"/>
  <c r="C46" i="2"/>
  <c r="J72" i="3"/>
  <c r="E59" i="2" l="1"/>
  <c r="G59" i="2" s="1"/>
  <c r="B46" i="2"/>
  <c r="D58" i="2"/>
  <c r="B59" i="2" s="1"/>
  <c r="E46" i="2"/>
  <c r="D46" i="2" s="1"/>
  <c r="I74" i="3"/>
  <c r="F45" i="2"/>
  <c r="C47" i="2"/>
  <c r="J73" i="3"/>
  <c r="E60" i="2" l="1"/>
  <c r="G60" i="2" s="1"/>
  <c r="D59" i="2"/>
  <c r="B60" i="2" s="1"/>
  <c r="F46" i="2"/>
  <c r="I75" i="3"/>
  <c r="E47" i="2"/>
  <c r="D47" i="2" s="1"/>
  <c r="B47" i="2"/>
  <c r="C48" i="2"/>
  <c r="J74" i="3"/>
  <c r="F47" i="2" l="1"/>
  <c r="E61" i="2"/>
  <c r="G61" i="2" s="1"/>
  <c r="I76" i="3"/>
  <c r="E48" i="2"/>
  <c r="D48" i="2" s="1"/>
  <c r="D60" i="2"/>
  <c r="B61" i="2" s="1"/>
  <c r="B48" i="2"/>
  <c r="C49" i="2"/>
  <c r="J75" i="3"/>
  <c r="E62" i="2" l="1"/>
  <c r="G62" i="2" s="1"/>
  <c r="B49" i="2"/>
  <c r="F48" i="2"/>
  <c r="D61" i="2"/>
  <c r="I77" i="3"/>
  <c r="E49" i="2"/>
  <c r="D49" i="2" s="1"/>
  <c r="J76" i="3"/>
  <c r="E63" i="2" l="1"/>
  <c r="G63" i="2" s="1"/>
  <c r="I78" i="3"/>
  <c r="E50" i="2"/>
  <c r="D50" i="2" s="1"/>
  <c r="F49" i="2"/>
  <c r="H78" i="3"/>
  <c r="C50" i="2"/>
  <c r="B63" i="2"/>
  <c r="J77" i="3"/>
  <c r="E64" i="2" l="1"/>
  <c r="G64" i="2" s="1"/>
  <c r="D63" i="2"/>
  <c r="B64" i="2" s="1"/>
  <c r="D64" i="2" s="1"/>
  <c r="B50" i="2"/>
  <c r="F50" i="2"/>
  <c r="J78" i="3"/>
  <c r="C51" i="2"/>
  <c r="E51" i="2"/>
  <c r="D51" i="2" s="1"/>
  <c r="F16" i="6"/>
  <c r="G16" i="6" s="1"/>
  <c r="H16" i="6" s="1"/>
  <c r="C41" i="1"/>
  <c r="B38" i="1"/>
  <c r="D15" i="1"/>
  <c r="C19" i="1"/>
  <c r="D14" i="1"/>
  <c r="D13" i="1"/>
  <c r="D7" i="1"/>
  <c r="B27" i="1" s="1"/>
  <c r="D8" i="1"/>
  <c r="D9" i="1"/>
  <c r="D10" i="1"/>
  <c r="D12" i="1"/>
  <c r="B29" i="1" s="1"/>
  <c r="D6" i="1"/>
  <c r="E21" i="2" l="1"/>
  <c r="E30" i="2" s="1"/>
  <c r="I21" i="2"/>
  <c r="I30" i="2" s="1"/>
  <c r="M21" i="2"/>
  <c r="M30" i="2" s="1"/>
  <c r="F21" i="2"/>
  <c r="F30" i="2" s="1"/>
  <c r="J21" i="2"/>
  <c r="J30" i="2" s="1"/>
  <c r="B21" i="2"/>
  <c r="C21" i="2"/>
  <c r="C30" i="2" s="1"/>
  <c r="G21" i="2"/>
  <c r="G30" i="2" s="1"/>
  <c r="K21" i="2"/>
  <c r="K30" i="2" s="1"/>
  <c r="D21" i="2"/>
  <c r="D30" i="2" s="1"/>
  <c r="H21" i="2"/>
  <c r="H30" i="2" s="1"/>
  <c r="L21" i="2"/>
  <c r="L30" i="2" s="1"/>
  <c r="B41" i="1"/>
  <c r="B51" i="2"/>
  <c r="F51" i="2"/>
  <c r="D19" i="1"/>
  <c r="B35" i="2" s="1"/>
  <c r="B28" i="1"/>
  <c r="D28" i="1" s="1"/>
  <c r="F10" i="6" s="1"/>
  <c r="G10" i="6" s="1"/>
  <c r="H10" i="6" s="1"/>
  <c r="B30" i="1"/>
  <c r="D30" i="1" s="1"/>
  <c r="F12" i="6" s="1"/>
  <c r="G12" i="6" s="1"/>
  <c r="H12" i="6" s="1"/>
  <c r="N6" i="2"/>
  <c r="D27" i="1"/>
  <c r="E27" i="1" s="1"/>
  <c r="F27" i="1" s="1"/>
  <c r="G27" i="1" s="1"/>
  <c r="D29" i="1"/>
  <c r="B26" i="1"/>
  <c r="N21" i="2" l="1"/>
  <c r="B12" i="6" s="1"/>
  <c r="B30" i="2"/>
  <c r="N30" i="2" s="1"/>
  <c r="B31" i="2"/>
  <c r="C31" i="2"/>
  <c r="B31" i="1"/>
  <c r="E29" i="1"/>
  <c r="F29" i="1" s="1"/>
  <c r="G29" i="1" s="1"/>
  <c r="H29" i="1" s="1"/>
  <c r="F11" i="6"/>
  <c r="G11" i="6" s="1"/>
  <c r="H11" i="6" s="1"/>
  <c r="D20" i="1"/>
  <c r="B77" i="2"/>
  <c r="D77" i="2" s="1"/>
  <c r="E30" i="1"/>
  <c r="F30" i="1" s="1"/>
  <c r="G30" i="1" s="1"/>
  <c r="H30" i="1" s="1"/>
  <c r="E28" i="1"/>
  <c r="F28" i="1" s="1"/>
  <c r="G28" i="1" s="1"/>
  <c r="H28" i="1" s="1"/>
  <c r="N26" i="2"/>
  <c r="D26" i="1"/>
  <c r="H27" i="1"/>
  <c r="H31" i="1" l="1"/>
  <c r="E26" i="1"/>
  <c r="E31" i="1" s="1"/>
  <c r="C5" i="9" s="1"/>
  <c r="F7" i="6"/>
  <c r="F15" i="6"/>
  <c r="G15" i="6" s="1"/>
  <c r="B17" i="6"/>
  <c r="C17" i="6" s="1"/>
  <c r="D17" i="6" s="1"/>
  <c r="C13" i="6"/>
  <c r="F26" i="1"/>
  <c r="F31" i="1" s="1"/>
  <c r="D5" i="9" s="1"/>
  <c r="F17" i="6" l="1"/>
  <c r="E5" i="9"/>
  <c r="G7" i="6"/>
  <c r="B21" i="6"/>
  <c r="F13" i="6"/>
  <c r="B6" i="6" s="1"/>
  <c r="D13" i="6"/>
  <c r="G17" i="6"/>
  <c r="H15" i="6"/>
  <c r="H17" i="6" s="1"/>
  <c r="C9" i="5"/>
  <c r="G26" i="1"/>
  <c r="G31" i="1" s="1"/>
  <c r="C6" i="9" l="1"/>
  <c r="C7" i="9" s="1"/>
  <c r="C17" i="9" s="1"/>
  <c r="B22" i="6"/>
  <c r="C21" i="6"/>
  <c r="H7" i="6"/>
  <c r="G13" i="6"/>
  <c r="C6" i="6" s="1"/>
  <c r="N5" i="2"/>
  <c r="N10" i="2" s="1"/>
  <c r="D6" i="9" l="1"/>
  <c r="D7" i="9" s="1"/>
  <c r="D17" i="9" s="1"/>
  <c r="C22" i="6"/>
  <c r="D21" i="6"/>
  <c r="H13" i="6"/>
  <c r="D6" i="6" s="1"/>
  <c r="B5" i="6"/>
  <c r="C5" i="6" l="1"/>
  <c r="Q25" i="6"/>
  <c r="D5" i="6"/>
  <c r="E6" i="9"/>
  <c r="E7" i="9" s="1"/>
  <c r="E17" i="9" s="1"/>
  <c r="D22" i="6"/>
  <c r="B7" i="6"/>
  <c r="C4" i="5"/>
  <c r="B23" i="6" l="1"/>
  <c r="B25" i="6" s="1"/>
  <c r="H14" i="9"/>
  <c r="D7" i="6"/>
  <c r="C7" i="6"/>
  <c r="C23" i="6" s="1"/>
  <c r="B26" i="6" l="1"/>
  <c r="D23" i="6"/>
  <c r="D25" i="6" s="1"/>
  <c r="J14" i="9"/>
  <c r="C25" i="6"/>
  <c r="I14" i="9"/>
  <c r="E70" i="2"/>
  <c r="H13" i="9" l="1"/>
  <c r="H16" i="9" s="1"/>
  <c r="C26" i="6"/>
  <c r="D26" i="6"/>
  <c r="B27" i="6"/>
  <c r="G70" i="2"/>
  <c r="E71" i="2" s="1"/>
  <c r="H8" i="9" l="1"/>
  <c r="H23" i="10" s="1"/>
  <c r="C5" i="5"/>
  <c r="D27" i="6"/>
  <c r="J8" i="9" s="1"/>
  <c r="J23" i="10" s="1"/>
  <c r="J13" i="9"/>
  <c r="J16" i="9" s="1"/>
  <c r="C27" i="6"/>
  <c r="I13" i="9"/>
  <c r="I16" i="9" s="1"/>
  <c r="G71" i="2"/>
  <c r="E72" i="2" s="1"/>
  <c r="H9" i="9" l="1"/>
  <c r="H17" i="9" s="1"/>
  <c r="J9" i="9"/>
  <c r="J17" i="9" s="1"/>
  <c r="I8" i="9"/>
  <c r="G72" i="2"/>
  <c r="E73" i="2" s="1"/>
  <c r="I23" i="10" l="1"/>
  <c r="I9" i="9"/>
  <c r="I17" i="9" s="1"/>
  <c r="G73" i="2"/>
  <c r="E74" i="2" s="1"/>
  <c r="G74" i="2" l="1"/>
  <c r="E75" i="2" s="1"/>
  <c r="G75" i="2" l="1"/>
  <c r="E76" i="2" s="1"/>
  <c r="G76" i="2" l="1"/>
  <c r="E77" i="2" s="1"/>
  <c r="G77" i="2" s="1"/>
  <c r="D33" i="2"/>
  <c r="D34" i="2"/>
  <c r="I33" i="2"/>
  <c r="G33" i="2"/>
  <c r="F33" i="2"/>
  <c r="M34" i="2"/>
  <c r="M33" i="2"/>
  <c r="K33" i="2"/>
  <c r="J33" i="2"/>
  <c r="E33" i="2"/>
  <c r="H34" i="2"/>
  <c r="H33" i="2"/>
  <c r="E34" i="2"/>
  <c r="I34" i="2"/>
  <c r="L33" i="2"/>
  <c r="L34" i="2"/>
  <c r="G34" i="2"/>
  <c r="K34" i="2"/>
  <c r="J34" i="2"/>
  <c r="F34" i="2"/>
  <c r="C6" i="5"/>
  <c r="C7" i="5" s="1"/>
  <c r="C10" i="5" l="1"/>
  <c r="C8" i="5"/>
  <c r="C11" i="5" s="1"/>
  <c r="M36" i="2"/>
  <c r="N33" i="2"/>
  <c r="M35" i="2"/>
  <c r="N34" i="2"/>
  <c r="U28" i="3"/>
  <c r="B16" i="2"/>
  <c r="B33" i="2"/>
  <c r="B34" i="2"/>
  <c r="B36" i="2"/>
  <c r="C35" i="2"/>
  <c r="J35" i="2"/>
  <c r="J36" i="2"/>
  <c r="K35" i="2"/>
  <c r="K36" i="2"/>
  <c r="L35" i="2"/>
  <c r="L36" i="2"/>
  <c r="G36" i="2"/>
  <c r="H35" i="2"/>
  <c r="H36" i="2"/>
  <c r="I35" i="2"/>
  <c r="I36" i="2"/>
  <c r="C16" i="2"/>
  <c r="C33" i="2"/>
  <c r="C34" i="2"/>
  <c r="C36" i="2"/>
  <c r="D35" i="2"/>
  <c r="D36" i="2"/>
  <c r="E35" i="2"/>
  <c r="E36" i="2"/>
  <c r="F35" i="2"/>
  <c r="F36" i="2"/>
  <c r="G3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M9" authorId="0" shapeId="0" xr:uid="{25AC5546-926E-4EA2-9E7B-939EAD3794BC}">
      <text>
        <r>
          <rPr>
            <b/>
            <sz val="9"/>
            <color indexed="81"/>
            <rFont val="Tahoma"/>
            <family val="2"/>
          </rPr>
          <t>Auteur:</t>
        </r>
        <r>
          <rPr>
            <sz val="9"/>
            <color indexed="81"/>
            <rFont val="Tahoma"/>
            <family val="2"/>
          </rPr>
          <t xml:space="preserve">
Free transfer december month in Clean Mining account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G64" authorId="0" shapeId="0" xr:uid="{15A21EB3-B4FE-4657-8687-CBCC46F5EE19}">
      <text>
        <r>
          <rPr>
            <b/>
            <sz val="9"/>
            <color indexed="81"/>
            <rFont val="Tahoma"/>
            <family val="2"/>
          </rPr>
          <t xml:space="preserve">Actual 30% Taxes in France but legislation change every year, possibility to change the rate
</t>
        </r>
      </text>
    </comment>
    <comment ref="B79" authorId="0" shapeId="0" xr:uid="{06670332-F4B6-4ABC-826A-872697EE42F4}">
      <text>
        <r>
          <rPr>
            <b/>
            <sz val="9"/>
            <color indexed="81"/>
            <rFont val="Tahoma"/>
            <family val="2"/>
          </rPr>
          <t xml:space="preserve">Auteur: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8" authorId="0" shapeId="0" xr:uid="{F66EBDD2-895E-4B39-B1CE-4E6A231B9E43}">
      <text>
        <r>
          <rPr>
            <b/>
            <sz val="9"/>
            <color indexed="81"/>
            <rFont val="Tahoma"/>
            <family val="2"/>
          </rPr>
          <t>Auteur:</t>
        </r>
        <r>
          <rPr>
            <sz val="9"/>
            <color indexed="81"/>
            <rFont val="Tahoma"/>
            <family val="2"/>
          </rPr>
          <t xml:space="preserve">
Cryptocurrency don't be considered in stock. We have no taxe if the crypto is holding. 
</t>
        </r>
      </text>
    </comment>
    <comment ref="C14" authorId="0" shapeId="0" xr:uid="{1C51690E-65B9-4BC8-B0B2-74861E0027AC}">
      <text>
        <r>
          <rPr>
            <b/>
            <sz val="9"/>
            <color indexed="81"/>
            <rFont val="Tahoma"/>
            <family val="2"/>
          </rPr>
          <t>Auteur:</t>
        </r>
        <r>
          <rPr>
            <sz val="9"/>
            <color indexed="81"/>
            <rFont val="Tahoma"/>
            <family val="2"/>
          </rPr>
          <t xml:space="preserve">
CASH FLOW
</t>
        </r>
      </text>
    </comment>
    <comment ref="G14" authorId="0" shapeId="0" xr:uid="{2A671307-8712-48B8-951B-0F7971FED2C8}">
      <text>
        <r>
          <rPr>
            <b/>
            <sz val="9"/>
            <color indexed="81"/>
            <rFont val="Tahoma"/>
            <family val="2"/>
          </rPr>
          <t>Auteur:</t>
        </r>
        <r>
          <rPr>
            <sz val="9"/>
            <color indexed="81"/>
            <rFont val="Tahoma"/>
            <family val="2"/>
          </rPr>
          <t xml:space="preserve">
0,5 % + [ 0,9 % x ( CA – 3 000 000 ) / 7 000 000 ]
</t>
        </r>
      </text>
    </comment>
  </commentList>
</comments>
</file>

<file path=xl/sharedStrings.xml><?xml version="1.0" encoding="utf-8"?>
<sst xmlns="http://schemas.openxmlformats.org/spreadsheetml/2006/main" count="534" uniqueCount="271">
  <si>
    <t>Historical cost</t>
  </si>
  <si>
    <t>annual depreciation</t>
  </si>
  <si>
    <t>Net book value end year 1</t>
  </si>
  <si>
    <t xml:space="preserve">Net book value end year 2 </t>
  </si>
  <si>
    <t>Net book value end year 3</t>
  </si>
  <si>
    <t>Net book value end year 4</t>
  </si>
  <si>
    <t xml:space="preserve">Requierements costs </t>
  </si>
  <si>
    <t xml:space="preserve">Miners Ethereum </t>
  </si>
  <si>
    <t xml:space="preserve">Quantity </t>
  </si>
  <si>
    <t>Unity cost</t>
  </si>
  <si>
    <t>Total</t>
  </si>
  <si>
    <t>Miners Bitcoin</t>
  </si>
  <si>
    <t>Data room building</t>
  </si>
  <si>
    <t>Installation costs</t>
  </si>
  <si>
    <t xml:space="preserve">Printers </t>
  </si>
  <si>
    <t>Computers</t>
  </si>
  <si>
    <t>Internet and network security</t>
  </si>
  <si>
    <t>Office supplies</t>
  </si>
  <si>
    <t xml:space="preserve">Social network adds </t>
  </si>
  <si>
    <t>TOTAL</t>
  </si>
  <si>
    <t>Hydroelectric station</t>
  </si>
  <si>
    <t>Printers</t>
  </si>
  <si>
    <t xml:space="preserve">Web site </t>
  </si>
  <si>
    <t>useful life (years)</t>
  </si>
  <si>
    <t xml:space="preserve">Amount need : </t>
  </si>
  <si>
    <t>Capital share :</t>
  </si>
  <si>
    <t xml:space="preserve">Personnal contriubution </t>
  </si>
  <si>
    <t xml:space="preserve">Amount need </t>
  </si>
  <si>
    <t>Number of parts share :</t>
  </si>
  <si>
    <t xml:space="preserve">Price of parts share : </t>
  </si>
  <si>
    <t>No loan, an opening on the capital is prefering</t>
  </si>
  <si>
    <t>January</t>
  </si>
  <si>
    <t xml:space="preserve">February </t>
  </si>
  <si>
    <t>Total  cash receipts</t>
  </si>
  <si>
    <t>Variable expenses</t>
  </si>
  <si>
    <t>Fixed expenses</t>
  </si>
  <si>
    <t>Total  fixed expenses paid</t>
  </si>
  <si>
    <t>purchase of equipment</t>
  </si>
  <si>
    <t>Total money going out</t>
  </si>
  <si>
    <t>Depreciation schedule</t>
  </si>
  <si>
    <t>March</t>
  </si>
  <si>
    <t>April</t>
  </si>
  <si>
    <t>May</t>
  </si>
  <si>
    <t>June</t>
  </si>
  <si>
    <t>July</t>
  </si>
  <si>
    <t>September</t>
  </si>
  <si>
    <t>August</t>
  </si>
  <si>
    <t>October</t>
  </si>
  <si>
    <t>November</t>
  </si>
  <si>
    <t>December</t>
  </si>
  <si>
    <t>Estimate ROI</t>
  </si>
  <si>
    <t>Package Basique</t>
  </si>
  <si>
    <t>Package Boost</t>
  </si>
  <si>
    <t>Package Or</t>
  </si>
  <si>
    <t>Package Clean Mining</t>
  </si>
  <si>
    <t>Package Platinium</t>
  </si>
  <si>
    <t xml:space="preserve">Package Diamant </t>
  </si>
  <si>
    <t>Package Royal</t>
  </si>
  <si>
    <t>February</t>
  </si>
  <si>
    <t>NUMBER SALES</t>
  </si>
  <si>
    <t>Package revenue</t>
  </si>
  <si>
    <t xml:space="preserve">Estimate ROI </t>
  </si>
  <si>
    <t>Difference ROI / Revenue</t>
  </si>
  <si>
    <t>NEW 06/05/18 Eth 1000 Asic F3</t>
  </si>
  <si>
    <t>Per</t>
  </si>
  <si>
    <t>Ethereum mining</t>
  </si>
  <si>
    <t>Cost</t>
  </si>
  <si>
    <t>Profit</t>
  </si>
  <si>
    <t>Hour</t>
  </si>
  <si>
    <t>Day</t>
  </si>
  <si>
    <t>Week</t>
  </si>
  <si>
    <t>Month</t>
  </si>
  <si>
    <t>Year</t>
  </si>
  <si>
    <t>Ethereum Mining</t>
  </si>
  <si>
    <t xml:space="preserve">Rev, </t>
  </si>
  <si>
    <t>Bitcoin Mining</t>
  </si>
  <si>
    <t>NUMBER OF PACKAGES SALES</t>
  </si>
  <si>
    <t xml:space="preserve">Internet - Network security </t>
  </si>
  <si>
    <t>Hydroelectric station maintenance</t>
  </si>
  <si>
    <t>Pay roll taxes</t>
  </si>
  <si>
    <t>Salary</t>
  </si>
  <si>
    <t xml:space="preserve"> </t>
  </si>
  <si>
    <t>CEO</t>
  </si>
  <si>
    <t>Digital Marketer</t>
  </si>
  <si>
    <t>Administrative Assistant</t>
  </si>
  <si>
    <t>IT Security Expert</t>
  </si>
  <si>
    <t>Electrician (Part time)</t>
  </si>
  <si>
    <t>Month Salary</t>
  </si>
  <si>
    <t>Month Cost</t>
  </si>
  <si>
    <t>Year Costs</t>
  </si>
  <si>
    <t>Employees</t>
  </si>
  <si>
    <t>Month Cost for company</t>
  </si>
  <si>
    <t>Years Cost</t>
  </si>
  <si>
    <t>IT Expert</t>
  </si>
  <si>
    <t>Taxes</t>
  </si>
  <si>
    <t>ETHEREUM 670 € 06/05/18</t>
  </si>
  <si>
    <t>TABLE OF REVENUE</t>
  </si>
  <si>
    <t>ETH Mine</t>
  </si>
  <si>
    <t>BTC Mine</t>
  </si>
  <si>
    <t>Total Mine</t>
  </si>
  <si>
    <t>ETH costs</t>
  </si>
  <si>
    <t>BTC costs</t>
  </si>
  <si>
    <t>Total costs</t>
  </si>
  <si>
    <t>ESTIMATE SALE MONTH</t>
  </si>
  <si>
    <t xml:space="preserve">Eth Sale </t>
  </si>
  <si>
    <t>Total account</t>
  </si>
  <si>
    <t>Eth account</t>
  </si>
  <si>
    <t>Btc sale</t>
  </si>
  <si>
    <t>Btc account</t>
  </si>
  <si>
    <t>Total sale</t>
  </si>
  <si>
    <t>Taxes (30%)</t>
  </si>
  <si>
    <t>Bank account</t>
  </si>
  <si>
    <t>TABLE OF COSTS</t>
  </si>
  <si>
    <t>YEAR</t>
  </si>
  <si>
    <t>Ethereum sales</t>
  </si>
  <si>
    <t>Bitcoin sales</t>
  </si>
  <si>
    <t>Sales</t>
  </si>
  <si>
    <t>Packages Sales</t>
  </si>
  <si>
    <t>Power cost ETH</t>
  </si>
  <si>
    <t>Power cost BTC</t>
  </si>
  <si>
    <t>Accounting Fees</t>
  </si>
  <si>
    <t>Accounting fees</t>
  </si>
  <si>
    <t>ETHEREUM</t>
  </si>
  <si>
    <t>Number of customers</t>
  </si>
  <si>
    <t>Estimate amount</t>
  </si>
  <si>
    <t>CREDIT CARD (Transaction fees revenu 3%)</t>
  </si>
  <si>
    <t>SEPA TRANSFER (TFR 1%)</t>
  </si>
  <si>
    <t>BITCOIN</t>
  </si>
  <si>
    <t>Opening Balance Need</t>
  </si>
  <si>
    <t xml:space="preserve">Net Sales </t>
  </si>
  <si>
    <t>COGS</t>
  </si>
  <si>
    <t>Gross profit</t>
  </si>
  <si>
    <t>Expenses</t>
  </si>
  <si>
    <t>Total operating expenses</t>
  </si>
  <si>
    <t>Operating income</t>
  </si>
  <si>
    <t>Legal Fees</t>
  </si>
  <si>
    <t>Legal fees</t>
  </si>
  <si>
    <t>Bonus Salary</t>
  </si>
  <si>
    <t>Bonus Salary Taxes</t>
  </si>
  <si>
    <t>Miners Costs</t>
  </si>
  <si>
    <t xml:space="preserve">Total </t>
  </si>
  <si>
    <t>Depreciation (Miners)</t>
  </si>
  <si>
    <t xml:space="preserve">Break even point </t>
  </si>
  <si>
    <t>Net sales</t>
  </si>
  <si>
    <t>Contribution margin ratio</t>
  </si>
  <si>
    <t>Contribution margin</t>
  </si>
  <si>
    <t xml:space="preserve">BREAKEVEN POINT </t>
  </si>
  <si>
    <t xml:space="preserve"> Cash flow Statement for 2019</t>
  </si>
  <si>
    <t>FINANCIAL TABLE</t>
  </si>
  <si>
    <t>INCOME STATEMENT AS OF DECEMBER 31</t>
  </si>
  <si>
    <t xml:space="preserve">Salary </t>
  </si>
  <si>
    <t>Payroll taxes</t>
  </si>
  <si>
    <t xml:space="preserve">Source of funds </t>
  </si>
  <si>
    <t xml:space="preserve">Hydroelectric station </t>
  </si>
  <si>
    <t>Depreciation (Central)</t>
  </si>
  <si>
    <t>Rent</t>
  </si>
  <si>
    <t>Socials network adds and emailing</t>
  </si>
  <si>
    <t>Marketing expenses (Advertising, brochures)</t>
  </si>
  <si>
    <t>Marketing</t>
  </si>
  <si>
    <t>Advertising</t>
  </si>
  <si>
    <t>CRYPTO ACCOUNT BEFORE TRANSFER CLIENTS 2019</t>
  </si>
  <si>
    <t>Number Eth</t>
  </si>
  <si>
    <t>Number bitcoin</t>
  </si>
  <si>
    <t>CRYPTO ACCOUNT BEFORE TRANSFER CLIENTS 2019 (Eth = 670 € and Btc = 8200 €</t>
  </si>
  <si>
    <t>Transfer to clients</t>
  </si>
  <si>
    <t xml:space="preserve">Eth Mine </t>
  </si>
  <si>
    <t>Balance BTC</t>
  </si>
  <si>
    <t>Balance ETH</t>
  </si>
  <si>
    <t>The tables below, represents our cryptocurrency account, as long as this currency is not converted, it is not taxable. There is the income of customers who want to change euros or dollars in cryptocurrency and vice versa. References are in the Income tab</t>
  </si>
  <si>
    <t>Transfer Clean Mining Account client's 2%</t>
  </si>
  <si>
    <t>Final Balance ETH</t>
  </si>
  <si>
    <t>Final Balance BTC</t>
  </si>
  <si>
    <r>
      <t xml:space="preserve">CRYPTO ACCOUNT  TRANSFER CLIENTS CONVERSION  </t>
    </r>
    <r>
      <rPr>
        <b/>
        <sz val="11"/>
        <color rgb="FF0070C0"/>
        <rFont val="Calibri"/>
        <family val="2"/>
        <scheme val="minor"/>
      </rPr>
      <t>Currency to Cryptocurrency</t>
    </r>
    <r>
      <rPr>
        <b/>
        <sz val="11"/>
        <color theme="1"/>
        <rFont val="Calibri"/>
        <family val="2"/>
        <scheme val="minor"/>
      </rPr>
      <t xml:space="preserve">     (Eth = 670 € and Btc = 8200 €)</t>
    </r>
  </si>
  <si>
    <t>CRYPTO TO CURRENCY REVENUE</t>
  </si>
  <si>
    <t>CURRENCY TO CRYPTO REVENUE</t>
  </si>
  <si>
    <t>Transfer from clients</t>
  </si>
  <si>
    <t>Revenue Conversion %</t>
  </si>
  <si>
    <t>Cryptocurrency Entry</t>
  </si>
  <si>
    <t xml:space="preserve">Cryptocurrency Outgoinstock </t>
  </si>
  <si>
    <t>Depreciation (Computer)</t>
  </si>
  <si>
    <t>Depreciation (Printers)</t>
  </si>
  <si>
    <t>Depreciation (Office Supplies)</t>
  </si>
  <si>
    <t>Internet security network</t>
  </si>
  <si>
    <t>Gross wages</t>
  </si>
  <si>
    <t>Bonus salary</t>
  </si>
  <si>
    <t>Taxes bonus</t>
  </si>
  <si>
    <t>Depreciation</t>
  </si>
  <si>
    <t>Hydroelectric maintenance</t>
  </si>
  <si>
    <t>Transfer Conversion</t>
  </si>
  <si>
    <t>Depreciation (Data Room Build)</t>
  </si>
  <si>
    <t>Equity</t>
  </si>
  <si>
    <t>BALANCE SHEET</t>
  </si>
  <si>
    <t>Assets</t>
  </si>
  <si>
    <t>Assets net</t>
  </si>
  <si>
    <t>Share capital</t>
  </si>
  <si>
    <t>Capital released</t>
  </si>
  <si>
    <t>Interest expense</t>
  </si>
  <si>
    <t>Income before taxes</t>
  </si>
  <si>
    <t>Income tax</t>
  </si>
  <si>
    <t>Net income</t>
  </si>
  <si>
    <t>EQUITY</t>
  </si>
  <si>
    <t xml:space="preserve">ACTIVE </t>
  </si>
  <si>
    <t>PASSIVE</t>
  </si>
  <si>
    <t>Loan</t>
  </si>
  <si>
    <t>Suppliers</t>
  </si>
  <si>
    <t>Financial charges</t>
  </si>
  <si>
    <t>CHARGES</t>
  </si>
  <si>
    <t xml:space="preserve">Social and tax debts </t>
  </si>
  <si>
    <t xml:space="preserve">Tax CVAE </t>
  </si>
  <si>
    <t>Employer contribution</t>
  </si>
  <si>
    <t>Total charges</t>
  </si>
  <si>
    <t>IMMOBILIZED ASSETS</t>
  </si>
  <si>
    <t xml:space="preserve">CURRENT ASSETS </t>
  </si>
  <si>
    <t>Stock</t>
  </si>
  <si>
    <t>Customers receivables</t>
  </si>
  <si>
    <t>CASH ASSETS</t>
  </si>
  <si>
    <t>BALANCE CRYPTO 31 DECEMBER 2019</t>
  </si>
  <si>
    <t>BREAKDOWN BALANCE 2019 - 2020 - 2021 - 2022 SHAREHOLDERS</t>
  </si>
  <si>
    <t>Stock Crypto</t>
  </si>
  <si>
    <t>Distribuate</t>
  </si>
  <si>
    <t>Final Stock Crypto</t>
  </si>
  <si>
    <t>4 Years</t>
  </si>
  <si>
    <t>Prepaid Expenses</t>
  </si>
  <si>
    <t>Long term investment</t>
  </si>
  <si>
    <t>Total Current assets</t>
  </si>
  <si>
    <t>Total Cash Assets</t>
  </si>
  <si>
    <t xml:space="preserve">Conversion Cost </t>
  </si>
  <si>
    <t>Increase 39,94605%</t>
  </si>
  <si>
    <t>Increase 31,68567 %</t>
  </si>
  <si>
    <t>ESTIMATED REVENUS OF CONVERSION ( Average Customers --&gt; 1000 €)</t>
  </si>
  <si>
    <t>Estimation packages sales</t>
  </si>
  <si>
    <t>BTC 8200 €</t>
  </si>
  <si>
    <t>ETH = Ethereum</t>
  </si>
  <si>
    <t>BTC = Bitcoin</t>
  </si>
  <si>
    <t>SALARY</t>
  </si>
  <si>
    <t>2019</t>
  </si>
  <si>
    <t>2020</t>
  </si>
  <si>
    <t>2021</t>
  </si>
  <si>
    <t>Years</t>
  </si>
  <si>
    <t>2022</t>
  </si>
  <si>
    <t>BREAKDOWN BALANCE 2019 - 2020 - 2021 - 2022 SHAREHOLDERS FOR 20% Stock Transfer</t>
  </si>
  <si>
    <t>Net cash increase</t>
  </si>
  <si>
    <t xml:space="preserve">Beginning balance </t>
  </si>
  <si>
    <t>Ending balance</t>
  </si>
  <si>
    <t>Retained earning</t>
  </si>
  <si>
    <t>Treasury</t>
  </si>
  <si>
    <t>Optional Reserves</t>
  </si>
  <si>
    <t>BREAKDOWN BALANCE 2019 - 2020 - 2021 - 2022 SHAREHOLDERS FOR 35% Retained earning</t>
  </si>
  <si>
    <t xml:space="preserve">ROE (Return on equity) </t>
  </si>
  <si>
    <t>EBT (Earning before tax)</t>
  </si>
  <si>
    <t>Clean Mining</t>
  </si>
  <si>
    <t xml:space="preserve">Coinbase </t>
  </si>
  <si>
    <t>Coinhouse</t>
  </si>
  <si>
    <t>Binance</t>
  </si>
  <si>
    <t>Transfer fees crypto to crypto</t>
  </si>
  <si>
    <t>Transfer fees fiat to crypto</t>
  </si>
  <si>
    <t>Withdrawals account</t>
  </si>
  <si>
    <t>Free</t>
  </si>
  <si>
    <t>1,49 à 3,99%</t>
  </si>
  <si>
    <t xml:space="preserve">1 à 3 % </t>
  </si>
  <si>
    <t>6 à 10%</t>
  </si>
  <si>
    <t>No possible</t>
  </si>
  <si>
    <r>
      <t xml:space="preserve">CRYPTO ACCOUNT AFTER TRANSFER CLIENTS CONVERSION </t>
    </r>
    <r>
      <rPr>
        <b/>
        <sz val="11"/>
        <color rgb="FF0070C0"/>
        <rFont val="Calibri"/>
        <family val="2"/>
        <scheme val="minor"/>
      </rPr>
      <t>Cryptocurrency to Currency</t>
    </r>
    <r>
      <rPr>
        <b/>
        <sz val="11"/>
        <color theme="1"/>
        <rFont val="Calibri"/>
        <family val="2"/>
        <scheme val="minor"/>
      </rPr>
      <t xml:space="preserve">     (Eth = 670 € and Btc = 8200 €)</t>
    </r>
  </si>
  <si>
    <t xml:space="preserve">STOCK FINAL CRYPTOCURRENCY AFTER SHAREHOLDERS TRANSFER for 4 years </t>
  </si>
  <si>
    <t>Distribuate(20%)</t>
  </si>
  <si>
    <t>ETH 670€ 06/05/18</t>
  </si>
  <si>
    <t>BTC 8200€ 06/05/18</t>
  </si>
  <si>
    <t>Stock Cryptocurrency</t>
  </si>
  <si>
    <t>Potential Growth</t>
  </si>
  <si>
    <t xml:space="preserve">Stock Cryptocurrency </t>
  </si>
  <si>
    <t>Number of plants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</si>
</sst>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8" formatCode="#,##0.00\ &quot;€&quot;;[Red]\-#,##0.00\ &quot;€&quot;"/>
    <numFmt numFmtId="44" formatCode="_-* #,##0.00\ &quot;€&quot;_-;\-* #,##0.00\ &quot;€&quot;_-;_-* &quot;-&quot;??\ &quot;€&quot;_-;_-@_-"/>
    <numFmt numFmtId="43" formatCode="_-* #,##0.00\ _€_-;\-* #,##0.00\ _€_-;_-* &quot;-&quot;??\ _€_-;_-@_-"/>
    <numFmt numFmtId="164" formatCode="_-* #,##0\ _€_-;\-* #,##0\ _€_-;_-* &quot;-&quot;??\ _€_-;_-@_-"/>
    <numFmt numFmtId="165" formatCode="0.0%"/>
    <numFmt numFmtId="166" formatCode="_-[$$-409]* #,##0.00_ ;_-[$$-409]* \-#,##0.00\ ;_-[$$-409]* &quot;-&quot;??_ ;_-@_ "/>
    <numFmt numFmtId="167" formatCode="_-* #,##0.00\ [$€-40C]_-;\-* #,##0.00\ [$€-40C]_-;_-* &quot;-&quot;??\ [$€-40C]_-;_-@_-"/>
    <numFmt numFmtId="168" formatCode="_-* #,##0\ &quot;€&quot;_-;\-* #,##0\ &quot;€&quot;_-;_-* &quot;-&quot;??\ &quot;€&quot;_-;_-@_-"/>
    <numFmt numFmtId="169" formatCode="0.00000%"/>
    <numFmt numFmtId="170" formatCode="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sz val="11"/>
      <name val="Calibri"/>
      <family val="2"/>
      <scheme val="minor"/>
    </font>
    <font>
      <b/>
      <sz val="11"/>
      <color rgb="FF333333"/>
      <name val="Arial"/>
      <family val="2"/>
    </font>
    <font>
      <sz val="11"/>
      <color rgb="FF333333"/>
      <name val="Arial"/>
      <family val="2"/>
    </font>
    <font>
      <b/>
      <sz val="9"/>
      <color indexed="81"/>
      <name val="Tahoma"/>
      <family val="2"/>
    </font>
    <font>
      <sz val="11"/>
      <color theme="1"/>
      <name val="Arial"/>
      <family val="2"/>
    </font>
    <font>
      <b/>
      <sz val="11"/>
      <color theme="1"/>
      <name val="Arial"/>
      <family val="2"/>
    </font>
    <font>
      <b/>
      <sz val="16"/>
      <color theme="9" tint="-0.499984740745262"/>
      <name val="Arial"/>
      <family val="2"/>
    </font>
    <font>
      <b/>
      <sz val="11"/>
      <name val="Arial"/>
      <family val="2"/>
    </font>
    <font>
      <sz val="11"/>
      <name val="Arial"/>
      <family val="2"/>
    </font>
    <font>
      <b/>
      <sz val="20"/>
      <color theme="1"/>
      <name val="Calibri"/>
      <family val="2"/>
      <scheme val="minor"/>
    </font>
    <font>
      <b/>
      <sz val="28"/>
      <color theme="1"/>
      <name val="Calibri"/>
      <family val="2"/>
      <scheme val="minor"/>
    </font>
    <font>
      <sz val="11"/>
      <color rgb="FF00B050"/>
      <name val="Calibri"/>
      <family val="2"/>
      <scheme val="minor"/>
    </font>
    <font>
      <b/>
      <sz val="16"/>
      <color theme="1"/>
      <name val="Arial"/>
      <family val="2"/>
    </font>
    <font>
      <b/>
      <sz val="10"/>
      <color rgb="FF212121"/>
      <name val="Arial"/>
      <family val="2"/>
    </font>
    <font>
      <b/>
      <sz val="11"/>
      <color rgb="FF0070C0"/>
      <name val="Calibri"/>
      <family val="2"/>
      <scheme val="minor"/>
    </font>
    <font>
      <b/>
      <sz val="11"/>
      <color rgb="FFFF0000"/>
      <name val="Calibri"/>
      <family val="2"/>
      <scheme val="minor"/>
    </font>
    <font>
      <sz val="11"/>
      <color rgb="FF222222"/>
      <name val="Arial"/>
      <family val="2"/>
    </font>
    <font>
      <sz val="9"/>
      <color indexed="81"/>
      <name val="Tahoma"/>
      <family val="2"/>
    </font>
    <font>
      <b/>
      <sz val="16"/>
      <color theme="1"/>
      <name val="Calibri"/>
      <family val="2"/>
      <scheme val="minor"/>
    </font>
    <font>
      <i/>
      <sz val="11"/>
      <color theme="1"/>
      <name val="Calibri"/>
      <family val="2"/>
      <scheme val="minor"/>
    </font>
    <font>
      <b/>
      <sz val="12"/>
      <color theme="1"/>
      <name val="Calibri"/>
      <family val="2"/>
      <scheme val="minor"/>
    </font>
    <font>
      <b/>
      <sz val="12"/>
      <color theme="7" tint="-0.499984740745262"/>
      <name val="Calibri"/>
      <family val="2"/>
      <scheme val="minor"/>
    </font>
    <font>
      <sz val="10"/>
      <color theme="1"/>
      <name val="Calibri"/>
      <family val="2"/>
      <scheme val="minor"/>
    </font>
    <font>
      <b/>
      <sz val="18"/>
      <color theme="1"/>
      <name val="Calibri"/>
      <family val="2"/>
      <scheme val="minor"/>
    </font>
    <font>
      <b/>
      <sz val="2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rgb="FFFFFFFF"/>
        <bgColor indexed="64"/>
      </patternFill>
    </fill>
    <fill>
      <patternFill patternType="solid">
        <fgColor rgb="FFF5F5F5"/>
        <bgColor indexed="64"/>
      </patternFill>
    </fill>
    <fill>
      <patternFill patternType="solid">
        <fgColor rgb="FF92D050"/>
        <bgColor indexed="64"/>
      </patternFill>
    </fill>
    <fill>
      <patternFill patternType="solid">
        <fgColor rgb="FFFF0000"/>
        <bgColor indexed="64"/>
      </patternFill>
    </fill>
    <fill>
      <patternFill patternType="solid">
        <fgColor rgb="FF00FF00"/>
        <bgColor indexed="64"/>
      </patternFill>
    </fill>
    <fill>
      <patternFill patternType="solid">
        <fgColor theme="0" tint="-0.14999847407452621"/>
        <bgColor indexed="64"/>
      </patternFill>
    </fill>
    <fill>
      <patternFill patternType="solid">
        <fgColor rgb="FFB2B2B2"/>
        <bgColor indexed="64"/>
      </patternFill>
    </fill>
    <fill>
      <patternFill patternType="solid">
        <fgColor theme="0" tint="-4.9989318521683403E-2"/>
        <bgColor indexed="64"/>
      </patternFill>
    </fill>
    <fill>
      <patternFill patternType="solid">
        <fgColor rgb="FF2DF14E"/>
        <bgColor indexed="64"/>
      </patternFill>
    </fill>
  </fills>
  <borders count="3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style="thin">
        <color indexed="64"/>
      </top>
      <bottom style="thin">
        <color theme="9" tint="0.39997558519241921"/>
      </bottom>
      <diagonal/>
    </border>
    <border>
      <left style="thin">
        <color indexed="64"/>
      </left>
      <right style="thin">
        <color indexed="64"/>
      </right>
      <top style="thin">
        <color indexed="64"/>
      </top>
      <bottom style="thin">
        <color theme="9" tint="0.399975585192419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rgb="FFDDDDDD"/>
      </top>
      <bottom/>
      <diagonal/>
    </border>
    <border>
      <left style="medium">
        <color indexed="64"/>
      </left>
      <right style="medium">
        <color indexed="64"/>
      </right>
      <top style="medium">
        <color rgb="FFDDDDDD"/>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25">
    <xf numFmtId="0" fontId="0" fillId="0" borderId="0" xfId="0"/>
    <xf numFmtId="0" fontId="2" fillId="2" borderId="1" xfId="0" applyFont="1" applyFill="1" applyBorder="1" applyAlignment="1">
      <alignment horizontal="center" wrapText="1"/>
    </xf>
    <xf numFmtId="0" fontId="2" fillId="2" borderId="2" xfId="0" applyFont="1" applyFill="1" applyBorder="1"/>
    <xf numFmtId="0" fontId="0" fillId="2" borderId="1" xfId="0" applyFill="1" applyBorder="1" applyAlignment="1">
      <alignment horizontal="center" wrapText="1"/>
    </xf>
    <xf numFmtId="0" fontId="4" fillId="2" borderId="1" xfId="0" applyFont="1" applyFill="1" applyBorder="1" applyAlignment="1">
      <alignment horizontal="center" wrapText="1"/>
    </xf>
    <xf numFmtId="0" fontId="5" fillId="2" borderId="1" xfId="0" applyFont="1" applyFill="1" applyBorder="1" applyAlignment="1">
      <alignment horizontal="center" wrapText="1"/>
    </xf>
    <xf numFmtId="44" fontId="0" fillId="0" borderId="0" xfId="0" applyNumberFormat="1"/>
    <xf numFmtId="44" fontId="0" fillId="0" borderId="0" xfId="2" applyFont="1"/>
    <xf numFmtId="0" fontId="0" fillId="0" borderId="10" xfId="0" applyBorder="1"/>
    <xf numFmtId="0" fontId="0" fillId="0" borderId="12" xfId="0" applyBorder="1"/>
    <xf numFmtId="167" fontId="6" fillId="5" borderId="2" xfId="0" applyNumberFormat="1" applyFont="1" applyFill="1" applyBorder="1" applyAlignment="1">
      <alignment horizontal="left" wrapText="1"/>
    </xf>
    <xf numFmtId="167" fontId="7" fillId="5" borderId="14" xfId="0" applyNumberFormat="1" applyFont="1" applyFill="1" applyBorder="1" applyAlignment="1">
      <alignment vertical="top" wrapText="1"/>
    </xf>
    <xf numFmtId="167" fontId="7" fillId="6" borderId="15" xfId="0" applyNumberFormat="1" applyFont="1" applyFill="1" applyBorder="1" applyAlignment="1">
      <alignment vertical="top" wrapText="1"/>
    </xf>
    <xf numFmtId="167" fontId="7" fillId="5" borderId="15" xfId="0" applyNumberFormat="1" applyFont="1" applyFill="1" applyBorder="1" applyAlignment="1">
      <alignment vertical="top" wrapText="1"/>
    </xf>
    <xf numFmtId="167" fontId="7" fillId="6" borderId="16" xfId="0" applyNumberFormat="1" applyFont="1" applyFill="1" applyBorder="1" applyAlignment="1">
      <alignment vertical="top" wrapText="1"/>
    </xf>
    <xf numFmtId="0" fontId="0" fillId="0" borderId="12"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4" xfId="0" applyBorder="1"/>
    <xf numFmtId="0" fontId="0" fillId="0" borderId="2" xfId="0" applyFont="1" applyBorder="1"/>
    <xf numFmtId="0" fontId="0" fillId="0" borderId="17" xfId="0" applyFont="1" applyBorder="1" applyAlignment="1">
      <alignment horizontal="center"/>
    </xf>
    <xf numFmtId="0" fontId="0" fillId="0" borderId="2" xfId="0" applyFont="1" applyBorder="1" applyAlignment="1">
      <alignment horizontal="center"/>
    </xf>
    <xf numFmtId="0" fontId="0" fillId="0" borderId="13" xfId="0" applyFont="1" applyBorder="1" applyAlignment="1">
      <alignment horizontal="center"/>
    </xf>
    <xf numFmtId="0" fontId="0" fillId="0" borderId="14" xfId="0" applyFont="1" applyBorder="1"/>
    <xf numFmtId="44" fontId="0" fillId="0" borderId="0" xfId="2" applyFont="1" applyBorder="1" applyAlignment="1">
      <alignment horizontal="center"/>
    </xf>
    <xf numFmtId="44" fontId="0" fillId="0" borderId="14" xfId="2" applyFont="1" applyBorder="1" applyAlignment="1">
      <alignment horizontal="center"/>
    </xf>
    <xf numFmtId="0" fontId="2" fillId="0" borderId="2" xfId="0" applyFont="1" applyBorder="1"/>
    <xf numFmtId="0" fontId="2" fillId="0" borderId="17" xfId="0" applyFont="1" applyBorder="1" applyAlignment="1">
      <alignment horizontal="center"/>
    </xf>
    <xf numFmtId="44" fontId="2" fillId="0" borderId="2" xfId="0" applyNumberFormat="1" applyFont="1" applyBorder="1" applyAlignment="1">
      <alignment horizontal="center"/>
    </xf>
    <xf numFmtId="44" fontId="2" fillId="0" borderId="13" xfId="0" applyNumberFormat="1" applyFont="1" applyBorder="1" applyAlignment="1">
      <alignment horizontal="center"/>
    </xf>
    <xf numFmtId="167" fontId="7" fillId="5" borderId="18" xfId="0" applyNumberFormat="1" applyFont="1" applyFill="1" applyBorder="1" applyAlignment="1">
      <alignment vertical="top" wrapText="1"/>
    </xf>
    <xf numFmtId="167" fontId="7" fillId="5" borderId="2" xfId="0" applyNumberFormat="1" applyFont="1" applyFill="1" applyBorder="1" applyAlignment="1">
      <alignment vertical="top" wrapText="1"/>
    </xf>
    <xf numFmtId="167" fontId="6" fillId="5" borderId="2" xfId="0" applyNumberFormat="1" applyFont="1" applyFill="1" applyBorder="1" applyAlignment="1">
      <alignment vertical="top" wrapText="1"/>
    </xf>
    <xf numFmtId="167" fontId="7" fillId="5" borderId="19" xfId="0" applyNumberFormat="1" applyFont="1" applyFill="1" applyBorder="1" applyAlignment="1">
      <alignment vertical="top" wrapText="1"/>
    </xf>
    <xf numFmtId="167" fontId="6" fillId="7" borderId="2" xfId="0" applyNumberFormat="1" applyFont="1" applyFill="1" applyBorder="1" applyAlignment="1">
      <alignment horizontal="left" wrapText="1"/>
    </xf>
    <xf numFmtId="167" fontId="9" fillId="0" borderId="2" xfId="0" applyNumberFormat="1" applyFont="1" applyBorder="1"/>
    <xf numFmtId="0" fontId="9" fillId="0" borderId="0" xfId="0" applyFont="1"/>
    <xf numFmtId="0" fontId="10" fillId="4" borderId="0" xfId="0" applyFont="1" applyFill="1"/>
    <xf numFmtId="0" fontId="10" fillId="0" borderId="1" xfId="0" applyFont="1" applyBorder="1"/>
    <xf numFmtId="0" fontId="10" fillId="0" borderId="1" xfId="0" applyFont="1" applyBorder="1" applyAlignment="1">
      <alignment horizontal="center"/>
    </xf>
    <xf numFmtId="0" fontId="10" fillId="0" borderId="1" xfId="0" applyFont="1" applyFill="1" applyBorder="1" applyAlignment="1">
      <alignment horizontal="center"/>
    </xf>
    <xf numFmtId="0" fontId="9" fillId="3" borderId="6" xfId="0" applyFont="1" applyFill="1" applyBorder="1"/>
    <xf numFmtId="44" fontId="9" fillId="3" borderId="6" xfId="2" applyNumberFormat="1" applyFont="1" applyFill="1" applyBorder="1" applyAlignment="1">
      <alignment horizontal="center" vertical="center"/>
    </xf>
    <xf numFmtId="10" fontId="9" fillId="3" borderId="7" xfId="0" applyNumberFormat="1" applyFont="1" applyFill="1" applyBorder="1" applyAlignment="1">
      <alignment horizontal="center"/>
    </xf>
    <xf numFmtId="44" fontId="9" fillId="4" borderId="1" xfId="0" applyNumberFormat="1" applyFont="1" applyFill="1" applyBorder="1"/>
    <xf numFmtId="43" fontId="9" fillId="3" borderId="7" xfId="1" applyFont="1" applyFill="1" applyBorder="1" applyAlignment="1">
      <alignment horizontal="center"/>
    </xf>
    <xf numFmtId="0" fontId="9" fillId="0" borderId="6" xfId="0" applyFont="1" applyBorder="1"/>
    <xf numFmtId="44" fontId="9" fillId="0" borderId="6" xfId="2" applyNumberFormat="1" applyFont="1" applyBorder="1" applyAlignment="1">
      <alignment vertical="center"/>
    </xf>
    <xf numFmtId="10" fontId="9" fillId="0" borderId="7" xfId="0" applyNumberFormat="1" applyFont="1" applyBorder="1" applyAlignment="1">
      <alignment horizontal="center"/>
    </xf>
    <xf numFmtId="44" fontId="9" fillId="0" borderId="1" xfId="0" applyNumberFormat="1" applyFont="1" applyBorder="1"/>
    <xf numFmtId="43" fontId="9" fillId="0" borderId="7" xfId="1" applyFont="1" applyBorder="1" applyAlignment="1">
      <alignment horizontal="center"/>
    </xf>
    <xf numFmtId="44" fontId="9" fillId="3" borderId="6" xfId="2" applyNumberFormat="1" applyFont="1" applyFill="1" applyBorder="1" applyAlignment="1">
      <alignment vertical="center"/>
    </xf>
    <xf numFmtId="9" fontId="9" fillId="3" borderId="7" xfId="0" applyNumberFormat="1" applyFont="1" applyFill="1" applyBorder="1" applyAlignment="1">
      <alignment horizontal="center"/>
    </xf>
    <xf numFmtId="9" fontId="9" fillId="0" borderId="7" xfId="0" applyNumberFormat="1" applyFont="1" applyBorder="1" applyAlignment="1">
      <alignment horizontal="center"/>
    </xf>
    <xf numFmtId="165" fontId="9" fillId="0" borderId="7" xfId="0" applyNumberFormat="1" applyFont="1" applyBorder="1" applyAlignment="1">
      <alignment horizontal="center"/>
    </xf>
    <xf numFmtId="0" fontId="9" fillId="3" borderId="8" xfId="0" applyFont="1" applyFill="1" applyBorder="1"/>
    <xf numFmtId="44" fontId="9" fillId="3" borderId="8" xfId="2" applyNumberFormat="1" applyFont="1" applyFill="1" applyBorder="1" applyAlignment="1">
      <alignment vertical="center"/>
    </xf>
    <xf numFmtId="9" fontId="9" fillId="3" borderId="1" xfId="0" applyNumberFormat="1" applyFont="1" applyFill="1" applyBorder="1" applyAlignment="1">
      <alignment horizontal="center"/>
    </xf>
    <xf numFmtId="43" fontId="9" fillId="3" borderId="1" xfId="1" applyFont="1" applyFill="1" applyBorder="1" applyAlignment="1">
      <alignment horizontal="center"/>
    </xf>
    <xf numFmtId="44" fontId="9" fillId="3" borderId="7" xfId="2" applyFont="1" applyFill="1" applyBorder="1" applyAlignment="1">
      <alignment horizontal="center"/>
    </xf>
    <xf numFmtId="44" fontId="9" fillId="0" borderId="0" xfId="2" applyFont="1"/>
    <xf numFmtId="44" fontId="9" fillId="3" borderId="1" xfId="2" applyFont="1" applyFill="1" applyBorder="1" applyAlignment="1">
      <alignment horizontal="center"/>
    </xf>
    <xf numFmtId="43" fontId="10" fillId="0" borderId="1" xfId="0" applyNumberFormat="1" applyFont="1" applyBorder="1"/>
    <xf numFmtId="44" fontId="10" fillId="0" borderId="1" xfId="2" applyFont="1" applyBorder="1"/>
    <xf numFmtId="43" fontId="9" fillId="3" borderId="9" xfId="1" applyFont="1" applyFill="1" applyBorder="1" applyAlignment="1">
      <alignment horizontal="center"/>
    </xf>
    <xf numFmtId="44" fontId="9" fillId="3" borderId="9" xfId="2" applyFont="1" applyFill="1" applyBorder="1" applyAlignment="1">
      <alignment horizontal="center"/>
    </xf>
    <xf numFmtId="43" fontId="9" fillId="0" borderId="1" xfId="0" applyNumberFormat="1" applyFont="1" applyBorder="1"/>
    <xf numFmtId="43" fontId="9" fillId="0" borderId="0" xfId="0" applyNumberFormat="1" applyFont="1"/>
    <xf numFmtId="44" fontId="9" fillId="0" borderId="1" xfId="2" applyFont="1" applyBorder="1"/>
    <xf numFmtId="44" fontId="10" fillId="0" borderId="1" xfId="0" applyNumberFormat="1" applyFont="1" applyBorder="1"/>
    <xf numFmtId="0" fontId="9" fillId="0" borderId="19" xfId="0" applyFont="1" applyBorder="1"/>
    <xf numFmtId="167" fontId="6" fillId="7" borderId="2" xfId="0" applyNumberFormat="1" applyFont="1" applyFill="1" applyBorder="1" applyAlignment="1">
      <alignment vertical="top" wrapText="1"/>
    </xf>
    <xf numFmtId="167" fontId="6" fillId="7" borderId="13" xfId="0" applyNumberFormat="1" applyFont="1" applyFill="1" applyBorder="1" applyAlignment="1">
      <alignment vertical="top" wrapText="1"/>
    </xf>
    <xf numFmtId="167" fontId="10" fillId="7" borderId="13" xfId="0" applyNumberFormat="1" applyFont="1" applyFill="1" applyBorder="1"/>
    <xf numFmtId="167" fontId="6" fillId="8" borderId="2" xfId="0" applyNumberFormat="1" applyFont="1" applyFill="1" applyBorder="1" applyAlignment="1">
      <alignment vertical="top" wrapText="1"/>
    </xf>
    <xf numFmtId="9" fontId="11" fillId="9" borderId="2" xfId="0" applyNumberFormat="1" applyFont="1" applyFill="1" applyBorder="1"/>
    <xf numFmtId="167" fontId="13" fillId="5" borderId="2" xfId="0" applyNumberFormat="1" applyFont="1" applyFill="1" applyBorder="1" applyAlignment="1">
      <alignment vertical="top" wrapText="1"/>
    </xf>
    <xf numFmtId="167" fontId="13" fillId="5" borderId="18" xfId="0" applyNumberFormat="1" applyFont="1" applyFill="1" applyBorder="1" applyAlignment="1">
      <alignment vertical="top" wrapText="1"/>
    </xf>
    <xf numFmtId="167" fontId="12" fillId="5" borderId="2" xfId="0" applyNumberFormat="1" applyFont="1" applyFill="1" applyBorder="1" applyAlignment="1">
      <alignment vertical="top" wrapText="1"/>
    </xf>
    <xf numFmtId="164" fontId="13" fillId="5" borderId="18" xfId="1" applyNumberFormat="1" applyFont="1" applyFill="1" applyBorder="1" applyAlignment="1">
      <alignment vertical="top" wrapText="1"/>
    </xf>
    <xf numFmtId="164" fontId="13" fillId="5" borderId="2" xfId="1" applyNumberFormat="1" applyFont="1" applyFill="1" applyBorder="1" applyAlignment="1">
      <alignment vertical="top" wrapText="1"/>
    </xf>
    <xf numFmtId="167" fontId="7" fillId="5" borderId="0" xfId="0" applyNumberFormat="1" applyFont="1" applyFill="1" applyBorder="1" applyAlignment="1">
      <alignment vertical="top" wrapText="1"/>
    </xf>
    <xf numFmtId="167" fontId="7" fillId="5" borderId="20" xfId="0" applyNumberFormat="1" applyFont="1" applyFill="1" applyBorder="1" applyAlignment="1">
      <alignment vertical="top" wrapText="1"/>
    </xf>
    <xf numFmtId="167" fontId="7" fillId="5" borderId="13" xfId="0" applyNumberFormat="1" applyFont="1" applyFill="1" applyBorder="1" applyAlignment="1">
      <alignment vertical="top" wrapText="1"/>
    </xf>
    <xf numFmtId="0" fontId="9" fillId="0" borderId="2" xfId="0" applyFont="1" applyBorder="1"/>
    <xf numFmtId="167" fontId="12" fillId="7" borderId="2" xfId="0" applyNumberFormat="1" applyFont="1" applyFill="1" applyBorder="1" applyAlignment="1">
      <alignment horizontal="center" vertical="center" wrapText="1"/>
    </xf>
    <xf numFmtId="44" fontId="10" fillId="0" borderId="0" xfId="2" applyFont="1"/>
    <xf numFmtId="44" fontId="13" fillId="5" borderId="2" xfId="2" applyFont="1" applyFill="1" applyBorder="1" applyAlignment="1">
      <alignment vertical="top" wrapText="1"/>
    </xf>
    <xf numFmtId="0" fontId="10" fillId="10" borderId="2" xfId="0" applyFont="1" applyFill="1" applyBorder="1"/>
    <xf numFmtId="164" fontId="10" fillId="10" borderId="2" xfId="0" applyNumberFormat="1" applyFont="1" applyFill="1" applyBorder="1"/>
    <xf numFmtId="44" fontId="10" fillId="10" borderId="2" xfId="2" applyFont="1" applyFill="1" applyBorder="1"/>
    <xf numFmtId="167" fontId="12" fillId="10" borderId="2" xfId="0" applyNumberFormat="1" applyFont="1" applyFill="1" applyBorder="1" applyAlignment="1">
      <alignment vertical="top" wrapText="1"/>
    </xf>
    <xf numFmtId="0" fontId="0" fillId="0" borderId="2" xfId="0" applyBorder="1"/>
    <xf numFmtId="0" fontId="2" fillId="0" borderId="2" xfId="0" applyFont="1" applyBorder="1" applyAlignment="1">
      <alignment horizontal="center"/>
    </xf>
    <xf numFmtId="0" fontId="2" fillId="9" borderId="2" xfId="0" applyFont="1" applyFill="1" applyBorder="1"/>
    <xf numFmtId="0" fontId="3" fillId="0" borderId="2" xfId="0" applyFont="1" applyBorder="1"/>
    <xf numFmtId="0" fontId="16" fillId="0" borderId="0" xfId="0" applyFont="1"/>
    <xf numFmtId="0" fontId="0" fillId="2" borderId="1" xfId="0" applyFont="1" applyFill="1" applyBorder="1" applyAlignment="1">
      <alignment horizontal="center" wrapText="1"/>
    </xf>
    <xf numFmtId="0" fontId="0" fillId="0" borderId="0" xfId="0" applyAlignment="1">
      <alignment horizontal="center"/>
    </xf>
    <xf numFmtId="167" fontId="9" fillId="0" borderId="0" xfId="0" applyNumberFormat="1" applyFont="1"/>
    <xf numFmtId="0" fontId="2" fillId="0" borderId="0" xfId="0" applyFont="1"/>
    <xf numFmtId="168" fontId="0" fillId="0" borderId="0" xfId="2" applyNumberFormat="1" applyFont="1"/>
    <xf numFmtId="168" fontId="2" fillId="0" borderId="0" xfId="2" applyNumberFormat="1" applyFont="1"/>
    <xf numFmtId="168" fontId="0" fillId="2" borderId="0" xfId="2" applyNumberFormat="1" applyFont="1" applyFill="1"/>
    <xf numFmtId="168" fontId="2" fillId="2" borderId="0" xfId="2" applyNumberFormat="1" applyFont="1" applyFill="1" applyAlignment="1">
      <alignment horizontal="center"/>
    </xf>
    <xf numFmtId="168" fontId="2" fillId="2" borderId="1" xfId="2" applyNumberFormat="1" applyFont="1" applyFill="1" applyBorder="1" applyAlignment="1">
      <alignment horizontal="center"/>
    </xf>
    <xf numFmtId="168" fontId="0" fillId="2" borderId="1" xfId="2" applyNumberFormat="1" applyFont="1" applyFill="1" applyBorder="1" applyAlignment="1">
      <alignment horizontal="center"/>
    </xf>
    <xf numFmtId="168" fontId="4" fillId="2" borderId="1" xfId="2" applyNumberFormat="1" applyFont="1" applyFill="1" applyBorder="1" applyAlignment="1">
      <alignment horizontal="center"/>
    </xf>
    <xf numFmtId="168" fontId="5" fillId="2" borderId="1" xfId="2" applyNumberFormat="1" applyFont="1" applyFill="1" applyBorder="1" applyAlignment="1">
      <alignment horizontal="center"/>
    </xf>
    <xf numFmtId="168" fontId="2" fillId="10" borderId="2" xfId="2" applyNumberFormat="1" applyFont="1" applyFill="1" applyBorder="1"/>
    <xf numFmtId="168" fontId="0" fillId="0" borderId="2" xfId="2" applyNumberFormat="1" applyFont="1" applyBorder="1"/>
    <xf numFmtId="168" fontId="2" fillId="9" borderId="2" xfId="2" applyNumberFormat="1" applyFont="1" applyFill="1" applyBorder="1"/>
    <xf numFmtId="168" fontId="2" fillId="0" borderId="0" xfId="0" applyNumberFormat="1" applyFont="1"/>
    <xf numFmtId="168" fontId="20" fillId="2" borderId="1" xfId="2" applyNumberFormat="1" applyFont="1" applyFill="1" applyBorder="1" applyAlignment="1">
      <alignment horizontal="center"/>
    </xf>
    <xf numFmtId="0" fontId="3" fillId="2" borderId="2" xfId="0" applyFont="1" applyFill="1" applyBorder="1"/>
    <xf numFmtId="0" fontId="0" fillId="2" borderId="2" xfId="0" applyFill="1" applyBorder="1"/>
    <xf numFmtId="168" fontId="0" fillId="0" borderId="0" xfId="0" applyNumberFormat="1"/>
    <xf numFmtId="168" fontId="0" fillId="0" borderId="2" xfId="0" applyNumberFormat="1" applyBorder="1"/>
    <xf numFmtId="0" fontId="0" fillId="0" borderId="2" xfId="0" applyBorder="1" applyAlignment="1">
      <alignment horizontal="center"/>
    </xf>
    <xf numFmtId="0" fontId="2" fillId="2" borderId="18" xfId="0" applyFont="1" applyFill="1" applyBorder="1"/>
    <xf numFmtId="169" fontId="0" fillId="0" borderId="0" xfId="3" applyNumberFormat="1" applyFont="1"/>
    <xf numFmtId="168" fontId="2" fillId="0" borderId="2" xfId="2" applyNumberFormat="1" applyFont="1" applyBorder="1"/>
    <xf numFmtId="168" fontId="0" fillId="0" borderId="2" xfId="2" applyNumberFormat="1" applyFont="1" applyBorder="1" applyAlignment="1">
      <alignment horizontal="center"/>
    </xf>
    <xf numFmtId="168" fontId="0" fillId="0" borderId="0" xfId="2" applyNumberFormat="1" applyFont="1" applyAlignment="1">
      <alignment horizontal="center"/>
    </xf>
    <xf numFmtId="168" fontId="2" fillId="0" borderId="2" xfId="2" applyNumberFormat="1" applyFont="1" applyBorder="1" applyAlignment="1">
      <alignment horizontal="center"/>
    </xf>
    <xf numFmtId="168" fontId="2" fillId="0" borderId="2" xfId="0" applyNumberFormat="1" applyFont="1" applyBorder="1"/>
    <xf numFmtId="0" fontId="2" fillId="0" borderId="2" xfId="0" applyFont="1" applyBorder="1" applyAlignment="1">
      <alignment horizontal="center"/>
    </xf>
    <xf numFmtId="0" fontId="2" fillId="0" borderId="2" xfId="0" applyFont="1" applyBorder="1" applyAlignment="1">
      <alignment horizontal="center" vertical="center"/>
    </xf>
    <xf numFmtId="168" fontId="24" fillId="0" borderId="2" xfId="2" applyNumberFormat="1" applyFont="1" applyBorder="1"/>
    <xf numFmtId="0" fontId="0" fillId="0" borderId="0" xfId="0" applyBorder="1"/>
    <xf numFmtId="168" fontId="2" fillId="0" borderId="0" xfId="2" applyNumberFormat="1" applyFont="1" applyBorder="1" applyAlignment="1">
      <alignment horizontal="center"/>
    </xf>
    <xf numFmtId="0" fontId="23" fillId="0" borderId="0" xfId="0" applyFont="1" applyBorder="1"/>
    <xf numFmtId="168" fontId="1" fillId="0" borderId="2" xfId="2" applyNumberFormat="1" applyFont="1" applyBorder="1"/>
    <xf numFmtId="168" fontId="0" fillId="0" borderId="2" xfId="0" applyNumberFormat="1" applyBorder="1" applyAlignment="1">
      <alignment horizontal="center"/>
    </xf>
    <xf numFmtId="0" fontId="2" fillId="0" borderId="0" xfId="0" applyFont="1" applyAlignment="1">
      <alignment horizontal="left" vertical="center" wrapText="1"/>
    </xf>
    <xf numFmtId="0" fontId="2" fillId="0" borderId="18" xfId="0" applyFont="1" applyBorder="1"/>
    <xf numFmtId="168" fontId="2" fillId="0" borderId="18" xfId="0" applyNumberFormat="1" applyFont="1" applyBorder="1"/>
    <xf numFmtId="168" fontId="24" fillId="0" borderId="2" xfId="0" applyNumberFormat="1" applyFont="1" applyBorder="1"/>
    <xf numFmtId="0" fontId="24" fillId="0" borderId="2" xfId="0" applyFont="1" applyBorder="1"/>
    <xf numFmtId="10" fontId="0" fillId="0" borderId="0" xfId="3" applyNumberFormat="1" applyFont="1" applyAlignment="1">
      <alignment horizontal="center"/>
    </xf>
    <xf numFmtId="0" fontId="2" fillId="0" borderId="13" xfId="0" applyFont="1" applyBorder="1"/>
    <xf numFmtId="0" fontId="0" fillId="0" borderId="13" xfId="0" applyFont="1" applyBorder="1"/>
    <xf numFmtId="168" fontId="0" fillId="0" borderId="2" xfId="0" applyNumberFormat="1" applyFont="1" applyBorder="1"/>
    <xf numFmtId="168" fontId="0" fillId="0" borderId="19" xfId="0" applyNumberFormat="1" applyFont="1" applyBorder="1"/>
    <xf numFmtId="168" fontId="1" fillId="0" borderId="19" xfId="2" applyNumberFormat="1" applyFont="1" applyBorder="1"/>
    <xf numFmtId="168" fontId="2" fillId="0" borderId="19" xfId="0" applyNumberFormat="1" applyFont="1" applyBorder="1"/>
    <xf numFmtId="168" fontId="24" fillId="0" borderId="2" xfId="0" applyNumberFormat="1" applyFont="1" applyBorder="1" applyAlignment="1">
      <alignment horizontal="center"/>
    </xf>
    <xf numFmtId="168" fontId="2" fillId="0" borderId="2" xfId="0" applyNumberFormat="1" applyFont="1" applyBorder="1" applyAlignment="1">
      <alignment horizontal="center"/>
    </xf>
    <xf numFmtId="168" fontId="0" fillId="0" borderId="2" xfId="0" applyNumberFormat="1" applyFill="1" applyBorder="1" applyAlignment="1">
      <alignment horizontal="center"/>
    </xf>
    <xf numFmtId="168" fontId="0" fillId="2" borderId="2" xfId="0" applyNumberFormat="1" applyFill="1" applyBorder="1"/>
    <xf numFmtId="0" fontId="2" fillId="0" borderId="21" xfId="0" applyFont="1" applyBorder="1" applyAlignment="1">
      <alignment horizontal="center" vertical="center"/>
    </xf>
    <xf numFmtId="0" fontId="2" fillId="0" borderId="21" xfId="0" applyFont="1" applyBorder="1" applyAlignment="1">
      <alignment horizontal="center"/>
    </xf>
    <xf numFmtId="0" fontId="25" fillId="0" borderId="2" xfId="0" applyFont="1" applyBorder="1" applyAlignment="1">
      <alignment horizontal="center" vertical="center"/>
    </xf>
    <xf numFmtId="0" fontId="0" fillId="0" borderId="0" xfId="0" applyFont="1"/>
    <xf numFmtId="44" fontId="0" fillId="0" borderId="0" xfId="0" applyNumberFormat="1" applyFont="1"/>
    <xf numFmtId="44" fontId="0" fillId="0" borderId="2" xfId="0" applyNumberFormat="1" applyFont="1" applyBorder="1"/>
    <xf numFmtId="0" fontId="0" fillId="2" borderId="0" xfId="0" applyFont="1" applyFill="1"/>
    <xf numFmtId="0" fontId="2" fillId="2" borderId="2" xfId="0" applyFont="1" applyFill="1" applyBorder="1" applyAlignment="1">
      <alignment horizontal="center"/>
    </xf>
    <xf numFmtId="0" fontId="2" fillId="2" borderId="2" xfId="0" applyFont="1" applyFill="1" applyBorder="1" applyAlignment="1">
      <alignment horizontal="center" wrapText="1"/>
    </xf>
    <xf numFmtId="168" fontId="0" fillId="2" borderId="2" xfId="0" applyNumberFormat="1" applyFont="1" applyFill="1" applyBorder="1"/>
    <xf numFmtId="0" fontId="0" fillId="2" borderId="2" xfId="0" applyFont="1" applyFill="1" applyBorder="1" applyAlignment="1">
      <alignment horizontal="center"/>
    </xf>
    <xf numFmtId="168" fontId="0" fillId="2" borderId="2" xfId="2" applyNumberFormat="1" applyFont="1" applyFill="1" applyBorder="1"/>
    <xf numFmtId="168" fontId="0" fillId="0" borderId="2" xfId="0" applyNumberFormat="1" applyFont="1" applyBorder="1" applyAlignment="1">
      <alignment horizontal="left" indent="2"/>
    </xf>
    <xf numFmtId="0" fontId="0" fillId="0" borderId="2" xfId="0" applyFont="1" applyFill="1" applyBorder="1"/>
    <xf numFmtId="168" fontId="0" fillId="11" borderId="2" xfId="2" applyNumberFormat="1" applyFont="1" applyFill="1" applyBorder="1"/>
    <xf numFmtId="9" fontId="0" fillId="11" borderId="2" xfId="3" applyFont="1" applyFill="1" applyBorder="1"/>
    <xf numFmtId="164" fontId="0" fillId="11" borderId="2" xfId="1" applyNumberFormat="1" applyFont="1" applyFill="1" applyBorder="1"/>
    <xf numFmtId="0" fontId="26" fillId="0" borderId="18" xfId="0" applyFont="1" applyBorder="1"/>
    <xf numFmtId="0" fontId="18" fillId="0" borderId="27" xfId="0" applyFont="1" applyBorder="1" applyAlignment="1">
      <alignment wrapText="1"/>
    </xf>
    <xf numFmtId="0" fontId="6" fillId="5" borderId="2" xfId="0" applyFont="1" applyFill="1" applyBorder="1" applyAlignment="1">
      <alignment horizontal="left" wrapText="1"/>
    </xf>
    <xf numFmtId="166" fontId="6" fillId="5" borderId="2" xfId="0" applyNumberFormat="1" applyFont="1" applyFill="1" applyBorder="1" applyAlignment="1">
      <alignment horizontal="left" wrapText="1"/>
    </xf>
    <xf numFmtId="0" fontId="7" fillId="5" borderId="2" xfId="0" applyFont="1" applyFill="1" applyBorder="1" applyAlignment="1">
      <alignment vertical="top" wrapText="1"/>
    </xf>
    <xf numFmtId="166" fontId="7" fillId="5" borderId="2" xfId="0" applyNumberFormat="1" applyFont="1" applyFill="1" applyBorder="1" applyAlignment="1">
      <alignment vertical="top" wrapText="1"/>
    </xf>
    <xf numFmtId="0" fontId="7" fillId="6" borderId="2" xfId="0" applyFont="1" applyFill="1" applyBorder="1" applyAlignment="1">
      <alignment vertical="top" wrapText="1"/>
    </xf>
    <xf numFmtId="166" fontId="7" fillId="6" borderId="2" xfId="0" applyNumberFormat="1" applyFont="1" applyFill="1" applyBorder="1" applyAlignment="1">
      <alignment vertical="top" wrapText="1"/>
    </xf>
    <xf numFmtId="167" fontId="6" fillId="5" borderId="23" xfId="0" applyNumberFormat="1" applyFont="1" applyFill="1" applyBorder="1" applyAlignment="1">
      <alignment horizontal="left" wrapText="1"/>
    </xf>
    <xf numFmtId="167" fontId="6" fillId="5" borderId="21" xfId="0" applyNumberFormat="1" applyFont="1" applyFill="1" applyBorder="1" applyAlignment="1">
      <alignment horizontal="left" wrapText="1"/>
    </xf>
    <xf numFmtId="167" fontId="6" fillId="5" borderId="26" xfId="0" applyNumberFormat="1" applyFont="1" applyFill="1" applyBorder="1" applyAlignment="1">
      <alignment horizontal="left" wrapText="1"/>
    </xf>
    <xf numFmtId="167" fontId="9" fillId="0" borderId="19" xfId="0" applyNumberFormat="1" applyFont="1" applyBorder="1"/>
    <xf numFmtId="167" fontId="7" fillId="6" borderId="13" xfId="0" applyNumberFormat="1" applyFont="1" applyFill="1" applyBorder="1" applyAlignment="1">
      <alignment vertical="top" wrapText="1"/>
    </xf>
    <xf numFmtId="167" fontId="7" fillId="6" borderId="20" xfId="0" applyNumberFormat="1" applyFont="1" applyFill="1" applyBorder="1" applyAlignment="1">
      <alignment vertical="top" wrapText="1"/>
    </xf>
    <xf numFmtId="167" fontId="9" fillId="0" borderId="18" xfId="0" applyNumberFormat="1" applyFont="1" applyBorder="1"/>
    <xf numFmtId="167" fontId="9" fillId="0" borderId="24" xfId="0" applyNumberFormat="1" applyFont="1" applyBorder="1"/>
    <xf numFmtId="44" fontId="7" fillId="5" borderId="2" xfId="2" applyFont="1" applyFill="1" applyBorder="1" applyAlignment="1">
      <alignment vertical="top" wrapText="1"/>
    </xf>
    <xf numFmtId="166" fontId="7" fillId="5" borderId="2" xfId="2" applyNumberFormat="1" applyFont="1" applyFill="1" applyBorder="1" applyAlignment="1">
      <alignment vertical="top" wrapText="1"/>
    </xf>
    <xf numFmtId="44" fontId="7" fillId="6" borderId="2" xfId="2" applyFont="1" applyFill="1" applyBorder="1" applyAlignment="1">
      <alignment vertical="top" wrapText="1"/>
    </xf>
    <xf numFmtId="166" fontId="7" fillId="6" borderId="2" xfId="2" applyNumberFormat="1" applyFont="1" applyFill="1" applyBorder="1" applyAlignment="1">
      <alignment vertical="top" wrapText="1"/>
    </xf>
    <xf numFmtId="0" fontId="0" fillId="0" borderId="19" xfId="0" applyBorder="1"/>
    <xf numFmtId="0" fontId="10" fillId="0" borderId="24" xfId="0" applyFont="1" applyBorder="1" applyAlignment="1"/>
    <xf numFmtId="0" fontId="10" fillId="0" borderId="20" xfId="0" applyFont="1" applyBorder="1" applyAlignment="1"/>
    <xf numFmtId="0" fontId="3" fillId="0" borderId="2" xfId="0" applyFont="1" applyFill="1" applyBorder="1" applyAlignment="1">
      <alignment horizontal="center" vertical="center"/>
    </xf>
    <xf numFmtId="0" fontId="3" fillId="2" borderId="2" xfId="0" applyFont="1" applyFill="1" applyBorder="1" applyAlignment="1">
      <alignment horizontal="center"/>
    </xf>
    <xf numFmtId="0" fontId="2" fillId="0" borderId="2" xfId="0" applyFont="1" applyFill="1" applyBorder="1" applyAlignment="1">
      <alignment horizontal="center" vertical="center"/>
    </xf>
    <xf numFmtId="168" fontId="4" fillId="2" borderId="2" xfId="2" applyNumberFormat="1" applyFont="1" applyFill="1" applyBorder="1"/>
    <xf numFmtId="168" fontId="0" fillId="0" borderId="13" xfId="0" applyNumberFormat="1" applyFill="1" applyBorder="1"/>
    <xf numFmtId="168" fontId="0" fillId="0" borderId="2" xfId="2" applyNumberFormat="1" applyFont="1" applyFill="1" applyBorder="1"/>
    <xf numFmtId="168" fontId="5" fillId="2" borderId="2" xfId="2" applyNumberFormat="1" applyFont="1" applyFill="1" applyBorder="1"/>
    <xf numFmtId="168" fontId="0" fillId="0" borderId="2" xfId="0" applyNumberFormat="1" applyFill="1" applyBorder="1"/>
    <xf numFmtId="168" fontId="2" fillId="0" borderId="13" xfId="0" applyNumberFormat="1" applyFont="1" applyFill="1" applyBorder="1"/>
    <xf numFmtId="168" fontId="2" fillId="0" borderId="2" xfId="2" applyNumberFormat="1" applyFont="1" applyFill="1" applyBorder="1"/>
    <xf numFmtId="168" fontId="0" fillId="0" borderId="20" xfId="0" applyNumberFormat="1" applyFill="1" applyBorder="1"/>
    <xf numFmtId="168" fontId="0" fillId="0" borderId="18" xfId="2" applyNumberFormat="1" applyFont="1" applyFill="1" applyBorder="1"/>
    <xf numFmtId="168" fontId="2" fillId="2" borderId="2" xfId="2" applyNumberFormat="1" applyFont="1" applyFill="1" applyBorder="1"/>
    <xf numFmtId="168" fontId="4" fillId="2" borderId="18" xfId="2" applyNumberFormat="1" applyFont="1" applyFill="1" applyBorder="1"/>
    <xf numFmtId="168" fontId="2" fillId="2" borderId="18" xfId="2" applyNumberFormat="1" applyFont="1" applyFill="1" applyBorder="1"/>
    <xf numFmtId="168" fontId="21" fillId="0" borderId="0" xfId="0" applyNumberFormat="1" applyFont="1"/>
    <xf numFmtId="44" fontId="0" fillId="0" borderId="4" xfId="2" applyFont="1" applyBorder="1" applyAlignment="1">
      <alignment horizontal="left" indent="1"/>
    </xf>
    <xf numFmtId="44" fontId="0" fillId="0" borderId="1" xfId="2" applyFont="1" applyBorder="1" applyAlignment="1">
      <alignment horizontal="left" vertical="center" indent="1"/>
    </xf>
    <xf numFmtId="44" fontId="0" fillId="0" borderId="1" xfId="2" applyFont="1" applyBorder="1" applyAlignment="1">
      <alignment horizontal="left" indent="1"/>
    </xf>
    <xf numFmtId="44" fontId="0" fillId="0" borderId="8" xfId="2" applyFont="1" applyBorder="1" applyAlignment="1">
      <alignment horizontal="left" vertical="center" indent="1"/>
    </xf>
    <xf numFmtId="44" fontId="0" fillId="0" borderId="10" xfId="2" applyFont="1" applyBorder="1" applyAlignment="1">
      <alignment horizontal="left" indent="1"/>
    </xf>
    <xf numFmtId="44" fontId="0" fillId="0" borderId="9" xfId="2" applyFont="1" applyBorder="1" applyAlignment="1">
      <alignment horizontal="left" vertical="center" indent="1"/>
    </xf>
    <xf numFmtId="44" fontId="0" fillId="0" borderId="9" xfId="2" applyFont="1" applyBorder="1" applyAlignment="1">
      <alignment horizontal="left" indent="1"/>
    </xf>
    <xf numFmtId="44" fontId="0" fillId="0" borderId="5" xfId="2" applyFont="1" applyBorder="1" applyAlignment="1">
      <alignment horizontal="left" vertical="center" indent="1"/>
    </xf>
    <xf numFmtId="0" fontId="0" fillId="0" borderId="0" xfId="0" applyAlignment="1">
      <alignment horizontal="left" indent="1"/>
    </xf>
    <xf numFmtId="44" fontId="0" fillId="0" borderId="17" xfId="0" applyNumberFormat="1" applyBorder="1" applyAlignment="1">
      <alignment horizontal="left" indent="1"/>
    </xf>
    <xf numFmtId="44" fontId="0" fillId="0" borderId="13" xfId="0" applyNumberFormat="1" applyBorder="1" applyAlignment="1">
      <alignment horizontal="left" indent="1"/>
    </xf>
    <xf numFmtId="170" fontId="0" fillId="0" borderId="2" xfId="3" applyNumberFormat="1" applyFont="1" applyBorder="1"/>
    <xf numFmtId="168" fontId="27" fillId="0" borderId="2" xfId="2" applyNumberFormat="1" applyFont="1" applyFill="1" applyBorder="1"/>
    <xf numFmtId="0" fontId="29" fillId="0" borderId="2" xfId="0" applyFont="1" applyBorder="1"/>
    <xf numFmtId="0" fontId="0" fillId="0" borderId="0" xfId="0" applyBorder="1" applyAlignment="1"/>
    <xf numFmtId="168" fontId="0" fillId="0" borderId="12" xfId="2" applyNumberFormat="1" applyFont="1" applyBorder="1"/>
    <xf numFmtId="168" fontId="0" fillId="0" borderId="3" xfId="2" applyNumberFormat="1" applyFont="1" applyBorder="1"/>
    <xf numFmtId="168" fontId="0" fillId="0" borderId="11" xfId="2" applyNumberFormat="1" applyFont="1" applyBorder="1"/>
    <xf numFmtId="168" fontId="0" fillId="0" borderId="10" xfId="2" applyNumberFormat="1" applyFont="1" applyBorder="1"/>
    <xf numFmtId="9" fontId="2" fillId="0" borderId="2" xfId="3" applyFont="1" applyFill="1" applyBorder="1"/>
    <xf numFmtId="164" fontId="2" fillId="0" borderId="2" xfId="1" applyNumberFormat="1" applyFont="1" applyFill="1" applyBorder="1"/>
    <xf numFmtId="44" fontId="0" fillId="0" borderId="1" xfId="2" applyFont="1" applyBorder="1"/>
    <xf numFmtId="168" fontId="9" fillId="0" borderId="0" xfId="0" applyNumberFormat="1" applyFont="1"/>
    <xf numFmtId="168" fontId="0" fillId="12" borderId="0" xfId="2" applyNumberFormat="1" applyFont="1" applyFill="1"/>
    <xf numFmtId="168" fontId="0" fillId="0" borderId="1" xfId="2" applyNumberFormat="1" applyFont="1" applyBorder="1"/>
    <xf numFmtId="168" fontId="2" fillId="0" borderId="1" xfId="2" applyNumberFormat="1" applyFont="1" applyBorder="1"/>
    <xf numFmtId="168" fontId="2" fillId="0" borderId="2" xfId="0" applyNumberFormat="1" applyFont="1" applyFill="1" applyBorder="1" applyAlignment="1">
      <alignment horizontal="center"/>
    </xf>
    <xf numFmtId="0" fontId="0" fillId="0" borderId="0" xfId="0" applyAlignment="1">
      <alignment horizontal="center"/>
    </xf>
    <xf numFmtId="0" fontId="0" fillId="13" borderId="0" xfId="0" applyFill="1" applyAlignment="1">
      <alignment horizontal="center"/>
    </xf>
    <xf numFmtId="0" fontId="0" fillId="13" borderId="0" xfId="0" applyFill="1"/>
    <xf numFmtId="0" fontId="2" fillId="13" borderId="0" xfId="0" applyFont="1" applyFill="1"/>
    <xf numFmtId="0" fontId="9" fillId="0" borderId="0" xfId="0" applyFont="1" applyBorder="1"/>
    <xf numFmtId="168" fontId="1" fillId="0" borderId="0" xfId="2" applyNumberFormat="1" applyFont="1" applyBorder="1"/>
    <xf numFmtId="168" fontId="0" fillId="0" borderId="0" xfId="2" applyNumberFormat="1" applyFont="1" applyBorder="1"/>
    <xf numFmtId="168" fontId="2" fillId="0" borderId="0" xfId="2" applyNumberFormat="1" applyFont="1" applyFill="1" applyBorder="1"/>
    <xf numFmtId="0" fontId="2" fillId="0" borderId="2" xfId="0" applyFont="1" applyBorder="1" applyAlignment="1">
      <alignment horizontal="left"/>
    </xf>
    <xf numFmtId="168" fontId="24" fillId="0" borderId="2" xfId="0" applyNumberFormat="1" applyFont="1" applyFill="1" applyBorder="1"/>
    <xf numFmtId="168" fontId="2" fillId="13" borderId="2" xfId="0" applyNumberFormat="1" applyFont="1" applyFill="1" applyBorder="1"/>
    <xf numFmtId="164" fontId="0" fillId="0" borderId="2" xfId="1" applyNumberFormat="1" applyFont="1" applyBorder="1"/>
    <xf numFmtId="164" fontId="0" fillId="0" borderId="2" xfId="1" applyNumberFormat="1" applyFont="1" applyBorder="1" applyAlignment="1">
      <alignment horizontal="center" vertical="center"/>
    </xf>
    <xf numFmtId="10" fontId="2" fillId="0" borderId="2" xfId="3" applyNumberFormat="1" applyFont="1" applyBorder="1"/>
    <xf numFmtId="167" fontId="13" fillId="0" borderId="2" xfId="0" applyNumberFormat="1" applyFont="1" applyBorder="1"/>
    <xf numFmtId="0" fontId="0" fillId="0" borderId="0" xfId="0" applyAlignment="1">
      <alignment horizontal="left"/>
    </xf>
    <xf numFmtId="0" fontId="0" fillId="0" borderId="0" xfId="0" applyBorder="1" applyAlignment="1">
      <alignment horizontal="center" wrapText="1"/>
    </xf>
    <xf numFmtId="0" fontId="2" fillId="0" borderId="0" xfId="0" applyFont="1" applyBorder="1" applyAlignment="1">
      <alignment horizontal="center"/>
    </xf>
    <xf numFmtId="9" fontId="2" fillId="0" borderId="0" xfId="0" applyNumberFormat="1" applyFont="1" applyBorder="1" applyAlignment="1">
      <alignment horizontal="center"/>
    </xf>
    <xf numFmtId="0" fontId="0" fillId="0" borderId="0" xfId="0" applyBorder="1" applyAlignment="1">
      <alignment horizontal="center"/>
    </xf>
    <xf numFmtId="8" fontId="0" fillId="0" borderId="0" xfId="0" applyNumberFormat="1" applyBorder="1" applyAlignment="1">
      <alignment horizontal="center"/>
    </xf>
    <xf numFmtId="10" fontId="0" fillId="0" borderId="0" xfId="0" applyNumberFormat="1" applyBorder="1" applyAlignment="1">
      <alignment horizontal="center"/>
    </xf>
    <xf numFmtId="0" fontId="4" fillId="0" borderId="0" xfId="0" applyFont="1" applyAlignment="1">
      <alignment horizontal="left"/>
    </xf>
    <xf numFmtId="0" fontId="3" fillId="0" borderId="17" xfId="0" applyFont="1" applyBorder="1" applyAlignment="1">
      <alignment horizontal="center"/>
    </xf>
    <xf numFmtId="0" fontId="3" fillId="0" borderId="13" xfId="0" applyFont="1" applyBorder="1" applyAlignment="1">
      <alignment horizontal="center"/>
    </xf>
    <xf numFmtId="0" fontId="3" fillId="0" borderId="0" xfId="0" applyFont="1" applyBorder="1" applyAlignment="1">
      <alignment horizontal="center"/>
    </xf>
    <xf numFmtId="0" fontId="3" fillId="0" borderId="0" xfId="0" applyFont="1" applyBorder="1" applyAlignment="1"/>
    <xf numFmtId="44" fontId="0" fillId="0" borderId="9" xfId="2" applyFont="1" applyBorder="1" applyAlignment="1">
      <alignment horizontal="center" vertical="center"/>
    </xf>
    <xf numFmtId="44" fontId="0" fillId="0" borderId="5" xfId="2" applyFont="1" applyBorder="1" applyAlignment="1">
      <alignment horizontal="center" vertical="center"/>
    </xf>
    <xf numFmtId="0" fontId="0" fillId="0" borderId="5" xfId="0" applyBorder="1"/>
    <xf numFmtId="0" fontId="0" fillId="0" borderId="0" xfId="0" quotePrefix="1"/>
    <xf numFmtId="0" fontId="0" fillId="0" borderId="8" xfId="0" applyBorder="1"/>
    <xf numFmtId="44" fontId="0" fillId="0" borderId="3" xfId="2" applyFont="1" applyBorder="1"/>
    <xf numFmtId="44" fontId="0" fillId="0" borderId="11" xfId="2" applyFont="1" applyBorder="1"/>
    <xf numFmtId="44" fontId="0" fillId="0" borderId="9" xfId="2" applyFont="1" applyBorder="1"/>
    <xf numFmtId="0" fontId="0" fillId="0" borderId="18" xfId="0" applyBorder="1" applyAlignment="1">
      <alignment horizontal="center"/>
    </xf>
    <xf numFmtId="0" fontId="0" fillId="0" borderId="14" xfId="0" applyBorder="1" applyAlignment="1">
      <alignment horizontal="center"/>
    </xf>
    <xf numFmtId="0" fontId="0" fillId="0" borderId="21" xfId="0" applyBorder="1" applyAlignment="1">
      <alignment horizontal="center"/>
    </xf>
    <xf numFmtId="168" fontId="0" fillId="0" borderId="18" xfId="0" applyNumberFormat="1" applyBorder="1" applyAlignment="1">
      <alignment horizontal="center" vertical="center"/>
    </xf>
    <xf numFmtId="168" fontId="0" fillId="0" borderId="14" xfId="0" applyNumberFormat="1" applyBorder="1" applyAlignment="1">
      <alignment horizontal="center" vertical="center"/>
    </xf>
    <xf numFmtId="168" fontId="0" fillId="0" borderId="21" xfId="0" applyNumberFormat="1" applyBorder="1" applyAlignment="1">
      <alignment horizontal="center" vertical="center"/>
    </xf>
    <xf numFmtId="44" fontId="0" fillId="0" borderId="10" xfId="2" applyFont="1" applyBorder="1"/>
    <xf numFmtId="44" fontId="0" fillId="0" borderId="2" xfId="2" applyFont="1" applyBorder="1"/>
    <xf numFmtId="0" fontId="15" fillId="0" borderId="2" xfId="0" applyFont="1" applyBorder="1" applyAlignment="1">
      <alignment horizontal="center"/>
    </xf>
    <xf numFmtId="0" fontId="14" fillId="2" borderId="2" xfId="0" applyFont="1" applyFill="1" applyBorder="1" applyAlignment="1">
      <alignment horizontal="center" wrapText="1"/>
    </xf>
    <xf numFmtId="0" fontId="2" fillId="0" borderId="2" xfId="0" applyFont="1" applyBorder="1" applyAlignment="1">
      <alignment horizontal="center"/>
    </xf>
    <xf numFmtId="0" fontId="2" fillId="0" borderId="19"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18" fillId="0" borderId="2" xfId="0" applyFont="1" applyBorder="1" applyAlignment="1">
      <alignment horizontal="center" wrapText="1"/>
    </xf>
    <xf numFmtId="0" fontId="17" fillId="0" borderId="0" xfId="0" applyFont="1" applyAlignment="1">
      <alignment horizontal="center" vertical="center" wrapText="1"/>
    </xf>
    <xf numFmtId="0" fontId="9" fillId="0" borderId="2" xfId="0" applyFont="1" applyBorder="1" applyAlignment="1">
      <alignment horizontal="center" wrapText="1"/>
    </xf>
    <xf numFmtId="0" fontId="10" fillId="0" borderId="19" xfId="0" applyFont="1" applyBorder="1" applyAlignment="1">
      <alignment horizontal="center"/>
    </xf>
    <xf numFmtId="0" fontId="10" fillId="0" borderId="17" xfId="0" applyFont="1" applyBorder="1" applyAlignment="1">
      <alignment horizontal="center"/>
    </xf>
    <xf numFmtId="0" fontId="10" fillId="0" borderId="13" xfId="0" applyFont="1" applyBorder="1" applyAlignment="1">
      <alignment horizontal="center"/>
    </xf>
    <xf numFmtId="0" fontId="10" fillId="0" borderId="2" xfId="0" applyFont="1" applyBorder="1" applyAlignment="1">
      <alignment horizontal="center"/>
    </xf>
    <xf numFmtId="0" fontId="28" fillId="0" borderId="2" xfId="0" applyFont="1" applyBorder="1" applyAlignment="1">
      <alignment horizontal="center" vertical="center"/>
    </xf>
    <xf numFmtId="0" fontId="28" fillId="0" borderId="19" xfId="0" applyFont="1" applyBorder="1" applyAlignment="1">
      <alignment horizontal="center"/>
    </xf>
    <xf numFmtId="0" fontId="28" fillId="0" borderId="17" xfId="0" applyFont="1" applyBorder="1" applyAlignment="1">
      <alignment horizontal="center"/>
    </xf>
    <xf numFmtId="0" fontId="28" fillId="0" borderId="13" xfId="0" applyFont="1" applyBorder="1" applyAlignment="1">
      <alignment horizontal="center"/>
    </xf>
    <xf numFmtId="168" fontId="2" fillId="0" borderId="19" xfId="0" applyNumberFormat="1" applyFont="1" applyFill="1" applyBorder="1" applyAlignment="1">
      <alignment horizontal="center"/>
    </xf>
    <xf numFmtId="168" fontId="2" fillId="0" borderId="17" xfId="0" applyNumberFormat="1" applyFont="1" applyFill="1" applyBorder="1" applyAlignment="1">
      <alignment horizontal="center"/>
    </xf>
    <xf numFmtId="168" fontId="2" fillId="0" borderId="13" xfId="0" applyNumberFormat="1" applyFont="1" applyFill="1" applyBorder="1" applyAlignment="1">
      <alignment horizontal="center"/>
    </xf>
    <xf numFmtId="0" fontId="3" fillId="0" borderId="19" xfId="0" applyFont="1" applyBorder="1" applyAlignment="1">
      <alignment horizontal="center"/>
    </xf>
    <xf numFmtId="0" fontId="3" fillId="0" borderId="17" xfId="0" applyFont="1" applyBorder="1" applyAlignment="1">
      <alignment horizontal="center"/>
    </xf>
    <xf numFmtId="0" fontId="3" fillId="0" borderId="13" xfId="0" applyFont="1" applyBorder="1" applyAlignment="1">
      <alignment horizontal="center"/>
    </xf>
    <xf numFmtId="0" fontId="23" fillId="0" borderId="18" xfId="0" applyFont="1" applyBorder="1" applyAlignment="1">
      <alignment horizontal="center" vertical="center"/>
    </xf>
    <xf numFmtId="0" fontId="23" fillId="0" borderId="14" xfId="0" applyFont="1" applyBorder="1" applyAlignment="1">
      <alignment horizontal="center" vertical="center"/>
    </xf>
    <xf numFmtId="0" fontId="23" fillId="0" borderId="21" xfId="0" applyFont="1" applyBorder="1" applyAlignment="1">
      <alignment horizontal="center" vertical="center"/>
    </xf>
    <xf numFmtId="0" fontId="3" fillId="0" borderId="2" xfId="0" applyFont="1" applyBorder="1" applyAlignment="1">
      <alignment horizontal="center" vertical="center" wrapText="1"/>
    </xf>
    <xf numFmtId="168" fontId="23" fillId="0" borderId="2" xfId="0" applyNumberFormat="1" applyFont="1" applyBorder="1" applyAlignment="1">
      <alignment horizontal="center" vertical="center"/>
    </xf>
    <xf numFmtId="0" fontId="3" fillId="0" borderId="18" xfId="0" applyFont="1" applyBorder="1" applyAlignment="1">
      <alignment horizontal="center" vertical="center"/>
    </xf>
    <xf numFmtId="0" fontId="3" fillId="0" borderId="14" xfId="0" applyFont="1" applyBorder="1" applyAlignment="1">
      <alignment horizontal="center" vertical="center"/>
    </xf>
    <xf numFmtId="0" fontId="3" fillId="0" borderId="21" xfId="0" applyFont="1" applyBorder="1" applyAlignment="1">
      <alignment horizontal="center" vertical="center"/>
    </xf>
    <xf numFmtId="0" fontId="2" fillId="0" borderId="18" xfId="0" applyFont="1" applyBorder="1" applyAlignment="1">
      <alignment horizontal="center"/>
    </xf>
    <xf numFmtId="0" fontId="2" fillId="0" borderId="21" xfId="0" applyFont="1" applyBorder="1" applyAlignment="1">
      <alignment horizontal="center"/>
    </xf>
    <xf numFmtId="168" fontId="2" fillId="0" borderId="18" xfId="0" applyNumberFormat="1" applyFont="1" applyBorder="1" applyAlignment="1">
      <alignment horizontal="center"/>
    </xf>
    <xf numFmtId="168" fontId="2" fillId="0" borderId="21" xfId="0" applyNumberFormat="1" applyFont="1" applyBorder="1" applyAlignment="1">
      <alignment horizontal="center"/>
    </xf>
    <xf numFmtId="0" fontId="3" fillId="0" borderId="2" xfId="0" applyFont="1" applyBorder="1" applyAlignment="1">
      <alignment horizontal="center"/>
    </xf>
    <xf numFmtId="168" fontId="23" fillId="0" borderId="18" xfId="0" applyNumberFormat="1" applyFont="1" applyBorder="1" applyAlignment="1">
      <alignment horizontal="center" vertical="center"/>
    </xf>
    <xf numFmtId="168" fontId="23" fillId="0" borderId="14" xfId="0" applyNumberFormat="1" applyFont="1" applyBorder="1" applyAlignment="1">
      <alignment horizontal="center" vertical="center"/>
    </xf>
    <xf numFmtId="168" fontId="23" fillId="0" borderId="22" xfId="0" applyNumberFormat="1" applyFont="1" applyBorder="1" applyAlignment="1">
      <alignment horizontal="center" vertical="center"/>
    </xf>
    <xf numFmtId="168" fontId="23" fillId="0" borderId="23" xfId="0" applyNumberFormat="1" applyFont="1" applyBorder="1" applyAlignment="1">
      <alignment horizontal="center" vertical="center"/>
    </xf>
    <xf numFmtId="0" fontId="3" fillId="0" borderId="2" xfId="0" applyFont="1" applyBorder="1" applyAlignment="1">
      <alignment horizontal="center" vertical="center"/>
    </xf>
    <xf numFmtId="168" fontId="2" fillId="0" borderId="2" xfId="2" applyNumberFormat="1" applyFont="1" applyBorder="1" applyAlignment="1">
      <alignment horizontal="center" vertical="center"/>
    </xf>
    <xf numFmtId="0" fontId="2" fillId="0" borderId="0" xfId="0" applyFont="1" applyAlignment="1">
      <alignment horizontal="left" vertical="center" wrapText="1"/>
    </xf>
    <xf numFmtId="0" fontId="23" fillId="0" borderId="25" xfId="0" applyFont="1" applyBorder="1" applyAlignment="1">
      <alignment horizontal="center" vertical="center"/>
    </xf>
    <xf numFmtId="0" fontId="23" fillId="0" borderId="27" xfId="0" applyFont="1" applyBorder="1" applyAlignment="1">
      <alignment horizontal="center" vertical="center"/>
    </xf>
    <xf numFmtId="0" fontId="2" fillId="0" borderId="1" xfId="0" applyFont="1" applyBorder="1" applyAlignment="1">
      <alignment horizontal="center"/>
    </xf>
    <xf numFmtId="0" fontId="0" fillId="0" borderId="28" xfId="0" applyBorder="1" applyAlignment="1">
      <alignment horizontal="center"/>
    </xf>
    <xf numFmtId="0" fontId="0" fillId="0" borderId="0" xfId="0" applyAlignment="1">
      <alignment horizontal="center"/>
    </xf>
    <xf numFmtId="0" fontId="0" fillId="0" borderId="29" xfId="0" applyBorder="1" applyAlignment="1">
      <alignment horizontal="center"/>
    </xf>
  </cellXfs>
  <cellStyles count="4">
    <cellStyle name="Milliers" xfId="1" builtinId="3"/>
    <cellStyle name="Monétaire" xfId="2" builtinId="4"/>
    <cellStyle name="Normal" xfId="0" builtinId="0"/>
    <cellStyle name="Pourcentage" xfId="3" builtinId="5"/>
  </cellStyles>
  <dxfs count="85">
    <dxf>
      <alignment horizontal="center" vertical="bottom" textRotation="0" wrapText="0" indent="0" justifyLastLine="0" shrinkToFit="0" readingOrder="0"/>
      <border diagonalUp="0" diagonalDown="0" outline="0">
        <left style="medium">
          <color indexed="64"/>
        </left>
        <right style="medium">
          <color indexed="64"/>
        </right>
        <top/>
        <bottom/>
      </border>
    </dxf>
    <dxf>
      <numFmt numFmtId="168" formatCode="_-* #,##0\ &quot;€&quot;_-;\-* #,##0\ &quot;€&quot;_-;_-* &quot;-&quot;??\ &quot;€&quot;_-;_-@_-"/>
      <alignment horizontal="center" vertical="center" textRotation="0" wrapText="0" indent="0" justifyLastLine="0" shrinkToFit="0" readingOrder="0"/>
      <border diagonalUp="0" diagonalDown="0" outline="0">
        <left style="medium">
          <color indexed="64"/>
        </left>
        <right style="medium">
          <color indexed="64"/>
        </right>
        <top/>
        <bottom/>
      </border>
    </dxf>
    <dxf>
      <alignment horizontal="center" vertical="bottom" textRotation="0" wrapText="0" indent="0" justifyLastLine="0" shrinkToFit="0" readingOrder="0"/>
      <border diagonalUp="0" diagonalDown="0" outline="0">
        <left style="medium">
          <color indexed="64"/>
        </left>
        <right style="medium">
          <color indexed="64"/>
        </right>
        <top/>
        <bottom/>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auto="1"/>
        </left>
        <right style="thin">
          <color auto="1"/>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border outline="0">
        <top style="thin">
          <color auto="1"/>
        </top>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8" formatCode="_-* #,##0\ &quot;€&quot;_-;\-* #,##0\ &quot;€&quot;_-;_-* &quot;-&quot;??\ &quot;€&quot;_-;_-@_-"/>
      <border diagonalUp="0" diagonalDown="0" outline="0">
        <left/>
        <right style="thin">
          <color indexed="64"/>
        </right>
        <top style="thin">
          <color indexed="64"/>
        </top>
        <bottom/>
      </border>
    </dxf>
    <dxf>
      <border outline="0">
        <top style="thin">
          <color indexed="64"/>
        </top>
      </border>
    </dxf>
    <dxf>
      <border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val="0"/>
        <i val="0"/>
        <strike val="0"/>
        <condense val="0"/>
        <extend val="0"/>
        <outline val="0"/>
        <shadow val="0"/>
        <u val="none"/>
        <vertAlign val="baseline"/>
        <sz val="11"/>
        <color theme="1"/>
        <name val="Calibri"/>
        <family val="2"/>
        <scheme val="minor"/>
      </font>
      <numFmt numFmtId="168" formatCode="_-* #,##0\ &quot;€&quot;_-;\-* #,##0\ &quot;€&quot;_-;_-* &quot;-&quot;??\ &quot;€&quot;_-;_-@_-"/>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_-* #,##0\ &quot;€&quot;_-;\-* #,##0\ &quot;€&quot;_-;_-* &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border outline="0">
        <top style="thin">
          <color auto="1"/>
        </top>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8" formatCode="_-* #,##0\ &quot;€&quot;_-;\-* #,##0\ &quot;€&quot;_-;_-* &quot;-&quot;??\ &quot;€&quot;_-;_-@_-"/>
      <fill>
        <patternFill patternType="solid">
          <fgColor indexed="64"/>
          <bgColor theme="0" tint="-0.249977111117893"/>
        </patternFill>
      </fill>
    </dxf>
    <dxf>
      <font>
        <b val="0"/>
        <i val="0"/>
        <strike val="0"/>
        <condense val="0"/>
        <extend val="0"/>
        <outline val="0"/>
        <shadow val="0"/>
        <u val="none"/>
        <vertAlign val="baseline"/>
        <sz val="11"/>
        <color theme="1"/>
        <name val="Calibri"/>
        <family val="2"/>
        <scheme val="minor"/>
      </font>
      <numFmt numFmtId="168" formatCode="_-* #,##0\ &quot;€&quot;_-;\-* #,##0\ &quot;€&quot;_-;_-* &quot;-&quot;??\ &quot;€&quot;_-;_-@_-"/>
      <fill>
        <patternFill patternType="solid">
          <fgColor indexed="64"/>
          <bgColor theme="0" tint="-0.249977111117893"/>
        </patternFill>
      </fill>
    </dxf>
    <dxf>
      <font>
        <b val="0"/>
        <i val="0"/>
        <strike val="0"/>
        <condense val="0"/>
        <extend val="0"/>
        <outline val="0"/>
        <shadow val="0"/>
        <u val="none"/>
        <vertAlign val="baseline"/>
        <sz val="11"/>
        <color theme="1"/>
        <name val="Calibri"/>
        <family val="2"/>
        <scheme val="minor"/>
      </font>
      <numFmt numFmtId="168" formatCode="_-* #,##0\ &quot;€&quot;_-;\-* #,##0\ &quot;€&quot;_-;_-* &quot;-&quot;??\ &quot;€&quot;_-;_-@_-"/>
      <fill>
        <patternFill patternType="solid">
          <fgColor indexed="64"/>
          <bgColor theme="0" tint="-0.249977111117893"/>
        </patternFill>
      </fill>
    </dxf>
    <dxf>
      <fill>
        <patternFill patternType="solid">
          <fgColor indexed="64"/>
          <bgColor rgb="FF2DF14E"/>
        </patternFill>
      </fill>
    </dxf>
    <dxf>
      <font>
        <b val="0"/>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medium">
          <color indexed="64"/>
        </left>
        <right style="medium">
          <color indexed="64"/>
        </right>
      </border>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border diagonalUp="0" diagonalDown="0">
        <left style="medium">
          <color indexed="64"/>
        </left>
        <right style="medium">
          <color indexed="64"/>
        </right>
        <vertical/>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1"/>
        <color theme="1"/>
        <name val="Calibri"/>
        <family val="2"/>
        <scheme val="minor"/>
      </font>
    </dxf>
    <dxf>
      <border>
        <bottom style="medium">
          <color indexed="64"/>
        </bottom>
      </border>
    </dxf>
    <dxf>
      <font>
        <strike val="0"/>
        <outline val="0"/>
        <shadow val="0"/>
        <u val="none"/>
        <vertAlign val="baseline"/>
        <sz val="11"/>
        <color theme="1"/>
        <name val="Calibri"/>
        <family val="2"/>
        <scheme val="minor"/>
      </font>
      <border diagonalUp="0" diagonalDown="0">
        <left/>
        <right/>
        <top/>
        <bottom/>
        <vertical/>
        <horizontal/>
      </border>
    </dxf>
    <dxf>
      <font>
        <b val="0"/>
        <i val="0"/>
        <strike val="0"/>
        <condense val="0"/>
        <extend val="0"/>
        <outline val="0"/>
        <shadow val="0"/>
        <u val="none"/>
        <vertAlign val="baseline"/>
        <sz val="11"/>
        <color theme="1"/>
        <name val="Calibri"/>
        <family val="2"/>
        <scheme val="minor"/>
      </font>
      <alignment horizontal="left" vertical="center" textRotation="0" wrapText="0"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center" textRotation="0" wrapText="0"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bottom" textRotation="0" wrapText="0"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center" textRotation="0" wrapText="0" relativeIndent="-1" justifyLastLine="0" shrinkToFit="0" readingOrder="0"/>
      <border diagonalUp="0" diagonalDown="0" outline="0">
        <left/>
        <right/>
        <top style="thin">
          <color indexed="64"/>
        </top>
        <bottom style="thin">
          <color indexed="64"/>
        </bottom>
      </border>
    </dxf>
    <dxf>
      <alignment horizontal="left" textRotation="0" wrapText="0" relativeIndent="-1" justifyLastLine="0" shrinkToFit="0" readingOrder="0"/>
      <border diagonalUp="0" diagonalDown="0" outline="0">
        <left/>
        <right/>
        <top style="thin">
          <color indexed="64"/>
        </top>
        <bottom style="thin">
          <color indexed="64"/>
        </bottom>
      </border>
    </dxf>
    <dxf>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Arial"/>
        <family val="2"/>
        <scheme val="none"/>
      </font>
      <numFmt numFmtId="167" formatCode="_-* #,##0.00\ [$€-40C]_-;\-* #,##0.00\ [$€-40C]_-;_-* &quot;-&quot;??\ [$€-40C]_-;_-@_-"/>
      <border diagonalUp="0" diagonalDown="0">
        <left style="medium">
          <color indexed="64"/>
        </left>
        <right/>
        <top style="medium">
          <color indexed="64"/>
        </top>
        <bottom style="medium">
          <color indexed="64"/>
        </bottom>
        <vertical style="medium">
          <color indexed="64"/>
        </vertical>
        <horizontal style="medium">
          <color indexed="64"/>
        </horizontal>
      </border>
    </dxf>
    <dxf>
      <font>
        <strike val="0"/>
        <outline val="0"/>
        <shadow val="0"/>
        <u val="none"/>
        <vertAlign val="baseline"/>
        <sz val="11"/>
        <name val="Arial"/>
        <family val="2"/>
        <scheme val="none"/>
      </font>
      <numFmt numFmtId="167" formatCode="_-* #,##0.00\ [$€-40C]_-;\-* #,##0.00\ [$€-40C]_-;_-* &quot;-&quot;??\ [$€-40C]_-;_-@_-"/>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strike val="0"/>
        <outline val="0"/>
        <shadow val="0"/>
        <u val="none"/>
        <vertAlign val="baseline"/>
        <sz val="11"/>
        <name val="Arial"/>
        <family val="2"/>
        <scheme val="none"/>
      </font>
      <numFmt numFmtId="167" formatCode="_-* #,##0.00\ [$€-40C]_-;\-* #,##0.00\ [$€-40C]_-;_-* &quot;-&quot;??\ [$€-40C]_-;_-@_-"/>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1"/>
        <color rgb="FF333333"/>
        <name val="Arial"/>
        <family val="2"/>
        <scheme val="none"/>
      </font>
      <numFmt numFmtId="167" formatCode="_-* #,##0.00\ [$€-40C]_-;\-* #,##0.00\ [$€-40C]_-;_-* &quot;-&quot;??\ [$€-40C]_-;_-@_-"/>
      <fill>
        <patternFill patternType="solid">
          <fgColor indexed="64"/>
          <bgColor rgb="FFFFFFFF"/>
        </patternFill>
      </fill>
      <alignment horizontal="general" vertical="top" textRotation="0" wrapText="1"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1"/>
        <name val="Arial"/>
        <family val="2"/>
        <scheme val="none"/>
      </font>
      <numFmt numFmtId="171" formatCode="_-* #.##0\.00\ [$€-40C]_-;\-* #.##0\.00\ [$€-40C]_-;_-* &quot;-&quot;??\ [$€-40C]_-;_-@_-"/>
    </dxf>
    <dxf>
      <border>
        <bottom style="medium">
          <color indexed="64"/>
        </bottom>
      </border>
    </dxf>
    <dxf>
      <font>
        <b/>
        <i val="0"/>
        <strike val="0"/>
        <condense val="0"/>
        <extend val="0"/>
        <outline val="0"/>
        <shadow val="0"/>
        <u val="none"/>
        <vertAlign val="baseline"/>
        <sz val="11"/>
        <color rgb="FF333333"/>
        <name val="Arial"/>
        <family val="2"/>
        <scheme val="none"/>
      </font>
      <numFmt numFmtId="167" formatCode="_-* #,##0.00\ [$€-40C]_-;\-* #,##0.00\ [$€-40C]_-;_-* &quot;-&quot;??\ [$€-40C]_-;_-@_-"/>
      <fill>
        <patternFill patternType="solid">
          <fgColor indexed="64"/>
          <bgColor rgb="FFFFFFFF"/>
        </patternFill>
      </fill>
      <alignment horizontal="left" vertical="bottom" textRotation="0" wrapText="1"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font>
        <strike val="0"/>
        <outline val="0"/>
        <shadow val="0"/>
        <u val="none"/>
        <vertAlign val="baseline"/>
        <sz val="11"/>
        <name val="Arial"/>
        <family val="2"/>
        <scheme val="none"/>
      </font>
      <numFmt numFmtId="167" formatCode="_-* #,##0.00\ [$€-40C]_-;\-* #,##0.00\ [$€-40C]_-;_-* &quot;-&quot;??\ [$€-40C]_-;_-@_-"/>
      <border diagonalUp="0" diagonalDown="0">
        <left style="medium">
          <color indexed="64"/>
        </left>
        <right/>
        <top style="medium">
          <color indexed="64"/>
        </top>
        <bottom style="medium">
          <color indexed="64"/>
        </bottom>
        <vertical style="medium">
          <color indexed="64"/>
        </vertical>
        <horizontal style="medium">
          <color indexed="64"/>
        </horizontal>
      </border>
    </dxf>
    <dxf>
      <font>
        <strike val="0"/>
        <outline val="0"/>
        <shadow val="0"/>
        <u val="none"/>
        <vertAlign val="baseline"/>
        <sz val="11"/>
        <name val="Arial"/>
        <family val="2"/>
        <scheme val="none"/>
      </font>
      <numFmt numFmtId="167" formatCode="_-* #,##0.00\ [$€-40C]_-;\-* #,##0.00\ [$€-40C]_-;_-* &quot;-&quot;??\ [$€-40C]_-;_-@_-"/>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strike val="0"/>
        <outline val="0"/>
        <shadow val="0"/>
        <u val="none"/>
        <vertAlign val="baseline"/>
        <sz val="11"/>
        <name val="Arial"/>
        <family val="2"/>
        <scheme val="none"/>
      </font>
      <numFmt numFmtId="167" formatCode="_-* #,##0.00\ [$€-40C]_-;\-* #,##0.00\ [$€-40C]_-;_-* &quot;-&quot;??\ [$€-40C]_-;_-@_-"/>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font>
        <b val="0"/>
        <i val="0"/>
        <strike val="0"/>
        <condense val="0"/>
        <extend val="0"/>
        <outline val="0"/>
        <shadow val="0"/>
        <u val="none"/>
        <vertAlign val="baseline"/>
        <sz val="11"/>
        <color rgb="FF333333"/>
        <name val="Arial"/>
        <family val="2"/>
        <scheme val="none"/>
      </font>
      <numFmt numFmtId="167" formatCode="_-* #,##0.00\ [$€-40C]_-;\-* #,##0.00\ [$€-40C]_-;_-* &quot;-&quot;??\ [$€-40C]_-;_-@_-"/>
      <fill>
        <patternFill patternType="solid">
          <fgColor indexed="64"/>
          <bgColor rgb="FFFFFFFF"/>
        </patternFill>
      </fill>
      <alignment horizontal="general" vertical="top" textRotation="0" wrapText="1"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1"/>
        <name val="Arial"/>
        <family val="2"/>
        <scheme val="none"/>
      </font>
      <numFmt numFmtId="171" formatCode="_-* #.##0\.00\ [$€-40C]_-;\-* #.##0\.00\ [$€-40C]_-;_-* &quot;-&quot;??\ [$€-40C]_-;_-@_-"/>
    </dxf>
    <dxf>
      <border>
        <bottom style="medium">
          <color indexed="64"/>
        </bottom>
      </border>
    </dxf>
    <dxf>
      <font>
        <b/>
        <i val="0"/>
        <strike val="0"/>
        <condense val="0"/>
        <extend val="0"/>
        <outline val="0"/>
        <shadow val="0"/>
        <u val="none"/>
        <vertAlign val="baseline"/>
        <sz val="11"/>
        <color rgb="FF333333"/>
        <name val="Arial"/>
        <family val="2"/>
        <scheme val="none"/>
      </font>
      <numFmt numFmtId="167" formatCode="_-* #,##0.00\ [$€-40C]_-;\-* #,##0.00\ [$€-40C]_-;_-* &quot;-&quot;??\ [$€-40C]_-;_-@_-"/>
      <fill>
        <patternFill patternType="solid">
          <fgColor indexed="64"/>
          <bgColor rgb="FFFFFFFF"/>
        </patternFill>
      </fill>
      <alignment horizontal="left" vertical="bottom" textRotation="0" wrapText="1"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border diagonalUp="0" diagonalDown="0">
        <left/>
        <right/>
        <top/>
        <bottom/>
        <vertical/>
        <horizontal/>
      </border>
    </dxf>
  </dxfs>
  <tableStyles count="1" defaultTableStyle="TableStyleMedium2" defaultPivotStyle="PivotStyleLight16">
    <tableStyle name="Style de tableau 1" pivot="0" count="1" xr9:uid="{5866746B-924F-4D64-9F62-A54E4C454EBA}">
      <tableStyleElement type="wholeTable" dxfId="84"/>
    </tableStyle>
  </tableStyles>
  <colors>
    <mruColors>
      <color rgb="FF00FF00"/>
      <color rgb="FF2DF14E"/>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860914260717412"/>
          <c:y val="0.17634259259259263"/>
          <c:w val="0.72696719160104983"/>
          <c:h val="0.61498432487605714"/>
        </c:manualLayout>
      </c:layout>
      <c:barChart>
        <c:barDir val="bar"/>
        <c:grouping val="clustered"/>
        <c:varyColors val="0"/>
        <c:ser>
          <c:idx val="0"/>
          <c:order val="0"/>
          <c:tx>
            <c:strRef>
              <c:f>Revenues!$H$68</c:f>
              <c:strCache>
                <c:ptCount val="1"/>
                <c:pt idx="0">
                  <c:v> Eth account </c:v>
                </c:pt>
              </c:strCache>
            </c:strRef>
          </c:tx>
          <c:spPr>
            <a:solidFill>
              <a:schemeClr val="accent1"/>
            </a:solidFill>
            <a:ln>
              <a:noFill/>
            </a:ln>
            <a:effectLst/>
          </c:spPr>
          <c:invertIfNegative val="0"/>
          <c:cat>
            <c:strRef>
              <c:f>Revenues!$G$69:$G$78</c:f>
              <c:strCache>
                <c:ptCount val="10"/>
                <c:pt idx="0">
                  <c:v> March </c:v>
                </c:pt>
                <c:pt idx="1">
                  <c:v> April </c:v>
                </c:pt>
                <c:pt idx="2">
                  <c:v> May </c:v>
                </c:pt>
                <c:pt idx="3">
                  <c:v> June </c:v>
                </c:pt>
                <c:pt idx="4">
                  <c:v> July </c:v>
                </c:pt>
                <c:pt idx="5">
                  <c:v>August</c:v>
                </c:pt>
                <c:pt idx="6">
                  <c:v> September </c:v>
                </c:pt>
                <c:pt idx="7">
                  <c:v> October </c:v>
                </c:pt>
                <c:pt idx="8">
                  <c:v> November </c:v>
                </c:pt>
                <c:pt idx="9">
                  <c:v> December </c:v>
                </c:pt>
              </c:strCache>
            </c:strRef>
          </c:cat>
          <c:val>
            <c:numRef>
              <c:f>Revenues!$H$69:$H$78</c:f>
              <c:numCache>
                <c:formatCode>_-* #\ ##0.00\ [$€-40C]_-;\-* #\ ##0.00\ [$€-40C]_-;_-* "-"??\ [$€-40C]_-;_-@_-</c:formatCode>
                <c:ptCount val="10"/>
                <c:pt idx="0">
                  <c:v>185060.3943089431</c:v>
                </c:pt>
                <c:pt idx="1">
                  <c:v>370120.7886178862</c:v>
                </c:pt>
                <c:pt idx="2">
                  <c:v>555181.18292682932</c:v>
                </c:pt>
                <c:pt idx="3">
                  <c:v>740241.57723577239</c:v>
                </c:pt>
                <c:pt idx="4">
                  <c:v>925301.97154471546</c:v>
                </c:pt>
                <c:pt idx="5">
                  <c:v>1110362.3658536586</c:v>
                </c:pt>
                <c:pt idx="6">
                  <c:v>1295422.7601626017</c:v>
                </c:pt>
                <c:pt idx="7">
                  <c:v>1480483.1544715448</c:v>
                </c:pt>
                <c:pt idx="8">
                  <c:v>1665543.5487804879</c:v>
                </c:pt>
                <c:pt idx="9">
                  <c:v>1850603.9430894309</c:v>
                </c:pt>
              </c:numCache>
            </c:numRef>
          </c:val>
          <c:extLst>
            <c:ext xmlns:c16="http://schemas.microsoft.com/office/drawing/2014/chart" uri="{C3380CC4-5D6E-409C-BE32-E72D297353CC}">
              <c16:uniqueId val="{00000000-9F4B-43E2-8D28-B80C88D8D076}"/>
            </c:ext>
          </c:extLst>
        </c:ser>
        <c:ser>
          <c:idx val="1"/>
          <c:order val="1"/>
          <c:tx>
            <c:strRef>
              <c:f>Revenues!$I$68</c:f>
              <c:strCache>
                <c:ptCount val="1"/>
                <c:pt idx="0">
                  <c:v> Btc account </c:v>
                </c:pt>
              </c:strCache>
            </c:strRef>
          </c:tx>
          <c:spPr>
            <a:solidFill>
              <a:schemeClr val="accent2"/>
            </a:solidFill>
            <a:ln>
              <a:noFill/>
            </a:ln>
            <a:effectLst/>
          </c:spPr>
          <c:invertIfNegative val="0"/>
          <c:cat>
            <c:strRef>
              <c:f>Revenues!$G$69:$G$78</c:f>
              <c:strCache>
                <c:ptCount val="10"/>
                <c:pt idx="0">
                  <c:v> March </c:v>
                </c:pt>
                <c:pt idx="1">
                  <c:v> April </c:v>
                </c:pt>
                <c:pt idx="2">
                  <c:v> May </c:v>
                </c:pt>
                <c:pt idx="3">
                  <c:v> June </c:v>
                </c:pt>
                <c:pt idx="4">
                  <c:v> July </c:v>
                </c:pt>
                <c:pt idx="5">
                  <c:v>August</c:v>
                </c:pt>
                <c:pt idx="6">
                  <c:v> September </c:v>
                </c:pt>
                <c:pt idx="7">
                  <c:v> October </c:v>
                </c:pt>
                <c:pt idx="8">
                  <c:v> November </c:v>
                </c:pt>
                <c:pt idx="9">
                  <c:v> December </c:v>
                </c:pt>
              </c:strCache>
            </c:strRef>
          </c:cat>
          <c:val>
            <c:numRef>
              <c:f>Revenues!$I$69:$I$78</c:f>
              <c:numCache>
                <c:formatCode>_-* #\ ##0.00\ [$€-40C]_-;\-* #\ ##0.00\ [$€-40C]_-;_-* "-"??\ [$€-40C]_-;_-@_-</c:formatCode>
                <c:ptCount val="10"/>
                <c:pt idx="0">
                  <c:v>94457.277235772344</c:v>
                </c:pt>
                <c:pt idx="1">
                  <c:v>188914.55447154469</c:v>
                </c:pt>
                <c:pt idx="2">
                  <c:v>283371.83170731703</c:v>
                </c:pt>
                <c:pt idx="3">
                  <c:v>377829.10894308938</c:v>
                </c:pt>
                <c:pt idx="4">
                  <c:v>472286.38617886172</c:v>
                </c:pt>
                <c:pt idx="5">
                  <c:v>566743.66341463407</c:v>
                </c:pt>
                <c:pt idx="6">
                  <c:v>661200.94065040641</c:v>
                </c:pt>
                <c:pt idx="7">
                  <c:v>755658.21788617875</c:v>
                </c:pt>
                <c:pt idx="8">
                  <c:v>850115.4951219511</c:v>
                </c:pt>
                <c:pt idx="9">
                  <c:v>944572.77235772344</c:v>
                </c:pt>
              </c:numCache>
            </c:numRef>
          </c:val>
          <c:extLst>
            <c:ext xmlns:c16="http://schemas.microsoft.com/office/drawing/2014/chart" uri="{C3380CC4-5D6E-409C-BE32-E72D297353CC}">
              <c16:uniqueId val="{00000001-9F4B-43E2-8D28-B80C88D8D076}"/>
            </c:ext>
          </c:extLst>
        </c:ser>
        <c:dLbls>
          <c:showLegendKey val="0"/>
          <c:showVal val="0"/>
          <c:showCatName val="0"/>
          <c:showSerName val="0"/>
          <c:showPercent val="0"/>
          <c:showBubbleSize val="0"/>
        </c:dLbls>
        <c:gapWidth val="182"/>
        <c:axId val="574284480"/>
        <c:axId val="574286776"/>
      </c:barChart>
      <c:catAx>
        <c:axId val="57428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86776"/>
        <c:crosses val="autoZero"/>
        <c:auto val="1"/>
        <c:lblAlgn val="ctr"/>
        <c:lblOffset val="100"/>
        <c:noMultiLvlLbl val="0"/>
      </c:catAx>
      <c:valAx>
        <c:axId val="574286776"/>
        <c:scaling>
          <c:orientation val="minMax"/>
        </c:scaling>
        <c:delete val="0"/>
        <c:axPos val="b"/>
        <c:majorGridlines>
          <c:spPr>
            <a:ln w="9525" cap="flat" cmpd="sng" algn="ctr">
              <a:solidFill>
                <a:schemeClr val="tx1">
                  <a:lumMod val="15000"/>
                  <a:lumOff val="85000"/>
                </a:schemeClr>
              </a:solidFill>
              <a:round/>
            </a:ln>
            <a:effectLst/>
          </c:spPr>
        </c:majorGridlines>
        <c:numFmt formatCode="_-* #\ ##0.00\ [$€-40C]_-;\-* #\ ##0.00\ [$€-40C]_-;_-* &quot;-&quot;??\ [$€-40C]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8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solidFill>
                  <a:schemeClr val="tx1"/>
                </a:solidFill>
              </a:rPr>
              <a:t>Net sales vs Gross</a:t>
            </a:r>
            <a:r>
              <a:rPr lang="fr-FR" baseline="0">
                <a:solidFill>
                  <a:schemeClr val="tx1"/>
                </a:solidFill>
              </a:rPr>
              <a:t> profit</a:t>
            </a:r>
            <a:r>
              <a:rPr lang="fr-FR" baseline="0"/>
              <a:t> </a:t>
            </a:r>
            <a:endParaRPr lang="fr-F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Graphics!$A$4</c:f>
              <c:strCache>
                <c:ptCount val="1"/>
                <c:pt idx="0">
                  <c:v>Net Sales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dLbl>
              <c:idx val="0"/>
              <c:layout>
                <c:manualLayout>
                  <c:x val="-5.7347670250896057E-3"/>
                  <c:y val="-3.1683161730067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83-4ACA-8826-DD9677631FA7}"/>
                </c:ext>
              </c:extLst>
            </c:dLbl>
            <c:dLbl>
              <c:idx val="1"/>
              <c:layout>
                <c:manualLayout>
                  <c:x val="-2.8673835125448553E-3"/>
                  <c:y val="-1.58415808650334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83-4ACA-8826-DD9677631FA7}"/>
                </c:ext>
              </c:extLst>
            </c:dLbl>
            <c:dLbl>
              <c:idx val="2"/>
              <c:layout>
                <c:manualLayout>
                  <c:x val="-1.0513618091784253E-16"/>
                  <c:y val="-3.1683161730066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83-4ACA-8826-DD9677631FA7}"/>
                </c:ext>
              </c:extLst>
            </c:dLbl>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Graphics!$B$3:$D$3</c:f>
              <c:strCache>
                <c:ptCount val="3"/>
                <c:pt idx="0">
                  <c:v>2019</c:v>
                </c:pt>
                <c:pt idx="1">
                  <c:v>2020</c:v>
                </c:pt>
                <c:pt idx="2">
                  <c:v>2021</c:v>
                </c:pt>
              </c:strCache>
            </c:strRef>
          </c:cat>
          <c:val>
            <c:numRef>
              <c:f>Graphics!$B$4:$D$4</c:f>
              <c:numCache>
                <c:formatCode>_-* #\ ##0\ "€"_-;\-* #\ ##0\ "€"_-;_-* "-"??\ "€"_-;_-@_-</c:formatCode>
                <c:ptCount val="3"/>
                <c:pt idx="0">
                  <c:v>4649866.9902535798</c:v>
                </c:pt>
                <c:pt idx="1">
                  <c:v>9299733.9805071596</c:v>
                </c:pt>
                <c:pt idx="2">
                  <c:v>12089654.174659308</c:v>
                </c:pt>
              </c:numCache>
            </c:numRef>
          </c:val>
          <c:extLst>
            <c:ext xmlns:c16="http://schemas.microsoft.com/office/drawing/2014/chart" uri="{C3380CC4-5D6E-409C-BE32-E72D297353CC}">
              <c16:uniqueId val="{00000000-68CC-4D6C-8C30-18FCC51AC051}"/>
            </c:ext>
          </c:extLst>
        </c:ser>
        <c:ser>
          <c:idx val="1"/>
          <c:order val="1"/>
          <c:tx>
            <c:strRef>
              <c:f>Graphics!$A$5</c:f>
              <c:strCache>
                <c:ptCount val="1"/>
                <c:pt idx="0">
                  <c:v>Gross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dLbl>
              <c:idx val="0"/>
              <c:layout>
                <c:manualLayout>
                  <c:x val="5.5555555555555504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CC-4D6C-8C30-18FCC51AC051}"/>
                </c:ext>
              </c:extLst>
            </c:dLbl>
            <c:dLbl>
              <c:idx val="1"/>
              <c:layout>
                <c:manualLayout>
                  <c:x val="5.5555555555555552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CC-4D6C-8C30-18FCC51AC051}"/>
                </c:ext>
              </c:extLst>
            </c:dLbl>
            <c:dLbl>
              <c:idx val="2"/>
              <c:layout>
                <c:manualLayout>
                  <c:x val="5.2777777777777882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CC-4D6C-8C30-18FCC51AC051}"/>
                </c:ext>
              </c:extLst>
            </c:dLbl>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Graphics!$B$3:$D$3</c:f>
              <c:strCache>
                <c:ptCount val="3"/>
                <c:pt idx="0">
                  <c:v>2019</c:v>
                </c:pt>
                <c:pt idx="1">
                  <c:v>2020</c:v>
                </c:pt>
                <c:pt idx="2">
                  <c:v>2021</c:v>
                </c:pt>
              </c:strCache>
            </c:strRef>
          </c:cat>
          <c:val>
            <c:numRef>
              <c:f>Graphics!$B$5:$D$5</c:f>
              <c:numCache>
                <c:formatCode>_-* #\ ##0\ "€"_-;\-* #\ ##0\ "€"_-;_-* "-"??\ "€"_-;_-@_-</c:formatCode>
                <c:ptCount val="3"/>
                <c:pt idx="0">
                  <c:v>1410866.8237599218</c:v>
                </c:pt>
                <c:pt idx="1">
                  <c:v>3021733.6475198437</c:v>
                </c:pt>
                <c:pt idx="2">
                  <c:v>3987717.7417757967</c:v>
                </c:pt>
              </c:numCache>
            </c:numRef>
          </c:val>
          <c:extLst>
            <c:ext xmlns:c16="http://schemas.microsoft.com/office/drawing/2014/chart" uri="{C3380CC4-5D6E-409C-BE32-E72D297353CC}">
              <c16:uniqueId val="{00000001-68CC-4D6C-8C30-18FCC51AC051}"/>
            </c:ext>
          </c:extLst>
        </c:ser>
        <c:dLbls>
          <c:showLegendKey val="0"/>
          <c:showVal val="1"/>
          <c:showCatName val="0"/>
          <c:showSerName val="0"/>
          <c:showPercent val="0"/>
          <c:showBubbleSize val="0"/>
        </c:dLbls>
        <c:gapWidth val="150"/>
        <c:shape val="box"/>
        <c:axId val="603790224"/>
        <c:axId val="603792520"/>
        <c:axId val="0"/>
      </c:bar3DChart>
      <c:catAx>
        <c:axId val="603790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792520"/>
        <c:crosses val="autoZero"/>
        <c:auto val="1"/>
        <c:lblAlgn val="ctr"/>
        <c:lblOffset val="100"/>
        <c:noMultiLvlLbl val="0"/>
      </c:catAx>
      <c:valAx>
        <c:axId val="603792520"/>
        <c:scaling>
          <c:orientation val="minMax"/>
        </c:scaling>
        <c:delete val="1"/>
        <c:axPos val="l"/>
        <c:majorGridlines>
          <c:spPr>
            <a:ln w="9525" cap="flat" cmpd="sng" algn="ctr">
              <a:solidFill>
                <a:schemeClr val="tx2">
                  <a:lumMod val="15000"/>
                  <a:lumOff val="85000"/>
                </a:schemeClr>
              </a:solidFill>
              <a:round/>
            </a:ln>
            <a:effectLst/>
          </c:spPr>
        </c:majorGridlines>
        <c:numFmt formatCode="_-* #\ ##0\ &quot;€&quot;_-;\-* #\ ##0\ &quot;€&quot;_-;_-* &quot;-&quot;??\ &quot;€&quot;_-;_-@_-" sourceLinked="1"/>
        <c:majorTickMark val="none"/>
        <c:minorTickMark val="none"/>
        <c:tickLblPos val="low"/>
        <c:crossAx val="603790224"/>
        <c:crosses val="autoZero"/>
        <c:crossBetween val="between"/>
        <c:majorUnit val="2000000"/>
        <c:minorUnit val="1"/>
      </c:valAx>
      <c:spPr>
        <a:noFill/>
        <a:ln>
          <a:noFill/>
        </a:ln>
        <a:effectLst/>
      </c:spPr>
    </c:plotArea>
    <c:legend>
      <c:legendPos val="b"/>
      <c:legendEntry>
        <c:idx val="0"/>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Entry>
      <c:layout>
        <c:manualLayout>
          <c:xMode val="edge"/>
          <c:yMode val="edge"/>
          <c:x val="0.33543591426071739"/>
          <c:y val="0.87557815689705432"/>
          <c:w val="0.42079483814523183"/>
          <c:h val="9.66440653251676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Cryptocurrency distribution to shareholders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Graphics!$B$22</c:f>
              <c:strCache>
                <c:ptCount val="1"/>
                <c:pt idx="0">
                  <c:v>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Graphics!$A$23</c:f>
              <c:strCache>
                <c:ptCount val="1"/>
                <c:pt idx="0">
                  <c:v>Distribuate</c:v>
                </c:pt>
              </c:strCache>
            </c:strRef>
          </c:cat>
          <c:val>
            <c:numRef>
              <c:f>Graphics!$B$23</c:f>
              <c:numCache>
                <c:formatCode>_("€"* #,##0.00_);_("€"* \(#,##0.00\);_("€"* "-"??_);_(@_)</c:formatCode>
                <c:ptCount val="1"/>
                <c:pt idx="0">
                  <c:v>823215.12533125211</c:v>
                </c:pt>
              </c:numCache>
            </c:numRef>
          </c:val>
          <c:extLst>
            <c:ext xmlns:c16="http://schemas.microsoft.com/office/drawing/2014/chart" uri="{C3380CC4-5D6E-409C-BE32-E72D297353CC}">
              <c16:uniqueId val="{00000000-792A-4463-9E12-9E904F160012}"/>
            </c:ext>
          </c:extLst>
        </c:ser>
        <c:ser>
          <c:idx val="1"/>
          <c:order val="1"/>
          <c:tx>
            <c:strRef>
              <c:f>Graphics!$C$22</c:f>
              <c:strCache>
                <c:ptCount val="1"/>
                <c:pt idx="0">
                  <c:v>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Graphics!$A$23</c:f>
              <c:strCache>
                <c:ptCount val="1"/>
                <c:pt idx="0">
                  <c:v>Distribuate</c:v>
                </c:pt>
              </c:strCache>
            </c:strRef>
          </c:cat>
          <c:val>
            <c:numRef>
              <c:f>Graphics!$C$23</c:f>
              <c:numCache>
                <c:formatCode>_("€"* #,##0.00_);_("€"* \(#,##0.00\);_("€"* "-"??_);_(@_)</c:formatCode>
                <c:ptCount val="1"/>
                <c:pt idx="0">
                  <c:v>2263841.5946609429</c:v>
                </c:pt>
              </c:numCache>
            </c:numRef>
          </c:val>
          <c:extLst>
            <c:ext xmlns:c16="http://schemas.microsoft.com/office/drawing/2014/chart" uri="{C3380CC4-5D6E-409C-BE32-E72D297353CC}">
              <c16:uniqueId val="{00000001-792A-4463-9E12-9E904F160012}"/>
            </c:ext>
          </c:extLst>
        </c:ser>
        <c:ser>
          <c:idx val="2"/>
          <c:order val="2"/>
          <c:tx>
            <c:strRef>
              <c:f>Graphics!$D$22</c:f>
              <c:strCache>
                <c:ptCount val="1"/>
                <c:pt idx="0">
                  <c:v>2021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Graphics!$A$23</c:f>
              <c:strCache>
                <c:ptCount val="1"/>
                <c:pt idx="0">
                  <c:v>Distribuate</c:v>
                </c:pt>
              </c:strCache>
            </c:strRef>
          </c:cat>
          <c:val>
            <c:numRef>
              <c:f>Graphics!$D$23</c:f>
              <c:numCache>
                <c:formatCode>_("€"* #,##0.00_);_("€"* \(#,##0.00\);_("€"* "-"??_);_(@_)</c:formatCode>
                <c:ptCount val="1"/>
                <c:pt idx="0">
                  <c:v>4754067.3487879802</c:v>
                </c:pt>
              </c:numCache>
            </c:numRef>
          </c:val>
          <c:extLst>
            <c:ext xmlns:c16="http://schemas.microsoft.com/office/drawing/2014/chart" uri="{C3380CC4-5D6E-409C-BE32-E72D297353CC}">
              <c16:uniqueId val="{00000002-792A-4463-9E12-9E904F160012}"/>
            </c:ext>
          </c:extLst>
        </c:ser>
        <c:ser>
          <c:idx val="3"/>
          <c:order val="3"/>
          <c:tx>
            <c:strRef>
              <c:f>Graphics!$E$22</c:f>
              <c:strCache>
                <c:ptCount val="1"/>
                <c:pt idx="0">
                  <c:v>2022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Graphics!$A$23</c:f>
              <c:strCache>
                <c:ptCount val="1"/>
                <c:pt idx="0">
                  <c:v>Distribuate</c:v>
                </c:pt>
              </c:strCache>
            </c:strRef>
          </c:cat>
          <c:val>
            <c:numRef>
              <c:f>Graphics!$E$23</c:f>
              <c:numCache>
                <c:formatCode>_("€"* #,##0.00_);_("€"* \(#,##0.00\);_("€"* "-"??_);_(@_)</c:formatCode>
                <c:ptCount val="1"/>
                <c:pt idx="0">
                  <c:v>6067095.4736913275</c:v>
                </c:pt>
              </c:numCache>
            </c:numRef>
          </c:val>
          <c:extLst>
            <c:ext xmlns:c16="http://schemas.microsoft.com/office/drawing/2014/chart" uri="{C3380CC4-5D6E-409C-BE32-E72D297353CC}">
              <c16:uniqueId val="{00000003-792A-4463-9E12-9E904F160012}"/>
            </c:ext>
          </c:extLst>
        </c:ser>
        <c:dLbls>
          <c:showLegendKey val="0"/>
          <c:showVal val="1"/>
          <c:showCatName val="0"/>
          <c:showSerName val="0"/>
          <c:showPercent val="0"/>
          <c:showBubbleSize val="0"/>
        </c:dLbls>
        <c:gapWidth val="100"/>
        <c:overlap val="-24"/>
        <c:axId val="603812200"/>
        <c:axId val="603814824"/>
      </c:barChart>
      <c:catAx>
        <c:axId val="6038122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814824"/>
        <c:crosses val="autoZero"/>
        <c:auto val="1"/>
        <c:lblAlgn val="ctr"/>
        <c:lblOffset val="100"/>
        <c:noMultiLvlLbl val="0"/>
      </c:catAx>
      <c:valAx>
        <c:axId val="603814824"/>
        <c:scaling>
          <c:orientation val="minMax"/>
        </c:scaling>
        <c:delete val="1"/>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crossAx val="60381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Final Stock Cryptocurrency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Graphics!$B$43</c:f>
              <c:strCache>
                <c:ptCount val="1"/>
                <c:pt idx="0">
                  <c:v> 2019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Graphics!$A$44</c:f>
              <c:strCache>
                <c:ptCount val="1"/>
                <c:pt idx="0">
                  <c:v> Final Stock Crypto </c:v>
                </c:pt>
              </c:strCache>
            </c:strRef>
          </c:cat>
          <c:val>
            <c:numRef>
              <c:f>Graphics!$B$44</c:f>
              <c:numCache>
                <c:formatCode>_("€"* #,##0.00_);_("€"* \(#,##0.00\);_("€"* "-"??_);_(@_)</c:formatCode>
                <c:ptCount val="1"/>
                <c:pt idx="0">
                  <c:v>3292860.5013250085</c:v>
                </c:pt>
              </c:numCache>
            </c:numRef>
          </c:val>
          <c:extLst>
            <c:ext xmlns:c16="http://schemas.microsoft.com/office/drawing/2014/chart" uri="{C3380CC4-5D6E-409C-BE32-E72D297353CC}">
              <c16:uniqueId val="{00000000-95E1-4AA9-8A6C-C9A9DA5E3E6F}"/>
            </c:ext>
          </c:extLst>
        </c:ser>
        <c:ser>
          <c:idx val="1"/>
          <c:order val="1"/>
          <c:tx>
            <c:strRef>
              <c:f>Graphics!$C$43</c:f>
              <c:strCache>
                <c:ptCount val="1"/>
                <c:pt idx="0">
                  <c:v> 2020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Graphics!$A$44</c:f>
              <c:strCache>
                <c:ptCount val="1"/>
                <c:pt idx="0">
                  <c:v> Final Stock Crypto </c:v>
                </c:pt>
              </c:strCache>
            </c:strRef>
          </c:cat>
          <c:val>
            <c:numRef>
              <c:f>Graphics!$C$44</c:f>
              <c:numCache>
                <c:formatCode>_("€"* #,##0.00_);_("€"* \(#,##0.00\);_("€"* "-"??_);_(@_)</c:formatCode>
                <c:ptCount val="1"/>
                <c:pt idx="0">
                  <c:v>9055366.3786437716</c:v>
                </c:pt>
              </c:numCache>
            </c:numRef>
          </c:val>
          <c:extLst>
            <c:ext xmlns:c16="http://schemas.microsoft.com/office/drawing/2014/chart" uri="{C3380CC4-5D6E-409C-BE32-E72D297353CC}">
              <c16:uniqueId val="{00000001-0973-4E70-A696-22E4D4D36231}"/>
            </c:ext>
          </c:extLst>
        </c:ser>
        <c:ser>
          <c:idx val="2"/>
          <c:order val="2"/>
          <c:tx>
            <c:strRef>
              <c:f>Graphics!$D$43</c:f>
              <c:strCache>
                <c:ptCount val="1"/>
                <c:pt idx="0">
                  <c:v> 2021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Graphics!$A$44</c:f>
              <c:strCache>
                <c:ptCount val="1"/>
                <c:pt idx="0">
                  <c:v> Final Stock Crypto </c:v>
                </c:pt>
              </c:strCache>
            </c:strRef>
          </c:cat>
          <c:val>
            <c:numRef>
              <c:f>Graphics!$D$44</c:f>
              <c:numCache>
                <c:formatCode>_("€"* #,##0.00_);_("€"* \(#,##0.00\);_("€"* "-"??_);_(@_)</c:formatCode>
                <c:ptCount val="1"/>
                <c:pt idx="0">
                  <c:v>19016269.395151921</c:v>
                </c:pt>
              </c:numCache>
            </c:numRef>
          </c:val>
          <c:extLst>
            <c:ext xmlns:c16="http://schemas.microsoft.com/office/drawing/2014/chart" uri="{C3380CC4-5D6E-409C-BE32-E72D297353CC}">
              <c16:uniqueId val="{00000002-0973-4E70-A696-22E4D4D36231}"/>
            </c:ext>
          </c:extLst>
        </c:ser>
        <c:ser>
          <c:idx val="3"/>
          <c:order val="3"/>
          <c:tx>
            <c:strRef>
              <c:f>Graphics!$E$43</c:f>
              <c:strCache>
                <c:ptCount val="1"/>
                <c:pt idx="0">
                  <c:v> 2022 </c:v>
                </c:pt>
              </c:strCache>
            </c:strRef>
          </c:tx>
          <c:spPr>
            <a:solidFill>
              <a:schemeClr val="accent6">
                <a:lumMod val="60000"/>
              </a:schemeClr>
            </a:solidFill>
            <a:ln>
              <a:noFill/>
            </a:ln>
            <a:effectLst/>
          </c:spPr>
          <c:invertIfNegative val="0"/>
          <c:dLbls>
            <c:dLbl>
              <c:idx val="0"/>
              <c:tx>
                <c:rich>
                  <a:bodyPr/>
                  <a:lstStyle/>
                  <a:p>
                    <a:fld id="{359383D8-4B9D-4FA7-904D-766AA584781C}" type="VALUE">
                      <a:rPr lang="en-US"/>
                      <a:pPr/>
                      <a:t>[VALEUR]</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223-46B1-BEB1-0D0C10ADF9F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Graphics!$A$44</c:f>
              <c:strCache>
                <c:ptCount val="1"/>
                <c:pt idx="0">
                  <c:v> Final Stock Crypto </c:v>
                </c:pt>
              </c:strCache>
            </c:strRef>
          </c:cat>
          <c:val>
            <c:numRef>
              <c:f>Graphics!$E$44</c:f>
              <c:numCache>
                <c:formatCode>_("€"* #,##0.00_);_("€"* \(#,##0.00\);_("€"* "-"??_);_(@_)</c:formatCode>
                <c:ptCount val="1"/>
                <c:pt idx="0">
                  <c:v>24268381.89476531</c:v>
                </c:pt>
              </c:numCache>
            </c:numRef>
          </c:val>
          <c:extLst>
            <c:ext xmlns:c16="http://schemas.microsoft.com/office/drawing/2014/chart" uri="{C3380CC4-5D6E-409C-BE32-E72D297353CC}">
              <c16:uniqueId val="{00000003-0973-4E70-A696-22E4D4D36231}"/>
            </c:ext>
          </c:extLst>
        </c:ser>
        <c:dLbls>
          <c:showLegendKey val="0"/>
          <c:showVal val="1"/>
          <c:showCatName val="0"/>
          <c:showSerName val="0"/>
          <c:showPercent val="0"/>
          <c:showBubbleSize val="0"/>
        </c:dLbls>
        <c:gapWidth val="150"/>
        <c:overlap val="-25"/>
        <c:axId val="629323512"/>
        <c:axId val="629323840"/>
      </c:barChart>
      <c:catAx>
        <c:axId val="6293235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9323840"/>
        <c:crosses val="autoZero"/>
        <c:auto val="1"/>
        <c:lblAlgn val="ctr"/>
        <c:lblOffset val="100"/>
        <c:noMultiLvlLbl val="0"/>
      </c:catAx>
      <c:valAx>
        <c:axId val="629323840"/>
        <c:scaling>
          <c:orientation val="minMax"/>
        </c:scaling>
        <c:delete val="1"/>
        <c:axPos val="l"/>
        <c:numFmt formatCode="_(&quot;€&quot;* #,##0.00_);_(&quot;€&quot;* \(#,##0.00\);_(&quot;€&quot;* &quot;-&quot;??_);_(@_)" sourceLinked="1"/>
        <c:majorTickMark val="none"/>
        <c:minorTickMark val="none"/>
        <c:tickLblPos val="nextTo"/>
        <c:crossAx val="629323512"/>
        <c:crosses val="autoZero"/>
        <c:crossBetween val="between"/>
      </c:val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effectLst/>
                <a:latin typeface="+mn-lt"/>
                <a:ea typeface="+mn-ea"/>
                <a:cs typeface="+mn-cs"/>
              </a:defRPr>
            </a:pPr>
            <a:br>
              <a:rPr lang="fr-FR" sz="1600" b="1" i="0" u="none" strike="noStrike" baseline="0">
                <a:solidFill>
                  <a:schemeClr val="tx2"/>
                </a:solidFill>
                <a:effectLst/>
              </a:rPr>
            </a:br>
            <a:r>
              <a:rPr lang="fr-FR" sz="1600" b="1" i="0" u="none" strike="noStrike" baseline="0">
                <a:solidFill>
                  <a:schemeClr val="tx2"/>
                </a:solidFill>
                <a:effectLst/>
              </a:rPr>
              <a:t>Share of shareholders on profits</a:t>
            </a:r>
            <a:endParaRPr lang="en-US" sz="1600" b="1">
              <a:solidFill>
                <a:schemeClr val="tx2"/>
              </a:solidFill>
            </a:endParaRPr>
          </a:p>
        </c:rich>
      </c:tx>
      <c:layout>
        <c:manualLayout>
          <c:xMode val="edge"/>
          <c:yMode val="edge"/>
          <c:x val="0.1648846409922030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effectLst/>
              <a:latin typeface="+mn-lt"/>
              <a:ea typeface="+mn-ea"/>
              <a:cs typeface="+mn-cs"/>
            </a:defRPr>
          </a:pPr>
          <a:endParaRPr lang="en-US"/>
        </a:p>
      </c:txPr>
    </c:title>
    <c:autoTitleDeleted val="0"/>
    <c:plotArea>
      <c:layout/>
      <c:barChart>
        <c:barDir val="col"/>
        <c:grouping val="clustered"/>
        <c:varyColors val="0"/>
        <c:ser>
          <c:idx val="0"/>
          <c:order val="0"/>
          <c:tx>
            <c:strRef>
              <c:f>Graphics!$G$23</c:f>
              <c:strCache>
                <c:ptCount val="1"/>
                <c:pt idx="0">
                  <c:v>Distribuate</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layout>
                <c:manualLayout>
                  <c:x val="0"/>
                  <c:y val="-9.037858594523932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38-41EC-ACF7-45B8FA437BD8}"/>
                </c:ext>
              </c:extLst>
            </c:dLbl>
            <c:dLbl>
              <c:idx val="1"/>
              <c:layout>
                <c:manualLayout>
                  <c:x val="-5.1245622774420094E-17"/>
                  <c:y val="-1.9688511698683627E-2"/>
                </c:manualLayout>
              </c:layout>
              <c:tx>
                <c:rich>
                  <a:bodyPr/>
                  <a:lstStyle/>
                  <a:p>
                    <a:fld id="{2750E413-EBCF-441E-9D21-872182BB3D09}" type="VALUE">
                      <a:rPr lang="en-US" b="1">
                        <a:solidFill>
                          <a:sysClr val="windowText" lastClr="000000"/>
                        </a:solidFill>
                      </a:rPr>
                      <a:pPr/>
                      <a:t>[VALEUR]</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E38-41EC-ACF7-45B8FA437BD8}"/>
                </c:ext>
              </c:extLst>
            </c:dLbl>
            <c:dLbl>
              <c:idx val="2"/>
              <c:layout>
                <c:manualLayout>
                  <c:x val="0"/>
                  <c:y val="-4.12430936405325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38-41EC-ACF7-45B8FA437BD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Graphics!$H$22:$J$22</c:f>
              <c:strCache>
                <c:ptCount val="3"/>
                <c:pt idx="0">
                  <c:v>2019</c:v>
                </c:pt>
                <c:pt idx="1">
                  <c:v>2020</c:v>
                </c:pt>
                <c:pt idx="2">
                  <c:v>2021</c:v>
                </c:pt>
              </c:strCache>
            </c:strRef>
          </c:cat>
          <c:val>
            <c:numRef>
              <c:f>Graphics!$H$23:$J$23</c:f>
              <c:numCache>
                <c:formatCode>_("€"* #,##0.00_);_("€"* \(#,##0.00\);_("€"* "-"??_);_(@_)</c:formatCode>
                <c:ptCount val="3"/>
                <c:pt idx="0">
                  <c:v>47346.186806753751</c:v>
                </c:pt>
                <c:pt idx="1">
                  <c:v>200791.47665350753</c:v>
                </c:pt>
                <c:pt idx="2">
                  <c:v>328900.00996875972</c:v>
                </c:pt>
              </c:numCache>
            </c:numRef>
          </c:val>
          <c:extLst>
            <c:ext xmlns:c16="http://schemas.microsoft.com/office/drawing/2014/chart" uri="{C3380CC4-5D6E-409C-BE32-E72D297353CC}">
              <c16:uniqueId val="{00000000-2E38-41EC-ACF7-45B8FA437BD8}"/>
            </c:ext>
          </c:extLst>
        </c:ser>
        <c:dLbls>
          <c:dLblPos val="inEnd"/>
          <c:showLegendKey val="0"/>
          <c:showVal val="1"/>
          <c:showCatName val="0"/>
          <c:showSerName val="0"/>
          <c:showPercent val="0"/>
          <c:showBubbleSize val="0"/>
        </c:dLbls>
        <c:gapWidth val="41"/>
        <c:axId val="523646616"/>
        <c:axId val="523650224"/>
      </c:barChart>
      <c:catAx>
        <c:axId val="523646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523650224"/>
        <c:crosses val="autoZero"/>
        <c:auto val="1"/>
        <c:lblAlgn val="ctr"/>
        <c:lblOffset val="100"/>
        <c:noMultiLvlLbl val="0"/>
      </c:catAx>
      <c:valAx>
        <c:axId val="523650224"/>
        <c:scaling>
          <c:orientation val="minMax"/>
        </c:scaling>
        <c:delete val="1"/>
        <c:axPos val="l"/>
        <c:numFmt formatCode="_(&quot;€&quot;* #,##0.00_);_(&quot;€&quot;* \(#,##0.00\);_(&quot;€&quot;* &quot;-&quot;??_);_(@_)" sourceLinked="1"/>
        <c:majorTickMark val="none"/>
        <c:minorTickMark val="none"/>
        <c:tickLblPos val="nextTo"/>
        <c:crossAx val="52364661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56030</xdr:colOff>
      <xdr:row>4</xdr:row>
      <xdr:rowOff>179293</xdr:rowOff>
    </xdr:from>
    <xdr:to>
      <xdr:col>5</xdr:col>
      <xdr:colOff>1587650</xdr:colOff>
      <xdr:row>11</xdr:row>
      <xdr:rowOff>46877</xdr:rowOff>
    </xdr:to>
    <xdr:pic>
      <xdr:nvPicPr>
        <xdr:cNvPr id="3" name="Imag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74206" y="1255058"/>
          <a:ext cx="1531620" cy="12795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3</xdr:row>
      <xdr:rowOff>180975</xdr:rowOff>
    </xdr:from>
    <xdr:to>
      <xdr:col>0</xdr:col>
      <xdr:colOff>1912620</xdr:colOff>
      <xdr:row>10</xdr:row>
      <xdr:rowOff>60325</xdr:rowOff>
    </xdr:to>
    <xdr:pic>
      <xdr:nvPicPr>
        <xdr:cNvPr id="3" name="Imag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923925"/>
          <a:ext cx="1531620" cy="127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151278</xdr:colOff>
      <xdr:row>66</xdr:row>
      <xdr:rowOff>146796</xdr:rowOff>
    </xdr:from>
    <xdr:to>
      <xdr:col>14</xdr:col>
      <xdr:colOff>252131</xdr:colOff>
      <xdr:row>80</xdr:row>
      <xdr:rowOff>66114</xdr:rowOff>
    </xdr:to>
    <xdr:graphicFrame macro="">
      <xdr:nvGraphicFramePr>
        <xdr:cNvPr id="4" name="Graphique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56029</xdr:colOff>
      <xdr:row>1</xdr:row>
      <xdr:rowOff>22411</xdr:rowOff>
    </xdr:from>
    <xdr:to>
      <xdr:col>0</xdr:col>
      <xdr:colOff>1587649</xdr:colOff>
      <xdr:row>8</xdr:row>
      <xdr:rowOff>35671</xdr:rowOff>
    </xdr:to>
    <xdr:pic>
      <xdr:nvPicPr>
        <xdr:cNvPr id="5" name="Image 4">
          <a:extLst>
            <a:ext uri="{FF2B5EF4-FFF2-40B4-BE49-F238E27FC236}">
              <a16:creationId xmlns:a16="http://schemas.microsoft.com/office/drawing/2014/main" id="{00000000-0008-0000-03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029" y="212911"/>
          <a:ext cx="1531620" cy="127952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28575</xdr:colOff>
      <xdr:row>0</xdr:row>
      <xdr:rowOff>47625</xdr:rowOff>
    </xdr:from>
    <xdr:to>
      <xdr:col>4</xdr:col>
      <xdr:colOff>1560195</xdr:colOff>
      <xdr:row>6</xdr:row>
      <xdr:rowOff>155575</xdr:rowOff>
    </xdr:to>
    <xdr:pic>
      <xdr:nvPicPr>
        <xdr:cNvPr id="3" name="Imag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81500" y="47625"/>
          <a:ext cx="1531620" cy="127952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27</xdr:row>
      <xdr:rowOff>85725</xdr:rowOff>
    </xdr:from>
    <xdr:to>
      <xdr:col>4</xdr:col>
      <xdr:colOff>285750</xdr:colOff>
      <xdr:row>34</xdr:row>
      <xdr:rowOff>85725</xdr:rowOff>
    </xdr:to>
    <xdr:sp macro="" textlink="">
      <xdr:nvSpPr>
        <xdr:cNvPr id="2" name="ZoneTexte 1">
          <a:extLst>
            <a:ext uri="{FF2B5EF4-FFF2-40B4-BE49-F238E27FC236}">
              <a16:creationId xmlns:a16="http://schemas.microsoft.com/office/drawing/2014/main" id="{00000000-0008-0000-0500-000002000000}"/>
            </a:ext>
          </a:extLst>
        </xdr:cNvPr>
        <xdr:cNvSpPr txBox="1"/>
      </xdr:nvSpPr>
      <xdr:spPr>
        <a:xfrm>
          <a:off x="104775" y="6048375"/>
          <a:ext cx="5010150" cy="1333500"/>
        </a:xfrm>
        <a:prstGeom prst="rect">
          <a:avLst/>
        </a:prstGeom>
        <a:solidFill>
          <a:srgbClr val="2DF14E"/>
        </a:solidFill>
        <a:ln w="9525" cmpd="sng">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a:t>1.</a:t>
          </a:r>
          <a:r>
            <a:rPr lang="fr-FR" baseline="0"/>
            <a:t> </a:t>
          </a:r>
          <a:r>
            <a:rPr lang="fr-FR"/>
            <a:t>We will double our mining equipment in 2020, this will ensure we double our production and increase our sales and our stock of cryptocurrency.</a:t>
          </a:r>
        </a:p>
        <a:p>
          <a:r>
            <a:rPr lang="fr-FR" sz="1100"/>
            <a:t>2. </a:t>
          </a:r>
          <a:r>
            <a:rPr lang="fr-FR" sz="1100" b="0" i="0">
              <a:solidFill>
                <a:schemeClr val="dk1"/>
              </a:solidFill>
              <a:effectLst/>
              <a:latin typeface="+mn-lt"/>
              <a:ea typeface="+mn-ea"/>
              <a:cs typeface="+mn-cs"/>
            </a:rPr>
            <a:t>We apply a 33.33% tax on our turnover. This tax does not apply to our cryptocurrency stock. The taxes on the use of the mining are still very vague in France, that is why we put a big budget in the expenses of lawyers.</a:t>
          </a:r>
          <a:br>
            <a:rPr lang="fr-FR"/>
          </a:br>
          <a:r>
            <a:rPr lang="fr-FR"/>
            <a:t>3.</a:t>
          </a:r>
          <a:r>
            <a:rPr lang="fr-FR" baseline="0"/>
            <a:t> </a:t>
          </a:r>
          <a:r>
            <a:rPr lang="fr-FR"/>
            <a:t>To motivate employees we multiply by three their last month of salary and cryptocurrency distributed each year for free.</a:t>
          </a:r>
        </a:p>
        <a:p>
          <a:endParaRPr lang="fr-FR"/>
        </a:p>
        <a:p>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342900</xdr:colOff>
      <xdr:row>20</xdr:row>
      <xdr:rowOff>95250</xdr:rowOff>
    </xdr:from>
    <xdr:to>
      <xdr:col>5</xdr:col>
      <xdr:colOff>952500</xdr:colOff>
      <xdr:row>27</xdr:row>
      <xdr:rowOff>85725</xdr:rowOff>
    </xdr:to>
    <xdr:sp macro="" textlink="">
      <xdr:nvSpPr>
        <xdr:cNvPr id="2" name="ZoneTexte 1">
          <a:extLst>
            <a:ext uri="{FF2B5EF4-FFF2-40B4-BE49-F238E27FC236}">
              <a16:creationId xmlns:a16="http://schemas.microsoft.com/office/drawing/2014/main" id="{00000000-0008-0000-0600-000002000000}"/>
            </a:ext>
          </a:extLst>
        </xdr:cNvPr>
        <xdr:cNvSpPr txBox="1"/>
      </xdr:nvSpPr>
      <xdr:spPr>
        <a:xfrm>
          <a:off x="342900" y="4276725"/>
          <a:ext cx="6848475" cy="1247775"/>
        </a:xfrm>
        <a:prstGeom prst="rect">
          <a:avLst/>
        </a:prstGeom>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fr-FR" sz="1100" b="1" i="0">
              <a:solidFill>
                <a:schemeClr val="dk1"/>
              </a:solidFill>
              <a:effectLst/>
              <a:latin typeface="+mn-lt"/>
              <a:ea typeface="+mn-ea"/>
              <a:cs typeface="+mn-cs"/>
            </a:rPr>
            <a:t>These tables above represent the balance of the business in the year 2019. We sell 30% of our production and we need a certain amount to finance our packages and transfers to customers.</a:t>
          </a:r>
          <a:br>
            <a:rPr lang="fr-FR" sz="1100" b="1" i="0">
              <a:solidFill>
                <a:schemeClr val="dk1"/>
              </a:solidFill>
              <a:effectLst/>
              <a:latin typeface="+mn-lt"/>
              <a:ea typeface="+mn-ea"/>
              <a:cs typeface="+mn-cs"/>
            </a:rPr>
          </a:br>
          <a:r>
            <a:rPr lang="fr-FR" sz="1100" b="1" i="0">
              <a:solidFill>
                <a:schemeClr val="dk1"/>
              </a:solidFill>
              <a:effectLst/>
              <a:latin typeface="+mn-lt"/>
              <a:ea typeface="+mn-ea"/>
              <a:cs typeface="+mn-cs"/>
            </a:rPr>
            <a:t>As this stock is not cashable it can not be part of the balance sheet. That's why a table here represents the cryptocurrency stock at the end of the year. The manager, the CEO and the shareholders will decide on the investment of the allocation. According to one estimate, we plan to distribute to our shareholders 20% of the stock of the year, knowing that our profits are evolving very quickly. Shareholders will have an advantage over their initial investments.</a:t>
          </a:r>
        </a:p>
        <a:p>
          <a:endParaRPr lang="fr-FR" sz="1100" b="1"/>
        </a:p>
      </xdr:txBody>
    </xdr:sp>
    <xdr:clientData/>
  </xdr:twoCellAnchor>
  <xdr:twoCellAnchor>
    <xdr:from>
      <xdr:col>0</xdr:col>
      <xdr:colOff>552450</xdr:colOff>
      <xdr:row>50</xdr:row>
      <xdr:rowOff>95250</xdr:rowOff>
    </xdr:from>
    <xdr:to>
      <xdr:col>4</xdr:col>
      <xdr:colOff>781050</xdr:colOff>
      <xdr:row>57</xdr:row>
      <xdr:rowOff>161925</xdr:rowOff>
    </xdr:to>
    <xdr:sp macro="" textlink="">
      <xdr:nvSpPr>
        <xdr:cNvPr id="3" name="ZoneTexte 2">
          <a:extLst>
            <a:ext uri="{FF2B5EF4-FFF2-40B4-BE49-F238E27FC236}">
              <a16:creationId xmlns:a16="http://schemas.microsoft.com/office/drawing/2014/main" id="{00000000-0008-0000-0600-000003000000}"/>
            </a:ext>
          </a:extLst>
        </xdr:cNvPr>
        <xdr:cNvSpPr txBox="1"/>
      </xdr:nvSpPr>
      <xdr:spPr>
        <a:xfrm>
          <a:off x="552450" y="10420350"/>
          <a:ext cx="5448300" cy="1400175"/>
        </a:xfrm>
        <a:prstGeom prst="rect">
          <a:avLst/>
        </a:prstGeom>
        <a:gradFill>
          <a:gsLst>
            <a:gs pos="71000">
              <a:schemeClr val="accent6">
                <a:lumMod val="40000"/>
                <a:lumOff val="60000"/>
              </a:schemeClr>
            </a:gs>
            <a:gs pos="100000">
              <a:schemeClr val="accent6">
                <a:lumMod val="95000"/>
                <a:lumOff val="5000"/>
              </a:schemeClr>
            </a:gs>
            <a:gs pos="100000">
              <a:schemeClr val="accent6">
                <a:lumMod val="60000"/>
              </a:schemeClr>
            </a:gs>
          </a:gsLst>
          <a:path path="circle">
            <a:fillToRect l="50000" t="130000" r="50000" b="-30000"/>
          </a:path>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 Over 4 years, investors have the opportunity to recover 75% of their committed capital. This estimate does not take into account the evolution of the prices of the two cryptocurrencies, if in one year it triples, the remuneration of the shareholders will triple at the same time. This is an important point of view, shares will be distributed are forms of transfer in cryptocurrency or with the exchange rate of the company. Shareholders are free to choose whether they exchange their cryptocurrencies directly or they prefer to keep them in stock. Shareholder compensation can therefore be very important.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180975</xdr:colOff>
      <xdr:row>6</xdr:row>
      <xdr:rowOff>4762</xdr:rowOff>
    </xdr:from>
    <xdr:to>
      <xdr:col>4</xdr:col>
      <xdr:colOff>295275</xdr:colOff>
      <xdr:row>18</xdr:row>
      <xdr:rowOff>123825</xdr:rowOff>
    </xdr:to>
    <xdr:graphicFrame macro="">
      <xdr:nvGraphicFramePr>
        <xdr:cNvPr id="2" name="Graphique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171450</xdr:colOff>
      <xdr:row>24</xdr:row>
      <xdr:rowOff>4762</xdr:rowOff>
    </xdr:from>
    <xdr:to>
      <xdr:col>4</xdr:col>
      <xdr:colOff>666750</xdr:colOff>
      <xdr:row>38</xdr:row>
      <xdr:rowOff>80962</xdr:rowOff>
    </xdr:to>
    <xdr:graphicFrame macro="">
      <xdr:nvGraphicFramePr>
        <xdr:cNvPr id="3" name="Graphique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495299</xdr:colOff>
      <xdr:row>44</xdr:row>
      <xdr:rowOff>100012</xdr:rowOff>
    </xdr:from>
    <xdr:to>
      <xdr:col>4</xdr:col>
      <xdr:colOff>1000124</xdr:colOff>
      <xdr:row>58</xdr:row>
      <xdr:rowOff>171450</xdr:rowOff>
    </xdr:to>
    <xdr:graphicFrame macro="">
      <xdr:nvGraphicFramePr>
        <xdr:cNvPr id="4" name="Graphique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24</xdr:row>
      <xdr:rowOff>161925</xdr:rowOff>
    </xdr:from>
    <xdr:to>
      <xdr:col>9</xdr:col>
      <xdr:colOff>857250</xdr:colOff>
      <xdr:row>37</xdr:row>
      <xdr:rowOff>133350</xdr:rowOff>
    </xdr:to>
    <xdr:graphicFrame macro="">
      <xdr:nvGraphicFramePr>
        <xdr:cNvPr id="5" name="Graphique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7C0C22-5744-4AC2-819A-1615020B83AC}" name="Tableau58" displayName="Tableau58" ref="B48:E53" totalsRowShown="0" headerRowDxfId="83" dataDxfId="81" headerRowBorderDxfId="82" tableBorderDxfId="80" totalsRowBorderDxfId="79">
  <tableColumns count="4">
    <tableColumn id="1" xr3:uid="{F0868B07-7C8C-4D6B-AFFA-DEAC23172873}" name="ETH 670€ 06/05/18" dataDxfId="78"/>
    <tableColumn id="2" xr3:uid="{D9264A7C-6908-4121-ACEC-F76CA80C898B}" name="Ethereum Mining" dataDxfId="77">
      <calculatedColumnFormula>C42/1.23</calculatedColumnFormula>
    </tableColumn>
    <tableColumn id="3" xr3:uid="{2409CA66-EEB4-46B8-AFAD-30CBE6483F79}" name="Cost" dataDxfId="76">
      <calculatedColumnFormula>D42/1.23</calculatedColumnFormula>
    </tableColumn>
    <tableColumn id="4" xr3:uid="{0CF0C339-463E-4F71-8809-BBA82B19B33D}" name="Profit" dataDxfId="75">
      <calculatedColumnFormula>E42/1.23</calculatedColumnFormula>
    </tableColumn>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F14977A-C4FD-4E3E-9819-4804AAED7EE1}" name="Tableau10" displayName="Tableau10" ref="A24:C29" totalsRowShown="0" headerRowBorderDxfId="11" tableBorderDxfId="10" totalsRowBorderDxfId="9">
  <autoFilter ref="A24:C29" xr:uid="{86C33824-A4CF-4C94-BA92-D827C80E19EA}"/>
  <tableColumns count="3">
    <tableColumn id="1" xr3:uid="{6EDE6E37-A91D-4E2D-9BB1-8665E434459B}" name="Potential Growth" dataDxfId="8"/>
    <tableColumn id="2" xr3:uid="{E1AE6932-9864-48EB-9773-F45FE88A60F0}" name="Stock Cryptocurrency " dataDxfId="7" dataCellStyle="Monétaire"/>
    <tableColumn id="3" xr3:uid="{891B4A5C-2E8A-4475-A560-0DCEC07A001F}" name="Number of plants" dataDxfId="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C4C5CD8-83BF-4FE1-AC9D-7CDBE9A0BBD2}" name="Tableau11" displayName="Tableau11" ref="E29:G38" totalsRowShown="0" headerRowDxfId="5" headerRowBorderDxfId="4" tableBorderDxfId="3">
  <tableColumns count="3">
    <tableColumn id="1" xr3:uid="{EBD50D5B-4DB5-45CB-A435-34EEA3FB7059}" name="Potential Growth" dataDxfId="2"/>
    <tableColumn id="2" xr3:uid="{70ECD6A1-5DA7-4A45-B0B6-4BAEE83742F9}" name="Stock Cryptocurrency " dataDxfId="1"/>
    <tableColumn id="3" xr3:uid="{48913DD7-036A-4AD6-B25A-9233C2F6E461}" name="Number of plants" dataDxfId="0"/>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FC56DF-A3DA-4974-9ED4-692E4B3E02BC}" name="Tableau579" displayName="Tableau579" ref="B64:E69" totalsRowShown="0" headerRowDxfId="74" dataDxfId="72" headerRowBorderDxfId="73" tableBorderDxfId="71" totalsRowBorderDxfId="70">
  <tableColumns count="4">
    <tableColumn id="1" xr3:uid="{5FE04544-3112-4DDE-BC54-A93FCB2B95E4}" name="BTC 8200€ 06/05/18" dataDxfId="69"/>
    <tableColumn id="2" xr3:uid="{20A25DA0-BC82-40B6-8420-A22512F7E907}" name="Bitcoin Mining" dataDxfId="68">
      <calculatedColumnFormula>C58/1.23</calculatedColumnFormula>
    </tableColumn>
    <tableColumn id="3" xr3:uid="{881E5EFB-B3F3-4344-A864-E24457D94D95}" name="Cost" dataDxfId="67">
      <calculatedColumnFormula>D58/1.23</calculatedColumnFormula>
    </tableColumn>
    <tableColumn id="4" xr3:uid="{C9800016-5596-4EB9-8757-8B342605C533}" name="Profit" dataDxfId="66">
      <calculatedColumnFormula>E58/1.23</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1689A-A256-4426-9E7E-7B6BD428D0E5}" name="Tableau1" displayName="Tableau1" ref="B8:G11" totalsRowShown="0" headerRowDxfId="65" dataDxfId="63" headerRowBorderDxfId="64" tableBorderDxfId="62" totalsRowBorderDxfId="61" dataCellStyle="Monétaire">
  <tableColumns count="6">
    <tableColumn id="1" xr3:uid="{F3BA1359-23B4-4B16-BE9F-1D1A50F28E76}" name=" " dataDxfId="60"/>
    <tableColumn id="6" xr3:uid="{BF815852-68AC-41A5-902E-ED448794CB92}" name="CEO" dataDxfId="59" dataCellStyle="Monétaire"/>
    <tableColumn id="2" xr3:uid="{C6C3C6AC-009F-493F-98AF-A275FB24167F}" name="Digital Marketer" dataDxfId="58" dataCellStyle="Monétaire"/>
    <tableColumn id="3" xr3:uid="{A7F48CD9-A654-43F6-A0C1-4E4CC3ACDC12}" name="Administrative Assistant" dataDxfId="57" dataCellStyle="Monétaire"/>
    <tableColumn id="4" xr3:uid="{A48F9407-3F28-47DA-8FFB-591D705D8851}" name="IT Security Expert" dataDxfId="56" dataCellStyle="Monétaire"/>
    <tableColumn id="5" xr3:uid="{52D144AE-507B-41FE-AF27-7495D3C47D98}" name="Electrician (Part time)" dataDxfId="55" dataCellStyle="Monétaire"/>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B9065CB-0B71-4695-9D90-413F190676CC}" name="Tableau3" displayName="Tableau3" ref="C22:F28" totalsRowShown="0" headerRowDxfId="54" dataDxfId="52" headerRowBorderDxfId="53" tableBorderDxfId="51">
  <tableColumns count="4">
    <tableColumn id="1" xr3:uid="{F45FA988-52ED-4527-82F1-2C8B27B9F507}" name="Employees" dataDxfId="50"/>
    <tableColumn id="2" xr3:uid="{B1D94CDC-2412-4CED-941C-49FAD15996D6}" name="Month Salary" dataDxfId="49"/>
    <tableColumn id="3" xr3:uid="{0AC78A0F-CA77-4DCF-A542-7EE1974C39E7}" name="Month Cost for company" dataDxfId="48"/>
    <tableColumn id="4" xr3:uid="{E38E644A-2A3E-43CE-B013-3409D4273BAF}" name="Years Cost" dataDxfId="47"/>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5A8676-FB7A-4C31-9E17-990CC26FDF5B}" name="Tableau2" displayName="Tableau2" ref="A3:D5" totalsRowShown="0" dataDxfId="46" dataCellStyle="Monétaire">
  <tableColumns count="4">
    <tableColumn id="1" xr3:uid="{503BB17B-C339-40A3-BDF0-4F6C7F8457FD}" name=" " dataDxfId="45"/>
    <tableColumn id="2" xr3:uid="{45793666-C839-4F8D-9FEB-839D2F0CC390}" name="2019" dataDxfId="44" dataCellStyle="Monétaire"/>
    <tableColumn id="3" xr3:uid="{7AA9A710-CA8E-400F-BAF9-AE289C214B8E}" name="2020" dataDxfId="43" dataCellStyle="Monétaire"/>
    <tableColumn id="4" xr3:uid="{5B91A90F-2B97-4773-BA18-5B70201879C3}" name="2021" dataDxfId="42" dataCellStyle="Monétaire"/>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2E7F94-EB66-47A6-8DB8-340F2DC13DBC}" name="Tableau6" displayName="Tableau6" ref="A22:E23" dataDxfId="41" tableBorderDxfId="40" dataCellStyle="Monétaire">
  <tableColumns count="5">
    <tableColumn id="1" xr3:uid="{F424DC7A-A934-4630-B1B0-DADFBBFC3E5D}" name="Years" totalsRowLabel="Total"/>
    <tableColumn id="2" xr3:uid="{CF2F6DAD-8135-44EB-B2CF-A31EA803197A}" name="2019" dataDxfId="39" totalsRowDxfId="38" dataCellStyle="Monétaire">
      <calculatedColumnFormula>Balance!B49</calculatedColumnFormula>
    </tableColumn>
    <tableColumn id="3" xr3:uid="{E52759F4-2E04-4684-8B6F-10BF3262615B}" name="2020" dataDxfId="37" totalsRowDxfId="36" dataCellStyle="Monétaire">
      <calculatedColumnFormula>Balance!C49</calculatedColumnFormula>
    </tableColumn>
    <tableColumn id="4" xr3:uid="{5BCE84EE-990D-425C-A60B-BBF845C4CC6B}" name="2021" dataDxfId="35" totalsRowDxfId="34" dataCellStyle="Monétaire">
      <calculatedColumnFormula>Balance!D49</calculatedColumnFormula>
    </tableColumn>
    <tableColumn id="5" xr3:uid="{D6758551-DF48-4268-995C-D1E2CC1A07C2}" name="2022" totalsRowFunction="sum" dataDxfId="33" totalsRowDxfId="32" dataCellStyle="Monétaire">
      <calculatedColumnFormula>Balance!E49</calculatedColumnFormula>
    </tableColumn>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41D138B-AF7A-4F1A-9C68-7F16DBC0FE2F}" name="Tableau7" displayName="Tableau7" ref="A43:E44" totalsRowShown="0" headerRowDxfId="31" dataDxfId="29" headerRowBorderDxfId="30" tableBorderDxfId="28" totalsRowBorderDxfId="27" headerRowCellStyle="Monétaire" dataCellStyle="Monétaire">
  <tableColumns count="5">
    <tableColumn id="1" xr3:uid="{CF593714-58C1-447F-BACE-C4E74619962E}" name="Years" dataDxfId="26" dataCellStyle="Monétaire"/>
    <tableColumn id="2" xr3:uid="{2BBFB62B-0C97-4D33-BB32-8D1F09B5A58E}" name="2019" dataDxfId="25" dataCellStyle="Monétaire">
      <calculatedColumnFormula>Balance!B50</calculatedColumnFormula>
    </tableColumn>
    <tableColumn id="3" xr3:uid="{F9F2CF19-C5C8-4CB3-8113-FC02B2845C54}" name="2020" dataDxfId="24" dataCellStyle="Monétaire">
      <calculatedColumnFormula>Balance!C50</calculatedColumnFormula>
    </tableColumn>
    <tableColumn id="4" xr3:uid="{A294606D-D42B-4B60-A5BF-2AD6847D358C}" name="2021" dataDxfId="23" dataCellStyle="Monétaire">
      <calculatedColumnFormula>Balance!D50</calculatedColumnFormula>
    </tableColumn>
    <tableColumn id="5" xr3:uid="{9CB2E54E-8D89-4FCB-A85B-2F6F48B76B0A}" name="2022" dataDxfId="22" dataCellStyle="Monétaire">
      <calculatedColumnFormula>Balance!E50</calculatedColumnFormula>
    </tableColumn>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1B4B55-FDEE-4C89-AB74-550A1FB2FB7C}" name="Tableau69" displayName="Tableau69" ref="G22:J23" dataDxfId="21" tableBorderDxfId="20" dataCellStyle="Monétaire">
  <tableColumns count="4">
    <tableColumn id="1" xr3:uid="{11CFA6E1-1B22-47B3-8710-35D3DC4BF86F}" name="Years" totalsRowLabel="Total"/>
    <tableColumn id="2" xr3:uid="{10AE3CFB-A18B-4504-BF58-C48835A7E04A}" name="2019" dataDxfId="19" totalsRowDxfId="18" dataCellStyle="Monétaire">
      <calculatedColumnFormula>Balance!H8*35%</calculatedColumnFormula>
    </tableColumn>
    <tableColumn id="3" xr3:uid="{6D75F394-674B-47B3-99D0-D283325FC787}" name="2020" dataDxfId="17" totalsRowDxfId="16" dataCellStyle="Monétaire">
      <calculatedColumnFormula>Balance!I8*35%</calculatedColumnFormula>
    </tableColumn>
    <tableColumn id="4" xr3:uid="{63A26215-54AE-4400-BD38-88F41088DFD1}" name="2021" dataDxfId="15" totalsRowDxfId="14" dataCellStyle="Monétaire">
      <calculatedColumnFormula>Balance!J8*35%</calculatedColumnFormula>
    </tableColumn>
  </tableColumns>
  <tableStyleInfo name="TableStyleLight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91D937-BB44-43F2-A8DE-0B8E9BBBCEE9}" name="Tableau9" displayName="Tableau9" ref="E13:H17" totalsRowShown="0">
  <autoFilter ref="E13:H17" xr:uid="{CCAECC90-D306-48B5-8AB7-78F96AD6E836}">
    <filterColumn colId="0" hiddenButton="1"/>
    <filterColumn colId="1" hiddenButton="1"/>
    <filterColumn colId="2" hiddenButton="1"/>
    <filterColumn colId="3" hiddenButton="1"/>
  </autoFilter>
  <tableColumns count="4">
    <tableColumn id="1" xr3:uid="{D5010DF4-7EDD-4D2E-AEE9-50246FF11D1D}" name=" " dataDxfId="13"/>
    <tableColumn id="2" xr3:uid="{33CA4C09-7ACB-43D8-9C6D-5E0FAC3F5440}" name="Transfer fees crypto to crypto" dataDxfId="12"/>
    <tableColumn id="3" xr3:uid="{599CAF2B-9390-4E48-BB62-1D11C4C1EA1C}" name="Transfer fees fiat to crypto"/>
    <tableColumn id="4" xr3:uid="{FEC825F7-0E57-455A-B9E2-33664158EC1D}" name="Withdrawals account"/>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9.bin"/><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opLeftCell="A19" zoomScale="85" zoomScaleNormal="85" workbookViewId="0">
      <selection activeCell="E34" sqref="E34"/>
    </sheetView>
  </sheetViews>
  <sheetFormatPr baseColWidth="10" defaultColWidth="9.140625" defaultRowHeight="15" x14ac:dyDescent="0.25"/>
  <cols>
    <col min="1" max="1" width="48.140625" style="153" bestFit="1" customWidth="1"/>
    <col min="2" max="2" width="20.85546875" style="153" bestFit="1" customWidth="1"/>
    <col min="3" max="3" width="18.28515625" style="153" customWidth="1"/>
    <col min="4" max="4" width="18.85546875" style="153" bestFit="1" customWidth="1"/>
    <col min="5" max="5" width="24.7109375" style="153" customWidth="1"/>
    <col min="6" max="7" width="24.28515625" style="153" bestFit="1" customWidth="1"/>
    <col min="8" max="8" width="24.140625" style="153" customWidth="1"/>
    <col min="9" max="16384" width="9.140625" style="153"/>
  </cols>
  <sheetData>
    <row r="1" spans="1:7" ht="36.75" thickBot="1" x14ac:dyDescent="0.6">
      <c r="A1" s="276" t="s">
        <v>148</v>
      </c>
      <c r="B1" s="276"/>
    </row>
    <row r="2" spans="1:7" ht="15.75" thickBot="1" x14ac:dyDescent="0.3"/>
    <row r="3" spans="1:7" ht="15.75" thickBot="1" x14ac:dyDescent="0.3">
      <c r="A3" s="126" t="s">
        <v>6</v>
      </c>
      <c r="B3" s="126" t="s">
        <v>8</v>
      </c>
      <c r="C3" s="126" t="s">
        <v>9</v>
      </c>
      <c r="D3" s="126" t="s">
        <v>10</v>
      </c>
      <c r="F3" s="192" t="s">
        <v>232</v>
      </c>
    </row>
    <row r="4" spans="1:7" ht="15.75" thickBot="1" x14ac:dyDescent="0.3">
      <c r="A4" s="19" t="s">
        <v>20</v>
      </c>
      <c r="B4" s="19">
        <v>1</v>
      </c>
      <c r="C4" s="110">
        <v>1800000</v>
      </c>
      <c r="D4" s="110">
        <v>1800000</v>
      </c>
      <c r="F4" s="127" t="s">
        <v>233</v>
      </c>
    </row>
    <row r="5" spans="1:7" ht="15.75" thickBot="1" x14ac:dyDescent="0.3">
      <c r="A5" s="19" t="s">
        <v>78</v>
      </c>
      <c r="B5" s="19">
        <v>12</v>
      </c>
      <c r="C5" s="110">
        <v>1000</v>
      </c>
      <c r="D5" s="110">
        <f>B5*C5</f>
        <v>12000</v>
      </c>
      <c r="G5" s="154"/>
    </row>
    <row r="6" spans="1:7" ht="15.75" thickBot="1" x14ac:dyDescent="0.3">
      <c r="A6" s="19" t="s">
        <v>7</v>
      </c>
      <c r="B6" s="19">
        <v>1000</v>
      </c>
      <c r="C6" s="110">
        <v>800</v>
      </c>
      <c r="D6" s="110">
        <f>B6*C6</f>
        <v>800000</v>
      </c>
      <c r="G6" s="154"/>
    </row>
    <row r="7" spans="1:7" ht="15.75" thickBot="1" x14ac:dyDescent="0.3">
      <c r="A7" s="19" t="s">
        <v>11</v>
      </c>
      <c r="B7" s="19">
        <v>600</v>
      </c>
      <c r="C7" s="110">
        <v>1600</v>
      </c>
      <c r="D7" s="110">
        <f t="shared" ref="D7:D19" si="0">B7*C7</f>
        <v>960000</v>
      </c>
    </row>
    <row r="8" spans="1:7" ht="15.75" thickBot="1" x14ac:dyDescent="0.3">
      <c r="A8" s="19" t="s">
        <v>12</v>
      </c>
      <c r="B8" s="19">
        <v>1</v>
      </c>
      <c r="C8" s="110">
        <v>1000000</v>
      </c>
      <c r="D8" s="110">
        <f t="shared" si="0"/>
        <v>1000000</v>
      </c>
    </row>
    <row r="9" spans="1:7" ht="15.75" thickBot="1" x14ac:dyDescent="0.3">
      <c r="A9" s="19" t="s">
        <v>13</v>
      </c>
      <c r="B9" s="19">
        <v>1</v>
      </c>
      <c r="C9" s="110">
        <v>50000</v>
      </c>
      <c r="D9" s="110">
        <f t="shared" si="0"/>
        <v>50000</v>
      </c>
      <c r="E9" s="96"/>
    </row>
    <row r="10" spans="1:7" ht="15.75" thickBot="1" x14ac:dyDescent="0.3">
      <c r="A10" s="19" t="s">
        <v>15</v>
      </c>
      <c r="B10" s="19">
        <v>5</v>
      </c>
      <c r="C10" s="110">
        <v>700</v>
      </c>
      <c r="D10" s="110">
        <f t="shared" si="0"/>
        <v>3500</v>
      </c>
    </row>
    <row r="11" spans="1:7" ht="15.75" thickBot="1" x14ac:dyDescent="0.3">
      <c r="A11" s="19" t="s">
        <v>155</v>
      </c>
      <c r="B11" s="19">
        <v>12</v>
      </c>
      <c r="C11" s="110">
        <v>4000</v>
      </c>
      <c r="D11" s="110">
        <f t="shared" si="0"/>
        <v>48000</v>
      </c>
    </row>
    <row r="12" spans="1:7" ht="15.75" thickBot="1" x14ac:dyDescent="0.3">
      <c r="A12" s="19" t="s">
        <v>14</v>
      </c>
      <c r="B12" s="19">
        <v>1</v>
      </c>
      <c r="C12" s="110">
        <v>1200</v>
      </c>
      <c r="D12" s="110">
        <f t="shared" si="0"/>
        <v>1200</v>
      </c>
    </row>
    <row r="13" spans="1:7" ht="15.75" thickBot="1" x14ac:dyDescent="0.3">
      <c r="A13" s="19" t="s">
        <v>17</v>
      </c>
      <c r="B13" s="19">
        <v>1</v>
      </c>
      <c r="C13" s="110">
        <v>5000</v>
      </c>
      <c r="D13" s="110">
        <f t="shared" si="0"/>
        <v>5000</v>
      </c>
      <c r="F13" s="19" t="s">
        <v>128</v>
      </c>
      <c r="G13" s="155">
        <f>B36</f>
        <v>5000000</v>
      </c>
    </row>
    <row r="14" spans="1:7" ht="15.75" thickBot="1" x14ac:dyDescent="0.3">
      <c r="A14" s="19" t="s">
        <v>16</v>
      </c>
      <c r="B14" s="19">
        <v>12</v>
      </c>
      <c r="C14" s="110">
        <v>2000</v>
      </c>
      <c r="D14" s="110">
        <f t="shared" si="0"/>
        <v>24000</v>
      </c>
    </row>
    <row r="15" spans="1:7" ht="15.75" thickBot="1" x14ac:dyDescent="0.3">
      <c r="A15" s="19" t="s">
        <v>22</v>
      </c>
      <c r="B15" s="19">
        <v>12</v>
      </c>
      <c r="C15" s="110">
        <v>400</v>
      </c>
      <c r="D15" s="110">
        <f t="shared" si="0"/>
        <v>4800</v>
      </c>
    </row>
    <row r="16" spans="1:7" ht="15.75" thickBot="1" x14ac:dyDescent="0.3">
      <c r="A16" s="19" t="s">
        <v>121</v>
      </c>
      <c r="B16" s="19">
        <v>3</v>
      </c>
      <c r="C16" s="110">
        <v>3333.3333299999999</v>
      </c>
      <c r="D16" s="110">
        <f t="shared" si="0"/>
        <v>9999.9999900000003</v>
      </c>
    </row>
    <row r="17" spans="1:8" ht="15.75" thickBot="1" x14ac:dyDescent="0.3">
      <c r="A17" s="19" t="s">
        <v>136</v>
      </c>
      <c r="B17" s="19">
        <v>3</v>
      </c>
      <c r="C17" s="110">
        <f>D17/B17</f>
        <v>38333.333333333336</v>
      </c>
      <c r="D17" s="110">
        <v>115000</v>
      </c>
    </row>
    <row r="18" spans="1:8" ht="15.75" thickBot="1" x14ac:dyDescent="0.3">
      <c r="A18" s="19" t="s">
        <v>157</v>
      </c>
      <c r="B18" s="19">
        <v>12</v>
      </c>
      <c r="C18" s="110">
        <v>3000</v>
      </c>
      <c r="D18" s="110">
        <f t="shared" si="0"/>
        <v>36000</v>
      </c>
    </row>
    <row r="19" spans="1:8" ht="15.75" thickBot="1" x14ac:dyDescent="0.3">
      <c r="A19" s="19" t="s">
        <v>18</v>
      </c>
      <c r="B19" s="19">
        <v>12</v>
      </c>
      <c r="C19" s="110">
        <f>1000+149</f>
        <v>1149</v>
      </c>
      <c r="D19" s="110">
        <f t="shared" si="0"/>
        <v>13788</v>
      </c>
    </row>
    <row r="20" spans="1:8" ht="15.75" thickBot="1" x14ac:dyDescent="0.3">
      <c r="A20" s="26" t="s">
        <v>19</v>
      </c>
      <c r="B20" s="26"/>
      <c r="C20" s="125"/>
      <c r="D20" s="125">
        <f>SUM(D4:D19)</f>
        <v>4883287.9999900004</v>
      </c>
    </row>
    <row r="21" spans="1:8" ht="15.75" thickBot="1" x14ac:dyDescent="0.3"/>
    <row r="22" spans="1:8" ht="15.75" thickBot="1" x14ac:dyDescent="0.3">
      <c r="B22" s="119" t="s">
        <v>39</v>
      </c>
      <c r="C22" s="156"/>
      <c r="D22" s="156"/>
      <c r="E22" s="156"/>
      <c r="F22" s="156"/>
      <c r="G22" s="156"/>
    </row>
    <row r="23" spans="1:8" ht="30.75" thickBot="1" x14ac:dyDescent="0.3">
      <c r="B23" s="2" t="s">
        <v>0</v>
      </c>
      <c r="C23" s="157" t="s">
        <v>23</v>
      </c>
      <c r="D23" s="158" t="s">
        <v>1</v>
      </c>
      <c r="E23" s="158" t="s">
        <v>2</v>
      </c>
      <c r="F23" s="158" t="s">
        <v>3</v>
      </c>
      <c r="G23" s="158" t="s">
        <v>4</v>
      </c>
      <c r="H23" s="158" t="s">
        <v>5</v>
      </c>
    </row>
    <row r="24" spans="1:8" ht="15.75" thickBot="1" x14ac:dyDescent="0.3">
      <c r="A24" s="19" t="s">
        <v>153</v>
      </c>
      <c r="B24" s="159">
        <f>C4</f>
        <v>1800000</v>
      </c>
      <c r="C24" s="160">
        <v>15</v>
      </c>
      <c r="D24" s="161">
        <f>B24/C24</f>
        <v>120000</v>
      </c>
      <c r="E24" s="161">
        <f>B24-D24</f>
        <v>1680000</v>
      </c>
      <c r="F24" s="161">
        <f>E24-D24</f>
        <v>1560000</v>
      </c>
      <c r="G24" s="161">
        <f>F24-D24</f>
        <v>1440000</v>
      </c>
      <c r="H24" s="161">
        <f t="shared" ref="H24:H30" si="1">G24-D24</f>
        <v>1320000</v>
      </c>
    </row>
    <row r="25" spans="1:8" ht="15.75" thickBot="1" x14ac:dyDescent="0.3">
      <c r="A25" s="19" t="s">
        <v>12</v>
      </c>
      <c r="B25" s="159">
        <v>1000000</v>
      </c>
      <c r="C25" s="160">
        <v>10</v>
      </c>
      <c r="D25" s="161">
        <f>B25/C25</f>
        <v>100000</v>
      </c>
      <c r="E25" s="161">
        <f>B25-D25</f>
        <v>900000</v>
      </c>
      <c r="F25" s="161">
        <f>E25-D25</f>
        <v>800000</v>
      </c>
      <c r="G25" s="161">
        <f>F25-D25</f>
        <v>700000</v>
      </c>
      <c r="H25" s="161">
        <f t="shared" si="1"/>
        <v>600000</v>
      </c>
    </row>
    <row r="26" spans="1:8" ht="15.75" thickBot="1" x14ac:dyDescent="0.3">
      <c r="A26" s="19" t="s">
        <v>7</v>
      </c>
      <c r="B26" s="159">
        <f>D6</f>
        <v>800000</v>
      </c>
      <c r="C26" s="160">
        <v>4</v>
      </c>
      <c r="D26" s="161">
        <f>B26/C26</f>
        <v>200000</v>
      </c>
      <c r="E26" s="161">
        <f>B26-D26</f>
        <v>600000</v>
      </c>
      <c r="F26" s="161">
        <f>E26-D26</f>
        <v>400000</v>
      </c>
      <c r="G26" s="161">
        <f>F26-D26</f>
        <v>200000</v>
      </c>
      <c r="H26" s="161">
        <v>0</v>
      </c>
    </row>
    <row r="27" spans="1:8" ht="15.75" thickBot="1" x14ac:dyDescent="0.3">
      <c r="A27" s="19" t="s">
        <v>11</v>
      </c>
      <c r="B27" s="159">
        <f>D7</f>
        <v>960000</v>
      </c>
      <c r="C27" s="160">
        <v>4</v>
      </c>
      <c r="D27" s="161">
        <f t="shared" ref="D27:D30" si="2">B27/C27</f>
        <v>240000</v>
      </c>
      <c r="E27" s="161">
        <f t="shared" ref="E27:E30" si="3">B27-D27</f>
        <v>720000</v>
      </c>
      <c r="F27" s="161">
        <f t="shared" ref="F27:F30" si="4">E27-D27</f>
        <v>480000</v>
      </c>
      <c r="G27" s="161">
        <f t="shared" ref="G27:G30" si="5">F27-D27</f>
        <v>240000</v>
      </c>
      <c r="H27" s="161">
        <f t="shared" si="1"/>
        <v>0</v>
      </c>
    </row>
    <row r="28" spans="1:8" ht="15.75" thickBot="1" x14ac:dyDescent="0.3">
      <c r="A28" s="19" t="s">
        <v>15</v>
      </c>
      <c r="B28" s="159">
        <f>D10</f>
        <v>3500</v>
      </c>
      <c r="C28" s="160">
        <v>5</v>
      </c>
      <c r="D28" s="161">
        <f t="shared" si="2"/>
        <v>700</v>
      </c>
      <c r="E28" s="161">
        <f t="shared" si="3"/>
        <v>2800</v>
      </c>
      <c r="F28" s="161">
        <f t="shared" si="4"/>
        <v>2100</v>
      </c>
      <c r="G28" s="161">
        <f t="shared" si="5"/>
        <v>1400</v>
      </c>
      <c r="H28" s="161">
        <f t="shared" si="1"/>
        <v>700</v>
      </c>
    </row>
    <row r="29" spans="1:8" ht="15.75" thickBot="1" x14ac:dyDescent="0.3">
      <c r="A29" s="19" t="s">
        <v>21</v>
      </c>
      <c r="B29" s="159">
        <f>D12</f>
        <v>1200</v>
      </c>
      <c r="C29" s="160">
        <v>5</v>
      </c>
      <c r="D29" s="161">
        <f t="shared" si="2"/>
        <v>240</v>
      </c>
      <c r="E29" s="161">
        <f t="shared" si="3"/>
        <v>960</v>
      </c>
      <c r="F29" s="161">
        <f t="shared" si="4"/>
        <v>720</v>
      </c>
      <c r="G29" s="161">
        <f t="shared" si="5"/>
        <v>480</v>
      </c>
      <c r="H29" s="161">
        <f t="shared" si="1"/>
        <v>240</v>
      </c>
    </row>
    <row r="30" spans="1:8" ht="15.75" thickBot="1" x14ac:dyDescent="0.3">
      <c r="A30" s="19" t="s">
        <v>17</v>
      </c>
      <c r="B30" s="159">
        <f>D13</f>
        <v>5000</v>
      </c>
      <c r="C30" s="160">
        <v>5</v>
      </c>
      <c r="D30" s="161">
        <f t="shared" si="2"/>
        <v>1000</v>
      </c>
      <c r="E30" s="161">
        <f t="shared" si="3"/>
        <v>4000</v>
      </c>
      <c r="F30" s="161">
        <f t="shared" si="4"/>
        <v>3000</v>
      </c>
      <c r="G30" s="161">
        <f t="shared" si="5"/>
        <v>2000</v>
      </c>
      <c r="H30" s="161">
        <f t="shared" si="1"/>
        <v>1000</v>
      </c>
    </row>
    <row r="31" spans="1:8" ht="15.75" thickBot="1" x14ac:dyDescent="0.3">
      <c r="A31" s="163" t="s">
        <v>10</v>
      </c>
      <c r="B31" s="142">
        <f>SUM(B24:B30)</f>
        <v>4569700</v>
      </c>
      <c r="C31" s="155"/>
      <c r="D31" s="155"/>
      <c r="E31" s="162">
        <f>SUM(E24:E30)</f>
        <v>3907760</v>
      </c>
      <c r="F31" s="162">
        <f t="shared" ref="F31:H31" si="6">SUM(F24:F30)</f>
        <v>3245820</v>
      </c>
      <c r="G31" s="162">
        <f t="shared" si="6"/>
        <v>2583880</v>
      </c>
      <c r="H31" s="162">
        <f t="shared" si="6"/>
        <v>1921940</v>
      </c>
    </row>
    <row r="32" spans="1:8" ht="15.75" thickBot="1" x14ac:dyDescent="0.3"/>
    <row r="33" spans="1:4" ht="19.5" thickBot="1" x14ac:dyDescent="0.35">
      <c r="A33" s="95" t="s">
        <v>152</v>
      </c>
    </row>
    <row r="34" spans="1:4" ht="15.75" thickBot="1" x14ac:dyDescent="0.3"/>
    <row r="35" spans="1:4" ht="16.5" thickBot="1" x14ac:dyDescent="0.3">
      <c r="A35" s="167" t="s">
        <v>30</v>
      </c>
    </row>
    <row r="36" spans="1:4" ht="15.75" thickBot="1" x14ac:dyDescent="0.3">
      <c r="A36" s="19" t="s">
        <v>27</v>
      </c>
      <c r="B36" s="110">
        <v>5000000</v>
      </c>
      <c r="C36" s="142"/>
    </row>
    <row r="37" spans="1:4" ht="15.75" thickBot="1" x14ac:dyDescent="0.3">
      <c r="A37" s="19" t="s">
        <v>26</v>
      </c>
      <c r="B37" s="110">
        <v>150000</v>
      </c>
      <c r="C37" s="142"/>
    </row>
    <row r="38" spans="1:4" ht="15.75" thickBot="1" x14ac:dyDescent="0.3">
      <c r="A38" s="19" t="s">
        <v>24</v>
      </c>
      <c r="B38" s="199">
        <f>B36-B37</f>
        <v>4850000</v>
      </c>
      <c r="C38" s="164">
        <v>4850000</v>
      </c>
      <c r="D38" s="164">
        <v>4850000</v>
      </c>
    </row>
    <row r="39" spans="1:4" ht="15.75" thickBot="1" x14ac:dyDescent="0.3">
      <c r="A39" s="19" t="s">
        <v>25</v>
      </c>
      <c r="B39" s="225">
        <v>0.35</v>
      </c>
      <c r="C39" s="165">
        <v>0.35</v>
      </c>
      <c r="D39" s="165">
        <v>0.35</v>
      </c>
    </row>
    <row r="40" spans="1:4" ht="15.75" thickBot="1" x14ac:dyDescent="0.3">
      <c r="A40" s="19" t="s">
        <v>28</v>
      </c>
      <c r="B40" s="226">
        <v>10000</v>
      </c>
      <c r="C40" s="166">
        <v>250</v>
      </c>
      <c r="D40" s="166">
        <v>100000</v>
      </c>
    </row>
    <row r="41" spans="1:4" ht="15.75" thickBot="1" x14ac:dyDescent="0.3">
      <c r="A41" s="19" t="s">
        <v>29</v>
      </c>
      <c r="B41" s="199">
        <f>B38/B40</f>
        <v>485</v>
      </c>
      <c r="C41" s="164">
        <f>C38/C40</f>
        <v>19400</v>
      </c>
      <c r="D41" s="164">
        <f>D38/D40</f>
        <v>48.5</v>
      </c>
    </row>
  </sheetData>
  <mergeCells count="1">
    <mergeCell ref="A1:B1"/>
  </mergeCells>
  <pageMargins left="0.7" right="0.7" top="0.75" bottom="0.75" header="0.3" footer="0.3"/>
  <pageSetup paperSize="258"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FB7EF-883C-49BB-A736-CAF4A4A91EAB}">
  <dimension ref="A1:P77"/>
  <sheetViews>
    <sheetView topLeftCell="D52" workbookViewId="0">
      <selection activeCell="D26" sqref="D26:N26"/>
    </sheetView>
  </sheetViews>
  <sheetFormatPr baseColWidth="10" defaultColWidth="23.5703125" defaultRowHeight="15" x14ac:dyDescent="0.25"/>
  <cols>
    <col min="1" max="1" width="34.140625" customWidth="1"/>
    <col min="2" max="2" width="13" style="101" bestFit="1" customWidth="1"/>
    <col min="3" max="3" width="20.85546875" style="101" bestFit="1" customWidth="1"/>
    <col min="4" max="4" width="17.85546875" style="101" bestFit="1" customWidth="1"/>
    <col min="5" max="5" width="13" style="101" bestFit="1" customWidth="1"/>
    <col min="6" max="6" width="20.85546875" style="101" bestFit="1" customWidth="1"/>
    <col min="7" max="7" width="17.85546875" style="101" bestFit="1" customWidth="1"/>
    <col min="8" max="8" width="10.28515625" style="101" bestFit="1" customWidth="1"/>
    <col min="9" max="9" width="11.7109375" style="101" bestFit="1" customWidth="1"/>
    <col min="10" max="10" width="12.28515625" style="101" bestFit="1" customWidth="1"/>
    <col min="11" max="11" width="11.7109375" style="101" bestFit="1" customWidth="1"/>
    <col min="12" max="12" width="11.85546875" style="101" bestFit="1" customWidth="1"/>
    <col min="13" max="13" width="11.7109375" style="101" bestFit="1" customWidth="1"/>
    <col min="14" max="14" width="11.7109375" style="102" bestFit="1" customWidth="1"/>
  </cols>
  <sheetData>
    <row r="1" spans="1:14" ht="15.75" thickBot="1" x14ac:dyDescent="0.3"/>
    <row r="2" spans="1:14" ht="27" thickBot="1" x14ac:dyDescent="0.45">
      <c r="A2" s="277" t="s">
        <v>147</v>
      </c>
      <c r="B2" s="277"/>
      <c r="C2" s="277"/>
      <c r="D2" s="277"/>
    </row>
    <row r="3" spans="1:14" x14ac:dyDescent="0.25">
      <c r="E3" s="103"/>
      <c r="F3" s="103"/>
      <c r="G3" s="103"/>
      <c r="H3" s="103"/>
      <c r="I3" s="103"/>
      <c r="J3" s="103"/>
      <c r="K3" s="103"/>
      <c r="L3" s="103"/>
      <c r="M3" s="103"/>
      <c r="N3" s="104"/>
    </row>
    <row r="4" spans="1:14" x14ac:dyDescent="0.25">
      <c r="A4" s="1" t="s">
        <v>116</v>
      </c>
      <c r="B4" s="105" t="s">
        <v>31</v>
      </c>
      <c r="C4" s="105" t="s">
        <v>32</v>
      </c>
      <c r="D4" s="105" t="s">
        <v>40</v>
      </c>
      <c r="E4" s="105" t="s">
        <v>41</v>
      </c>
      <c r="F4" s="105" t="s">
        <v>42</v>
      </c>
      <c r="G4" s="105" t="s">
        <v>43</v>
      </c>
      <c r="H4" s="105" t="s">
        <v>44</v>
      </c>
      <c r="I4" s="105" t="s">
        <v>46</v>
      </c>
      <c r="J4" s="105" t="s">
        <v>45</v>
      </c>
      <c r="K4" s="105" t="s">
        <v>47</v>
      </c>
      <c r="L4" s="105" t="s">
        <v>48</v>
      </c>
      <c r="M4" s="105" t="s">
        <v>49</v>
      </c>
      <c r="N4" s="105" t="s">
        <v>10</v>
      </c>
    </row>
    <row r="5" spans="1:14" x14ac:dyDescent="0.25">
      <c r="A5" s="3" t="s">
        <v>117</v>
      </c>
      <c r="B5" s="106">
        <f>Revenues!F19</f>
        <v>0</v>
      </c>
      <c r="C5" s="106">
        <f>Revenues!G19</f>
        <v>0</v>
      </c>
      <c r="D5" s="106">
        <f>Revenues!H19</f>
        <v>49300</v>
      </c>
      <c r="E5" s="106">
        <f>Revenues!I19</f>
        <v>49900</v>
      </c>
      <c r="F5" s="106">
        <f>Revenues!J19</f>
        <v>99900</v>
      </c>
      <c r="G5" s="106">
        <f>Revenues!K19</f>
        <v>30100</v>
      </c>
      <c r="H5" s="106">
        <f>Revenues!L19</f>
        <v>17500</v>
      </c>
      <c r="I5" s="106">
        <f>Revenues!M19</f>
        <v>14700</v>
      </c>
      <c r="J5" s="106">
        <f>Revenues!N19</f>
        <v>51800</v>
      </c>
      <c r="K5" s="106">
        <f>Revenues!O19</f>
        <v>113200</v>
      </c>
      <c r="L5" s="106">
        <f>Revenues!P19</f>
        <v>56600</v>
      </c>
      <c r="M5" s="106">
        <f>Revenues!Q19</f>
        <v>18400</v>
      </c>
      <c r="N5" s="105">
        <f>SUM(D5:M5)</f>
        <v>501400</v>
      </c>
    </row>
    <row r="6" spans="1:14" x14ac:dyDescent="0.25">
      <c r="A6" s="3" t="s">
        <v>114</v>
      </c>
      <c r="B6" s="106">
        <v>0</v>
      </c>
      <c r="C6" s="106">
        <v>0</v>
      </c>
      <c r="D6" s="106">
        <f>Revenues!$H63</f>
        <v>79311.597560975613</v>
      </c>
      <c r="E6" s="106">
        <f>Revenues!$H63</f>
        <v>79311.597560975613</v>
      </c>
      <c r="F6" s="106">
        <f>Revenues!$H63</f>
        <v>79311.597560975613</v>
      </c>
      <c r="G6" s="106">
        <f>Revenues!$H63</f>
        <v>79311.597560975613</v>
      </c>
      <c r="H6" s="106">
        <f>Revenues!$H63</f>
        <v>79311.597560975613</v>
      </c>
      <c r="I6" s="106">
        <f>Revenues!$H63</f>
        <v>79311.597560975613</v>
      </c>
      <c r="J6" s="106">
        <f>Revenues!$H63</f>
        <v>79311.597560975613</v>
      </c>
      <c r="K6" s="106">
        <f>Revenues!$H63</f>
        <v>79311.597560975613</v>
      </c>
      <c r="L6" s="106">
        <f>Revenues!$H63</f>
        <v>79311.597560975613</v>
      </c>
      <c r="M6" s="106">
        <f>Revenues!$H63</f>
        <v>79311.597560975613</v>
      </c>
      <c r="N6" s="105">
        <f>SUM(D6:M6)</f>
        <v>793115.97560975596</v>
      </c>
    </row>
    <row r="7" spans="1:14" x14ac:dyDescent="0.25">
      <c r="A7" s="3" t="s">
        <v>115</v>
      </c>
      <c r="B7" s="106">
        <v>0</v>
      </c>
      <c r="C7" s="106">
        <v>0</v>
      </c>
      <c r="D7" s="106">
        <f>Revenues!$I63</f>
        <v>40481.690243902434</v>
      </c>
      <c r="E7" s="106">
        <f>Revenues!$I63</f>
        <v>40481.690243902434</v>
      </c>
      <c r="F7" s="106">
        <f>Revenues!$I63</f>
        <v>40481.690243902434</v>
      </c>
      <c r="G7" s="106">
        <f>Revenues!$I63</f>
        <v>40481.690243902434</v>
      </c>
      <c r="H7" s="106">
        <f>Revenues!$I63</f>
        <v>40481.690243902434</v>
      </c>
      <c r="I7" s="106">
        <f>Revenues!$I63</f>
        <v>40481.690243902434</v>
      </c>
      <c r="J7" s="106">
        <f>Revenues!$I63</f>
        <v>40481.690243902434</v>
      </c>
      <c r="K7" s="106">
        <f>Revenues!$I63</f>
        <v>40481.690243902434</v>
      </c>
      <c r="L7" s="106">
        <f>Revenues!$I63</f>
        <v>40481.690243902434</v>
      </c>
      <c r="M7" s="106">
        <f>Revenues!$I63</f>
        <v>40481.690243902434</v>
      </c>
      <c r="N7" s="105">
        <f>SUM(D7:M7)</f>
        <v>404816.90243902436</v>
      </c>
    </row>
    <row r="8" spans="1:14" x14ac:dyDescent="0.25">
      <c r="A8" s="3" t="s">
        <v>178</v>
      </c>
      <c r="B8" s="106">
        <v>0</v>
      </c>
      <c r="C8" s="106">
        <v>0</v>
      </c>
      <c r="D8" s="106">
        <f>'Cash Flow 2019'!F55+C55</f>
        <v>110000</v>
      </c>
      <c r="E8" s="106">
        <f>C56+F56</f>
        <v>132000</v>
      </c>
      <c r="F8" s="106">
        <f>C57+F57</f>
        <v>158400</v>
      </c>
      <c r="G8" s="106">
        <f>C58+F58</f>
        <v>190079.99999999997</v>
      </c>
      <c r="H8" s="106">
        <f>C59+F59</f>
        <v>228095.99999999997</v>
      </c>
      <c r="I8" s="106">
        <f>C60+F60</f>
        <v>273715.19999999995</v>
      </c>
      <c r="J8" s="106">
        <f>C61+F61</f>
        <v>328458.23999999999</v>
      </c>
      <c r="K8" s="106">
        <f>C62+F62</f>
        <v>394149.88799999992</v>
      </c>
      <c r="L8" s="106">
        <f>C63+F63</f>
        <v>472979.8655999999</v>
      </c>
      <c r="M8" s="106">
        <f>C64+F64</f>
        <v>567575.83871999988</v>
      </c>
      <c r="N8" s="105">
        <f>SUM(D8:M8)</f>
        <v>2855455.0323199998</v>
      </c>
    </row>
    <row r="9" spans="1:14" x14ac:dyDescent="0.25">
      <c r="A9" s="3" t="s">
        <v>176</v>
      </c>
      <c r="B9" s="106">
        <v>0</v>
      </c>
      <c r="C9" s="106">
        <v>0</v>
      </c>
      <c r="D9" s="106">
        <f>Revenues!G82+Revenues!G96+Revenues!F110+Revenues!F124</f>
        <v>4100</v>
      </c>
      <c r="E9" s="106">
        <f>Revenues!G83+Revenues!G97+Revenues!F111+Revenues!F125</f>
        <v>4920</v>
      </c>
      <c r="F9" s="106">
        <f>Revenues!G84+Revenues!G98+Revenues!F112+Revenues!F126</f>
        <v>5904</v>
      </c>
      <c r="G9" s="106">
        <f>Revenues!G85+Revenues!G99+Revenues!F127+Revenues!F113</f>
        <v>7084.7999999999993</v>
      </c>
      <c r="H9" s="106">
        <f>Revenues!G86+Revenues!G100+Revenues!F114+Revenues!F128</f>
        <v>8501.76</v>
      </c>
      <c r="I9" s="106">
        <f>Revenues!G87+Revenues!G101+Revenues!F115+Revenues!F129</f>
        <v>10202.111999999999</v>
      </c>
      <c r="J9" s="106">
        <f>Revenues!G88+Revenues!G102+Revenues!F116+Revenues!F130</f>
        <v>12242.5344</v>
      </c>
      <c r="K9" s="106">
        <f>Revenues!G89+Revenues!G103+Revenues!F117+Revenues!F131</f>
        <v>14691.041279999998</v>
      </c>
      <c r="L9" s="106">
        <f>Revenues!G90+Revenues!G104+Revenues!F118+Revenues!F132</f>
        <v>17629.249535999996</v>
      </c>
      <c r="M9" s="106">
        <f>Revenues!E119+Revenues!E133</f>
        <v>9803.5826687999979</v>
      </c>
      <c r="N9" s="105">
        <f>SUM(B9:M9)</f>
        <v>95079.079884799983</v>
      </c>
    </row>
    <row r="10" spans="1:14" x14ac:dyDescent="0.25">
      <c r="A10" s="1" t="s">
        <v>33</v>
      </c>
      <c r="B10" s="105">
        <f>SUM(B5:B9)</f>
        <v>0</v>
      </c>
      <c r="C10" s="105">
        <f t="shared" ref="C10:L10" si="0">SUM(C5:C9)</f>
        <v>0</v>
      </c>
      <c r="D10" s="105">
        <f t="shared" si="0"/>
        <v>283193.28780487808</v>
      </c>
      <c r="E10" s="105">
        <f t="shared" si="0"/>
        <v>306613.28780487808</v>
      </c>
      <c r="F10" s="105">
        <f t="shared" si="0"/>
        <v>383997.28780487808</v>
      </c>
      <c r="G10" s="105">
        <f t="shared" si="0"/>
        <v>347058.08780487801</v>
      </c>
      <c r="H10" s="105">
        <f t="shared" si="0"/>
        <v>373891.04780487804</v>
      </c>
      <c r="I10" s="105">
        <f t="shared" si="0"/>
        <v>418410.59980487806</v>
      </c>
      <c r="J10" s="105">
        <f t="shared" si="0"/>
        <v>512294.06220487808</v>
      </c>
      <c r="K10" s="105">
        <f t="shared" si="0"/>
        <v>641834.21708487801</v>
      </c>
      <c r="L10" s="105">
        <f t="shared" si="0"/>
        <v>667002.40294087795</v>
      </c>
      <c r="M10" s="105">
        <f>SUM(M5:M9)</f>
        <v>715572.70919367799</v>
      </c>
      <c r="N10" s="105">
        <f>SUM(N5:N9)</f>
        <v>4649866.9902535798</v>
      </c>
    </row>
    <row r="11" spans="1:14" x14ac:dyDescent="0.25">
      <c r="A11" s="3"/>
      <c r="B11" s="106"/>
      <c r="C11" s="106"/>
      <c r="D11" s="106"/>
      <c r="E11" s="106"/>
      <c r="F11" s="106"/>
      <c r="G11" s="106"/>
      <c r="H11" s="106"/>
      <c r="I11" s="106"/>
      <c r="J11" s="106"/>
      <c r="K11" s="106"/>
      <c r="L11" s="106"/>
      <c r="M11" s="106"/>
      <c r="N11" s="105"/>
    </row>
    <row r="12" spans="1:14" x14ac:dyDescent="0.25">
      <c r="A12" s="1" t="s">
        <v>34</v>
      </c>
      <c r="B12" s="106"/>
      <c r="C12" s="106"/>
      <c r="D12" s="106"/>
      <c r="E12" s="106"/>
      <c r="F12" s="106"/>
      <c r="G12" s="106"/>
      <c r="H12" s="106"/>
      <c r="I12" s="106"/>
      <c r="J12" s="106"/>
      <c r="K12" s="106"/>
      <c r="L12" s="106"/>
      <c r="M12" s="105"/>
      <c r="N12" s="105"/>
    </row>
    <row r="13" spans="1:14" x14ac:dyDescent="0.25">
      <c r="A13" s="3" t="s">
        <v>118</v>
      </c>
      <c r="B13" s="106">
        <v>0</v>
      </c>
      <c r="C13" s="106">
        <v>0</v>
      </c>
      <c r="D13" s="106">
        <f>Revenues!$H$57</f>
        <v>5619.5121951219517</v>
      </c>
      <c r="E13" s="106">
        <f>Revenues!$H$57</f>
        <v>5619.5121951219517</v>
      </c>
      <c r="F13" s="106">
        <f>Revenues!$H$57</f>
        <v>5619.5121951219517</v>
      </c>
      <c r="G13" s="106">
        <f>Revenues!$H$57</f>
        <v>5619.5121951219517</v>
      </c>
      <c r="H13" s="106">
        <f>Revenues!$H$57</f>
        <v>5619.5121951219517</v>
      </c>
      <c r="I13" s="106">
        <f>Revenues!$H$57</f>
        <v>5619.5121951219517</v>
      </c>
      <c r="J13" s="106">
        <f>Revenues!$H$57</f>
        <v>5619.5121951219517</v>
      </c>
      <c r="K13" s="106">
        <f>Revenues!$H$57</f>
        <v>5619.5121951219517</v>
      </c>
      <c r="L13" s="106">
        <f>Revenues!$H$57</f>
        <v>5619.5121951219517</v>
      </c>
      <c r="M13" s="106">
        <f>Revenues!$H$57</f>
        <v>5619.5121951219517</v>
      </c>
      <c r="N13" s="105">
        <f>SUM(B13:M13)</f>
        <v>56195.121951219509</v>
      </c>
    </row>
    <row r="14" spans="1:14" x14ac:dyDescent="0.25">
      <c r="A14" s="3" t="s">
        <v>119</v>
      </c>
      <c r="B14" s="106">
        <v>0</v>
      </c>
      <c r="C14" s="106">
        <v>0</v>
      </c>
      <c r="D14" s="106">
        <f>Revenues!$I$57</f>
        <v>5479.0243902439024</v>
      </c>
      <c r="E14" s="106">
        <f>Revenues!$I$57</f>
        <v>5479.0243902439024</v>
      </c>
      <c r="F14" s="106">
        <f>Revenues!$I$57</f>
        <v>5479.0243902439024</v>
      </c>
      <c r="G14" s="106">
        <f>Revenues!$I$57</f>
        <v>5479.0243902439024</v>
      </c>
      <c r="H14" s="106">
        <f>Revenues!$I$57</f>
        <v>5479.0243902439024</v>
      </c>
      <c r="I14" s="106">
        <f>Revenues!$I$57</f>
        <v>5479.0243902439024</v>
      </c>
      <c r="J14" s="106">
        <f>Revenues!$I$57</f>
        <v>5479.0243902439024</v>
      </c>
      <c r="K14" s="106">
        <f>Revenues!$I$57</f>
        <v>5479.0243902439024</v>
      </c>
      <c r="L14" s="106">
        <f>Revenues!$I$57</f>
        <v>5479.0243902439024</v>
      </c>
      <c r="M14" s="106">
        <f>Revenues!$I$57</f>
        <v>5479.0243902439024</v>
      </c>
      <c r="N14" s="105">
        <f>SUM(B14:M14)</f>
        <v>54790.243902439026</v>
      </c>
    </row>
    <row r="15" spans="1:14" x14ac:dyDescent="0.25">
      <c r="A15" s="3" t="s">
        <v>177</v>
      </c>
      <c r="B15" s="106">
        <v>0</v>
      </c>
      <c r="C15" s="106">
        <v>0</v>
      </c>
      <c r="D15" s="106">
        <f>'Cash Flow 2019'!C68+'Cash Flow 2019'!F68</f>
        <v>95000</v>
      </c>
      <c r="E15" s="106">
        <f>C69+F69</f>
        <v>114000</v>
      </c>
      <c r="F15" s="106">
        <f>C70+F70</f>
        <v>136800</v>
      </c>
      <c r="G15" s="106">
        <f>C71+F71</f>
        <v>164159.99999999997</v>
      </c>
      <c r="H15" s="106">
        <f>C72+F72</f>
        <v>196991.99999999997</v>
      </c>
      <c r="I15" s="106">
        <f>C73+F73</f>
        <v>236390.39999999997</v>
      </c>
      <c r="J15" s="106">
        <f>C74+F74</f>
        <v>283668.47999999998</v>
      </c>
      <c r="K15" s="106">
        <f>C75+F75</f>
        <v>340402.17599999998</v>
      </c>
      <c r="L15" s="106">
        <f>C76+F76</f>
        <v>408482.61119999993</v>
      </c>
      <c r="M15" s="106">
        <f>C77+F77</f>
        <v>490179.13343999989</v>
      </c>
      <c r="N15" s="105">
        <f t="shared" ref="N15" si="1">SUM(B15:M15)</f>
        <v>2466074.8006399996</v>
      </c>
    </row>
    <row r="16" spans="1:14" x14ac:dyDescent="0.25">
      <c r="A16" s="1" t="s">
        <v>10</v>
      </c>
      <c r="B16" s="105">
        <f t="shared" ref="B16:C16" ca="1" si="2">SUM(B13:B28)</f>
        <v>0</v>
      </c>
      <c r="C16" s="105">
        <f t="shared" ca="1" si="2"/>
        <v>0</v>
      </c>
      <c r="D16" s="105">
        <f>D13+D14+D15</f>
        <v>106098.53658536586</v>
      </c>
      <c r="E16" s="105">
        <f t="shared" ref="E16:M16" si="3">E13+E14+E15</f>
        <v>125098.53658536586</v>
      </c>
      <c r="F16" s="105">
        <f t="shared" si="3"/>
        <v>147898.53658536586</v>
      </c>
      <c r="G16" s="105">
        <f t="shared" si="3"/>
        <v>175258.53658536583</v>
      </c>
      <c r="H16" s="105">
        <f t="shared" si="3"/>
        <v>208090.53658536583</v>
      </c>
      <c r="I16" s="105">
        <f t="shared" si="3"/>
        <v>247488.93658536582</v>
      </c>
      <c r="J16" s="105">
        <f t="shared" si="3"/>
        <v>294767.01658536581</v>
      </c>
      <c r="K16" s="105">
        <f t="shared" si="3"/>
        <v>351500.71258536581</v>
      </c>
      <c r="L16" s="105">
        <f t="shared" si="3"/>
        <v>419581.14778536576</v>
      </c>
      <c r="M16" s="105">
        <f t="shared" si="3"/>
        <v>501277.67002536572</v>
      </c>
      <c r="N16" s="105">
        <f>N13+N14+N15</f>
        <v>2577060.166493658</v>
      </c>
    </row>
    <row r="17" spans="1:14" x14ac:dyDescent="0.25">
      <c r="A17" s="1" t="s">
        <v>35</v>
      </c>
      <c r="B17" s="106"/>
      <c r="C17" s="106"/>
      <c r="D17" s="106"/>
      <c r="E17" s="106"/>
      <c r="F17" s="106"/>
      <c r="G17" s="106"/>
      <c r="H17" s="106"/>
      <c r="I17" s="106"/>
      <c r="J17" s="106"/>
      <c r="K17" s="106"/>
      <c r="L17" s="106"/>
      <c r="M17" s="106"/>
      <c r="N17" s="105"/>
    </row>
    <row r="18" spans="1:14" x14ac:dyDescent="0.25">
      <c r="A18" s="97" t="s">
        <v>155</v>
      </c>
      <c r="B18" s="106">
        <f>'Financial Table'!$C$11</f>
        <v>4000</v>
      </c>
      <c r="C18" s="106">
        <f>'Financial Table'!$C$11</f>
        <v>4000</v>
      </c>
      <c r="D18" s="106">
        <f>'Financial Table'!$C$11</f>
        <v>4000</v>
      </c>
      <c r="E18" s="106">
        <f>'Financial Table'!$C$11</f>
        <v>4000</v>
      </c>
      <c r="F18" s="106">
        <f>'Financial Table'!$C$11</f>
        <v>4000</v>
      </c>
      <c r="G18" s="106">
        <f>'Financial Table'!$C$11</f>
        <v>4000</v>
      </c>
      <c r="H18" s="106">
        <f>'Financial Table'!$C$11</f>
        <v>4000</v>
      </c>
      <c r="I18" s="106">
        <f>'Financial Table'!$C$11</f>
        <v>4000</v>
      </c>
      <c r="J18" s="106">
        <f>'Financial Table'!$C$11</f>
        <v>4000</v>
      </c>
      <c r="K18" s="106">
        <f>'Financial Table'!$C$11</f>
        <v>4000</v>
      </c>
      <c r="L18" s="106">
        <f>'Financial Table'!$C$11</f>
        <v>4000</v>
      </c>
      <c r="M18" s="106">
        <f>'Financial Table'!$C$11</f>
        <v>4000</v>
      </c>
      <c r="N18" s="105">
        <f t="shared" ref="N18:N23" si="4">SUM(B18:M18)</f>
        <v>48000</v>
      </c>
    </row>
    <row r="19" spans="1:14" x14ac:dyDescent="0.25">
      <c r="A19" s="3" t="s">
        <v>77</v>
      </c>
      <c r="B19" s="106">
        <f>'Financial Table'!$C14</f>
        <v>2000</v>
      </c>
      <c r="C19" s="106">
        <f>'Financial Table'!$C14</f>
        <v>2000</v>
      </c>
      <c r="D19" s="106">
        <f>'Financial Table'!$C14</f>
        <v>2000</v>
      </c>
      <c r="E19" s="106">
        <f>'Financial Table'!$C14</f>
        <v>2000</v>
      </c>
      <c r="F19" s="106">
        <f>'Financial Table'!$C14</f>
        <v>2000</v>
      </c>
      <c r="G19" s="106">
        <f>'Financial Table'!$C14</f>
        <v>2000</v>
      </c>
      <c r="H19" s="106">
        <f>'Financial Table'!$C14</f>
        <v>2000</v>
      </c>
      <c r="I19" s="106">
        <f>'Financial Table'!$C14</f>
        <v>2000</v>
      </c>
      <c r="J19" s="106">
        <f>'Financial Table'!$C14</f>
        <v>2000</v>
      </c>
      <c r="K19" s="106">
        <f>'Financial Table'!$C14</f>
        <v>2000</v>
      </c>
      <c r="L19" s="106">
        <f>'Financial Table'!$C14</f>
        <v>2000</v>
      </c>
      <c r="M19" s="106">
        <f>'Financial Table'!$C14</f>
        <v>2000</v>
      </c>
      <c r="N19" s="105">
        <f t="shared" si="4"/>
        <v>24000</v>
      </c>
    </row>
    <row r="20" spans="1:14" x14ac:dyDescent="0.25">
      <c r="A20" s="3" t="s">
        <v>13</v>
      </c>
      <c r="B20" s="106">
        <f>'Financial Table'!$C9/3</f>
        <v>16666.666666666668</v>
      </c>
      <c r="C20" s="106">
        <f>'Financial Table'!$C9/3</f>
        <v>16666.666666666668</v>
      </c>
      <c r="D20" s="106">
        <f>'Financial Table'!$C9/3</f>
        <v>16666.666666666668</v>
      </c>
      <c r="E20" s="106"/>
      <c r="F20" s="106"/>
      <c r="G20" s="106"/>
      <c r="H20" s="106"/>
      <c r="I20" s="106"/>
      <c r="J20" s="106"/>
      <c r="K20" s="106"/>
      <c r="L20" s="106"/>
      <c r="M20" s="106"/>
      <c r="N20" s="105">
        <f t="shared" si="4"/>
        <v>50000</v>
      </c>
    </row>
    <row r="21" spans="1:14" x14ac:dyDescent="0.25">
      <c r="A21" s="3" t="s">
        <v>156</v>
      </c>
      <c r="B21" s="106">
        <f>'Financial Table'!$C$19+'Financial Table'!$C$15</f>
        <v>1549</v>
      </c>
      <c r="C21" s="106">
        <f>'Financial Table'!$C$19+'Financial Table'!$C$15</f>
        <v>1549</v>
      </c>
      <c r="D21" s="106">
        <f>'Financial Table'!$C$19+'Financial Table'!$C$15</f>
        <v>1549</v>
      </c>
      <c r="E21" s="106">
        <f>'Financial Table'!$C$19+'Financial Table'!$C$15</f>
        <v>1549</v>
      </c>
      <c r="F21" s="106">
        <f>'Financial Table'!$C$19+'Financial Table'!$C$15</f>
        <v>1549</v>
      </c>
      <c r="G21" s="106">
        <f>'Financial Table'!$C$19+'Financial Table'!$C$15</f>
        <v>1549</v>
      </c>
      <c r="H21" s="106">
        <f>'Financial Table'!$C$19+'Financial Table'!$C$15</f>
        <v>1549</v>
      </c>
      <c r="I21" s="106">
        <f>'Financial Table'!$C$19+'Financial Table'!$C$15</f>
        <v>1549</v>
      </c>
      <c r="J21" s="106">
        <f>'Financial Table'!$C$19+'Financial Table'!$C$15</f>
        <v>1549</v>
      </c>
      <c r="K21" s="106">
        <f>'Financial Table'!$C$19+'Financial Table'!$C$15</f>
        <v>1549</v>
      </c>
      <c r="L21" s="106">
        <f>'Financial Table'!$C$19+'Financial Table'!$C$15</f>
        <v>1549</v>
      </c>
      <c r="M21" s="106">
        <f>'Financial Table'!$C$19+'Financial Table'!$C$15</f>
        <v>1549</v>
      </c>
      <c r="N21" s="105">
        <f t="shared" si="4"/>
        <v>18588</v>
      </c>
    </row>
    <row r="22" spans="1:14" x14ac:dyDescent="0.25">
      <c r="A22" s="3" t="s">
        <v>78</v>
      </c>
      <c r="B22" s="106">
        <f>'Financial Table'!$C5</f>
        <v>1000</v>
      </c>
      <c r="C22" s="106">
        <f>'Financial Table'!$C5</f>
        <v>1000</v>
      </c>
      <c r="D22" s="106">
        <f>'Financial Table'!$C5</f>
        <v>1000</v>
      </c>
      <c r="E22" s="106">
        <f>'Financial Table'!$C5</f>
        <v>1000</v>
      </c>
      <c r="F22" s="106">
        <f>'Financial Table'!$C5</f>
        <v>1000</v>
      </c>
      <c r="G22" s="106">
        <f>'Financial Table'!$C5</f>
        <v>1000</v>
      </c>
      <c r="H22" s="106">
        <f>'Financial Table'!$C5</f>
        <v>1000</v>
      </c>
      <c r="I22" s="106">
        <f>'Financial Table'!$C5</f>
        <v>1000</v>
      </c>
      <c r="J22" s="106">
        <f>'Financial Table'!$C5</f>
        <v>1000</v>
      </c>
      <c r="K22" s="106">
        <f>'Financial Table'!$C5</f>
        <v>1000</v>
      </c>
      <c r="L22" s="106">
        <f>'Financial Table'!$C5</f>
        <v>1000</v>
      </c>
      <c r="M22" s="106">
        <f>'Financial Table'!$C5</f>
        <v>1000</v>
      </c>
      <c r="N22" s="105">
        <f t="shared" si="4"/>
        <v>12000</v>
      </c>
    </row>
    <row r="23" spans="1:14" x14ac:dyDescent="0.25">
      <c r="A23" s="3" t="s">
        <v>159</v>
      </c>
      <c r="B23" s="106">
        <f>'Financial Table'!$C$18</f>
        <v>3000</v>
      </c>
      <c r="C23" s="106">
        <f>'Financial Table'!$C$18</f>
        <v>3000</v>
      </c>
      <c r="D23" s="106">
        <f>'Financial Table'!$C$18</f>
        <v>3000</v>
      </c>
      <c r="E23" s="106">
        <f>'Financial Table'!$C$18</f>
        <v>3000</v>
      </c>
      <c r="F23" s="106">
        <f>'Financial Table'!$C$18</f>
        <v>3000</v>
      </c>
      <c r="G23" s="106">
        <f>'Financial Table'!$C$18</f>
        <v>3000</v>
      </c>
      <c r="H23" s="106">
        <f>'Financial Table'!$C$18</f>
        <v>3000</v>
      </c>
      <c r="I23" s="106">
        <f>'Financial Table'!$C$18</f>
        <v>3000</v>
      </c>
      <c r="J23" s="106">
        <f>'Financial Table'!$C$18</f>
        <v>3000</v>
      </c>
      <c r="K23" s="106">
        <f>'Financial Table'!$C$18</f>
        <v>3000</v>
      </c>
      <c r="L23" s="106">
        <f>'Financial Table'!$C$18</f>
        <v>3000</v>
      </c>
      <c r="M23" s="106">
        <f>'Financial Table'!$C$18</f>
        <v>3000</v>
      </c>
      <c r="N23" s="105">
        <f t="shared" si="4"/>
        <v>36000</v>
      </c>
    </row>
    <row r="24" spans="1:14" x14ac:dyDescent="0.25">
      <c r="A24" s="3" t="s">
        <v>120</v>
      </c>
      <c r="B24" s="106"/>
      <c r="C24" s="106"/>
      <c r="D24" s="106">
        <v>3000</v>
      </c>
      <c r="E24" s="106"/>
      <c r="F24" s="106"/>
      <c r="G24" s="106">
        <v>3000</v>
      </c>
      <c r="H24" s="106"/>
      <c r="I24" s="106"/>
      <c r="J24" s="106"/>
      <c r="K24" s="106"/>
      <c r="L24" s="106"/>
      <c r="M24" s="106">
        <v>4000</v>
      </c>
      <c r="N24" s="105">
        <f t="shared" ref="N24:N25" si="5">SUM(B24:M24)</f>
        <v>10000</v>
      </c>
    </row>
    <row r="25" spans="1:14" x14ac:dyDescent="0.25">
      <c r="A25" s="3" t="s">
        <v>135</v>
      </c>
      <c r="B25" s="106">
        <v>20000</v>
      </c>
      <c r="C25" s="106">
        <v>20000</v>
      </c>
      <c r="D25" s="106">
        <v>10000</v>
      </c>
      <c r="E25" s="106">
        <v>10000</v>
      </c>
      <c r="F25" s="106">
        <v>5000</v>
      </c>
      <c r="G25" s="106">
        <v>5000</v>
      </c>
      <c r="H25" s="106">
        <v>5000</v>
      </c>
      <c r="I25" s="106">
        <v>5000</v>
      </c>
      <c r="J25" s="106">
        <v>5000</v>
      </c>
      <c r="K25" s="106">
        <v>5000</v>
      </c>
      <c r="L25" s="106">
        <v>5000</v>
      </c>
      <c r="M25" s="106">
        <v>20000</v>
      </c>
      <c r="N25" s="105">
        <f t="shared" si="5"/>
        <v>115000</v>
      </c>
    </row>
    <row r="26" spans="1:14" x14ac:dyDescent="0.25">
      <c r="A26" s="3" t="s">
        <v>80</v>
      </c>
      <c r="B26" s="106">
        <f>Salary!$D9+Salary!$E9+Salary!$F9+Salary!$G9+Salary!$C9</f>
        <v>17000</v>
      </c>
      <c r="C26" s="106">
        <f>Salary!$D9+Salary!$E9+Salary!$F9+Salary!$G9+Salary!$C9</f>
        <v>17000</v>
      </c>
      <c r="D26" s="106">
        <f>Salary!$D9+Salary!$E9+Salary!$F9+Salary!$G9+Salary!$C9</f>
        <v>17000</v>
      </c>
      <c r="E26" s="106">
        <f>Salary!$D9+Salary!$E9+Salary!$F9+Salary!$G9+Salary!$C9</f>
        <v>17000</v>
      </c>
      <c r="F26" s="106">
        <f>Salary!$D9+Salary!$E9+Salary!$F9+Salary!$G9+Salary!$C9</f>
        <v>17000</v>
      </c>
      <c r="G26" s="106">
        <f>Salary!$D9+Salary!$E9+Salary!$F9+Salary!$G9+Salary!$C9</f>
        <v>17000</v>
      </c>
      <c r="H26" s="106">
        <f>Salary!$D9+Salary!$E9+Salary!$F9+Salary!$G9+Salary!$C9</f>
        <v>17000</v>
      </c>
      <c r="I26" s="106">
        <f>Salary!$D9+Salary!$E9+Salary!$F9+Salary!$G9+Salary!$C9</f>
        <v>17000</v>
      </c>
      <c r="J26" s="106">
        <f>Salary!$D9+Salary!$E9+Salary!$F9+Salary!$G9+Salary!$C9</f>
        <v>17000</v>
      </c>
      <c r="K26" s="106">
        <f>Salary!$D9+Salary!$E9+Salary!$F9+Salary!$G9+Salary!$C9</f>
        <v>17000</v>
      </c>
      <c r="L26" s="106">
        <f>Salary!$D9+Salary!$E9+Salary!$F9+Salary!$G9+Salary!$C9</f>
        <v>17000</v>
      </c>
      <c r="M26" s="106">
        <f>Salary!$D9+Salary!$E9+Salary!$F9+Salary!$G9+Salary!$C9</f>
        <v>17000</v>
      </c>
      <c r="N26" s="105">
        <f t="shared" ref="N26" si="6">SUM(B26:M26)</f>
        <v>204000</v>
      </c>
    </row>
    <row r="27" spans="1:14" x14ac:dyDescent="0.25">
      <c r="A27" s="3" t="s">
        <v>137</v>
      </c>
      <c r="B27" s="106"/>
      <c r="C27" s="106"/>
      <c r="D27" s="106"/>
      <c r="E27" s="106"/>
      <c r="F27" s="106"/>
      <c r="G27" s="106"/>
      <c r="H27" s="106"/>
      <c r="I27" s="106"/>
      <c r="J27" s="106"/>
      <c r="K27" s="106"/>
      <c r="L27" s="106"/>
      <c r="M27" s="106">
        <f>M26*2</f>
        <v>34000</v>
      </c>
      <c r="N27" s="105">
        <f t="shared" ref="N27:N28" si="7">SUM(B27:M27)</f>
        <v>34000</v>
      </c>
    </row>
    <row r="28" spans="1:14" x14ac:dyDescent="0.25">
      <c r="A28" s="3" t="s">
        <v>138</v>
      </c>
      <c r="B28" s="106"/>
      <c r="C28" s="106"/>
      <c r="D28" s="106"/>
      <c r="E28" s="106"/>
      <c r="F28" s="106"/>
      <c r="G28" s="106"/>
      <c r="H28" s="106"/>
      <c r="I28" s="106"/>
      <c r="J28" s="106"/>
      <c r="K28" s="106"/>
      <c r="L28" s="106"/>
      <c r="M28" s="106">
        <f>0.4*M27</f>
        <v>13600</v>
      </c>
      <c r="N28" s="105">
        <f t="shared" si="7"/>
        <v>13600</v>
      </c>
    </row>
    <row r="29" spans="1:14" x14ac:dyDescent="0.25">
      <c r="A29" s="3" t="s">
        <v>79</v>
      </c>
      <c r="B29" s="106">
        <f>Salary!$D13+Salary!$E13+Salary!$F13+Salary!$G13+Salary!$C13</f>
        <v>6744</v>
      </c>
      <c r="C29" s="106">
        <f>Salary!$D13+Salary!$E13+Salary!$F13+Salary!$G13+Salary!$C13</f>
        <v>6744</v>
      </c>
      <c r="D29" s="106">
        <f>Salary!$D13+Salary!$E13+Salary!$F13+Salary!$G13+Salary!$C13</f>
        <v>6744</v>
      </c>
      <c r="E29" s="106">
        <f>Salary!$D13+Salary!$E13+Salary!$F13+Salary!$G13+Salary!$C13</f>
        <v>6744</v>
      </c>
      <c r="F29" s="106">
        <f>Salary!$D13+Salary!$E13+Salary!$F13+Salary!$G13+Salary!$C13</f>
        <v>6744</v>
      </c>
      <c r="G29" s="106">
        <f>Salary!$D13+Salary!$E13+Salary!$F13+Salary!$G13+Salary!$C13</f>
        <v>6744</v>
      </c>
      <c r="H29" s="106">
        <f>Salary!$D13+Salary!$E13+Salary!$F13+Salary!$G13+Salary!$C13</f>
        <v>6744</v>
      </c>
      <c r="I29" s="106">
        <f>Salary!$D13+Salary!$E13+Salary!$F13+Salary!$G13+Salary!$C13</f>
        <v>6744</v>
      </c>
      <c r="J29" s="106">
        <f>Salary!$D13+Salary!$E13+Salary!$F13+Salary!$G13+Salary!$C13</f>
        <v>6744</v>
      </c>
      <c r="K29" s="106">
        <f>Salary!$D13+Salary!$E13+Salary!$F13+Salary!$G13+Salary!$C13</f>
        <v>6744</v>
      </c>
      <c r="L29" s="106">
        <f>Salary!$D13+Salary!$E13+Salary!$F13+Salary!$G13+Salary!$C13</f>
        <v>6744</v>
      </c>
      <c r="M29" s="106">
        <f>Salary!$D13+Salary!$E13+Salary!$F13+Salary!$G13+Salary!$C13</f>
        <v>6744</v>
      </c>
      <c r="N29" s="105">
        <f>SUM(B29:M29)</f>
        <v>80928</v>
      </c>
    </row>
    <row r="30" spans="1:14" x14ac:dyDescent="0.25">
      <c r="A30" s="1" t="s">
        <v>36</v>
      </c>
      <c r="B30" s="105">
        <f t="shared" ref="B30:M30" si="8">SUM(B18:B29)</f>
        <v>71959.666666666672</v>
      </c>
      <c r="C30" s="105">
        <f t="shared" si="8"/>
        <v>71959.666666666672</v>
      </c>
      <c r="D30" s="105">
        <f t="shared" si="8"/>
        <v>64959.666666666672</v>
      </c>
      <c r="E30" s="105">
        <f t="shared" si="8"/>
        <v>45293</v>
      </c>
      <c r="F30" s="105">
        <f t="shared" si="8"/>
        <v>40293</v>
      </c>
      <c r="G30" s="105">
        <f t="shared" si="8"/>
        <v>43293</v>
      </c>
      <c r="H30" s="105">
        <f t="shared" si="8"/>
        <v>40293</v>
      </c>
      <c r="I30" s="105">
        <f t="shared" si="8"/>
        <v>40293</v>
      </c>
      <c r="J30" s="105">
        <f t="shared" si="8"/>
        <v>40293</v>
      </c>
      <c r="K30" s="105">
        <f t="shared" si="8"/>
        <v>40293</v>
      </c>
      <c r="L30" s="105">
        <f t="shared" si="8"/>
        <v>40293</v>
      </c>
      <c r="M30" s="105">
        <f t="shared" si="8"/>
        <v>106893</v>
      </c>
      <c r="N30" s="105">
        <f>SUM(B30:M30)</f>
        <v>646116</v>
      </c>
    </row>
    <row r="31" spans="1:14" x14ac:dyDescent="0.25">
      <c r="A31" s="4" t="s">
        <v>37</v>
      </c>
      <c r="B31" s="107">
        <f>(('Financial Table'!B26+'Financial Table'!B27)/2)+'Financial Table'!B28+'Financial Table'!B29+'Financial Table'!B30+'Financial Table'!B24+'Financial Table'!B25</f>
        <v>3689700</v>
      </c>
      <c r="C31" s="107">
        <f>(('Financial Table'!B26+'Financial Table'!B27)/2)</f>
        <v>880000</v>
      </c>
      <c r="D31" s="107">
        <f>'Financial Table'!D31/3</f>
        <v>0</v>
      </c>
      <c r="E31" s="108"/>
      <c r="F31" s="108"/>
      <c r="G31" s="106"/>
      <c r="H31" s="106"/>
      <c r="I31" s="106"/>
      <c r="J31" s="106"/>
      <c r="K31" s="106"/>
      <c r="L31" s="106"/>
      <c r="M31" s="106"/>
      <c r="N31" s="105"/>
    </row>
    <row r="32" spans="1:14" x14ac:dyDescent="0.25">
      <c r="A32" s="5"/>
      <c r="B32" s="108"/>
      <c r="C32" s="108"/>
      <c r="D32" s="108"/>
      <c r="E32" s="108"/>
      <c r="F32" s="108"/>
      <c r="G32" s="106"/>
      <c r="H32" s="106"/>
      <c r="I32" s="106"/>
      <c r="J32" s="106"/>
      <c r="K32" s="106"/>
      <c r="L32" s="106"/>
      <c r="M32" s="106"/>
      <c r="N32" s="105"/>
    </row>
    <row r="33" spans="1:16" x14ac:dyDescent="0.25">
      <c r="A33" s="4" t="s">
        <v>38</v>
      </c>
      <c r="B33" s="108">
        <f ca="1">B16+B30+B31</f>
        <v>3094993</v>
      </c>
      <c r="C33" s="108">
        <f ca="1">C16+C30+C31</f>
        <v>1285293</v>
      </c>
      <c r="D33" s="108">
        <f t="shared" ref="D33:M33" si="9">D16+D30</f>
        <v>171058.20325203252</v>
      </c>
      <c r="E33" s="108">
        <f t="shared" si="9"/>
        <v>170391.53658536586</v>
      </c>
      <c r="F33" s="108">
        <f t="shared" si="9"/>
        <v>188191.53658536586</v>
      </c>
      <c r="G33" s="108">
        <f t="shared" si="9"/>
        <v>218551.53658536583</v>
      </c>
      <c r="H33" s="108">
        <f t="shared" si="9"/>
        <v>248383.53658536583</v>
      </c>
      <c r="I33" s="108">
        <f t="shared" si="9"/>
        <v>287781.93658536579</v>
      </c>
      <c r="J33" s="108">
        <f t="shared" si="9"/>
        <v>335060.01658536581</v>
      </c>
      <c r="K33" s="108">
        <f t="shared" si="9"/>
        <v>391793.71258536581</v>
      </c>
      <c r="L33" s="108">
        <f t="shared" si="9"/>
        <v>459874.14778536576</v>
      </c>
      <c r="M33" s="108">
        <f t="shared" si="9"/>
        <v>608170.67002536566</v>
      </c>
      <c r="N33" s="105">
        <f t="shared" ref="N33:N34" ca="1" si="10">SUM(B33:M33)</f>
        <v>7124930.7010965878</v>
      </c>
    </row>
    <row r="34" spans="1:16" x14ac:dyDescent="0.25">
      <c r="A34" s="1" t="s">
        <v>241</v>
      </c>
      <c r="B34" s="113">
        <f ca="1">B10-B33</f>
        <v>-3094993</v>
      </c>
      <c r="C34" s="113">
        <f ca="1">C10-C33</f>
        <v>-1285293</v>
      </c>
      <c r="D34" s="113">
        <f t="shared" ref="D34:M34" si="11">D10-D16-D30</f>
        <v>112135.08455284555</v>
      </c>
      <c r="E34" s="105">
        <f t="shared" si="11"/>
        <v>136221.75121951223</v>
      </c>
      <c r="F34" s="105">
        <f t="shared" si="11"/>
        <v>195805.75121951223</v>
      </c>
      <c r="G34" s="105">
        <f t="shared" si="11"/>
        <v>128506.55121951218</v>
      </c>
      <c r="H34" s="105">
        <f t="shared" si="11"/>
        <v>125507.51121951221</v>
      </c>
      <c r="I34" s="105">
        <f t="shared" si="11"/>
        <v>130628.66321951224</v>
      </c>
      <c r="J34" s="105">
        <f t="shared" si="11"/>
        <v>177234.04561951227</v>
      </c>
      <c r="K34" s="105">
        <f t="shared" si="11"/>
        <v>250040.5044995122</v>
      </c>
      <c r="L34" s="105">
        <f t="shared" si="11"/>
        <v>207128.25515551219</v>
      </c>
      <c r="M34" s="105">
        <f t="shared" si="11"/>
        <v>107402.03916831227</v>
      </c>
      <c r="N34" s="105">
        <f t="shared" ca="1" si="10"/>
        <v>-3214644.1400526045</v>
      </c>
    </row>
    <row r="35" spans="1:16" x14ac:dyDescent="0.25">
      <c r="A35" s="1" t="s">
        <v>242</v>
      </c>
      <c r="B35" s="106">
        <f>'Financial Table'!G13</f>
        <v>5000000</v>
      </c>
      <c r="C35" s="106">
        <f ca="1">B36</f>
        <v>5000000</v>
      </c>
      <c r="D35" s="106">
        <f ca="1">C36</f>
        <v>619714</v>
      </c>
      <c r="E35" s="106">
        <f t="shared" ref="E35:M35" ca="1" si="12">D36</f>
        <v>395203.9219512195</v>
      </c>
      <c r="F35" s="106">
        <f t="shared" ca="1" si="12"/>
        <v>527893.84390243911</v>
      </c>
      <c r="G35" s="106">
        <f t="shared" ca="1" si="12"/>
        <v>719903.76585365867</v>
      </c>
      <c r="H35" s="106">
        <f t="shared" ca="1" si="12"/>
        <v>844297.68780487822</v>
      </c>
      <c r="I35" s="106">
        <f t="shared" ca="1" si="12"/>
        <v>965312.40975609771</v>
      </c>
      <c r="J35" s="106">
        <f t="shared" ca="1" si="12"/>
        <v>1090992.0917073172</v>
      </c>
      <c r="K35" s="106">
        <f t="shared" ca="1" si="12"/>
        <v>1262729.7256585367</v>
      </c>
      <c r="L35" s="106">
        <f t="shared" ca="1" si="12"/>
        <v>1506616.9020097563</v>
      </c>
      <c r="M35" s="106">
        <f t="shared" ca="1" si="12"/>
        <v>1706803.5292409759</v>
      </c>
      <c r="N35" s="105"/>
    </row>
    <row r="36" spans="1:16" x14ac:dyDescent="0.25">
      <c r="A36" s="1" t="s">
        <v>243</v>
      </c>
      <c r="B36" s="105">
        <f ca="1">B34+B35</f>
        <v>5000000</v>
      </c>
      <c r="C36" s="105">
        <f ca="1">C34+C35</f>
        <v>619714</v>
      </c>
      <c r="D36" s="105">
        <f ca="1">D34+D35</f>
        <v>395203.9219512195</v>
      </c>
      <c r="E36" s="105">
        <f t="shared" ref="E36:M36" ca="1" si="13">E34+E35</f>
        <v>527893.84390243911</v>
      </c>
      <c r="F36" s="105">
        <f t="shared" ca="1" si="13"/>
        <v>719903.76585365867</v>
      </c>
      <c r="G36" s="105">
        <f t="shared" ca="1" si="13"/>
        <v>844297.68780487822</v>
      </c>
      <c r="H36" s="105">
        <f t="shared" ca="1" si="13"/>
        <v>965312.40975609771</v>
      </c>
      <c r="I36" s="105">
        <f t="shared" ca="1" si="13"/>
        <v>1090992.0917073172</v>
      </c>
      <c r="J36" s="105">
        <f t="shared" ca="1" si="13"/>
        <v>1262729.7256585367</v>
      </c>
      <c r="K36" s="105">
        <f t="shared" ca="1" si="13"/>
        <v>1506616.9020097563</v>
      </c>
      <c r="L36" s="105">
        <f t="shared" ca="1" si="13"/>
        <v>1706803.5292409759</v>
      </c>
      <c r="M36" s="105">
        <f t="shared" ca="1" si="13"/>
        <v>1785355.8599473955</v>
      </c>
      <c r="N36" s="105"/>
    </row>
    <row r="37" spans="1:16" x14ac:dyDescent="0.25">
      <c r="A37" s="7"/>
    </row>
    <row r="38" spans="1:16" ht="15.75" thickBot="1" x14ac:dyDescent="0.3">
      <c r="A38" s="7"/>
      <c r="O38" s="116"/>
    </row>
    <row r="39" spans="1:16" ht="41.25" customHeight="1" thickBot="1" x14ac:dyDescent="0.3">
      <c r="A39" s="282" t="s">
        <v>168</v>
      </c>
      <c r="B39" s="282"/>
      <c r="C39" s="282"/>
      <c r="D39" s="282"/>
      <c r="E39" s="168"/>
    </row>
    <row r="40" spans="1:16" ht="15.75" thickBot="1" x14ac:dyDescent="0.3">
      <c r="A40" s="278" t="s">
        <v>163</v>
      </c>
      <c r="B40" s="278"/>
      <c r="C40" s="278"/>
      <c r="D40" s="278"/>
      <c r="E40" s="109">
        <v>670</v>
      </c>
      <c r="F40" s="109">
        <v>8200</v>
      </c>
    </row>
    <row r="41" spans="1:16" ht="15.75" thickBot="1" x14ac:dyDescent="0.3">
      <c r="A41" s="26" t="s">
        <v>71</v>
      </c>
      <c r="B41" s="110" t="s">
        <v>161</v>
      </c>
      <c r="C41" s="110" t="s">
        <v>106</v>
      </c>
      <c r="D41" s="110" t="s">
        <v>162</v>
      </c>
      <c r="E41" s="110" t="s">
        <v>108</v>
      </c>
      <c r="F41" s="110" t="s">
        <v>105</v>
      </c>
      <c r="O41" s="7"/>
      <c r="P41" s="7"/>
    </row>
    <row r="42" spans="1:16" ht="15.75" thickBot="1" x14ac:dyDescent="0.3">
      <c r="A42" s="92" t="s">
        <v>40</v>
      </c>
      <c r="B42" s="244">
        <f>C42/$E$40</f>
        <v>276.20954374469119</v>
      </c>
      <c r="C42" s="110">
        <f>Revenues!H69</f>
        <v>185060.3943089431</v>
      </c>
      <c r="D42" s="245">
        <f>E42/$F$40</f>
        <v>11.519180150703944</v>
      </c>
      <c r="E42" s="110">
        <f>Revenues!I69</f>
        <v>94457.277235772344</v>
      </c>
      <c r="F42" s="110">
        <f>C42+E42</f>
        <v>279517.67154471541</v>
      </c>
      <c r="O42" s="7"/>
      <c r="P42" s="7"/>
    </row>
    <row r="43" spans="1:16" ht="15.75" thickBot="1" x14ac:dyDescent="0.3">
      <c r="A43" s="92" t="s">
        <v>41</v>
      </c>
      <c r="B43" s="244">
        <f t="shared" ref="B43:B51" si="14">C43/$E$40</f>
        <v>552.41908748938238</v>
      </c>
      <c r="C43" s="110">
        <f>Revenues!H70</f>
        <v>370120.7886178862</v>
      </c>
      <c r="D43" s="245">
        <f t="shared" ref="D43:D51" si="15">E43/$F$40</f>
        <v>23.038360301407888</v>
      </c>
      <c r="E43" s="110">
        <f>Revenues!I70</f>
        <v>188914.55447154469</v>
      </c>
      <c r="F43" s="110">
        <f t="shared" ref="F43:F51" si="16">C43+E43</f>
        <v>559035.34308943083</v>
      </c>
      <c r="O43" s="7"/>
      <c r="P43" s="7"/>
    </row>
    <row r="44" spans="1:16" ht="15.75" thickBot="1" x14ac:dyDescent="0.3">
      <c r="A44" s="92" t="s">
        <v>42</v>
      </c>
      <c r="B44" s="244">
        <f t="shared" si="14"/>
        <v>828.62863123407362</v>
      </c>
      <c r="C44" s="110">
        <f>Revenues!H71</f>
        <v>555181.18292682932</v>
      </c>
      <c r="D44" s="245">
        <f t="shared" si="15"/>
        <v>34.55754045211183</v>
      </c>
      <c r="E44" s="110">
        <f>Revenues!I71</f>
        <v>283371.83170731703</v>
      </c>
      <c r="F44" s="110">
        <f t="shared" si="16"/>
        <v>838553.01463414636</v>
      </c>
      <c r="O44" s="7"/>
      <c r="P44" s="7"/>
    </row>
    <row r="45" spans="1:16" ht="15.75" thickBot="1" x14ac:dyDescent="0.3">
      <c r="A45" s="92" t="s">
        <v>43</v>
      </c>
      <c r="B45" s="244">
        <f t="shared" si="14"/>
        <v>1104.8381749787648</v>
      </c>
      <c r="C45" s="110">
        <f>Revenues!H72</f>
        <v>740241.57723577239</v>
      </c>
      <c r="D45" s="245">
        <f t="shared" si="15"/>
        <v>46.076720602815776</v>
      </c>
      <c r="E45" s="110">
        <f>Revenues!I72</f>
        <v>377829.10894308938</v>
      </c>
      <c r="F45" s="110">
        <f t="shared" si="16"/>
        <v>1118070.6861788617</v>
      </c>
      <c r="O45" s="7"/>
      <c r="P45" s="7"/>
    </row>
    <row r="46" spans="1:16" ht="15.75" thickBot="1" x14ac:dyDescent="0.3">
      <c r="A46" s="92" t="s">
        <v>44</v>
      </c>
      <c r="B46" s="244">
        <f t="shared" si="14"/>
        <v>1381.047718723456</v>
      </c>
      <c r="C46" s="110">
        <f>Revenues!H73</f>
        <v>925301.97154471546</v>
      </c>
      <c r="D46" s="245">
        <f t="shared" si="15"/>
        <v>57.595900753519722</v>
      </c>
      <c r="E46" s="110">
        <f>Revenues!I73</f>
        <v>472286.38617886172</v>
      </c>
      <c r="F46" s="110">
        <f t="shared" si="16"/>
        <v>1397588.3577235772</v>
      </c>
      <c r="O46" s="7"/>
      <c r="P46" s="7"/>
    </row>
    <row r="47" spans="1:16" ht="15.75" thickBot="1" x14ac:dyDescent="0.3">
      <c r="A47" s="92" t="s">
        <v>46</v>
      </c>
      <c r="B47" s="244">
        <f t="shared" si="14"/>
        <v>1657.2572624681472</v>
      </c>
      <c r="C47" s="110">
        <f>Revenues!H74</f>
        <v>1110362.3658536586</v>
      </c>
      <c r="D47" s="245">
        <f t="shared" si="15"/>
        <v>69.11508090422366</v>
      </c>
      <c r="E47" s="110">
        <f>Revenues!I74</f>
        <v>566743.66341463407</v>
      </c>
      <c r="F47" s="110">
        <f t="shared" si="16"/>
        <v>1677106.0292682927</v>
      </c>
      <c r="O47" s="7"/>
      <c r="P47" s="7"/>
    </row>
    <row r="48" spans="1:16" ht="15.75" thickBot="1" x14ac:dyDescent="0.3">
      <c r="A48" s="92" t="s">
        <v>45</v>
      </c>
      <c r="B48" s="244">
        <f t="shared" si="14"/>
        <v>1933.4668062128383</v>
      </c>
      <c r="C48" s="110">
        <f>Revenues!H75</f>
        <v>1295422.7601626017</v>
      </c>
      <c r="D48" s="245">
        <f t="shared" si="15"/>
        <v>80.634261054927606</v>
      </c>
      <c r="E48" s="110">
        <f>Revenues!I75</f>
        <v>661200.94065040641</v>
      </c>
      <c r="F48" s="110">
        <f t="shared" si="16"/>
        <v>1956623.700813008</v>
      </c>
      <c r="O48" s="7"/>
      <c r="P48" s="7"/>
    </row>
    <row r="49" spans="1:16" ht="15.75" thickBot="1" x14ac:dyDescent="0.3">
      <c r="A49" s="92" t="s">
        <v>47</v>
      </c>
      <c r="B49" s="244">
        <f t="shared" si="14"/>
        <v>2209.6763499575295</v>
      </c>
      <c r="C49" s="110">
        <f>Revenues!H76</f>
        <v>1480483.1544715448</v>
      </c>
      <c r="D49" s="245">
        <f t="shared" si="15"/>
        <v>92.153441205631552</v>
      </c>
      <c r="E49" s="110">
        <f>Revenues!I76</f>
        <v>755658.21788617875</v>
      </c>
      <c r="F49" s="110">
        <f t="shared" si="16"/>
        <v>2236141.3723577233</v>
      </c>
      <c r="O49" s="7"/>
      <c r="P49" s="7"/>
    </row>
    <row r="50" spans="1:16" ht="15.75" thickBot="1" x14ac:dyDescent="0.3">
      <c r="A50" s="92" t="s">
        <v>48</v>
      </c>
      <c r="B50" s="244">
        <f t="shared" si="14"/>
        <v>2485.8858937022205</v>
      </c>
      <c r="C50" s="110">
        <f>Revenues!H77</f>
        <v>1665543.5487804879</v>
      </c>
      <c r="D50" s="245">
        <f t="shared" si="15"/>
        <v>103.6726213563355</v>
      </c>
      <c r="E50" s="110">
        <f>Revenues!I77</f>
        <v>850115.4951219511</v>
      </c>
      <c r="F50" s="110">
        <f t="shared" si="16"/>
        <v>2515659.0439024391</v>
      </c>
      <c r="O50" s="7"/>
      <c r="P50" s="7"/>
    </row>
    <row r="51" spans="1:16" ht="15.75" thickBot="1" x14ac:dyDescent="0.3">
      <c r="A51" s="92" t="s">
        <v>49</v>
      </c>
      <c r="B51" s="244">
        <f t="shared" si="14"/>
        <v>2762.095437446912</v>
      </c>
      <c r="C51" s="110">
        <f>Revenues!H78</f>
        <v>1850603.9430894309</v>
      </c>
      <c r="D51" s="245">
        <f t="shared" si="15"/>
        <v>115.19180150703944</v>
      </c>
      <c r="E51" s="110">
        <f>Revenues!I78</f>
        <v>944572.77235772344</v>
      </c>
      <c r="F51" s="110">
        <f t="shared" si="16"/>
        <v>2795176.7154471544</v>
      </c>
      <c r="O51" s="7"/>
      <c r="P51" s="7"/>
    </row>
    <row r="52" spans="1:16" ht="15.75" thickBot="1" x14ac:dyDescent="0.3"/>
    <row r="53" spans="1:16" ht="15.75" thickBot="1" x14ac:dyDescent="0.3">
      <c r="A53" s="279" t="s">
        <v>172</v>
      </c>
      <c r="B53" s="280"/>
      <c r="C53" s="280"/>
      <c r="D53" s="280"/>
      <c r="E53" s="280"/>
      <c r="F53" s="281"/>
    </row>
    <row r="54" spans="1:16" ht="15.75" thickBot="1" x14ac:dyDescent="0.3">
      <c r="A54" s="26" t="s">
        <v>71</v>
      </c>
      <c r="B54" s="110" t="s">
        <v>165</v>
      </c>
      <c r="C54" s="110" t="s">
        <v>164</v>
      </c>
      <c r="D54" s="110" t="s">
        <v>167</v>
      </c>
      <c r="E54" s="110" t="s">
        <v>108</v>
      </c>
      <c r="F54" s="110" t="s">
        <v>164</v>
      </c>
      <c r="G54" s="110" t="s">
        <v>166</v>
      </c>
      <c r="O54" s="7"/>
    </row>
    <row r="55" spans="1:16" ht="15.75" thickBot="1" x14ac:dyDescent="0.3">
      <c r="A55" s="92" t="s">
        <v>40</v>
      </c>
      <c r="B55" s="110">
        <f>Revenues!H69</f>
        <v>185060.3943089431</v>
      </c>
      <c r="C55" s="110">
        <f>Revenues!D82</f>
        <v>50000</v>
      </c>
      <c r="D55" s="110">
        <f>B55-C55</f>
        <v>135060.3943089431</v>
      </c>
      <c r="E55" s="110">
        <f>Revenues!I69</f>
        <v>94457.277235772344</v>
      </c>
      <c r="F55" s="110">
        <f>Revenues!D96</f>
        <v>60000</v>
      </c>
      <c r="G55" s="110">
        <f>E55-F55</f>
        <v>34457.277235772344</v>
      </c>
      <c r="O55" s="7"/>
    </row>
    <row r="56" spans="1:16" ht="15.75" thickBot="1" x14ac:dyDescent="0.3">
      <c r="A56" s="92" t="s">
        <v>41</v>
      </c>
      <c r="B56" s="110">
        <f t="shared" ref="B56:B58" si="17">D55+$B$55</f>
        <v>320120.7886178862</v>
      </c>
      <c r="C56" s="110">
        <f>Revenues!D83</f>
        <v>60000</v>
      </c>
      <c r="D56" s="110">
        <f t="shared" ref="D56:D63" si="18">D55+$B$55-C56</f>
        <v>260120.7886178862</v>
      </c>
      <c r="E56" s="110">
        <f>G55+$E$55</f>
        <v>128914.55447154469</v>
      </c>
      <c r="F56" s="110">
        <f>Revenues!D97</f>
        <v>72000</v>
      </c>
      <c r="G56" s="110">
        <f t="shared" ref="G56:G63" si="19">E56-F56</f>
        <v>56914.554471544689</v>
      </c>
      <c r="O56" s="7"/>
    </row>
    <row r="57" spans="1:16" ht="15.75" thickBot="1" x14ac:dyDescent="0.3">
      <c r="A57" s="92" t="s">
        <v>42</v>
      </c>
      <c r="B57" s="110">
        <f t="shared" si="17"/>
        <v>445181.18292682932</v>
      </c>
      <c r="C57" s="110">
        <f>Revenues!D84</f>
        <v>72000</v>
      </c>
      <c r="D57" s="110">
        <f t="shared" si="18"/>
        <v>373181.18292682932</v>
      </c>
      <c r="E57" s="110">
        <f t="shared" ref="E57:E64" si="20">G56+$B$55</f>
        <v>241974.94878048779</v>
      </c>
      <c r="F57" s="110">
        <f>Revenues!D98</f>
        <v>86399.999999999985</v>
      </c>
      <c r="G57" s="110">
        <f t="shared" si="19"/>
        <v>155574.94878048782</v>
      </c>
      <c r="O57" s="7"/>
    </row>
    <row r="58" spans="1:16" ht="15.75" thickBot="1" x14ac:dyDescent="0.3">
      <c r="A58" s="92" t="s">
        <v>43</v>
      </c>
      <c r="B58" s="110">
        <f t="shared" si="17"/>
        <v>558241.57723577239</v>
      </c>
      <c r="C58" s="110">
        <f>Revenues!D85</f>
        <v>86399.999999999985</v>
      </c>
      <c r="D58" s="110">
        <f t="shared" si="18"/>
        <v>471841.57723577239</v>
      </c>
      <c r="E58" s="110">
        <f t="shared" si="20"/>
        <v>340635.34308943094</v>
      </c>
      <c r="F58" s="110">
        <f>Revenues!D99</f>
        <v>103679.99999999999</v>
      </c>
      <c r="G58" s="110">
        <f t="shared" si="19"/>
        <v>236955.34308943094</v>
      </c>
      <c r="O58" s="7"/>
    </row>
    <row r="59" spans="1:16" ht="15.75" thickBot="1" x14ac:dyDescent="0.3">
      <c r="A59" s="92" t="s">
        <v>44</v>
      </c>
      <c r="B59" s="110">
        <f t="shared" ref="B59:B64" si="21">D58+$B$55</f>
        <v>656901.97154471546</v>
      </c>
      <c r="C59" s="110">
        <f>Revenues!D86</f>
        <v>103679.99999999999</v>
      </c>
      <c r="D59" s="110">
        <f t="shared" si="18"/>
        <v>553221.97154471546</v>
      </c>
      <c r="E59" s="110">
        <f t="shared" si="20"/>
        <v>422015.73739837401</v>
      </c>
      <c r="F59" s="110">
        <f>Revenues!D100</f>
        <v>124415.99999999999</v>
      </c>
      <c r="G59" s="110">
        <f t="shared" si="19"/>
        <v>297599.73739837401</v>
      </c>
      <c r="O59" s="7"/>
    </row>
    <row r="60" spans="1:16" ht="15.75" thickBot="1" x14ac:dyDescent="0.3">
      <c r="A60" s="92" t="s">
        <v>46</v>
      </c>
      <c r="B60" s="110">
        <f t="shared" si="21"/>
        <v>738282.36585365853</v>
      </c>
      <c r="C60" s="110">
        <f>Revenues!D87</f>
        <v>124415.99999999999</v>
      </c>
      <c r="D60" s="110">
        <f t="shared" si="18"/>
        <v>613866.36585365853</v>
      </c>
      <c r="E60" s="110">
        <f t="shared" si="20"/>
        <v>482660.13170731708</v>
      </c>
      <c r="F60" s="110">
        <f>Revenues!D101</f>
        <v>149299.19999999998</v>
      </c>
      <c r="G60" s="110">
        <f t="shared" si="19"/>
        <v>333360.93170731713</v>
      </c>
      <c r="O60" s="7"/>
    </row>
    <row r="61" spans="1:16" ht="15.75" thickBot="1" x14ac:dyDescent="0.3">
      <c r="A61" s="92" t="s">
        <v>45</v>
      </c>
      <c r="B61" s="110">
        <f t="shared" si="21"/>
        <v>798926.7601626016</v>
      </c>
      <c r="C61" s="110">
        <f>Revenues!D88</f>
        <v>149299.19999999998</v>
      </c>
      <c r="D61" s="110">
        <f t="shared" si="18"/>
        <v>649627.56016260164</v>
      </c>
      <c r="E61" s="110">
        <f t="shared" si="20"/>
        <v>518421.32601626019</v>
      </c>
      <c r="F61" s="110">
        <f>Revenues!D102</f>
        <v>179159.03999999998</v>
      </c>
      <c r="G61" s="110">
        <f t="shared" si="19"/>
        <v>339262.28601626022</v>
      </c>
      <c r="O61" s="7"/>
    </row>
    <row r="62" spans="1:16" ht="15.75" thickBot="1" x14ac:dyDescent="0.3">
      <c r="A62" s="92" t="s">
        <v>47</v>
      </c>
      <c r="B62" s="110">
        <f>D61+$B$55</f>
        <v>834687.95447154471</v>
      </c>
      <c r="C62" s="110">
        <f>Revenues!D89</f>
        <v>179159.03999999998</v>
      </c>
      <c r="D62" s="110">
        <f>D61+$B$55-C62</f>
        <v>655528.91447154479</v>
      </c>
      <c r="E62" s="110">
        <f t="shared" si="20"/>
        <v>524322.68032520334</v>
      </c>
      <c r="F62" s="110">
        <f>Revenues!D103</f>
        <v>214990.84799999997</v>
      </c>
      <c r="G62" s="110">
        <f t="shared" si="19"/>
        <v>309331.83232520334</v>
      </c>
      <c r="O62" s="7"/>
    </row>
    <row r="63" spans="1:16" ht="15.75" thickBot="1" x14ac:dyDescent="0.3">
      <c r="A63" s="92" t="s">
        <v>48</v>
      </c>
      <c r="B63" s="110">
        <f t="shared" si="21"/>
        <v>840589.30878048786</v>
      </c>
      <c r="C63" s="110">
        <f>Revenues!D90</f>
        <v>214990.84799999997</v>
      </c>
      <c r="D63" s="110">
        <f t="shared" si="18"/>
        <v>625598.46078048786</v>
      </c>
      <c r="E63" s="110">
        <f t="shared" si="20"/>
        <v>494392.22663414641</v>
      </c>
      <c r="F63" s="110">
        <f>Revenues!D104</f>
        <v>257989.01759999996</v>
      </c>
      <c r="G63" s="110">
        <f t="shared" si="19"/>
        <v>236403.20903414645</v>
      </c>
      <c r="O63" s="7"/>
    </row>
    <row r="64" spans="1:16" ht="15.75" thickBot="1" x14ac:dyDescent="0.3">
      <c r="A64" s="92" t="s">
        <v>49</v>
      </c>
      <c r="B64" s="110">
        <f t="shared" si="21"/>
        <v>810658.85508943093</v>
      </c>
      <c r="C64" s="110">
        <f>Revenues!D91</f>
        <v>257989.01759999996</v>
      </c>
      <c r="D64" s="199">
        <f>B64-C64</f>
        <v>552669.83748943103</v>
      </c>
      <c r="E64" s="195">
        <f t="shared" si="20"/>
        <v>421463.60334308958</v>
      </c>
      <c r="F64" s="195">
        <f>Revenues!D105</f>
        <v>309586.82111999992</v>
      </c>
      <c r="G64" s="199">
        <f>E64-F64</f>
        <v>111876.78222308966</v>
      </c>
      <c r="O64" s="7"/>
    </row>
    <row r="65" spans="1:14" ht="15.75" thickBot="1" x14ac:dyDescent="0.3"/>
    <row r="66" spans="1:14" ht="15.75" customHeight="1" thickBot="1" x14ac:dyDescent="0.3">
      <c r="A66" s="279" t="s">
        <v>262</v>
      </c>
      <c r="B66" s="280"/>
      <c r="C66" s="280"/>
      <c r="D66" s="280"/>
      <c r="E66" s="280"/>
      <c r="F66" s="281"/>
    </row>
    <row r="67" spans="1:14" ht="15.75" thickBot="1" x14ac:dyDescent="0.3">
      <c r="A67" s="26" t="s">
        <v>71</v>
      </c>
      <c r="B67" s="110" t="s">
        <v>167</v>
      </c>
      <c r="C67" s="110" t="s">
        <v>175</v>
      </c>
      <c r="D67" s="111" t="s">
        <v>170</v>
      </c>
      <c r="E67" s="110" t="s">
        <v>166</v>
      </c>
      <c r="F67" s="110" t="s">
        <v>175</v>
      </c>
      <c r="G67" s="111" t="s">
        <v>171</v>
      </c>
      <c r="N67" s="112"/>
    </row>
    <row r="68" spans="1:14" ht="15.75" thickBot="1" x14ac:dyDescent="0.3">
      <c r="A68" s="92" t="s">
        <v>40</v>
      </c>
      <c r="B68" s="110">
        <f>D55</f>
        <v>135060.3943089431</v>
      </c>
      <c r="C68" s="110">
        <f>Revenues!D110</f>
        <v>45000</v>
      </c>
      <c r="D68" s="111">
        <f>B68+C68</f>
        <v>180060.3943089431</v>
      </c>
      <c r="E68" s="110">
        <f>G55</f>
        <v>34457.277235772344</v>
      </c>
      <c r="F68" s="110">
        <f>Revenues!D124</f>
        <v>50000</v>
      </c>
      <c r="G68" s="111">
        <f>E68+F68</f>
        <v>84457.277235772344</v>
      </c>
      <c r="N68" s="112"/>
    </row>
    <row r="69" spans="1:14" ht="15.75" thickBot="1" x14ac:dyDescent="0.3">
      <c r="A69" s="92" t="s">
        <v>41</v>
      </c>
      <c r="B69" s="110">
        <f>D68+$B$55</f>
        <v>365120.7886178862</v>
      </c>
      <c r="C69" s="110">
        <f>Revenues!D111</f>
        <v>54000</v>
      </c>
      <c r="D69" s="111">
        <f t="shared" ref="D69:D77" si="22">B69+C69</f>
        <v>419120.7886178862</v>
      </c>
      <c r="E69" s="110">
        <f>G68</f>
        <v>84457.277235772344</v>
      </c>
      <c r="F69" s="110">
        <f>Revenues!D125</f>
        <v>60000</v>
      </c>
      <c r="G69" s="111">
        <f t="shared" ref="G69:G77" si="23">E69+F69</f>
        <v>144457.27723577234</v>
      </c>
      <c r="N69" s="112"/>
    </row>
    <row r="70" spans="1:14" ht="15.75" thickBot="1" x14ac:dyDescent="0.3">
      <c r="A70" s="92" t="s">
        <v>42</v>
      </c>
      <c r="B70" s="110">
        <f>D69+$B$55</f>
        <v>604181.18292682932</v>
      </c>
      <c r="C70" s="110">
        <f>Revenues!D112</f>
        <v>64800</v>
      </c>
      <c r="D70" s="111">
        <f t="shared" si="22"/>
        <v>668981.18292682932</v>
      </c>
      <c r="E70" s="110">
        <f t="shared" ref="E70:E77" si="24">G69</f>
        <v>144457.27723577234</v>
      </c>
      <c r="F70" s="110">
        <f>Revenues!D126</f>
        <v>72000</v>
      </c>
      <c r="G70" s="111">
        <f t="shared" si="23"/>
        <v>216457.27723577234</v>
      </c>
      <c r="N70" s="112"/>
    </row>
    <row r="71" spans="1:14" ht="15.75" thickBot="1" x14ac:dyDescent="0.3">
      <c r="A71" s="92" t="s">
        <v>43</v>
      </c>
      <c r="B71" s="110">
        <f t="shared" ref="B71:B76" si="25">D70+$B$55</f>
        <v>854041.57723577239</v>
      </c>
      <c r="C71" s="110">
        <f>Revenues!D113</f>
        <v>77759.999999999985</v>
      </c>
      <c r="D71" s="111">
        <f t="shared" si="22"/>
        <v>931801.57723577239</v>
      </c>
      <c r="E71" s="110">
        <f t="shared" si="24"/>
        <v>216457.27723577234</v>
      </c>
      <c r="F71" s="110">
        <f>Revenues!D127</f>
        <v>86399.999999999985</v>
      </c>
      <c r="G71" s="111">
        <f t="shared" si="23"/>
        <v>302857.27723577234</v>
      </c>
      <c r="N71" s="112"/>
    </row>
    <row r="72" spans="1:14" ht="15.75" thickBot="1" x14ac:dyDescent="0.3">
      <c r="A72" s="92" t="s">
        <v>44</v>
      </c>
      <c r="B72" s="110">
        <f t="shared" si="25"/>
        <v>1116861.9715447156</v>
      </c>
      <c r="C72" s="110">
        <f>Revenues!D114</f>
        <v>93311.999999999985</v>
      </c>
      <c r="D72" s="111">
        <f t="shared" si="22"/>
        <v>1210173.9715447156</v>
      </c>
      <c r="E72" s="110">
        <f t="shared" si="24"/>
        <v>302857.27723577234</v>
      </c>
      <c r="F72" s="110">
        <f>Revenues!D128</f>
        <v>103679.99999999999</v>
      </c>
      <c r="G72" s="111">
        <f t="shared" si="23"/>
        <v>406537.27723577234</v>
      </c>
      <c r="N72" s="112"/>
    </row>
    <row r="73" spans="1:14" ht="15.75" thickBot="1" x14ac:dyDescent="0.3">
      <c r="A73" s="92" t="s">
        <v>46</v>
      </c>
      <c r="B73" s="110">
        <f t="shared" si="25"/>
        <v>1395234.3658536586</v>
      </c>
      <c r="C73" s="110">
        <f>Revenues!D115</f>
        <v>111974.39999999998</v>
      </c>
      <c r="D73" s="111">
        <f t="shared" si="22"/>
        <v>1507208.7658536586</v>
      </c>
      <c r="E73" s="110">
        <f t="shared" si="24"/>
        <v>406537.27723577234</v>
      </c>
      <c r="F73" s="110">
        <f>Revenues!D129</f>
        <v>124415.99999999999</v>
      </c>
      <c r="G73" s="111">
        <f t="shared" si="23"/>
        <v>530953.27723577234</v>
      </c>
      <c r="N73" s="112"/>
    </row>
    <row r="74" spans="1:14" ht="15.75" thickBot="1" x14ac:dyDescent="0.3">
      <c r="A74" s="92" t="s">
        <v>45</v>
      </c>
      <c r="B74" s="110">
        <f t="shared" si="25"/>
        <v>1692269.1601626016</v>
      </c>
      <c r="C74" s="110">
        <f>Revenues!D116</f>
        <v>134369.27999999997</v>
      </c>
      <c r="D74" s="111">
        <f t="shared" si="22"/>
        <v>1826638.4401626016</v>
      </c>
      <c r="E74" s="110">
        <f t="shared" si="24"/>
        <v>530953.27723577234</v>
      </c>
      <c r="F74" s="110">
        <f>Revenues!D130</f>
        <v>149299.19999999998</v>
      </c>
      <c r="G74" s="111">
        <f t="shared" si="23"/>
        <v>680252.4772357723</v>
      </c>
      <c r="N74" s="112"/>
    </row>
    <row r="75" spans="1:14" ht="15.75" thickBot="1" x14ac:dyDescent="0.3">
      <c r="A75" s="92" t="s">
        <v>47</v>
      </c>
      <c r="B75" s="110">
        <f t="shared" si="25"/>
        <v>2011698.8344715447</v>
      </c>
      <c r="C75" s="110">
        <f>Revenues!D117</f>
        <v>161243.13599999997</v>
      </c>
      <c r="D75" s="111">
        <f t="shared" si="22"/>
        <v>2172941.9704715447</v>
      </c>
      <c r="E75" s="110">
        <f t="shared" si="24"/>
        <v>680252.4772357723</v>
      </c>
      <c r="F75" s="110">
        <f>Revenues!D131</f>
        <v>179159.03999999998</v>
      </c>
      <c r="G75" s="111">
        <f t="shared" si="23"/>
        <v>859411.51723577222</v>
      </c>
      <c r="N75" s="112"/>
    </row>
    <row r="76" spans="1:14" ht="15.75" thickBot="1" x14ac:dyDescent="0.3">
      <c r="A76" s="92" t="s">
        <v>48</v>
      </c>
      <c r="B76" s="110">
        <f t="shared" si="25"/>
        <v>2358002.364780488</v>
      </c>
      <c r="C76" s="110">
        <f>Revenues!D118</f>
        <v>193491.76319999996</v>
      </c>
      <c r="D76" s="111">
        <f t="shared" si="22"/>
        <v>2551494.1279804879</v>
      </c>
      <c r="E76" s="110">
        <f t="shared" si="24"/>
        <v>859411.51723577222</v>
      </c>
      <c r="F76" s="110">
        <f>Revenues!D132</f>
        <v>214990.84799999997</v>
      </c>
      <c r="G76" s="111">
        <f t="shared" si="23"/>
        <v>1074402.3652357722</v>
      </c>
      <c r="N76" s="112"/>
    </row>
    <row r="77" spans="1:14" ht="15.75" thickBot="1" x14ac:dyDescent="0.3">
      <c r="A77" s="92" t="s">
        <v>49</v>
      </c>
      <c r="B77" s="110">
        <f>D76</f>
        <v>2551494.1279804879</v>
      </c>
      <c r="C77" s="110">
        <f>Revenues!D119</f>
        <v>232190.11583999993</v>
      </c>
      <c r="D77" s="111">
        <f t="shared" si="22"/>
        <v>2783684.243820488</v>
      </c>
      <c r="E77" s="110">
        <f t="shared" si="24"/>
        <v>1074402.3652357722</v>
      </c>
      <c r="F77" s="110">
        <f>Revenues!D133</f>
        <v>257989.01759999996</v>
      </c>
      <c r="G77" s="111">
        <f t="shared" si="23"/>
        <v>1332391.3828357721</v>
      </c>
      <c r="N77" s="112"/>
    </row>
  </sheetData>
  <mergeCells count="5">
    <mergeCell ref="A2:D2"/>
    <mergeCell ref="A40:D40"/>
    <mergeCell ref="A66:F66"/>
    <mergeCell ref="A53:F53"/>
    <mergeCell ref="A39:D39"/>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2D30-15BC-4C2E-A5B4-638594800B4A}">
  <dimension ref="A1:C11"/>
  <sheetViews>
    <sheetView workbookViewId="0">
      <selection activeCell="A12" sqref="A12"/>
    </sheetView>
  </sheetViews>
  <sheetFormatPr baseColWidth="10" defaultRowHeight="15" x14ac:dyDescent="0.25"/>
  <cols>
    <col min="1" max="1" width="35.5703125" bestFit="1" customWidth="1"/>
    <col min="2" max="2" width="24.85546875" bestFit="1" customWidth="1"/>
    <col min="3" max="3" width="17.5703125" customWidth="1"/>
    <col min="4" max="4" width="19.7109375" customWidth="1"/>
  </cols>
  <sheetData>
    <row r="1" spans="1:3" ht="15.75" thickBot="1" x14ac:dyDescent="0.3"/>
    <row r="2" spans="1:3" ht="27" thickBot="1" x14ac:dyDescent="0.45">
      <c r="A2" s="219" t="s">
        <v>146</v>
      </c>
    </row>
    <row r="3" spans="1:3" ht="15.75" thickBot="1" x14ac:dyDescent="0.3">
      <c r="C3" s="93">
        <v>2019</v>
      </c>
    </row>
    <row r="4" spans="1:3" ht="15.75" thickBot="1" x14ac:dyDescent="0.3">
      <c r="B4" s="26" t="s">
        <v>143</v>
      </c>
      <c r="C4" s="117">
        <f>'Cash Flow 2019'!N10</f>
        <v>4649866.9902535798</v>
      </c>
    </row>
    <row r="5" spans="1:3" ht="15.75" thickBot="1" x14ac:dyDescent="0.3">
      <c r="B5" s="26" t="s">
        <v>248</v>
      </c>
      <c r="C5" s="246">
        <f>'Income Statement'!B27/Balance!H5</f>
        <v>2.7054963889573572E-2</v>
      </c>
    </row>
    <row r="6" spans="1:3" ht="15.75" thickBot="1" x14ac:dyDescent="0.3">
      <c r="B6" s="92" t="s">
        <v>34</v>
      </c>
      <c r="C6" s="117">
        <f>'Cash Flow 2019'!N16</f>
        <v>2577060.166493658</v>
      </c>
    </row>
    <row r="7" spans="1:3" ht="15.75" thickBot="1" x14ac:dyDescent="0.3">
      <c r="B7" s="92" t="s">
        <v>145</v>
      </c>
      <c r="C7" s="117">
        <f>C4-C6</f>
        <v>2072806.8237599218</v>
      </c>
    </row>
    <row r="8" spans="1:3" ht="15.75" thickBot="1" x14ac:dyDescent="0.3">
      <c r="B8" s="92" t="s">
        <v>144</v>
      </c>
      <c r="C8" s="217">
        <f>C7/C4</f>
        <v>0.44577765946954145</v>
      </c>
    </row>
    <row r="9" spans="1:3" ht="15.75" thickBot="1" x14ac:dyDescent="0.3">
      <c r="B9" s="92" t="s">
        <v>35</v>
      </c>
      <c r="C9" s="161">
        <f>'Cash Flow 2019'!N30</f>
        <v>646116</v>
      </c>
    </row>
    <row r="10" spans="1:3" ht="15.75" thickBot="1" x14ac:dyDescent="0.3">
      <c r="B10" s="26" t="s">
        <v>249</v>
      </c>
      <c r="C10" s="110">
        <f>C7-C9</f>
        <v>1426690.8237599218</v>
      </c>
    </row>
    <row r="11" spans="1:3" ht="15.75" thickBot="1" x14ac:dyDescent="0.3">
      <c r="B11" s="94" t="s">
        <v>142</v>
      </c>
      <c r="C11" s="111">
        <f>C9/C8</f>
        <v>1449413.1463852485</v>
      </c>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42BC-D09C-4BDA-B4DF-04FB4ED6B580}">
  <sheetPr>
    <pageSetUpPr fitToPage="1"/>
  </sheetPr>
  <dimension ref="A1:U134"/>
  <sheetViews>
    <sheetView topLeftCell="A70" zoomScale="85" zoomScaleNormal="85" workbookViewId="0">
      <selection activeCell="C72" sqref="C72"/>
    </sheetView>
  </sheetViews>
  <sheetFormatPr baseColWidth="10" defaultRowHeight="14.25" x14ac:dyDescent="0.2"/>
  <cols>
    <col min="1" max="1" width="26.7109375" style="36" customWidth="1"/>
    <col min="2" max="2" width="26.85546875" style="36" bestFit="1" customWidth="1"/>
    <col min="3" max="3" width="34.42578125" style="36" bestFit="1" customWidth="1"/>
    <col min="4" max="4" width="18.42578125" style="36" bestFit="1" customWidth="1"/>
    <col min="5" max="5" width="30" style="36" bestFit="1" customWidth="1"/>
    <col min="6" max="6" width="19.42578125" style="36" bestFit="1" customWidth="1"/>
    <col min="7" max="7" width="13.7109375" style="36" bestFit="1" customWidth="1"/>
    <col min="8" max="8" width="18.140625" style="36" bestFit="1" customWidth="1"/>
    <col min="9" max="9" width="16.140625" style="36" bestFit="1" customWidth="1"/>
    <col min="10" max="10" width="18.85546875" style="36" bestFit="1" customWidth="1"/>
    <col min="11" max="11" width="16.42578125" style="36" bestFit="1" customWidth="1"/>
    <col min="12" max="12" width="16.28515625" style="36" bestFit="1" customWidth="1"/>
    <col min="13" max="13" width="18.140625" style="36" bestFit="1" customWidth="1"/>
    <col min="14" max="14" width="16.140625" style="36" bestFit="1" customWidth="1"/>
    <col min="15" max="15" width="14.5703125" style="36" bestFit="1" customWidth="1"/>
    <col min="16" max="17" width="13.42578125" style="36" bestFit="1" customWidth="1"/>
    <col min="18" max="18" width="14.5703125" style="36" bestFit="1" customWidth="1"/>
    <col min="19" max="20" width="11.42578125" style="36"/>
    <col min="21" max="21" width="11.5703125" style="36" bestFit="1" customWidth="1"/>
    <col min="22" max="16384" width="11.42578125" style="36"/>
  </cols>
  <sheetData>
    <row r="1" spans="2:18" ht="15" x14ac:dyDescent="0.25">
      <c r="B1" s="36" t="s">
        <v>230</v>
      </c>
      <c r="C1" s="37" t="s">
        <v>76</v>
      </c>
    </row>
    <row r="2" spans="2:18" ht="15" x14ac:dyDescent="0.25">
      <c r="B2" s="36" t="s">
        <v>59</v>
      </c>
      <c r="D2" s="38" t="s">
        <v>50</v>
      </c>
      <c r="E2" s="38" t="s">
        <v>50</v>
      </c>
      <c r="F2" s="39" t="s">
        <v>31</v>
      </c>
      <c r="G2" s="39" t="s">
        <v>58</v>
      </c>
      <c r="H2" s="39" t="s">
        <v>40</v>
      </c>
      <c r="I2" s="39" t="s">
        <v>41</v>
      </c>
      <c r="J2" s="39" t="s">
        <v>42</v>
      </c>
      <c r="K2" s="39" t="s">
        <v>43</v>
      </c>
      <c r="L2" s="39" t="s">
        <v>44</v>
      </c>
      <c r="M2" s="39" t="s">
        <v>46</v>
      </c>
      <c r="N2" s="39" t="s">
        <v>45</v>
      </c>
      <c r="O2" s="39" t="s">
        <v>47</v>
      </c>
      <c r="P2" s="39" t="s">
        <v>48</v>
      </c>
      <c r="Q2" s="39" t="s">
        <v>49</v>
      </c>
      <c r="R2" s="40" t="s">
        <v>19</v>
      </c>
    </row>
    <row r="3" spans="2:18" x14ac:dyDescent="0.2">
      <c r="B3" s="41" t="s">
        <v>51</v>
      </c>
      <c r="C3" s="42">
        <v>100</v>
      </c>
      <c r="D3" s="43">
        <v>0.125</v>
      </c>
      <c r="E3" s="44">
        <f>C3+C3*D3</f>
        <v>112.5</v>
      </c>
      <c r="F3" s="45">
        <v>0</v>
      </c>
      <c r="G3" s="45">
        <v>0</v>
      </c>
      <c r="H3" s="45">
        <v>3</v>
      </c>
      <c r="I3" s="45">
        <v>4</v>
      </c>
      <c r="J3" s="45">
        <v>4</v>
      </c>
      <c r="K3" s="45">
        <v>6</v>
      </c>
      <c r="L3" s="45">
        <v>5</v>
      </c>
      <c r="M3" s="45">
        <v>7</v>
      </c>
      <c r="N3" s="45">
        <v>8</v>
      </c>
      <c r="O3" s="45">
        <v>7</v>
      </c>
      <c r="P3" s="45">
        <v>6</v>
      </c>
      <c r="Q3" s="45">
        <v>4</v>
      </c>
    </row>
    <row r="4" spans="2:18" x14ac:dyDescent="0.2">
      <c r="B4" s="46" t="s">
        <v>52</v>
      </c>
      <c r="C4" s="47">
        <v>500</v>
      </c>
      <c r="D4" s="48">
        <v>0.17499999999999999</v>
      </c>
      <c r="E4" s="49">
        <f t="shared" ref="E4:E9" si="0">C4+C4*D4</f>
        <v>587.5</v>
      </c>
      <c r="F4" s="50">
        <v>0</v>
      </c>
      <c r="G4" s="50">
        <v>0</v>
      </c>
      <c r="H4" s="50">
        <v>2</v>
      </c>
      <c r="I4" s="50">
        <v>3</v>
      </c>
      <c r="J4" s="50">
        <v>3</v>
      </c>
      <c r="K4" s="50">
        <v>3</v>
      </c>
      <c r="L4" s="50">
        <v>2</v>
      </c>
      <c r="M4" s="50">
        <v>2</v>
      </c>
      <c r="N4" s="50">
        <v>4</v>
      </c>
      <c r="O4" s="50">
        <v>5</v>
      </c>
      <c r="P4" s="50">
        <v>6</v>
      </c>
      <c r="Q4" s="50">
        <v>4</v>
      </c>
    </row>
    <row r="5" spans="2:18" x14ac:dyDescent="0.2">
      <c r="B5" s="41" t="s">
        <v>53</v>
      </c>
      <c r="C5" s="51">
        <v>1000</v>
      </c>
      <c r="D5" s="52">
        <v>0.22</v>
      </c>
      <c r="E5" s="44">
        <f t="shared" si="0"/>
        <v>1220</v>
      </c>
      <c r="F5" s="45">
        <v>0</v>
      </c>
      <c r="G5" s="45">
        <v>0</v>
      </c>
      <c r="H5" s="45">
        <v>3</v>
      </c>
      <c r="I5" s="45">
        <v>3</v>
      </c>
      <c r="J5" s="45">
        <v>3</v>
      </c>
      <c r="K5" s="45">
        <v>3</v>
      </c>
      <c r="L5" s="45">
        <v>2</v>
      </c>
      <c r="M5" s="45">
        <v>2</v>
      </c>
      <c r="N5" s="45">
        <v>4</v>
      </c>
      <c r="O5" s="45">
        <v>4</v>
      </c>
      <c r="P5" s="45">
        <v>5</v>
      </c>
      <c r="Q5" s="45">
        <v>2</v>
      </c>
    </row>
    <row r="6" spans="2:18" x14ac:dyDescent="0.2">
      <c r="B6" s="46" t="s">
        <v>54</v>
      </c>
      <c r="C6" s="47">
        <v>3000</v>
      </c>
      <c r="D6" s="53">
        <v>0.3</v>
      </c>
      <c r="E6" s="49">
        <f t="shared" si="0"/>
        <v>3900</v>
      </c>
      <c r="F6" s="50">
        <v>0</v>
      </c>
      <c r="G6" s="50">
        <v>0</v>
      </c>
      <c r="H6" s="50">
        <v>3</v>
      </c>
      <c r="I6" s="50">
        <v>3</v>
      </c>
      <c r="J6" s="50">
        <v>3</v>
      </c>
      <c r="K6" s="50">
        <v>3</v>
      </c>
      <c r="L6" s="50">
        <v>2</v>
      </c>
      <c r="M6" s="50">
        <v>1</v>
      </c>
      <c r="N6" s="50">
        <v>3</v>
      </c>
      <c r="O6" s="50">
        <v>4</v>
      </c>
      <c r="P6" s="50">
        <v>4</v>
      </c>
      <c r="Q6" s="50">
        <v>2</v>
      </c>
    </row>
    <row r="7" spans="2:18" x14ac:dyDescent="0.2">
      <c r="B7" s="41" t="s">
        <v>55</v>
      </c>
      <c r="C7" s="51">
        <v>8000</v>
      </c>
      <c r="D7" s="43">
        <v>0.375</v>
      </c>
      <c r="E7" s="44">
        <f t="shared" si="0"/>
        <v>11000</v>
      </c>
      <c r="F7" s="45">
        <v>0</v>
      </c>
      <c r="G7" s="45">
        <v>0</v>
      </c>
      <c r="H7" s="45">
        <v>2</v>
      </c>
      <c r="I7" s="45">
        <v>2</v>
      </c>
      <c r="J7" s="45">
        <v>2</v>
      </c>
      <c r="K7" s="45">
        <v>2</v>
      </c>
      <c r="L7" s="45">
        <v>1</v>
      </c>
      <c r="M7" s="45">
        <v>1</v>
      </c>
      <c r="N7" s="45">
        <v>2</v>
      </c>
      <c r="O7" s="45">
        <v>3</v>
      </c>
      <c r="P7" s="45">
        <v>2</v>
      </c>
      <c r="Q7" s="45">
        <v>1</v>
      </c>
    </row>
    <row r="8" spans="2:18" x14ac:dyDescent="0.2">
      <c r="B8" s="46" t="s">
        <v>56</v>
      </c>
      <c r="C8" s="47">
        <v>20000</v>
      </c>
      <c r="D8" s="54">
        <v>0.47499999999999998</v>
      </c>
      <c r="E8" s="49">
        <f t="shared" si="0"/>
        <v>29500</v>
      </c>
      <c r="F8" s="50">
        <v>0</v>
      </c>
      <c r="G8" s="50">
        <v>0</v>
      </c>
      <c r="H8" s="50">
        <v>1</v>
      </c>
      <c r="I8" s="50">
        <v>1</v>
      </c>
      <c r="J8" s="50">
        <v>1</v>
      </c>
      <c r="K8" s="50">
        <v>0</v>
      </c>
      <c r="L8" s="50">
        <v>0</v>
      </c>
      <c r="M8" s="50">
        <v>0</v>
      </c>
      <c r="N8" s="50">
        <v>1</v>
      </c>
      <c r="O8" s="50">
        <v>1</v>
      </c>
      <c r="P8" s="50">
        <v>1</v>
      </c>
      <c r="Q8" s="50">
        <v>0</v>
      </c>
    </row>
    <row r="9" spans="2:18" x14ac:dyDescent="0.2">
      <c r="B9" s="55" t="s">
        <v>57</v>
      </c>
      <c r="C9" s="56">
        <v>50000</v>
      </c>
      <c r="D9" s="57">
        <v>0.55000000000000004</v>
      </c>
      <c r="E9" s="44">
        <f t="shared" si="0"/>
        <v>77500</v>
      </c>
      <c r="F9" s="58">
        <v>0</v>
      </c>
      <c r="G9" s="58">
        <v>0</v>
      </c>
      <c r="H9" s="58">
        <v>0</v>
      </c>
      <c r="I9" s="58">
        <v>0</v>
      </c>
      <c r="J9" s="58">
        <v>1</v>
      </c>
      <c r="K9" s="58">
        <v>0</v>
      </c>
      <c r="L9" s="58">
        <v>0</v>
      </c>
      <c r="M9" s="58">
        <v>0</v>
      </c>
      <c r="N9" s="58">
        <v>0</v>
      </c>
      <c r="O9" s="58">
        <v>1</v>
      </c>
      <c r="P9" s="58">
        <v>0</v>
      </c>
      <c r="Q9" s="58">
        <v>0</v>
      </c>
    </row>
    <row r="10" spans="2:18" ht="9.75" customHeight="1" x14ac:dyDescent="0.2"/>
    <row r="11" spans="2:18" ht="12" customHeight="1" x14ac:dyDescent="0.2"/>
    <row r="12" spans="2:18" x14ac:dyDescent="0.2">
      <c r="B12" s="41" t="s">
        <v>51</v>
      </c>
      <c r="C12" s="42">
        <v>100</v>
      </c>
      <c r="D12" s="43">
        <v>0.125</v>
      </c>
      <c r="E12" s="44">
        <f>C12+C12*D12</f>
        <v>112.5</v>
      </c>
      <c r="F12" s="45">
        <f>F3*$C3</f>
        <v>0</v>
      </c>
      <c r="G12" s="45">
        <f t="shared" ref="G12:Q12" si="1">G3*$C3</f>
        <v>0</v>
      </c>
      <c r="H12" s="59">
        <f t="shared" si="1"/>
        <v>300</v>
      </c>
      <c r="I12" s="59">
        <f t="shared" si="1"/>
        <v>400</v>
      </c>
      <c r="J12" s="59">
        <f t="shared" si="1"/>
        <v>400</v>
      </c>
      <c r="K12" s="59">
        <f t="shared" si="1"/>
        <v>600</v>
      </c>
      <c r="L12" s="59">
        <f t="shared" si="1"/>
        <v>500</v>
      </c>
      <c r="M12" s="59">
        <f t="shared" si="1"/>
        <v>700</v>
      </c>
      <c r="N12" s="59">
        <f t="shared" si="1"/>
        <v>800</v>
      </c>
      <c r="O12" s="59">
        <f t="shared" si="1"/>
        <v>700</v>
      </c>
      <c r="P12" s="59">
        <f t="shared" si="1"/>
        <v>600</v>
      </c>
      <c r="Q12" s="59">
        <f t="shared" si="1"/>
        <v>400</v>
      </c>
      <c r="R12" s="60"/>
    </row>
    <row r="13" spans="2:18" x14ac:dyDescent="0.2">
      <c r="B13" s="46" t="s">
        <v>52</v>
      </c>
      <c r="C13" s="47">
        <v>500</v>
      </c>
      <c r="D13" s="48">
        <v>0.17499999999999999</v>
      </c>
      <c r="E13" s="49">
        <f t="shared" ref="E13:E18" si="2">C13+C13*D13</f>
        <v>587.5</v>
      </c>
      <c r="F13" s="45">
        <f t="shared" ref="F13:Q18" si="3">F4*$C4</f>
        <v>0</v>
      </c>
      <c r="G13" s="45">
        <f t="shared" si="3"/>
        <v>0</v>
      </c>
      <c r="H13" s="59">
        <f t="shared" si="3"/>
        <v>1000</v>
      </c>
      <c r="I13" s="59">
        <f t="shared" si="3"/>
        <v>1500</v>
      </c>
      <c r="J13" s="59">
        <f t="shared" si="3"/>
        <v>1500</v>
      </c>
      <c r="K13" s="59">
        <f t="shared" si="3"/>
        <v>1500</v>
      </c>
      <c r="L13" s="59">
        <f t="shared" si="3"/>
        <v>1000</v>
      </c>
      <c r="M13" s="59">
        <f t="shared" si="3"/>
        <v>1000</v>
      </c>
      <c r="N13" s="59">
        <f t="shared" si="3"/>
        <v>2000</v>
      </c>
      <c r="O13" s="59">
        <f t="shared" si="3"/>
        <v>2500</v>
      </c>
      <c r="P13" s="59">
        <f t="shared" si="3"/>
        <v>3000</v>
      </c>
      <c r="Q13" s="59">
        <f t="shared" si="3"/>
        <v>2000</v>
      </c>
      <c r="R13" s="60"/>
    </row>
    <row r="14" spans="2:18" x14ac:dyDescent="0.2">
      <c r="B14" s="41" t="s">
        <v>53</v>
      </c>
      <c r="C14" s="51">
        <v>1000</v>
      </c>
      <c r="D14" s="52">
        <v>0.22</v>
      </c>
      <c r="E14" s="44">
        <f t="shared" si="2"/>
        <v>1220</v>
      </c>
      <c r="F14" s="45">
        <f t="shared" si="3"/>
        <v>0</v>
      </c>
      <c r="G14" s="45">
        <f t="shared" si="3"/>
        <v>0</v>
      </c>
      <c r="H14" s="59">
        <f t="shared" si="3"/>
        <v>3000</v>
      </c>
      <c r="I14" s="59">
        <f t="shared" si="3"/>
        <v>3000</v>
      </c>
      <c r="J14" s="59">
        <f t="shared" si="3"/>
        <v>3000</v>
      </c>
      <c r="K14" s="59">
        <f t="shared" si="3"/>
        <v>3000</v>
      </c>
      <c r="L14" s="59">
        <f t="shared" si="3"/>
        <v>2000</v>
      </c>
      <c r="M14" s="59">
        <f t="shared" si="3"/>
        <v>2000</v>
      </c>
      <c r="N14" s="59">
        <f t="shared" si="3"/>
        <v>4000</v>
      </c>
      <c r="O14" s="59">
        <f t="shared" si="3"/>
        <v>4000</v>
      </c>
      <c r="P14" s="59">
        <f t="shared" si="3"/>
        <v>5000</v>
      </c>
      <c r="Q14" s="59">
        <f t="shared" si="3"/>
        <v>2000</v>
      </c>
      <c r="R14" s="60"/>
    </row>
    <row r="15" spans="2:18" x14ac:dyDescent="0.2">
      <c r="B15" s="46" t="s">
        <v>54</v>
      </c>
      <c r="C15" s="47">
        <v>3000</v>
      </c>
      <c r="D15" s="53">
        <v>0.3</v>
      </c>
      <c r="E15" s="49">
        <f t="shared" si="2"/>
        <v>3900</v>
      </c>
      <c r="F15" s="45">
        <f t="shared" si="3"/>
        <v>0</v>
      </c>
      <c r="G15" s="45">
        <f t="shared" si="3"/>
        <v>0</v>
      </c>
      <c r="H15" s="59">
        <f t="shared" si="3"/>
        <v>9000</v>
      </c>
      <c r="I15" s="59">
        <f t="shared" si="3"/>
        <v>9000</v>
      </c>
      <c r="J15" s="59">
        <f t="shared" si="3"/>
        <v>9000</v>
      </c>
      <c r="K15" s="59">
        <f t="shared" si="3"/>
        <v>9000</v>
      </c>
      <c r="L15" s="59">
        <f t="shared" si="3"/>
        <v>6000</v>
      </c>
      <c r="M15" s="59">
        <f t="shared" si="3"/>
        <v>3000</v>
      </c>
      <c r="N15" s="59">
        <f t="shared" si="3"/>
        <v>9000</v>
      </c>
      <c r="O15" s="59">
        <f t="shared" si="3"/>
        <v>12000</v>
      </c>
      <c r="P15" s="59">
        <f t="shared" si="3"/>
        <v>12000</v>
      </c>
      <c r="Q15" s="59">
        <f t="shared" si="3"/>
        <v>6000</v>
      </c>
      <c r="R15" s="60"/>
    </row>
    <row r="16" spans="2:18" x14ac:dyDescent="0.2">
      <c r="B16" s="41" t="s">
        <v>55</v>
      </c>
      <c r="C16" s="51">
        <v>8000</v>
      </c>
      <c r="D16" s="43">
        <v>0.375</v>
      </c>
      <c r="E16" s="44">
        <f t="shared" si="2"/>
        <v>11000</v>
      </c>
      <c r="F16" s="45">
        <f t="shared" si="3"/>
        <v>0</v>
      </c>
      <c r="G16" s="45">
        <f t="shared" si="3"/>
        <v>0</v>
      </c>
      <c r="H16" s="59">
        <f t="shared" si="3"/>
        <v>16000</v>
      </c>
      <c r="I16" s="59">
        <f t="shared" si="3"/>
        <v>16000</v>
      </c>
      <c r="J16" s="59">
        <f t="shared" si="3"/>
        <v>16000</v>
      </c>
      <c r="K16" s="59">
        <f t="shared" si="3"/>
        <v>16000</v>
      </c>
      <c r="L16" s="59">
        <f t="shared" si="3"/>
        <v>8000</v>
      </c>
      <c r="M16" s="59">
        <f t="shared" si="3"/>
        <v>8000</v>
      </c>
      <c r="N16" s="59">
        <f t="shared" si="3"/>
        <v>16000</v>
      </c>
      <c r="O16" s="59">
        <f t="shared" si="3"/>
        <v>24000</v>
      </c>
      <c r="P16" s="59">
        <f t="shared" si="3"/>
        <v>16000</v>
      </c>
      <c r="Q16" s="59">
        <f t="shared" si="3"/>
        <v>8000</v>
      </c>
      <c r="R16" s="60"/>
    </row>
    <row r="17" spans="2:21" x14ac:dyDescent="0.2">
      <c r="B17" s="46" t="s">
        <v>56</v>
      </c>
      <c r="C17" s="47">
        <v>20000</v>
      </c>
      <c r="D17" s="54">
        <v>0.47499999999999998</v>
      </c>
      <c r="E17" s="49">
        <f t="shared" si="2"/>
        <v>29500</v>
      </c>
      <c r="F17" s="45">
        <f t="shared" si="3"/>
        <v>0</v>
      </c>
      <c r="G17" s="45">
        <f t="shared" si="3"/>
        <v>0</v>
      </c>
      <c r="H17" s="59">
        <f t="shared" si="3"/>
        <v>20000</v>
      </c>
      <c r="I17" s="59">
        <f t="shared" si="3"/>
        <v>20000</v>
      </c>
      <c r="J17" s="59">
        <f t="shared" si="3"/>
        <v>20000</v>
      </c>
      <c r="K17" s="59">
        <f t="shared" si="3"/>
        <v>0</v>
      </c>
      <c r="L17" s="59">
        <f t="shared" si="3"/>
        <v>0</v>
      </c>
      <c r="M17" s="59">
        <f t="shared" si="3"/>
        <v>0</v>
      </c>
      <c r="N17" s="59">
        <f t="shared" si="3"/>
        <v>20000</v>
      </c>
      <c r="O17" s="59">
        <f t="shared" si="3"/>
        <v>20000</v>
      </c>
      <c r="P17" s="59">
        <f t="shared" si="3"/>
        <v>20000</v>
      </c>
      <c r="Q17" s="59">
        <f t="shared" si="3"/>
        <v>0</v>
      </c>
      <c r="R17" s="60"/>
    </row>
    <row r="18" spans="2:21" x14ac:dyDescent="0.2">
      <c r="B18" s="55" t="s">
        <v>57</v>
      </c>
      <c r="C18" s="56">
        <v>50000</v>
      </c>
      <c r="D18" s="57">
        <v>0.55000000000000004</v>
      </c>
      <c r="E18" s="44">
        <f t="shared" si="2"/>
        <v>77500</v>
      </c>
      <c r="F18" s="58">
        <f t="shared" si="3"/>
        <v>0</v>
      </c>
      <c r="G18" s="58">
        <f t="shared" si="3"/>
        <v>0</v>
      </c>
      <c r="H18" s="61">
        <f t="shared" si="3"/>
        <v>0</v>
      </c>
      <c r="I18" s="61">
        <f t="shared" si="3"/>
        <v>0</v>
      </c>
      <c r="J18" s="61">
        <f t="shared" si="3"/>
        <v>50000</v>
      </c>
      <c r="K18" s="61">
        <f t="shared" si="3"/>
        <v>0</v>
      </c>
      <c r="L18" s="61">
        <f t="shared" si="3"/>
        <v>0</v>
      </c>
      <c r="M18" s="61">
        <f t="shared" si="3"/>
        <v>0</v>
      </c>
      <c r="N18" s="61">
        <f t="shared" si="3"/>
        <v>0</v>
      </c>
      <c r="O18" s="61">
        <f t="shared" si="3"/>
        <v>50000</v>
      </c>
      <c r="P18" s="61">
        <f t="shared" si="3"/>
        <v>0</v>
      </c>
      <c r="Q18" s="61">
        <f t="shared" si="3"/>
        <v>0</v>
      </c>
      <c r="R18" s="60"/>
    </row>
    <row r="19" spans="2:21" ht="15" x14ac:dyDescent="0.25">
      <c r="E19" s="38" t="s">
        <v>60</v>
      </c>
      <c r="F19" s="62">
        <f>SUM(F12:F18)</f>
        <v>0</v>
      </c>
      <c r="G19" s="62">
        <f t="shared" ref="G19:Q19" si="4">SUM(G12:G18)</f>
        <v>0</v>
      </c>
      <c r="H19" s="63">
        <f t="shared" si="4"/>
        <v>49300</v>
      </c>
      <c r="I19" s="63">
        <f t="shared" si="4"/>
        <v>49900</v>
      </c>
      <c r="J19" s="63">
        <f t="shared" si="4"/>
        <v>99900</v>
      </c>
      <c r="K19" s="63">
        <f t="shared" si="4"/>
        <v>30100</v>
      </c>
      <c r="L19" s="63">
        <f t="shared" si="4"/>
        <v>17500</v>
      </c>
      <c r="M19" s="63">
        <f t="shared" si="4"/>
        <v>14700</v>
      </c>
      <c r="N19" s="63">
        <f t="shared" si="4"/>
        <v>51800</v>
      </c>
      <c r="O19" s="63">
        <f t="shared" si="4"/>
        <v>113200</v>
      </c>
      <c r="P19" s="63">
        <f t="shared" si="4"/>
        <v>56600</v>
      </c>
      <c r="Q19" s="63">
        <f t="shared" si="4"/>
        <v>18400</v>
      </c>
      <c r="R19" s="63">
        <f>SUM(F19:Q19)</f>
        <v>501400</v>
      </c>
    </row>
    <row r="21" spans="2:21" x14ac:dyDescent="0.2">
      <c r="B21" s="41" t="s">
        <v>51</v>
      </c>
      <c r="C21" s="42">
        <v>100</v>
      </c>
      <c r="D21" s="43">
        <v>0.125</v>
      </c>
      <c r="E21" s="44">
        <f>C21+C21*D21</f>
        <v>112.5</v>
      </c>
      <c r="F21" s="45">
        <f>$E21*F3</f>
        <v>0</v>
      </c>
      <c r="G21" s="45">
        <f t="shared" ref="G21:Q21" si="5">$E21*G3</f>
        <v>0</v>
      </c>
      <c r="H21" s="59">
        <f t="shared" si="5"/>
        <v>337.5</v>
      </c>
      <c r="I21" s="59">
        <f t="shared" si="5"/>
        <v>450</v>
      </c>
      <c r="J21" s="59">
        <f t="shared" si="5"/>
        <v>450</v>
      </c>
      <c r="K21" s="59">
        <f t="shared" si="5"/>
        <v>675</v>
      </c>
      <c r="L21" s="59">
        <f t="shared" si="5"/>
        <v>562.5</v>
      </c>
      <c r="M21" s="59">
        <f t="shared" si="5"/>
        <v>787.5</v>
      </c>
      <c r="N21" s="59">
        <f t="shared" si="5"/>
        <v>900</v>
      </c>
      <c r="O21" s="59">
        <f t="shared" si="5"/>
        <v>787.5</v>
      </c>
      <c r="P21" s="59">
        <f t="shared" si="5"/>
        <v>675</v>
      </c>
      <c r="Q21" s="59">
        <f t="shared" si="5"/>
        <v>450</v>
      </c>
      <c r="R21" s="60"/>
    </row>
    <row r="22" spans="2:21" x14ac:dyDescent="0.2">
      <c r="B22" s="46" t="s">
        <v>52</v>
      </c>
      <c r="C22" s="47">
        <v>500</v>
      </c>
      <c r="D22" s="48">
        <v>0.17499999999999999</v>
      </c>
      <c r="E22" s="49">
        <f t="shared" ref="E22:E27" si="6">C22+C22*D22</f>
        <v>587.5</v>
      </c>
      <c r="F22" s="45">
        <f t="shared" ref="F22:Q27" si="7">$E22*F4</f>
        <v>0</v>
      </c>
      <c r="G22" s="45">
        <f t="shared" si="7"/>
        <v>0</v>
      </c>
      <c r="H22" s="59">
        <f t="shared" si="7"/>
        <v>1175</v>
      </c>
      <c r="I22" s="59">
        <f t="shared" si="7"/>
        <v>1762.5</v>
      </c>
      <c r="J22" s="59">
        <f t="shared" si="7"/>
        <v>1762.5</v>
      </c>
      <c r="K22" s="59">
        <f t="shared" si="7"/>
        <v>1762.5</v>
      </c>
      <c r="L22" s="59">
        <f t="shared" si="7"/>
        <v>1175</v>
      </c>
      <c r="M22" s="59">
        <f t="shared" si="7"/>
        <v>1175</v>
      </c>
      <c r="N22" s="59">
        <f t="shared" si="7"/>
        <v>2350</v>
      </c>
      <c r="O22" s="59">
        <f t="shared" si="7"/>
        <v>2937.5</v>
      </c>
      <c r="P22" s="59">
        <f t="shared" si="7"/>
        <v>3525</v>
      </c>
      <c r="Q22" s="59">
        <f t="shared" si="7"/>
        <v>2350</v>
      </c>
      <c r="R22" s="60"/>
    </row>
    <row r="23" spans="2:21" x14ac:dyDescent="0.2">
      <c r="B23" s="41" t="s">
        <v>53</v>
      </c>
      <c r="C23" s="51">
        <v>1000</v>
      </c>
      <c r="D23" s="52">
        <v>0.22</v>
      </c>
      <c r="E23" s="44">
        <f t="shared" si="6"/>
        <v>1220</v>
      </c>
      <c r="F23" s="45">
        <f t="shared" si="7"/>
        <v>0</v>
      </c>
      <c r="G23" s="45">
        <f t="shared" si="7"/>
        <v>0</v>
      </c>
      <c r="H23" s="59">
        <f t="shared" si="7"/>
        <v>3660</v>
      </c>
      <c r="I23" s="59">
        <f t="shared" si="7"/>
        <v>3660</v>
      </c>
      <c r="J23" s="59">
        <f t="shared" si="7"/>
        <v>3660</v>
      </c>
      <c r="K23" s="59">
        <f t="shared" si="7"/>
        <v>3660</v>
      </c>
      <c r="L23" s="59">
        <f t="shared" si="7"/>
        <v>2440</v>
      </c>
      <c r="M23" s="59">
        <f t="shared" si="7"/>
        <v>2440</v>
      </c>
      <c r="N23" s="59">
        <f t="shared" si="7"/>
        <v>4880</v>
      </c>
      <c r="O23" s="59">
        <f t="shared" si="7"/>
        <v>4880</v>
      </c>
      <c r="P23" s="59">
        <f t="shared" si="7"/>
        <v>6100</v>
      </c>
      <c r="Q23" s="59">
        <f t="shared" si="7"/>
        <v>2440</v>
      </c>
      <c r="R23" s="60"/>
    </row>
    <row r="24" spans="2:21" x14ac:dyDescent="0.2">
      <c r="B24" s="46" t="s">
        <v>54</v>
      </c>
      <c r="C24" s="47">
        <v>3000</v>
      </c>
      <c r="D24" s="53">
        <v>0.3</v>
      </c>
      <c r="E24" s="49">
        <f t="shared" si="6"/>
        <v>3900</v>
      </c>
      <c r="F24" s="45">
        <f t="shared" si="7"/>
        <v>0</v>
      </c>
      <c r="G24" s="45">
        <f t="shared" si="7"/>
        <v>0</v>
      </c>
      <c r="H24" s="59">
        <f t="shared" si="7"/>
        <v>11700</v>
      </c>
      <c r="I24" s="59">
        <f t="shared" si="7"/>
        <v>11700</v>
      </c>
      <c r="J24" s="59">
        <f t="shared" si="7"/>
        <v>11700</v>
      </c>
      <c r="K24" s="59">
        <f t="shared" si="7"/>
        <v>11700</v>
      </c>
      <c r="L24" s="59">
        <f t="shared" si="7"/>
        <v>7800</v>
      </c>
      <c r="M24" s="59">
        <f t="shared" si="7"/>
        <v>3900</v>
      </c>
      <c r="N24" s="59">
        <f t="shared" si="7"/>
        <v>11700</v>
      </c>
      <c r="O24" s="59">
        <f t="shared" si="7"/>
        <v>15600</v>
      </c>
      <c r="P24" s="59">
        <f t="shared" si="7"/>
        <v>15600</v>
      </c>
      <c r="Q24" s="59">
        <f t="shared" si="7"/>
        <v>7800</v>
      </c>
      <c r="R24" s="60"/>
    </row>
    <row r="25" spans="2:21" x14ac:dyDescent="0.2">
      <c r="B25" s="41" t="s">
        <v>55</v>
      </c>
      <c r="C25" s="51">
        <v>8000</v>
      </c>
      <c r="D25" s="43">
        <v>0.375</v>
      </c>
      <c r="E25" s="44">
        <f t="shared" si="6"/>
        <v>11000</v>
      </c>
      <c r="F25" s="45">
        <f t="shared" si="7"/>
        <v>0</v>
      </c>
      <c r="G25" s="45">
        <f t="shared" si="7"/>
        <v>0</v>
      </c>
      <c r="H25" s="59">
        <f t="shared" si="7"/>
        <v>22000</v>
      </c>
      <c r="I25" s="59">
        <f t="shared" si="7"/>
        <v>22000</v>
      </c>
      <c r="J25" s="59">
        <f t="shared" si="7"/>
        <v>22000</v>
      </c>
      <c r="K25" s="59">
        <f t="shared" si="7"/>
        <v>22000</v>
      </c>
      <c r="L25" s="59">
        <f t="shared" si="7"/>
        <v>11000</v>
      </c>
      <c r="M25" s="59">
        <f t="shared" si="7"/>
        <v>11000</v>
      </c>
      <c r="N25" s="59">
        <f t="shared" si="7"/>
        <v>22000</v>
      </c>
      <c r="O25" s="59">
        <f t="shared" si="7"/>
        <v>33000</v>
      </c>
      <c r="P25" s="59">
        <f t="shared" si="7"/>
        <v>22000</v>
      </c>
      <c r="Q25" s="59">
        <f t="shared" si="7"/>
        <v>11000</v>
      </c>
      <c r="R25" s="60"/>
    </row>
    <row r="26" spans="2:21" x14ac:dyDescent="0.2">
      <c r="B26" s="46" t="s">
        <v>56</v>
      </c>
      <c r="C26" s="47">
        <v>20000</v>
      </c>
      <c r="D26" s="54">
        <v>0.47499999999999998</v>
      </c>
      <c r="E26" s="49">
        <f t="shared" si="6"/>
        <v>29500</v>
      </c>
      <c r="F26" s="45">
        <f t="shared" si="7"/>
        <v>0</v>
      </c>
      <c r="G26" s="45">
        <f t="shared" si="7"/>
        <v>0</v>
      </c>
      <c r="H26" s="59">
        <f t="shared" si="7"/>
        <v>29500</v>
      </c>
      <c r="I26" s="59">
        <f t="shared" si="7"/>
        <v>29500</v>
      </c>
      <c r="J26" s="59">
        <f t="shared" si="7"/>
        <v>29500</v>
      </c>
      <c r="K26" s="59">
        <f t="shared" si="7"/>
        <v>0</v>
      </c>
      <c r="L26" s="59">
        <f t="shared" si="7"/>
        <v>0</v>
      </c>
      <c r="M26" s="59">
        <f t="shared" si="7"/>
        <v>0</v>
      </c>
      <c r="N26" s="59">
        <f t="shared" si="7"/>
        <v>29500</v>
      </c>
      <c r="O26" s="59">
        <f t="shared" si="7"/>
        <v>29500</v>
      </c>
      <c r="P26" s="59">
        <f t="shared" si="7"/>
        <v>29500</v>
      </c>
      <c r="Q26" s="59">
        <f t="shared" si="7"/>
        <v>0</v>
      </c>
      <c r="R26" s="60"/>
    </row>
    <row r="27" spans="2:21" x14ac:dyDescent="0.2">
      <c r="B27" s="55" t="s">
        <v>57</v>
      </c>
      <c r="C27" s="56">
        <v>50000</v>
      </c>
      <c r="D27" s="57">
        <v>0.55000000000000004</v>
      </c>
      <c r="E27" s="44">
        <f t="shared" si="6"/>
        <v>77500</v>
      </c>
      <c r="F27" s="64">
        <f t="shared" si="7"/>
        <v>0</v>
      </c>
      <c r="G27" s="64">
        <f t="shared" si="7"/>
        <v>0</v>
      </c>
      <c r="H27" s="65">
        <f t="shared" si="7"/>
        <v>0</v>
      </c>
      <c r="I27" s="65">
        <f t="shared" si="7"/>
        <v>0</v>
      </c>
      <c r="J27" s="65">
        <f t="shared" si="7"/>
        <v>77500</v>
      </c>
      <c r="K27" s="65">
        <f t="shared" si="7"/>
        <v>0</v>
      </c>
      <c r="L27" s="65">
        <f t="shared" si="7"/>
        <v>0</v>
      </c>
      <c r="M27" s="65">
        <f t="shared" si="7"/>
        <v>0</v>
      </c>
      <c r="N27" s="65">
        <f t="shared" si="7"/>
        <v>0</v>
      </c>
      <c r="O27" s="65">
        <f t="shared" si="7"/>
        <v>77500</v>
      </c>
      <c r="P27" s="65">
        <f t="shared" si="7"/>
        <v>0</v>
      </c>
      <c r="Q27" s="65">
        <f t="shared" si="7"/>
        <v>0</v>
      </c>
      <c r="R27" s="60"/>
    </row>
    <row r="28" spans="2:21" ht="15" x14ac:dyDescent="0.25">
      <c r="E28" s="38" t="s">
        <v>61</v>
      </c>
      <c r="F28" s="66">
        <f>SUM(F21:F27)</f>
        <v>0</v>
      </c>
      <c r="G28" s="66">
        <f t="shared" ref="G28:Q28" si="8">SUM(G21:G27)</f>
        <v>0</v>
      </c>
      <c r="H28" s="63">
        <f t="shared" si="8"/>
        <v>68372.5</v>
      </c>
      <c r="I28" s="63">
        <f t="shared" si="8"/>
        <v>69072.5</v>
      </c>
      <c r="J28" s="63">
        <f t="shared" si="8"/>
        <v>146572.5</v>
      </c>
      <c r="K28" s="63">
        <f t="shared" si="8"/>
        <v>39797.5</v>
      </c>
      <c r="L28" s="63">
        <f t="shared" si="8"/>
        <v>22977.5</v>
      </c>
      <c r="M28" s="63">
        <f t="shared" si="8"/>
        <v>19302.5</v>
      </c>
      <c r="N28" s="63">
        <f t="shared" si="8"/>
        <v>71330</v>
      </c>
      <c r="O28" s="63">
        <f t="shared" si="8"/>
        <v>164205</v>
      </c>
      <c r="P28" s="63">
        <f t="shared" si="8"/>
        <v>77400</v>
      </c>
      <c r="Q28" s="63">
        <f t="shared" si="8"/>
        <v>24040</v>
      </c>
      <c r="R28" s="63">
        <f>SUM(F28:Q28)</f>
        <v>703070</v>
      </c>
      <c r="U28" s="67">
        <f ca="1">G28:U29</f>
        <v>0</v>
      </c>
    </row>
    <row r="29" spans="2:21" x14ac:dyDescent="0.2">
      <c r="H29" s="60"/>
      <c r="I29" s="60"/>
      <c r="J29" s="60"/>
      <c r="K29" s="60"/>
      <c r="L29" s="60"/>
      <c r="M29" s="60"/>
      <c r="N29" s="60"/>
      <c r="O29" s="60"/>
      <c r="P29" s="60"/>
      <c r="Q29" s="60"/>
      <c r="R29" s="60"/>
    </row>
    <row r="30" spans="2:21" x14ac:dyDescent="0.2">
      <c r="B30" s="41" t="s">
        <v>51</v>
      </c>
      <c r="C30" s="42">
        <v>100</v>
      </c>
      <c r="D30" s="43">
        <v>0.125</v>
      </c>
      <c r="E30" s="44">
        <f>C30+C30*D30</f>
        <v>112.5</v>
      </c>
      <c r="F30" s="45">
        <f>F21-F12</f>
        <v>0</v>
      </c>
      <c r="G30" s="45">
        <f t="shared" ref="G30:Q30" si="9">G21-G12</f>
        <v>0</v>
      </c>
      <c r="H30" s="45">
        <f t="shared" si="9"/>
        <v>37.5</v>
      </c>
      <c r="I30" s="45">
        <f t="shared" si="9"/>
        <v>50</v>
      </c>
      <c r="J30" s="45">
        <f t="shared" si="9"/>
        <v>50</v>
      </c>
      <c r="K30" s="45">
        <f t="shared" si="9"/>
        <v>75</v>
      </c>
      <c r="L30" s="45">
        <f t="shared" si="9"/>
        <v>62.5</v>
      </c>
      <c r="M30" s="45">
        <f t="shared" si="9"/>
        <v>87.5</v>
      </c>
      <c r="N30" s="45">
        <f>N21-N12</f>
        <v>100</v>
      </c>
      <c r="O30" s="45">
        <f t="shared" si="9"/>
        <v>87.5</v>
      </c>
      <c r="P30" s="45">
        <f t="shared" si="9"/>
        <v>75</v>
      </c>
      <c r="Q30" s="45">
        <f t="shared" si="9"/>
        <v>50</v>
      </c>
    </row>
    <row r="31" spans="2:21" x14ac:dyDescent="0.2">
      <c r="B31" s="46" t="s">
        <v>52</v>
      </c>
      <c r="C31" s="47">
        <v>500</v>
      </c>
      <c r="D31" s="48">
        <v>0.17499999999999999</v>
      </c>
      <c r="E31" s="49">
        <f t="shared" ref="E31:E36" si="10">C31+C31*D31</f>
        <v>587.5</v>
      </c>
      <c r="F31" s="45">
        <f t="shared" ref="F31:Q36" si="11">F22-F13</f>
        <v>0</v>
      </c>
      <c r="G31" s="45">
        <f t="shared" si="11"/>
        <v>0</v>
      </c>
      <c r="H31" s="45">
        <f t="shared" si="11"/>
        <v>175</v>
      </c>
      <c r="I31" s="45">
        <f t="shared" si="11"/>
        <v>262.5</v>
      </c>
      <c r="J31" s="45">
        <f t="shared" si="11"/>
        <v>262.5</v>
      </c>
      <c r="K31" s="45">
        <f t="shared" si="11"/>
        <v>262.5</v>
      </c>
      <c r="L31" s="45">
        <f t="shared" si="11"/>
        <v>175</v>
      </c>
      <c r="M31" s="45">
        <f t="shared" si="11"/>
        <v>175</v>
      </c>
      <c r="N31" s="45">
        <f t="shared" si="11"/>
        <v>350</v>
      </c>
      <c r="O31" s="45">
        <f t="shared" si="11"/>
        <v>437.5</v>
      </c>
      <c r="P31" s="45">
        <f t="shared" si="11"/>
        <v>525</v>
      </c>
      <c r="Q31" s="45">
        <f t="shared" si="11"/>
        <v>350</v>
      </c>
    </row>
    <row r="32" spans="2:21" x14ac:dyDescent="0.2">
      <c r="B32" s="41" t="s">
        <v>53</v>
      </c>
      <c r="C32" s="51">
        <v>1000</v>
      </c>
      <c r="D32" s="52">
        <v>0.22</v>
      </c>
      <c r="E32" s="44">
        <f t="shared" si="10"/>
        <v>1220</v>
      </c>
      <c r="F32" s="45">
        <f t="shared" si="11"/>
        <v>0</v>
      </c>
      <c r="G32" s="45">
        <f t="shared" si="11"/>
        <v>0</v>
      </c>
      <c r="H32" s="45">
        <f t="shared" si="11"/>
        <v>660</v>
      </c>
      <c r="I32" s="45">
        <f t="shared" si="11"/>
        <v>660</v>
      </c>
      <c r="J32" s="45">
        <f t="shared" si="11"/>
        <v>660</v>
      </c>
      <c r="K32" s="45">
        <f t="shared" si="11"/>
        <v>660</v>
      </c>
      <c r="L32" s="45">
        <f t="shared" si="11"/>
        <v>440</v>
      </c>
      <c r="M32" s="45">
        <f t="shared" si="11"/>
        <v>440</v>
      </c>
      <c r="N32" s="45">
        <f t="shared" si="11"/>
        <v>880</v>
      </c>
      <c r="O32" s="45">
        <f t="shared" si="11"/>
        <v>880</v>
      </c>
      <c r="P32" s="45">
        <f t="shared" si="11"/>
        <v>1100</v>
      </c>
      <c r="Q32" s="45">
        <f t="shared" si="11"/>
        <v>440</v>
      </c>
    </row>
    <row r="33" spans="1:18" x14ac:dyDescent="0.2">
      <c r="B33" s="46" t="s">
        <v>54</v>
      </c>
      <c r="C33" s="47">
        <v>3000</v>
      </c>
      <c r="D33" s="53">
        <v>0.3</v>
      </c>
      <c r="E33" s="49">
        <f t="shared" si="10"/>
        <v>3900</v>
      </c>
      <c r="F33" s="45">
        <f t="shared" si="11"/>
        <v>0</v>
      </c>
      <c r="G33" s="45">
        <f t="shared" si="11"/>
        <v>0</v>
      </c>
      <c r="H33" s="45">
        <f t="shared" si="11"/>
        <v>2700</v>
      </c>
      <c r="I33" s="45">
        <f t="shared" si="11"/>
        <v>2700</v>
      </c>
      <c r="J33" s="45">
        <f t="shared" si="11"/>
        <v>2700</v>
      </c>
      <c r="K33" s="45">
        <f t="shared" si="11"/>
        <v>2700</v>
      </c>
      <c r="L33" s="45">
        <f t="shared" si="11"/>
        <v>1800</v>
      </c>
      <c r="M33" s="45">
        <f t="shared" si="11"/>
        <v>900</v>
      </c>
      <c r="N33" s="45">
        <f t="shared" si="11"/>
        <v>2700</v>
      </c>
      <c r="O33" s="45">
        <f t="shared" si="11"/>
        <v>3600</v>
      </c>
      <c r="P33" s="45">
        <f t="shared" si="11"/>
        <v>3600</v>
      </c>
      <c r="Q33" s="45">
        <f t="shared" si="11"/>
        <v>1800</v>
      </c>
    </row>
    <row r="34" spans="1:18" x14ac:dyDescent="0.2">
      <c r="B34" s="41" t="s">
        <v>55</v>
      </c>
      <c r="C34" s="51">
        <v>8000</v>
      </c>
      <c r="D34" s="43">
        <v>0.375</v>
      </c>
      <c r="E34" s="44">
        <f t="shared" si="10"/>
        <v>11000</v>
      </c>
      <c r="F34" s="45">
        <f t="shared" si="11"/>
        <v>0</v>
      </c>
      <c r="G34" s="45">
        <f t="shared" si="11"/>
        <v>0</v>
      </c>
      <c r="H34" s="45">
        <f t="shared" si="11"/>
        <v>6000</v>
      </c>
      <c r="I34" s="45">
        <f t="shared" si="11"/>
        <v>6000</v>
      </c>
      <c r="J34" s="45">
        <f t="shared" si="11"/>
        <v>6000</v>
      </c>
      <c r="K34" s="45">
        <f t="shared" si="11"/>
        <v>6000</v>
      </c>
      <c r="L34" s="45">
        <f t="shared" si="11"/>
        <v>3000</v>
      </c>
      <c r="M34" s="45">
        <f t="shared" si="11"/>
        <v>3000</v>
      </c>
      <c r="N34" s="45">
        <f t="shared" si="11"/>
        <v>6000</v>
      </c>
      <c r="O34" s="45">
        <f t="shared" si="11"/>
        <v>9000</v>
      </c>
      <c r="P34" s="45">
        <f t="shared" si="11"/>
        <v>6000</v>
      </c>
      <c r="Q34" s="45">
        <f t="shared" si="11"/>
        <v>3000</v>
      </c>
    </row>
    <row r="35" spans="1:18" x14ac:dyDescent="0.2">
      <c r="B35" s="46" t="s">
        <v>56</v>
      </c>
      <c r="C35" s="47">
        <v>20000</v>
      </c>
      <c r="D35" s="54">
        <v>0.47499999999999998</v>
      </c>
      <c r="E35" s="49">
        <f t="shared" si="10"/>
        <v>29500</v>
      </c>
      <c r="F35" s="45">
        <f t="shared" si="11"/>
        <v>0</v>
      </c>
      <c r="G35" s="45">
        <f t="shared" si="11"/>
        <v>0</v>
      </c>
      <c r="H35" s="45">
        <f t="shared" si="11"/>
        <v>9500</v>
      </c>
      <c r="I35" s="45">
        <f t="shared" si="11"/>
        <v>9500</v>
      </c>
      <c r="J35" s="45">
        <f t="shared" si="11"/>
        <v>9500</v>
      </c>
      <c r="K35" s="45">
        <f t="shared" si="11"/>
        <v>0</v>
      </c>
      <c r="L35" s="45">
        <f t="shared" si="11"/>
        <v>0</v>
      </c>
      <c r="M35" s="45">
        <f t="shared" si="11"/>
        <v>0</v>
      </c>
      <c r="N35" s="45">
        <f t="shared" si="11"/>
        <v>9500</v>
      </c>
      <c r="O35" s="45">
        <f t="shared" si="11"/>
        <v>9500</v>
      </c>
      <c r="P35" s="45">
        <f t="shared" si="11"/>
        <v>9500</v>
      </c>
      <c r="Q35" s="45">
        <f t="shared" si="11"/>
        <v>0</v>
      </c>
    </row>
    <row r="36" spans="1:18" x14ac:dyDescent="0.2">
      <c r="B36" s="55" t="s">
        <v>57</v>
      </c>
      <c r="C36" s="56">
        <v>50000</v>
      </c>
      <c r="D36" s="57">
        <v>0.55000000000000004</v>
      </c>
      <c r="E36" s="44">
        <f t="shared" si="10"/>
        <v>77500</v>
      </c>
      <c r="F36" s="45">
        <f t="shared" si="11"/>
        <v>0</v>
      </c>
      <c r="G36" s="45">
        <f t="shared" si="11"/>
        <v>0</v>
      </c>
      <c r="H36" s="45">
        <f t="shared" si="11"/>
        <v>0</v>
      </c>
      <c r="I36" s="45">
        <f t="shared" si="11"/>
        <v>0</v>
      </c>
      <c r="J36" s="45">
        <f t="shared" si="11"/>
        <v>27500</v>
      </c>
      <c r="K36" s="45">
        <f t="shared" si="11"/>
        <v>0</v>
      </c>
      <c r="L36" s="45">
        <f t="shared" si="11"/>
        <v>0</v>
      </c>
      <c r="M36" s="45">
        <f t="shared" si="11"/>
        <v>0</v>
      </c>
      <c r="N36" s="45">
        <f t="shared" si="11"/>
        <v>0</v>
      </c>
      <c r="O36" s="45">
        <f t="shared" si="11"/>
        <v>27500</v>
      </c>
      <c r="P36" s="45">
        <f t="shared" si="11"/>
        <v>0</v>
      </c>
      <c r="Q36" s="45">
        <f t="shared" si="11"/>
        <v>0</v>
      </c>
    </row>
    <row r="37" spans="1:18" ht="15" x14ac:dyDescent="0.25">
      <c r="E37" s="38" t="s">
        <v>62</v>
      </c>
      <c r="F37" s="68">
        <f>SUM(F30:F36)</f>
        <v>0</v>
      </c>
      <c r="G37" s="68">
        <f t="shared" ref="G37:Q37" si="12">SUM(G30:G36)</f>
        <v>0</v>
      </c>
      <c r="H37" s="63">
        <f t="shared" si="12"/>
        <v>19072.5</v>
      </c>
      <c r="I37" s="63">
        <f t="shared" si="12"/>
        <v>19172.5</v>
      </c>
      <c r="J37" s="63">
        <f t="shared" si="12"/>
        <v>46672.5</v>
      </c>
      <c r="K37" s="63">
        <f t="shared" si="12"/>
        <v>9697.5</v>
      </c>
      <c r="L37" s="63">
        <f t="shared" si="12"/>
        <v>5477.5</v>
      </c>
      <c r="M37" s="63">
        <f t="shared" si="12"/>
        <v>4602.5</v>
      </c>
      <c r="N37" s="63">
        <f t="shared" si="12"/>
        <v>19530</v>
      </c>
      <c r="O37" s="63">
        <f t="shared" si="12"/>
        <v>51005</v>
      </c>
      <c r="P37" s="63">
        <f t="shared" si="12"/>
        <v>20800</v>
      </c>
      <c r="Q37" s="63">
        <f t="shared" si="12"/>
        <v>5640</v>
      </c>
      <c r="R37" s="69">
        <f>SUM(F37:Q37)</f>
        <v>201670</v>
      </c>
    </row>
    <row r="39" spans="1:18" ht="15" thickBot="1" x14ac:dyDescent="0.25"/>
    <row r="40" spans="1:18" ht="15" thickBot="1" x14ac:dyDescent="0.25">
      <c r="C40" s="84" t="s">
        <v>63</v>
      </c>
    </row>
    <row r="41" spans="1:18" ht="15.75" thickBot="1" x14ac:dyDescent="0.3">
      <c r="B41" s="169" t="s">
        <v>64</v>
      </c>
      <c r="C41" s="169" t="s">
        <v>65</v>
      </c>
      <c r="D41" s="169" t="s">
        <v>66</v>
      </c>
      <c r="E41" s="169" t="s">
        <v>67</v>
      </c>
    </row>
    <row r="42" spans="1:18" ht="15" thickBot="1" x14ac:dyDescent="0.25">
      <c r="B42" s="183" t="s">
        <v>68</v>
      </c>
      <c r="C42" s="184">
        <v>451.64</v>
      </c>
      <c r="D42" s="184">
        <v>9.6</v>
      </c>
      <c r="E42" s="184">
        <v>442.04</v>
      </c>
    </row>
    <row r="43" spans="1:18" ht="15.75" customHeight="1" thickBot="1" x14ac:dyDescent="0.3">
      <c r="B43" s="185" t="s">
        <v>69</v>
      </c>
      <c r="C43" s="186">
        <v>10839.25</v>
      </c>
      <c r="D43" s="186">
        <v>230.4</v>
      </c>
      <c r="E43" s="186">
        <v>10608.85</v>
      </c>
      <c r="G43" s="285" t="s">
        <v>96</v>
      </c>
      <c r="H43" s="286"/>
      <c r="I43" s="286"/>
      <c r="J43" s="287"/>
    </row>
    <row r="44" spans="1:18" ht="15.75" thickBot="1" x14ac:dyDescent="0.3">
      <c r="B44" s="183" t="s">
        <v>70</v>
      </c>
      <c r="C44" s="184">
        <v>75874.759999999995</v>
      </c>
      <c r="D44" s="184">
        <v>1612.8</v>
      </c>
      <c r="E44" s="184">
        <v>74261.960000000006</v>
      </c>
      <c r="G44" s="10" t="s">
        <v>64</v>
      </c>
      <c r="H44" s="10" t="s">
        <v>97</v>
      </c>
      <c r="I44" s="10" t="s">
        <v>98</v>
      </c>
      <c r="J44" s="10" t="s">
        <v>99</v>
      </c>
    </row>
    <row r="45" spans="1:18" ht="15.75" thickBot="1" x14ac:dyDescent="0.25">
      <c r="B45" s="183" t="s">
        <v>71</v>
      </c>
      <c r="C45" s="184">
        <v>325177.55</v>
      </c>
      <c r="D45" s="184">
        <v>6912</v>
      </c>
      <c r="E45" s="184">
        <v>318265.55</v>
      </c>
      <c r="G45" s="11" t="s">
        <v>68</v>
      </c>
      <c r="H45" s="31">
        <f>C49</f>
        <v>367.1869918699187</v>
      </c>
      <c r="I45" s="31">
        <f>C65</f>
        <v>187.41463414634148</v>
      </c>
      <c r="J45" s="71">
        <f>H45+I45</f>
        <v>554.60162601626018</v>
      </c>
    </row>
    <row r="46" spans="1:18" ht="15.75" thickBot="1" x14ac:dyDescent="0.25">
      <c r="B46" s="185" t="s">
        <v>72</v>
      </c>
      <c r="C46" s="186">
        <v>3956326.92</v>
      </c>
      <c r="D46" s="186">
        <v>84096</v>
      </c>
      <c r="E46" s="186">
        <v>3872230.92</v>
      </c>
      <c r="G46" s="12" t="s">
        <v>69</v>
      </c>
      <c r="H46" s="11">
        <f t="shared" ref="H46:H49" si="13">C50</f>
        <v>8812.3983739837404</v>
      </c>
      <c r="I46" s="11">
        <f t="shared" ref="I46:I49" si="14">C66</f>
        <v>4497.9674796747968</v>
      </c>
      <c r="J46" s="71">
        <f t="shared" ref="J46:J49" si="15">H46+I46</f>
        <v>13310.365853658537</v>
      </c>
    </row>
    <row r="47" spans="1:18" ht="15.75" thickBot="1" x14ac:dyDescent="0.25">
      <c r="G47" s="13" t="s">
        <v>70</v>
      </c>
      <c r="H47" s="31">
        <f t="shared" si="13"/>
        <v>61686.796747967477</v>
      </c>
      <c r="I47" s="31">
        <f t="shared" si="14"/>
        <v>31485.756097560978</v>
      </c>
      <c r="J47" s="71">
        <f t="shared" si="15"/>
        <v>93172.552845528451</v>
      </c>
    </row>
    <row r="48" spans="1:18" ht="15.75" thickBot="1" x14ac:dyDescent="0.3">
      <c r="A48" s="284" t="s">
        <v>95</v>
      </c>
      <c r="B48" s="175" t="s">
        <v>265</v>
      </c>
      <c r="C48" s="176" t="s">
        <v>73</v>
      </c>
      <c r="D48" s="176" t="s">
        <v>66</v>
      </c>
      <c r="E48" s="177" t="s">
        <v>67</v>
      </c>
      <c r="G48" s="13" t="s">
        <v>71</v>
      </c>
      <c r="H48" s="11">
        <f t="shared" si="13"/>
        <v>264371.99186991871</v>
      </c>
      <c r="I48" s="11">
        <f t="shared" si="14"/>
        <v>134938.96747967479</v>
      </c>
      <c r="J48" s="71">
        <f t="shared" si="15"/>
        <v>399310.9593495935</v>
      </c>
    </row>
    <row r="49" spans="1:13" ht="15.75" thickBot="1" x14ac:dyDescent="0.25">
      <c r="A49" s="284"/>
      <c r="B49" s="83" t="s">
        <v>68</v>
      </c>
      <c r="C49" s="35">
        <f>C42/1.23</f>
        <v>367.1869918699187</v>
      </c>
      <c r="D49" s="35">
        <f t="shared" ref="D49:E49" si="16">D42/1.23</f>
        <v>7.8048780487804876</v>
      </c>
      <c r="E49" s="178">
        <f t="shared" si="16"/>
        <v>359.3821138211382</v>
      </c>
      <c r="G49" s="14" t="s">
        <v>72</v>
      </c>
      <c r="H49" s="31">
        <f t="shared" si="13"/>
        <v>3216525.9512195121</v>
      </c>
      <c r="I49" s="31">
        <f t="shared" si="14"/>
        <v>1641757.4390243902</v>
      </c>
      <c r="J49" s="71">
        <f t="shared" si="15"/>
        <v>4858283.3902439028</v>
      </c>
    </row>
    <row r="50" spans="1:13" ht="15" thickBot="1" x14ac:dyDescent="0.25">
      <c r="A50" s="284"/>
      <c r="B50" s="179" t="s">
        <v>69</v>
      </c>
      <c r="C50" s="35">
        <f t="shared" ref="C50:E53" si="17">C43/1.23</f>
        <v>8812.3983739837404</v>
      </c>
      <c r="D50" s="35">
        <f t="shared" si="17"/>
        <v>187.3170731707317</v>
      </c>
      <c r="E50" s="178">
        <f t="shared" si="17"/>
        <v>8625.0813008130081</v>
      </c>
    </row>
    <row r="51" spans="1:13" ht="15" thickBot="1" x14ac:dyDescent="0.25">
      <c r="B51" s="83" t="s">
        <v>70</v>
      </c>
      <c r="C51" s="35">
        <f t="shared" si="17"/>
        <v>61686.796747967477</v>
      </c>
      <c r="D51" s="35">
        <f t="shared" si="17"/>
        <v>1311.219512195122</v>
      </c>
      <c r="E51" s="178">
        <f t="shared" si="17"/>
        <v>60375.577235772362</v>
      </c>
    </row>
    <row r="52" spans="1:13" ht="15.75" thickBot="1" x14ac:dyDescent="0.3">
      <c r="B52" s="83" t="s">
        <v>71</v>
      </c>
      <c r="C52" s="35">
        <f t="shared" si="17"/>
        <v>264371.99186991871</v>
      </c>
      <c r="D52" s="35">
        <f t="shared" si="17"/>
        <v>5619.5121951219517</v>
      </c>
      <c r="E52" s="178">
        <f t="shared" si="17"/>
        <v>258752.47967479675</v>
      </c>
      <c r="G52" s="285" t="s">
        <v>112</v>
      </c>
      <c r="H52" s="286"/>
      <c r="I52" s="286"/>
      <c r="J52" s="287"/>
    </row>
    <row r="53" spans="1:13" ht="15.75" thickBot="1" x14ac:dyDescent="0.3">
      <c r="B53" s="180" t="s">
        <v>72</v>
      </c>
      <c r="C53" s="181">
        <f t="shared" si="17"/>
        <v>3216525.9512195121</v>
      </c>
      <c r="D53" s="181">
        <f t="shared" si="17"/>
        <v>68370.731707317071</v>
      </c>
      <c r="E53" s="182">
        <f t="shared" si="17"/>
        <v>3148155.2195121953</v>
      </c>
      <c r="G53" s="10" t="s">
        <v>64</v>
      </c>
      <c r="H53" s="10" t="s">
        <v>100</v>
      </c>
      <c r="I53" s="10" t="s">
        <v>101</v>
      </c>
      <c r="J53" s="10" t="s">
        <v>102</v>
      </c>
    </row>
    <row r="54" spans="1:13" ht="15.75" thickBot="1" x14ac:dyDescent="0.25">
      <c r="G54" s="11" t="s">
        <v>68</v>
      </c>
      <c r="H54" s="30">
        <f>D49</f>
        <v>7.8048780487804876</v>
      </c>
      <c r="I54" s="30">
        <f>D65</f>
        <v>7.6097560975609753</v>
      </c>
      <c r="J54" s="74">
        <f>H54+I54</f>
        <v>15.414634146341463</v>
      </c>
    </row>
    <row r="55" spans="1:13" ht="15.75" thickBot="1" x14ac:dyDescent="0.25">
      <c r="G55" s="12" t="s">
        <v>69</v>
      </c>
      <c r="H55" s="30">
        <f t="shared" ref="H55:H58" si="18">D50</f>
        <v>187.3170731707317</v>
      </c>
      <c r="I55" s="30">
        <f t="shared" ref="I55:I58" si="19">D66</f>
        <v>182.63414634146341</v>
      </c>
      <c r="J55" s="74">
        <f t="shared" ref="J55:J58" si="20">H55+I55</f>
        <v>369.95121951219511</v>
      </c>
    </row>
    <row r="56" spans="1:13" ht="15.75" thickBot="1" x14ac:dyDescent="0.25">
      <c r="G56" s="13" t="s">
        <v>70</v>
      </c>
      <c r="H56" s="30">
        <f t="shared" si="18"/>
        <v>1311.219512195122</v>
      </c>
      <c r="I56" s="30">
        <f t="shared" si="19"/>
        <v>1278.439024390244</v>
      </c>
      <c r="J56" s="74">
        <f t="shared" si="20"/>
        <v>2589.6585365853662</v>
      </c>
    </row>
    <row r="57" spans="1:13" ht="15.75" thickBot="1" x14ac:dyDescent="0.3">
      <c r="B57" s="169" t="s">
        <v>64</v>
      </c>
      <c r="C57" s="170" t="s">
        <v>74</v>
      </c>
      <c r="D57" s="170" t="s">
        <v>66</v>
      </c>
      <c r="E57" s="170" t="s">
        <v>67</v>
      </c>
      <c r="G57" s="13" t="s">
        <v>71</v>
      </c>
      <c r="H57" s="30">
        <f t="shared" si="18"/>
        <v>5619.5121951219517</v>
      </c>
      <c r="I57" s="30">
        <f t="shared" si="19"/>
        <v>5479.0243902439024</v>
      </c>
      <c r="J57" s="74">
        <f t="shared" si="20"/>
        <v>11098.536585365855</v>
      </c>
    </row>
    <row r="58" spans="1:13" ht="15.75" thickBot="1" x14ac:dyDescent="0.25">
      <c r="B58" s="171" t="s">
        <v>68</v>
      </c>
      <c r="C58" s="172">
        <v>230.52</v>
      </c>
      <c r="D58" s="172">
        <v>9.36</v>
      </c>
      <c r="E58" s="172">
        <v>221.16</v>
      </c>
      <c r="G58" s="14" t="s">
        <v>72</v>
      </c>
      <c r="H58" s="31">
        <f t="shared" si="18"/>
        <v>68370.731707317071</v>
      </c>
      <c r="I58" s="31">
        <f t="shared" si="19"/>
        <v>66661.463414634156</v>
      </c>
      <c r="J58" s="74">
        <f t="shared" si="20"/>
        <v>135032.19512195123</v>
      </c>
    </row>
    <row r="59" spans="1:13" ht="15" thickBot="1" x14ac:dyDescent="0.25">
      <c r="B59" s="173" t="s">
        <v>69</v>
      </c>
      <c r="C59" s="174">
        <v>5532.5</v>
      </c>
      <c r="D59" s="174">
        <v>224.64</v>
      </c>
      <c r="E59" s="174">
        <v>5307.86</v>
      </c>
    </row>
    <row r="60" spans="1:13" ht="15" thickBot="1" x14ac:dyDescent="0.25">
      <c r="B60" s="171" t="s">
        <v>70</v>
      </c>
      <c r="C60" s="172">
        <v>38727.480000000003</v>
      </c>
      <c r="D60" s="172">
        <v>1572.48</v>
      </c>
      <c r="E60" s="172">
        <v>37155</v>
      </c>
    </row>
    <row r="61" spans="1:13" ht="21" thickBot="1" x14ac:dyDescent="0.35">
      <c r="B61" s="171" t="s">
        <v>71</v>
      </c>
      <c r="C61" s="172">
        <v>165974.93</v>
      </c>
      <c r="D61" s="172">
        <v>6739.2</v>
      </c>
      <c r="E61" s="172">
        <v>159235.73000000001</v>
      </c>
      <c r="G61" s="285" t="s">
        <v>103</v>
      </c>
      <c r="H61" s="287"/>
      <c r="I61" s="75">
        <v>0.3</v>
      </c>
      <c r="K61" s="36" t="s">
        <v>113</v>
      </c>
    </row>
    <row r="62" spans="1:13" ht="15.75" thickBot="1" x14ac:dyDescent="0.3">
      <c r="B62" s="171" t="s">
        <v>72</v>
      </c>
      <c r="C62" s="172">
        <v>2019361.65</v>
      </c>
      <c r="D62" s="172">
        <v>81993.600000000006</v>
      </c>
      <c r="E62" s="172">
        <v>1937368.05</v>
      </c>
      <c r="G62" s="10" t="s">
        <v>64</v>
      </c>
      <c r="H62" s="10" t="s">
        <v>104</v>
      </c>
      <c r="I62" s="10" t="s">
        <v>107</v>
      </c>
      <c r="J62" s="10" t="s">
        <v>109</v>
      </c>
      <c r="K62" s="10" t="s">
        <v>104</v>
      </c>
      <c r="L62" s="10" t="s">
        <v>107</v>
      </c>
      <c r="M62" s="10" t="s">
        <v>109</v>
      </c>
    </row>
    <row r="63" spans="1:13" ht="15.75" thickBot="1" x14ac:dyDescent="0.25">
      <c r="G63" s="31" t="s">
        <v>71</v>
      </c>
      <c r="H63" s="76">
        <f>H48*I61</f>
        <v>79311.597560975613</v>
      </c>
      <c r="I63" s="31">
        <f>I61*I48</f>
        <v>40481.690243902434</v>
      </c>
      <c r="J63" s="71">
        <f t="shared" ref="J63" si="21">H63+I63</f>
        <v>119793.28780487805</v>
      </c>
      <c r="K63" s="31">
        <f>H63*10</f>
        <v>793115.97560975607</v>
      </c>
      <c r="L63" s="31">
        <f>I63*10</f>
        <v>404816.90243902436</v>
      </c>
      <c r="M63" s="71">
        <f>J63*10</f>
        <v>1197932.8780487806</v>
      </c>
    </row>
    <row r="64" spans="1:13" ht="20.25" customHeight="1" thickBot="1" x14ac:dyDescent="0.3">
      <c r="A64" s="84" t="s">
        <v>231</v>
      </c>
      <c r="B64" s="175" t="s">
        <v>266</v>
      </c>
      <c r="C64" s="176" t="s">
        <v>75</v>
      </c>
      <c r="D64" s="176" t="s">
        <v>66</v>
      </c>
      <c r="E64" s="177" t="s">
        <v>67</v>
      </c>
      <c r="G64" s="33" t="s">
        <v>110</v>
      </c>
      <c r="H64" s="76">
        <f t="shared" ref="H64:M64" si="22">H63*0.3</f>
        <v>23793.479268292682</v>
      </c>
      <c r="I64" s="31">
        <f t="shared" si="22"/>
        <v>12144.507073170729</v>
      </c>
      <c r="J64" s="72">
        <f t="shared" si="22"/>
        <v>35937.986341463416</v>
      </c>
      <c r="K64" s="31">
        <f t="shared" si="22"/>
        <v>237934.79268292681</v>
      </c>
      <c r="L64" s="31">
        <f t="shared" si="22"/>
        <v>121445.0707317073</v>
      </c>
      <c r="M64" s="72">
        <f t="shared" si="22"/>
        <v>359379.86341463419</v>
      </c>
    </row>
    <row r="65" spans="2:13" ht="19.5" customHeight="1" thickBot="1" x14ac:dyDescent="0.3">
      <c r="B65" s="83" t="s">
        <v>68</v>
      </c>
      <c r="C65" s="35">
        <f>C58/1.23</f>
        <v>187.41463414634148</v>
      </c>
      <c r="D65" s="35">
        <f t="shared" ref="D65:E65" si="23">D58/1.23</f>
        <v>7.6097560975609753</v>
      </c>
      <c r="E65" s="178">
        <f t="shared" si="23"/>
        <v>179.80487804878049</v>
      </c>
      <c r="G65" s="70" t="s">
        <v>111</v>
      </c>
      <c r="H65" s="247">
        <f>H63-H64</f>
        <v>55518.118292682935</v>
      </c>
      <c r="I65" s="35">
        <f t="shared" ref="I65:J65" si="24">I63-I64</f>
        <v>28337.183170731703</v>
      </c>
      <c r="J65" s="73">
        <f t="shared" si="24"/>
        <v>83855.301463414638</v>
      </c>
      <c r="K65" s="35">
        <f>K63-K64</f>
        <v>555181.18292682921</v>
      </c>
      <c r="L65" s="35">
        <f t="shared" ref="L65" si="25">L63-L64</f>
        <v>283371.83170731703</v>
      </c>
      <c r="M65" s="73">
        <f t="shared" ref="M65" si="26">M63-M64</f>
        <v>838553.01463414636</v>
      </c>
    </row>
    <row r="66" spans="2:13" ht="15" thickBot="1" x14ac:dyDescent="0.25">
      <c r="B66" s="179" t="s">
        <v>69</v>
      </c>
      <c r="C66" s="35">
        <f t="shared" ref="C66:E69" si="27">C59/1.23</f>
        <v>4497.9674796747968</v>
      </c>
      <c r="D66" s="35">
        <f t="shared" si="27"/>
        <v>182.63414634146341</v>
      </c>
      <c r="E66" s="178">
        <f t="shared" si="27"/>
        <v>4315.333333333333</v>
      </c>
    </row>
    <row r="67" spans="2:13" ht="15.75" thickBot="1" x14ac:dyDescent="0.3">
      <c r="B67" s="83" t="s">
        <v>70</v>
      </c>
      <c r="C67" s="35">
        <f t="shared" si="27"/>
        <v>31485.756097560978</v>
      </c>
      <c r="D67" s="35">
        <f t="shared" si="27"/>
        <v>1278.439024390244</v>
      </c>
      <c r="E67" s="178">
        <f t="shared" si="27"/>
        <v>30207.317073170732</v>
      </c>
      <c r="G67" s="288" t="s">
        <v>160</v>
      </c>
      <c r="H67" s="288"/>
      <c r="I67" s="288"/>
      <c r="J67" s="288"/>
    </row>
    <row r="68" spans="2:13" ht="15.75" thickBot="1" x14ac:dyDescent="0.3">
      <c r="B68" s="83" t="s">
        <v>71</v>
      </c>
      <c r="C68" s="35">
        <f t="shared" si="27"/>
        <v>134938.96747967479</v>
      </c>
      <c r="D68" s="35">
        <f t="shared" si="27"/>
        <v>5479.0243902439024</v>
      </c>
      <c r="E68" s="178">
        <f t="shared" si="27"/>
        <v>129459.9430894309</v>
      </c>
      <c r="G68" s="34" t="s">
        <v>71</v>
      </c>
      <c r="H68" s="34" t="s">
        <v>106</v>
      </c>
      <c r="I68" s="34" t="s">
        <v>108</v>
      </c>
      <c r="J68" s="34" t="s">
        <v>105</v>
      </c>
    </row>
    <row r="69" spans="2:13" ht="15.75" thickBot="1" x14ac:dyDescent="0.25">
      <c r="B69" s="180" t="s">
        <v>72</v>
      </c>
      <c r="C69" s="181">
        <f t="shared" si="27"/>
        <v>1641757.4390243902</v>
      </c>
      <c r="D69" s="181">
        <f t="shared" si="27"/>
        <v>66661.463414634156</v>
      </c>
      <c r="E69" s="182">
        <f t="shared" si="27"/>
        <v>1575095.9756097561</v>
      </c>
      <c r="G69" s="31" t="s">
        <v>40</v>
      </c>
      <c r="H69" s="30">
        <f>H48-H63</f>
        <v>185060.3943089431</v>
      </c>
      <c r="I69" s="30">
        <f>I48-I63</f>
        <v>94457.277235772344</v>
      </c>
      <c r="J69" s="32">
        <f>H69+I69</f>
        <v>279517.67154471541</v>
      </c>
    </row>
    <row r="70" spans="2:13" ht="15.75" thickBot="1" x14ac:dyDescent="0.25">
      <c r="G70" s="31" t="s">
        <v>41</v>
      </c>
      <c r="H70" s="30">
        <f>H69*2</f>
        <v>370120.7886178862</v>
      </c>
      <c r="I70" s="30">
        <f>I69*2</f>
        <v>188914.55447154469</v>
      </c>
      <c r="J70" s="32">
        <f t="shared" ref="J70:J77" si="28">H70+I70</f>
        <v>559035.34308943083</v>
      </c>
      <c r="K70" s="36">
        <f>185060.39*10</f>
        <v>1850603.9000000001</v>
      </c>
    </row>
    <row r="71" spans="2:13" ht="15.75" thickBot="1" x14ac:dyDescent="0.25">
      <c r="B71" s="84" t="s">
        <v>227</v>
      </c>
      <c r="C71" s="84">
        <f>1.4118495</f>
        <v>1.4118495</v>
      </c>
      <c r="G71" s="31" t="s">
        <v>42</v>
      </c>
      <c r="H71" s="30">
        <f>H70+H69</f>
        <v>555181.18292682932</v>
      </c>
      <c r="I71" s="30">
        <f>I70+I69</f>
        <v>283371.83170731703</v>
      </c>
      <c r="J71" s="32">
        <f t="shared" si="28"/>
        <v>838553.01463414636</v>
      </c>
    </row>
    <row r="72" spans="2:13" ht="15.75" thickBot="1" x14ac:dyDescent="0.25">
      <c r="B72" s="84" t="s">
        <v>228</v>
      </c>
      <c r="C72" s="84">
        <v>1.3181475</v>
      </c>
      <c r="G72" s="31" t="s">
        <v>43</v>
      </c>
      <c r="H72" s="30">
        <f>H71+H69</f>
        <v>740241.57723577239</v>
      </c>
      <c r="I72" s="30">
        <f>I71+I69</f>
        <v>377829.10894308938</v>
      </c>
      <c r="J72" s="32">
        <f t="shared" si="28"/>
        <v>1118070.6861788617</v>
      </c>
      <c r="K72" s="99">
        <f>I69*10</f>
        <v>944572.77235772344</v>
      </c>
    </row>
    <row r="73" spans="2:13" ht="15.75" thickBot="1" x14ac:dyDescent="0.25">
      <c r="G73" s="30" t="s">
        <v>44</v>
      </c>
      <c r="H73" s="30">
        <f>H72+H69</f>
        <v>925301.97154471546</v>
      </c>
      <c r="I73" s="30">
        <f>I72+I69</f>
        <v>472286.38617886172</v>
      </c>
      <c r="J73" s="32">
        <f t="shared" si="28"/>
        <v>1397588.3577235772</v>
      </c>
    </row>
    <row r="74" spans="2:13" ht="15.75" thickBot="1" x14ac:dyDescent="0.25">
      <c r="G74" s="84" t="s">
        <v>46</v>
      </c>
      <c r="H74" s="82">
        <f>H69+H73</f>
        <v>1110362.3658536586</v>
      </c>
      <c r="I74" s="82">
        <f>I69+I73</f>
        <v>566743.66341463407</v>
      </c>
      <c r="J74" s="32">
        <f t="shared" si="28"/>
        <v>1677106.0292682927</v>
      </c>
    </row>
    <row r="75" spans="2:13" ht="15.75" thickBot="1" x14ac:dyDescent="0.25">
      <c r="G75" s="31" t="s">
        <v>45</v>
      </c>
      <c r="H75" s="82">
        <f>H69+H74</f>
        <v>1295422.7601626017</v>
      </c>
      <c r="I75" s="82">
        <f>I69+I74</f>
        <v>661200.94065040641</v>
      </c>
      <c r="J75" s="32">
        <f t="shared" si="28"/>
        <v>1956623.700813008</v>
      </c>
    </row>
    <row r="76" spans="2:13" ht="15.75" thickBot="1" x14ac:dyDescent="0.25">
      <c r="G76" s="31" t="s">
        <v>47</v>
      </c>
      <c r="H76" s="82">
        <f>H69+H75</f>
        <v>1480483.1544715448</v>
      </c>
      <c r="I76" s="82">
        <f>I69+I75</f>
        <v>755658.21788617875</v>
      </c>
      <c r="J76" s="32">
        <f t="shared" si="28"/>
        <v>2236141.3723577233</v>
      </c>
    </row>
    <row r="77" spans="2:13" ht="15.75" thickBot="1" x14ac:dyDescent="0.25">
      <c r="G77" s="31" t="s">
        <v>48</v>
      </c>
      <c r="H77" s="83">
        <f>H69+H76</f>
        <v>1665543.5487804879</v>
      </c>
      <c r="I77" s="83">
        <f>I69+I76</f>
        <v>850115.4951219511</v>
      </c>
      <c r="J77" s="32">
        <f t="shared" si="28"/>
        <v>2515659.0439024391</v>
      </c>
    </row>
    <row r="78" spans="2:13" ht="15.75" thickBot="1" x14ac:dyDescent="0.25">
      <c r="G78" s="31" t="s">
        <v>49</v>
      </c>
      <c r="H78" s="83">
        <f>H69+H77</f>
        <v>1850603.9430894309</v>
      </c>
      <c r="I78" s="83">
        <f>I69+I77</f>
        <v>944572.77235772344</v>
      </c>
      <c r="J78" s="32">
        <f t="shared" ref="J78" si="29">H78+I78</f>
        <v>2795176.7154471544</v>
      </c>
    </row>
    <row r="79" spans="2:13" ht="15.75" thickBot="1" x14ac:dyDescent="0.3">
      <c r="B79" s="285" t="s">
        <v>229</v>
      </c>
      <c r="C79" s="286"/>
      <c r="D79" s="287"/>
      <c r="E79" s="86">
        <v>1000</v>
      </c>
      <c r="G79" s="81"/>
    </row>
    <row r="80" spans="2:13" ht="15.75" thickBot="1" x14ac:dyDescent="0.3">
      <c r="B80" s="285" t="s">
        <v>122</v>
      </c>
      <c r="C80" s="286"/>
      <c r="D80" s="287"/>
    </row>
    <row r="81" spans="1:7" ht="42" customHeight="1" thickBot="1" x14ac:dyDescent="0.25">
      <c r="A81" s="283" t="s">
        <v>174</v>
      </c>
      <c r="B81" s="85" t="s">
        <v>71</v>
      </c>
      <c r="C81" s="85" t="s">
        <v>123</v>
      </c>
      <c r="D81" s="85" t="s">
        <v>124</v>
      </c>
      <c r="E81" s="85" t="s">
        <v>125</v>
      </c>
      <c r="F81" s="85" t="s">
        <v>126</v>
      </c>
      <c r="G81" s="85" t="s">
        <v>10</v>
      </c>
    </row>
    <row r="82" spans="1:7" ht="15.75" thickBot="1" x14ac:dyDescent="0.25">
      <c r="A82" s="283"/>
      <c r="B82" s="76" t="s">
        <v>40</v>
      </c>
      <c r="C82" s="79">
        <v>50</v>
      </c>
      <c r="D82" s="87">
        <f>C82*$E$79</f>
        <v>50000</v>
      </c>
      <c r="E82" s="77">
        <f>(D82/2)*3%</f>
        <v>750</v>
      </c>
      <c r="F82" s="77">
        <f>(D82/2)*1%</f>
        <v>250</v>
      </c>
      <c r="G82" s="78">
        <f>E82+F82</f>
        <v>1000</v>
      </c>
    </row>
    <row r="83" spans="1:7" ht="15.75" thickBot="1" x14ac:dyDescent="0.25">
      <c r="A83" s="283"/>
      <c r="B83" s="76" t="s">
        <v>41</v>
      </c>
      <c r="C83" s="79">
        <f t="shared" ref="C83:C91" si="30">C82*1.2</f>
        <v>60</v>
      </c>
      <c r="D83" s="87">
        <f t="shared" ref="D83:D92" si="31">C83*$E$79</f>
        <v>60000</v>
      </c>
      <c r="E83" s="77">
        <f t="shared" ref="E83:E90" si="32">(D83/2)*3%</f>
        <v>900</v>
      </c>
      <c r="F83" s="77">
        <f t="shared" ref="F83:F92" si="33">(D83/2)*1%</f>
        <v>300</v>
      </c>
      <c r="G83" s="78">
        <f t="shared" ref="G83:G92" si="34">E83+F83</f>
        <v>1200</v>
      </c>
    </row>
    <row r="84" spans="1:7" ht="15.75" thickBot="1" x14ac:dyDescent="0.25">
      <c r="A84" s="283"/>
      <c r="B84" s="76" t="s">
        <v>42</v>
      </c>
      <c r="C84" s="79">
        <f t="shared" si="30"/>
        <v>72</v>
      </c>
      <c r="D84" s="87">
        <f t="shared" si="31"/>
        <v>72000</v>
      </c>
      <c r="E84" s="77">
        <f t="shared" si="32"/>
        <v>1080</v>
      </c>
      <c r="F84" s="77">
        <f t="shared" si="33"/>
        <v>360</v>
      </c>
      <c r="G84" s="78">
        <f t="shared" si="34"/>
        <v>1440</v>
      </c>
    </row>
    <row r="85" spans="1:7" ht="15.75" thickBot="1" x14ac:dyDescent="0.25">
      <c r="A85" s="283"/>
      <c r="B85" s="76" t="s">
        <v>43</v>
      </c>
      <c r="C85" s="79">
        <f t="shared" si="30"/>
        <v>86.399999999999991</v>
      </c>
      <c r="D85" s="87">
        <f t="shared" si="31"/>
        <v>86399.999999999985</v>
      </c>
      <c r="E85" s="77">
        <f t="shared" si="32"/>
        <v>1295.9999999999998</v>
      </c>
      <c r="F85" s="77">
        <f t="shared" si="33"/>
        <v>431.99999999999994</v>
      </c>
      <c r="G85" s="78">
        <f t="shared" si="34"/>
        <v>1727.9999999999998</v>
      </c>
    </row>
    <row r="86" spans="1:7" ht="15.75" thickBot="1" x14ac:dyDescent="0.25">
      <c r="A86" s="283"/>
      <c r="B86" s="76" t="s">
        <v>44</v>
      </c>
      <c r="C86" s="79">
        <f t="shared" si="30"/>
        <v>103.67999999999999</v>
      </c>
      <c r="D86" s="87">
        <f t="shared" si="31"/>
        <v>103679.99999999999</v>
      </c>
      <c r="E86" s="77">
        <f t="shared" si="32"/>
        <v>1555.1999999999998</v>
      </c>
      <c r="F86" s="77">
        <f t="shared" si="33"/>
        <v>518.4</v>
      </c>
      <c r="G86" s="78">
        <f t="shared" si="34"/>
        <v>2073.6</v>
      </c>
    </row>
    <row r="87" spans="1:7" ht="15.75" thickBot="1" x14ac:dyDescent="0.25">
      <c r="A87" s="283"/>
      <c r="B87" s="76" t="s">
        <v>46</v>
      </c>
      <c r="C87" s="79">
        <f t="shared" si="30"/>
        <v>124.41599999999998</v>
      </c>
      <c r="D87" s="87">
        <f t="shared" si="31"/>
        <v>124415.99999999999</v>
      </c>
      <c r="E87" s="77">
        <f t="shared" si="32"/>
        <v>1866.2399999999998</v>
      </c>
      <c r="F87" s="77">
        <f t="shared" si="33"/>
        <v>622.07999999999993</v>
      </c>
      <c r="G87" s="78">
        <f t="shared" si="34"/>
        <v>2488.3199999999997</v>
      </c>
    </row>
    <row r="88" spans="1:7" ht="15.75" thickBot="1" x14ac:dyDescent="0.25">
      <c r="A88" s="283"/>
      <c r="B88" s="76" t="s">
        <v>45</v>
      </c>
      <c r="C88" s="79">
        <f t="shared" si="30"/>
        <v>149.29919999999998</v>
      </c>
      <c r="D88" s="87">
        <f t="shared" si="31"/>
        <v>149299.19999999998</v>
      </c>
      <c r="E88" s="77">
        <f t="shared" si="32"/>
        <v>2239.4879999999998</v>
      </c>
      <c r="F88" s="77">
        <f t="shared" si="33"/>
        <v>746.49599999999998</v>
      </c>
      <c r="G88" s="78">
        <f t="shared" si="34"/>
        <v>2985.9839999999999</v>
      </c>
    </row>
    <row r="89" spans="1:7" ht="15.75" thickBot="1" x14ac:dyDescent="0.25">
      <c r="A89" s="283"/>
      <c r="B89" s="76" t="s">
        <v>47</v>
      </c>
      <c r="C89" s="79">
        <f t="shared" si="30"/>
        <v>179.15903999999998</v>
      </c>
      <c r="D89" s="87">
        <f t="shared" si="31"/>
        <v>179159.03999999998</v>
      </c>
      <c r="E89" s="77">
        <f t="shared" si="32"/>
        <v>2687.3855999999996</v>
      </c>
      <c r="F89" s="77">
        <f t="shared" si="33"/>
        <v>895.79519999999991</v>
      </c>
      <c r="G89" s="78">
        <f t="shared" si="34"/>
        <v>3583.1807999999996</v>
      </c>
    </row>
    <row r="90" spans="1:7" ht="15.75" thickBot="1" x14ac:dyDescent="0.25">
      <c r="A90" s="283"/>
      <c r="B90" s="76" t="s">
        <v>48</v>
      </c>
      <c r="C90" s="79">
        <f t="shared" si="30"/>
        <v>214.99084799999997</v>
      </c>
      <c r="D90" s="87">
        <f t="shared" si="31"/>
        <v>214990.84799999997</v>
      </c>
      <c r="E90" s="77">
        <f t="shared" si="32"/>
        <v>3224.8627199999996</v>
      </c>
      <c r="F90" s="77">
        <f t="shared" si="33"/>
        <v>1074.9542399999998</v>
      </c>
      <c r="G90" s="78">
        <f t="shared" si="34"/>
        <v>4299.8169599999992</v>
      </c>
    </row>
    <row r="91" spans="1:7" ht="15.75" thickBot="1" x14ac:dyDescent="0.25">
      <c r="A91" s="283"/>
      <c r="B91" s="76" t="s">
        <v>49</v>
      </c>
      <c r="C91" s="80">
        <f t="shared" si="30"/>
        <v>257.98901759999995</v>
      </c>
      <c r="D91" s="87">
        <f t="shared" si="31"/>
        <v>257989.01759999996</v>
      </c>
      <c r="E91" s="77">
        <f>(D91/2)*3%</f>
        <v>3869.8352639999994</v>
      </c>
      <c r="F91" s="77">
        <f t="shared" si="33"/>
        <v>1289.9450879999999</v>
      </c>
      <c r="G91" s="78">
        <f t="shared" si="34"/>
        <v>5159.7803519999998</v>
      </c>
    </row>
    <row r="92" spans="1:7" ht="15.75" thickBot="1" x14ac:dyDescent="0.3">
      <c r="A92" s="283"/>
      <c r="B92" s="88" t="s">
        <v>19</v>
      </c>
      <c r="C92" s="89">
        <f>SUM(C82:C91)</f>
        <v>1297.9341055999998</v>
      </c>
      <c r="D92" s="90">
        <f t="shared" si="31"/>
        <v>1297934.1055999999</v>
      </c>
      <c r="E92" s="91">
        <f>(D92/2)*3%</f>
        <v>19469.011583999996</v>
      </c>
      <c r="F92" s="91">
        <f t="shared" si="33"/>
        <v>6489.6705279999996</v>
      </c>
      <c r="G92" s="91">
        <f t="shared" si="34"/>
        <v>25958.682111999995</v>
      </c>
    </row>
    <row r="93" spans="1:7" ht="15" thickBot="1" x14ac:dyDescent="0.25">
      <c r="A93" s="283"/>
    </row>
    <row r="94" spans="1:7" ht="15.75" thickBot="1" x14ac:dyDescent="0.3">
      <c r="A94" s="283"/>
      <c r="B94" s="285" t="s">
        <v>127</v>
      </c>
      <c r="C94" s="286"/>
      <c r="D94" s="287"/>
    </row>
    <row r="95" spans="1:7" ht="30.75" thickBot="1" x14ac:dyDescent="0.25">
      <c r="A95" s="283"/>
      <c r="B95" s="85" t="s">
        <v>71</v>
      </c>
      <c r="C95" s="85" t="s">
        <v>123</v>
      </c>
      <c r="D95" s="85" t="s">
        <v>124</v>
      </c>
      <c r="E95" s="85" t="s">
        <v>125</v>
      </c>
      <c r="F95" s="85" t="s">
        <v>126</v>
      </c>
      <c r="G95" s="85" t="s">
        <v>140</v>
      </c>
    </row>
    <row r="96" spans="1:7" ht="15.75" thickBot="1" x14ac:dyDescent="0.25">
      <c r="A96" s="283"/>
      <c r="B96" s="76" t="s">
        <v>40</v>
      </c>
      <c r="C96" s="79">
        <v>60</v>
      </c>
      <c r="D96" s="87">
        <f>C96*$E$79</f>
        <v>60000</v>
      </c>
      <c r="E96" s="77">
        <f>(D96/2)*3%</f>
        <v>900</v>
      </c>
      <c r="F96" s="77">
        <f>(D96/2)*1%</f>
        <v>300</v>
      </c>
      <c r="G96" s="78">
        <f>E96+F96</f>
        <v>1200</v>
      </c>
    </row>
    <row r="97" spans="1:7" ht="15.75" thickBot="1" x14ac:dyDescent="0.25">
      <c r="A97" s="283"/>
      <c r="B97" s="76" t="s">
        <v>41</v>
      </c>
      <c r="C97" s="79">
        <f t="shared" ref="C97:C105" si="35">C96*1.2</f>
        <v>72</v>
      </c>
      <c r="D97" s="87">
        <f t="shared" ref="D97:D105" si="36">C97*$E$79</f>
        <v>72000</v>
      </c>
      <c r="E97" s="77">
        <f t="shared" ref="E97:E106" si="37">(D97/2)*3%</f>
        <v>1080</v>
      </c>
      <c r="F97" s="77">
        <f t="shared" ref="F97:F106" si="38">(D97/2)*1%</f>
        <v>360</v>
      </c>
      <c r="G97" s="78">
        <f t="shared" ref="G97:G106" si="39">E97+F97</f>
        <v>1440</v>
      </c>
    </row>
    <row r="98" spans="1:7" ht="15.75" thickBot="1" x14ac:dyDescent="0.25">
      <c r="A98" s="283"/>
      <c r="B98" s="76" t="s">
        <v>42</v>
      </c>
      <c r="C98" s="79">
        <f t="shared" si="35"/>
        <v>86.399999999999991</v>
      </c>
      <c r="D98" s="87">
        <f t="shared" si="36"/>
        <v>86399.999999999985</v>
      </c>
      <c r="E98" s="77">
        <f t="shared" si="37"/>
        <v>1295.9999999999998</v>
      </c>
      <c r="F98" s="77">
        <f t="shared" si="38"/>
        <v>431.99999999999994</v>
      </c>
      <c r="G98" s="78">
        <f t="shared" si="39"/>
        <v>1727.9999999999998</v>
      </c>
    </row>
    <row r="99" spans="1:7" ht="15.75" thickBot="1" x14ac:dyDescent="0.25">
      <c r="A99" s="283"/>
      <c r="B99" s="76" t="s">
        <v>43</v>
      </c>
      <c r="C99" s="79">
        <f t="shared" si="35"/>
        <v>103.67999999999999</v>
      </c>
      <c r="D99" s="87">
        <f t="shared" si="36"/>
        <v>103679.99999999999</v>
      </c>
      <c r="E99" s="77">
        <f t="shared" si="37"/>
        <v>1555.1999999999998</v>
      </c>
      <c r="F99" s="77">
        <f t="shared" si="38"/>
        <v>518.4</v>
      </c>
      <c r="G99" s="78">
        <f t="shared" si="39"/>
        <v>2073.6</v>
      </c>
    </row>
    <row r="100" spans="1:7" ht="15.75" thickBot="1" x14ac:dyDescent="0.25">
      <c r="A100" s="283"/>
      <c r="B100" s="76" t="s">
        <v>44</v>
      </c>
      <c r="C100" s="79">
        <f t="shared" si="35"/>
        <v>124.41599999999998</v>
      </c>
      <c r="D100" s="87">
        <f t="shared" si="36"/>
        <v>124415.99999999999</v>
      </c>
      <c r="E100" s="77">
        <f t="shared" si="37"/>
        <v>1866.2399999999998</v>
      </c>
      <c r="F100" s="77">
        <f t="shared" si="38"/>
        <v>622.07999999999993</v>
      </c>
      <c r="G100" s="78">
        <f t="shared" si="39"/>
        <v>2488.3199999999997</v>
      </c>
    </row>
    <row r="101" spans="1:7" ht="15.75" thickBot="1" x14ac:dyDescent="0.25">
      <c r="A101" s="283"/>
      <c r="B101" s="76" t="s">
        <v>46</v>
      </c>
      <c r="C101" s="79">
        <f t="shared" si="35"/>
        <v>149.29919999999998</v>
      </c>
      <c r="D101" s="87">
        <f t="shared" si="36"/>
        <v>149299.19999999998</v>
      </c>
      <c r="E101" s="77">
        <f t="shared" si="37"/>
        <v>2239.4879999999998</v>
      </c>
      <c r="F101" s="77">
        <f t="shared" si="38"/>
        <v>746.49599999999998</v>
      </c>
      <c r="G101" s="78">
        <f t="shared" si="39"/>
        <v>2985.9839999999999</v>
      </c>
    </row>
    <row r="102" spans="1:7" ht="15.75" thickBot="1" x14ac:dyDescent="0.25">
      <c r="A102" s="283"/>
      <c r="B102" s="76" t="s">
        <v>45</v>
      </c>
      <c r="C102" s="79">
        <f t="shared" si="35"/>
        <v>179.15903999999998</v>
      </c>
      <c r="D102" s="87">
        <f t="shared" si="36"/>
        <v>179159.03999999998</v>
      </c>
      <c r="E102" s="77">
        <f t="shared" si="37"/>
        <v>2687.3855999999996</v>
      </c>
      <c r="F102" s="77">
        <f t="shared" si="38"/>
        <v>895.79519999999991</v>
      </c>
      <c r="G102" s="78">
        <f t="shared" si="39"/>
        <v>3583.1807999999996</v>
      </c>
    </row>
    <row r="103" spans="1:7" ht="15.75" thickBot="1" x14ac:dyDescent="0.25">
      <c r="A103" s="283"/>
      <c r="B103" s="76" t="s">
        <v>47</v>
      </c>
      <c r="C103" s="79">
        <f t="shared" si="35"/>
        <v>214.99084799999997</v>
      </c>
      <c r="D103" s="87">
        <f t="shared" si="36"/>
        <v>214990.84799999997</v>
      </c>
      <c r="E103" s="77">
        <f t="shared" si="37"/>
        <v>3224.8627199999996</v>
      </c>
      <c r="F103" s="77">
        <f t="shared" si="38"/>
        <v>1074.9542399999998</v>
      </c>
      <c r="G103" s="78">
        <f t="shared" si="39"/>
        <v>4299.8169599999992</v>
      </c>
    </row>
    <row r="104" spans="1:7" ht="15.75" thickBot="1" x14ac:dyDescent="0.25">
      <c r="A104" s="283"/>
      <c r="B104" s="76" t="s">
        <v>48</v>
      </c>
      <c r="C104" s="79">
        <f t="shared" si="35"/>
        <v>257.98901759999995</v>
      </c>
      <c r="D104" s="87">
        <f t="shared" si="36"/>
        <v>257989.01759999996</v>
      </c>
      <c r="E104" s="77">
        <f t="shared" si="37"/>
        <v>3869.8352639999994</v>
      </c>
      <c r="F104" s="77">
        <f t="shared" si="38"/>
        <v>1289.9450879999999</v>
      </c>
      <c r="G104" s="78">
        <f t="shared" si="39"/>
        <v>5159.7803519999998</v>
      </c>
    </row>
    <row r="105" spans="1:7" ht="15.75" thickBot="1" x14ac:dyDescent="0.25">
      <c r="A105" s="283"/>
      <c r="B105" s="76" t="s">
        <v>49</v>
      </c>
      <c r="C105" s="80">
        <f t="shared" si="35"/>
        <v>309.58682111999991</v>
      </c>
      <c r="D105" s="87">
        <f t="shared" si="36"/>
        <v>309586.82111999992</v>
      </c>
      <c r="E105" s="77">
        <f t="shared" si="37"/>
        <v>4643.8023167999991</v>
      </c>
      <c r="F105" s="77">
        <f t="shared" si="38"/>
        <v>1547.9341055999996</v>
      </c>
      <c r="G105" s="78">
        <f t="shared" si="39"/>
        <v>6191.7364223999984</v>
      </c>
    </row>
    <row r="106" spans="1:7" ht="15.75" thickBot="1" x14ac:dyDescent="0.3">
      <c r="A106" s="283"/>
      <c r="B106" s="88" t="s">
        <v>19</v>
      </c>
      <c r="C106" s="89">
        <f>SUM(C96:C105)</f>
        <v>1557.5209267199998</v>
      </c>
      <c r="D106" s="90">
        <f>C106*$E$79</f>
        <v>1557520.9267199999</v>
      </c>
      <c r="E106" s="91">
        <f t="shared" si="37"/>
        <v>23362.813900799996</v>
      </c>
      <c r="F106" s="91">
        <f t="shared" si="38"/>
        <v>7787.6046335999999</v>
      </c>
      <c r="G106" s="91">
        <f t="shared" si="39"/>
        <v>31150.418534399996</v>
      </c>
    </row>
    <row r="107" spans="1:7" ht="15" thickBot="1" x14ac:dyDescent="0.25"/>
    <row r="108" spans="1:7" ht="15.75" thickBot="1" x14ac:dyDescent="0.3">
      <c r="B108" s="285" t="s">
        <v>122</v>
      </c>
      <c r="C108" s="286"/>
      <c r="D108" s="287"/>
    </row>
    <row r="109" spans="1:7" ht="30.75" thickBot="1" x14ac:dyDescent="0.25">
      <c r="A109" s="283" t="s">
        <v>173</v>
      </c>
      <c r="B109" s="85" t="s">
        <v>71</v>
      </c>
      <c r="C109" s="85" t="s">
        <v>123</v>
      </c>
      <c r="D109" s="85" t="s">
        <v>124</v>
      </c>
      <c r="E109" s="85" t="s">
        <v>169</v>
      </c>
      <c r="F109" s="85" t="s">
        <v>10</v>
      </c>
    </row>
    <row r="110" spans="1:7" ht="15.75" thickBot="1" x14ac:dyDescent="0.25">
      <c r="A110" s="283"/>
      <c r="B110" s="76" t="s">
        <v>40</v>
      </c>
      <c r="C110" s="79">
        <v>45</v>
      </c>
      <c r="D110" s="87">
        <f>C110*$E$79</f>
        <v>45000</v>
      </c>
      <c r="E110" s="77">
        <f>D110*0.02</f>
        <v>900</v>
      </c>
      <c r="F110" s="78">
        <f>E110</f>
        <v>900</v>
      </c>
    </row>
    <row r="111" spans="1:7" ht="15.75" thickBot="1" x14ac:dyDescent="0.25">
      <c r="A111" s="283"/>
      <c r="B111" s="76" t="s">
        <v>41</v>
      </c>
      <c r="C111" s="79">
        <f t="shared" ref="C111:C119" si="40">C110*1.2</f>
        <v>54</v>
      </c>
      <c r="D111" s="87">
        <f t="shared" ref="D111:D120" si="41">C111*$E$79</f>
        <v>54000</v>
      </c>
      <c r="E111" s="77">
        <f t="shared" ref="E111:E119" si="42">D111*0.02</f>
        <v>1080</v>
      </c>
      <c r="F111" s="78">
        <f t="shared" ref="F111:F120" si="43">E111</f>
        <v>1080</v>
      </c>
    </row>
    <row r="112" spans="1:7" ht="15.75" thickBot="1" x14ac:dyDescent="0.25">
      <c r="A112" s="283"/>
      <c r="B112" s="76" t="s">
        <v>42</v>
      </c>
      <c r="C112" s="79">
        <f t="shared" si="40"/>
        <v>64.8</v>
      </c>
      <c r="D112" s="87">
        <f t="shared" si="41"/>
        <v>64800</v>
      </c>
      <c r="E112" s="77">
        <f t="shared" si="42"/>
        <v>1296</v>
      </c>
      <c r="F112" s="78">
        <f t="shared" si="43"/>
        <v>1296</v>
      </c>
    </row>
    <row r="113" spans="1:6" ht="15.75" thickBot="1" x14ac:dyDescent="0.25">
      <c r="A113" s="283"/>
      <c r="B113" s="76" t="s">
        <v>43</v>
      </c>
      <c r="C113" s="79">
        <f t="shared" si="40"/>
        <v>77.759999999999991</v>
      </c>
      <c r="D113" s="87">
        <f t="shared" si="41"/>
        <v>77759.999999999985</v>
      </c>
      <c r="E113" s="77">
        <f t="shared" si="42"/>
        <v>1555.1999999999998</v>
      </c>
      <c r="F113" s="78">
        <f t="shared" si="43"/>
        <v>1555.1999999999998</v>
      </c>
    </row>
    <row r="114" spans="1:6" ht="15.75" thickBot="1" x14ac:dyDescent="0.25">
      <c r="A114" s="283"/>
      <c r="B114" s="76" t="s">
        <v>44</v>
      </c>
      <c r="C114" s="79">
        <f t="shared" si="40"/>
        <v>93.311999999999983</v>
      </c>
      <c r="D114" s="87">
        <f t="shared" si="41"/>
        <v>93311.999999999985</v>
      </c>
      <c r="E114" s="77">
        <f t="shared" si="42"/>
        <v>1866.2399999999998</v>
      </c>
      <c r="F114" s="78">
        <f t="shared" si="43"/>
        <v>1866.2399999999998</v>
      </c>
    </row>
    <row r="115" spans="1:6" ht="15.75" thickBot="1" x14ac:dyDescent="0.25">
      <c r="A115" s="283"/>
      <c r="B115" s="76" t="s">
        <v>46</v>
      </c>
      <c r="C115" s="79">
        <f t="shared" si="40"/>
        <v>111.97439999999997</v>
      </c>
      <c r="D115" s="87">
        <f t="shared" si="41"/>
        <v>111974.39999999998</v>
      </c>
      <c r="E115" s="77">
        <f t="shared" si="42"/>
        <v>2239.4879999999998</v>
      </c>
      <c r="F115" s="78">
        <f t="shared" si="43"/>
        <v>2239.4879999999998</v>
      </c>
    </row>
    <row r="116" spans="1:6" ht="15.75" thickBot="1" x14ac:dyDescent="0.25">
      <c r="A116" s="283"/>
      <c r="B116" s="76" t="s">
        <v>45</v>
      </c>
      <c r="C116" s="79">
        <f t="shared" si="40"/>
        <v>134.36927999999997</v>
      </c>
      <c r="D116" s="87">
        <f t="shared" si="41"/>
        <v>134369.27999999997</v>
      </c>
      <c r="E116" s="77">
        <f t="shared" si="42"/>
        <v>2687.3855999999996</v>
      </c>
      <c r="F116" s="78">
        <f t="shared" si="43"/>
        <v>2687.3855999999996</v>
      </c>
    </row>
    <row r="117" spans="1:6" ht="15.75" thickBot="1" x14ac:dyDescent="0.25">
      <c r="A117" s="283"/>
      <c r="B117" s="76" t="s">
        <v>47</v>
      </c>
      <c r="C117" s="79">
        <f t="shared" si="40"/>
        <v>161.24313599999996</v>
      </c>
      <c r="D117" s="87">
        <f t="shared" si="41"/>
        <v>161243.13599999997</v>
      </c>
      <c r="E117" s="77">
        <f t="shared" si="42"/>
        <v>3224.8627199999996</v>
      </c>
      <c r="F117" s="78">
        <f t="shared" si="43"/>
        <v>3224.8627199999996</v>
      </c>
    </row>
    <row r="118" spans="1:6" ht="15.75" thickBot="1" x14ac:dyDescent="0.25">
      <c r="A118" s="283"/>
      <c r="B118" s="76" t="s">
        <v>48</v>
      </c>
      <c r="C118" s="79">
        <f t="shared" si="40"/>
        <v>193.49176319999995</v>
      </c>
      <c r="D118" s="87">
        <f t="shared" si="41"/>
        <v>193491.76319999996</v>
      </c>
      <c r="E118" s="77">
        <f t="shared" si="42"/>
        <v>3869.8352639999994</v>
      </c>
      <c r="F118" s="78">
        <f t="shared" si="43"/>
        <v>3869.8352639999994</v>
      </c>
    </row>
    <row r="119" spans="1:6" ht="15.75" thickBot="1" x14ac:dyDescent="0.25">
      <c r="A119" s="283"/>
      <c r="B119" s="76" t="s">
        <v>49</v>
      </c>
      <c r="C119" s="80">
        <f t="shared" si="40"/>
        <v>232.19011583999992</v>
      </c>
      <c r="D119" s="87">
        <f t="shared" si="41"/>
        <v>232190.11583999993</v>
      </c>
      <c r="E119" s="77">
        <f t="shared" si="42"/>
        <v>4643.8023167999991</v>
      </c>
      <c r="F119" s="78">
        <f t="shared" si="43"/>
        <v>4643.8023167999991</v>
      </c>
    </row>
    <row r="120" spans="1:6" ht="15.75" thickBot="1" x14ac:dyDescent="0.3">
      <c r="A120" s="283"/>
      <c r="B120" s="88" t="s">
        <v>19</v>
      </c>
      <c r="C120" s="89">
        <f>SUM(C110:C119)</f>
        <v>1168.1406950399996</v>
      </c>
      <c r="D120" s="90">
        <f t="shared" si="41"/>
        <v>1168140.6950399997</v>
      </c>
      <c r="E120" s="91">
        <f>D120*0.02</f>
        <v>23362.813900799993</v>
      </c>
      <c r="F120" s="91">
        <f t="shared" si="43"/>
        <v>23362.813900799993</v>
      </c>
    </row>
    <row r="121" spans="1:6" ht="15.75" customHeight="1" thickBot="1" x14ac:dyDescent="0.3">
      <c r="A121" s="283"/>
      <c r="B121" s="188"/>
      <c r="C121" s="189"/>
    </row>
    <row r="122" spans="1:6" ht="15.75" customHeight="1" thickBot="1" x14ac:dyDescent="0.3">
      <c r="A122" s="283"/>
      <c r="B122" s="285" t="s">
        <v>127</v>
      </c>
      <c r="C122" s="286"/>
      <c r="D122" s="287"/>
    </row>
    <row r="123" spans="1:6" ht="30.75" thickBot="1" x14ac:dyDescent="0.25">
      <c r="A123" s="283"/>
      <c r="B123" s="85" t="s">
        <v>71</v>
      </c>
      <c r="C123" s="85" t="s">
        <v>123</v>
      </c>
      <c r="D123" s="85" t="s">
        <v>124</v>
      </c>
      <c r="E123" s="85" t="s">
        <v>169</v>
      </c>
      <c r="F123" s="85" t="s">
        <v>140</v>
      </c>
    </row>
    <row r="124" spans="1:6" ht="15.75" thickBot="1" x14ac:dyDescent="0.25">
      <c r="A124" s="283"/>
      <c r="B124" s="76" t="s">
        <v>40</v>
      </c>
      <c r="C124" s="79">
        <v>50</v>
      </c>
      <c r="D124" s="87">
        <f>C124*$E$79</f>
        <v>50000</v>
      </c>
      <c r="E124" s="77">
        <f>D124*2%</f>
        <v>1000</v>
      </c>
      <c r="F124" s="78">
        <f>E124</f>
        <v>1000</v>
      </c>
    </row>
    <row r="125" spans="1:6" ht="15.75" thickBot="1" x14ac:dyDescent="0.25">
      <c r="A125" s="283"/>
      <c r="B125" s="76" t="s">
        <v>41</v>
      </c>
      <c r="C125" s="79">
        <f t="shared" ref="C125:C133" si="44">C124*1.2</f>
        <v>60</v>
      </c>
      <c r="D125" s="87">
        <f t="shared" ref="D125:D134" si="45">C125*$E$79</f>
        <v>60000</v>
      </c>
      <c r="E125" s="77">
        <f t="shared" ref="E125:E134" si="46">D125*2%</f>
        <v>1200</v>
      </c>
      <c r="F125" s="78">
        <f t="shared" ref="F125:F134" si="47">E125</f>
        <v>1200</v>
      </c>
    </row>
    <row r="126" spans="1:6" ht="15.75" thickBot="1" x14ac:dyDescent="0.25">
      <c r="A126" s="283"/>
      <c r="B126" s="76" t="s">
        <v>42</v>
      </c>
      <c r="C126" s="79">
        <f t="shared" si="44"/>
        <v>72</v>
      </c>
      <c r="D126" s="87">
        <f>C126*$E$79</f>
        <v>72000</v>
      </c>
      <c r="E126" s="77">
        <f t="shared" si="46"/>
        <v>1440</v>
      </c>
      <c r="F126" s="78">
        <f t="shared" si="47"/>
        <v>1440</v>
      </c>
    </row>
    <row r="127" spans="1:6" ht="15.75" thickBot="1" x14ac:dyDescent="0.25">
      <c r="A127" s="283"/>
      <c r="B127" s="76" t="s">
        <v>43</v>
      </c>
      <c r="C127" s="79">
        <f t="shared" si="44"/>
        <v>86.399999999999991</v>
      </c>
      <c r="D127" s="87">
        <f t="shared" si="45"/>
        <v>86399.999999999985</v>
      </c>
      <c r="E127" s="77">
        <f t="shared" si="46"/>
        <v>1727.9999999999998</v>
      </c>
      <c r="F127" s="78">
        <f t="shared" si="47"/>
        <v>1727.9999999999998</v>
      </c>
    </row>
    <row r="128" spans="1:6" ht="15.75" thickBot="1" x14ac:dyDescent="0.25">
      <c r="A128" s="283"/>
      <c r="B128" s="76" t="s">
        <v>44</v>
      </c>
      <c r="C128" s="79">
        <f t="shared" si="44"/>
        <v>103.67999999999999</v>
      </c>
      <c r="D128" s="87">
        <f t="shared" si="45"/>
        <v>103679.99999999999</v>
      </c>
      <c r="E128" s="77">
        <f t="shared" si="46"/>
        <v>2073.6</v>
      </c>
      <c r="F128" s="78">
        <f t="shared" si="47"/>
        <v>2073.6</v>
      </c>
    </row>
    <row r="129" spans="1:6" ht="15.75" thickBot="1" x14ac:dyDescent="0.25">
      <c r="A129" s="283"/>
      <c r="B129" s="76" t="s">
        <v>46</v>
      </c>
      <c r="C129" s="79">
        <f t="shared" si="44"/>
        <v>124.41599999999998</v>
      </c>
      <c r="D129" s="87">
        <f t="shared" si="45"/>
        <v>124415.99999999999</v>
      </c>
      <c r="E129" s="77">
        <f t="shared" si="46"/>
        <v>2488.3199999999997</v>
      </c>
      <c r="F129" s="78">
        <f t="shared" si="47"/>
        <v>2488.3199999999997</v>
      </c>
    </row>
    <row r="130" spans="1:6" ht="15.75" thickBot="1" x14ac:dyDescent="0.25">
      <c r="A130" s="283"/>
      <c r="B130" s="76" t="s">
        <v>45</v>
      </c>
      <c r="C130" s="79">
        <f t="shared" si="44"/>
        <v>149.29919999999998</v>
      </c>
      <c r="D130" s="87">
        <f t="shared" si="45"/>
        <v>149299.19999999998</v>
      </c>
      <c r="E130" s="77">
        <f t="shared" si="46"/>
        <v>2985.9839999999999</v>
      </c>
      <c r="F130" s="78">
        <f t="shared" si="47"/>
        <v>2985.9839999999999</v>
      </c>
    </row>
    <row r="131" spans="1:6" ht="15.75" thickBot="1" x14ac:dyDescent="0.25">
      <c r="A131" s="283"/>
      <c r="B131" s="76" t="s">
        <v>47</v>
      </c>
      <c r="C131" s="79">
        <f t="shared" si="44"/>
        <v>179.15903999999998</v>
      </c>
      <c r="D131" s="87">
        <f t="shared" si="45"/>
        <v>179159.03999999998</v>
      </c>
      <c r="E131" s="77">
        <f t="shared" si="46"/>
        <v>3583.1807999999996</v>
      </c>
      <c r="F131" s="78">
        <f t="shared" si="47"/>
        <v>3583.1807999999996</v>
      </c>
    </row>
    <row r="132" spans="1:6" ht="15.75" thickBot="1" x14ac:dyDescent="0.25">
      <c r="A132" s="283"/>
      <c r="B132" s="76" t="s">
        <v>48</v>
      </c>
      <c r="C132" s="79">
        <f t="shared" si="44"/>
        <v>214.99084799999997</v>
      </c>
      <c r="D132" s="87">
        <f t="shared" si="45"/>
        <v>214990.84799999997</v>
      </c>
      <c r="E132" s="77">
        <f t="shared" si="46"/>
        <v>4299.8169599999992</v>
      </c>
      <c r="F132" s="78">
        <f t="shared" si="47"/>
        <v>4299.8169599999992</v>
      </c>
    </row>
    <row r="133" spans="1:6" ht="15.75" thickBot="1" x14ac:dyDescent="0.25">
      <c r="A133" s="283"/>
      <c r="B133" s="76" t="s">
        <v>49</v>
      </c>
      <c r="C133" s="80">
        <f t="shared" si="44"/>
        <v>257.98901759999995</v>
      </c>
      <c r="D133" s="87">
        <f t="shared" si="45"/>
        <v>257989.01759999996</v>
      </c>
      <c r="E133" s="77">
        <f t="shared" si="46"/>
        <v>5159.7803519999998</v>
      </c>
      <c r="F133" s="78">
        <f t="shared" si="47"/>
        <v>5159.7803519999998</v>
      </c>
    </row>
    <row r="134" spans="1:6" ht="15.75" thickBot="1" x14ac:dyDescent="0.3">
      <c r="A134" s="283"/>
      <c r="B134" s="88" t="s">
        <v>19</v>
      </c>
      <c r="C134" s="89">
        <f>SUM(C124:C133)</f>
        <v>1297.9341055999998</v>
      </c>
      <c r="D134" s="90">
        <f t="shared" si="45"/>
        <v>1297934.1055999999</v>
      </c>
      <c r="E134" s="91">
        <f t="shared" si="46"/>
        <v>25958.682111999999</v>
      </c>
      <c r="F134" s="91">
        <f t="shared" si="47"/>
        <v>25958.682111999999</v>
      </c>
    </row>
  </sheetData>
  <mergeCells count="12">
    <mergeCell ref="G43:J43"/>
    <mergeCell ref="G52:J52"/>
    <mergeCell ref="G61:H61"/>
    <mergeCell ref="B79:D79"/>
    <mergeCell ref="B80:D80"/>
    <mergeCell ref="G67:J67"/>
    <mergeCell ref="A81:A106"/>
    <mergeCell ref="A109:A134"/>
    <mergeCell ref="A48:A50"/>
    <mergeCell ref="B94:D94"/>
    <mergeCell ref="B108:D108"/>
    <mergeCell ref="B122:D122"/>
  </mergeCells>
  <pageMargins left="0.70866141732283472" right="0.70866141732283472" top="0.74803149606299213" bottom="0.74803149606299213" header="0.31496062992125984" footer="0.31496062992125984"/>
  <pageSetup paperSize="9" scale="23" orientation="portrait" horizontalDpi="0" verticalDpi="0" r:id="rId1"/>
  <drawing r:id="rId2"/>
  <legacy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8BC-7C64-46FE-B4BF-FF070F2C8A17}">
  <dimension ref="A1:I28"/>
  <sheetViews>
    <sheetView workbookViewId="0">
      <selection activeCell="F4" sqref="F4"/>
    </sheetView>
  </sheetViews>
  <sheetFormatPr baseColWidth="10" defaultRowHeight="15" x14ac:dyDescent="0.25"/>
  <cols>
    <col min="2" max="2" width="12.5703125" bestFit="1" customWidth="1"/>
    <col min="3" max="3" width="22.85546875" bestFit="1" customWidth="1"/>
    <col min="4" max="4" width="18.42578125" customWidth="1"/>
    <col min="5" max="5" width="24.7109375" customWidth="1"/>
    <col min="6" max="6" width="18.7109375" customWidth="1"/>
    <col min="7" max="7" width="22.85546875" bestFit="1" customWidth="1"/>
    <col min="9" max="9" width="14.28515625" bestFit="1" customWidth="1"/>
  </cols>
  <sheetData>
    <row r="1" spans="1:9" ht="15.75" thickBot="1" x14ac:dyDescent="0.3"/>
    <row r="2" spans="1:9" ht="15.75" thickBot="1" x14ac:dyDescent="0.3">
      <c r="A2" s="289" t="s">
        <v>234</v>
      </c>
      <c r="B2" s="289"/>
      <c r="C2" s="289"/>
    </row>
    <row r="3" spans="1:9" ht="15.75" thickBot="1" x14ac:dyDescent="0.3">
      <c r="A3" s="289"/>
      <c r="B3" s="289"/>
      <c r="C3" s="289"/>
    </row>
    <row r="8" spans="1:9" x14ac:dyDescent="0.25">
      <c r="B8" s="9" t="s">
        <v>81</v>
      </c>
      <c r="C8" s="15" t="s">
        <v>82</v>
      </c>
      <c r="D8" s="16" t="s">
        <v>83</v>
      </c>
      <c r="E8" s="16" t="s">
        <v>84</v>
      </c>
      <c r="F8" s="16" t="s">
        <v>85</v>
      </c>
      <c r="G8" s="17" t="s">
        <v>86</v>
      </c>
    </row>
    <row r="9" spans="1:9" x14ac:dyDescent="0.25">
      <c r="B9" s="18" t="s">
        <v>87</v>
      </c>
      <c r="C9" s="206">
        <v>7000</v>
      </c>
      <c r="D9" s="207">
        <v>2500</v>
      </c>
      <c r="E9" s="208">
        <v>1500</v>
      </c>
      <c r="F9" s="207">
        <v>4000</v>
      </c>
      <c r="G9" s="209">
        <v>2000</v>
      </c>
    </row>
    <row r="10" spans="1:9" x14ac:dyDescent="0.25">
      <c r="B10" s="18" t="s">
        <v>88</v>
      </c>
      <c r="C10" s="206">
        <v>10000</v>
      </c>
      <c r="D10" s="207">
        <v>3550</v>
      </c>
      <c r="E10" s="208">
        <v>1908</v>
      </c>
      <c r="F10" s="207">
        <v>5656</v>
      </c>
      <c r="G10" s="209">
        <v>2630</v>
      </c>
    </row>
    <row r="11" spans="1:9" x14ac:dyDescent="0.25">
      <c r="B11" s="8" t="s">
        <v>89</v>
      </c>
      <c r="C11" s="210">
        <f>12*C10</f>
        <v>120000</v>
      </c>
      <c r="D11" s="211">
        <f>D10*12</f>
        <v>42600</v>
      </c>
      <c r="E11" s="212">
        <f>E10*12</f>
        <v>22896</v>
      </c>
      <c r="F11" s="211">
        <f>12*F10</f>
        <v>67872</v>
      </c>
      <c r="G11" s="213">
        <f>12*G10</f>
        <v>31560</v>
      </c>
      <c r="I11" s="6">
        <f>SUM(C11:G11)</f>
        <v>284928</v>
      </c>
    </row>
    <row r="12" spans="1:9" ht="15.75" thickBot="1" x14ac:dyDescent="0.3">
      <c r="C12" s="214"/>
      <c r="D12" s="214"/>
      <c r="E12" s="214"/>
      <c r="F12" s="214"/>
      <c r="G12" s="214"/>
    </row>
    <row r="13" spans="1:9" ht="15.75" thickBot="1" x14ac:dyDescent="0.3">
      <c r="B13" s="187" t="s">
        <v>94</v>
      </c>
      <c r="C13" s="215">
        <f>C10-C9</f>
        <v>3000</v>
      </c>
      <c r="D13" s="215">
        <f t="shared" ref="D13:G13" si="0">D10-D9</f>
        <v>1050</v>
      </c>
      <c r="E13" s="215">
        <f t="shared" si="0"/>
        <v>408</v>
      </c>
      <c r="F13" s="215">
        <f t="shared" si="0"/>
        <v>1656</v>
      </c>
      <c r="G13" s="216">
        <f t="shared" si="0"/>
        <v>630</v>
      </c>
      <c r="I13" s="6"/>
    </row>
    <row r="15" spans="1:9" x14ac:dyDescent="0.25">
      <c r="D15" s="7"/>
    </row>
    <row r="19" spans="3:8" x14ac:dyDescent="0.25">
      <c r="D19" s="7"/>
    </row>
    <row r="20" spans="3:8" x14ac:dyDescent="0.25">
      <c r="H20" s="6"/>
    </row>
    <row r="21" spans="3:8" ht="15.75" thickBot="1" x14ac:dyDescent="0.3"/>
    <row r="22" spans="3:8" ht="15.75" thickBot="1" x14ac:dyDescent="0.3">
      <c r="C22" s="19" t="s">
        <v>90</v>
      </c>
      <c r="D22" s="20" t="s">
        <v>87</v>
      </c>
      <c r="E22" s="21" t="s">
        <v>91</v>
      </c>
      <c r="F22" s="22" t="s">
        <v>92</v>
      </c>
    </row>
    <row r="23" spans="3:8" x14ac:dyDescent="0.25">
      <c r="C23" s="23" t="s">
        <v>82</v>
      </c>
      <c r="D23" s="24">
        <f>C9</f>
        <v>7000</v>
      </c>
      <c r="E23" s="25">
        <v>10000</v>
      </c>
      <c r="F23" s="24">
        <f>E23*12</f>
        <v>120000</v>
      </c>
    </row>
    <row r="24" spans="3:8" x14ac:dyDescent="0.25">
      <c r="C24" s="23" t="s">
        <v>93</v>
      </c>
      <c r="D24" s="24">
        <v>4000</v>
      </c>
      <c r="E24" s="25">
        <v>5656</v>
      </c>
      <c r="F24" s="24">
        <f t="shared" ref="F24:F27" si="1">E24*12</f>
        <v>67872</v>
      </c>
    </row>
    <row r="25" spans="3:8" x14ac:dyDescent="0.25">
      <c r="C25" s="23" t="s">
        <v>83</v>
      </c>
      <c r="D25" s="24">
        <v>2500</v>
      </c>
      <c r="E25" s="25">
        <v>3550</v>
      </c>
      <c r="F25" s="24">
        <f t="shared" si="1"/>
        <v>42600</v>
      </c>
    </row>
    <row r="26" spans="3:8" x14ac:dyDescent="0.25">
      <c r="C26" s="23" t="s">
        <v>84</v>
      </c>
      <c r="D26" s="24">
        <v>1500</v>
      </c>
      <c r="E26" s="25">
        <v>1908</v>
      </c>
      <c r="F26" s="24">
        <f t="shared" si="1"/>
        <v>22896</v>
      </c>
    </row>
    <row r="27" spans="3:8" ht="15.75" thickBot="1" x14ac:dyDescent="0.3">
      <c r="C27" s="23" t="s">
        <v>86</v>
      </c>
      <c r="D27" s="24">
        <v>2000</v>
      </c>
      <c r="E27" s="25">
        <v>2630</v>
      </c>
      <c r="F27" s="24">
        <f t="shared" si="1"/>
        <v>31560</v>
      </c>
    </row>
    <row r="28" spans="3:8" ht="15.75" thickBot="1" x14ac:dyDescent="0.3">
      <c r="C28" s="26"/>
      <c r="D28" s="27" t="s">
        <v>19</v>
      </c>
      <c r="E28" s="28">
        <f>SUM(E23:E27)</f>
        <v>23744</v>
      </c>
      <c r="F28" s="29">
        <f>SUM(F23:F27)</f>
        <v>284928</v>
      </c>
    </row>
  </sheetData>
  <mergeCells count="1">
    <mergeCell ref="A2:C3"/>
  </mergeCells>
  <pageMargins left="0.7" right="0.7" top="0.75" bottom="0.75" header="0.3" footer="0.3"/>
  <pageSetup paperSize="9" orientation="portrait" horizontalDpi="0" verticalDpi="0"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E0081-9304-46C0-A87F-36CA7692B668}">
  <dimension ref="A1:Q27"/>
  <sheetViews>
    <sheetView topLeftCell="A10" workbookViewId="0">
      <selection activeCell="E24" sqref="E24"/>
    </sheetView>
  </sheetViews>
  <sheetFormatPr baseColWidth="10" defaultColWidth="11.42578125" defaultRowHeight="15" x14ac:dyDescent="0.25"/>
  <cols>
    <col min="1" max="1" width="28.42578125" customWidth="1"/>
    <col min="2" max="2" width="14.42578125" bestFit="1" customWidth="1"/>
    <col min="3" max="3" width="14.28515625" bestFit="1" customWidth="1"/>
    <col min="4" max="4" width="15.28515625" bestFit="1" customWidth="1"/>
    <col min="5" max="5" width="29.28515625" bestFit="1" customWidth="1"/>
    <col min="6" max="6" width="23.42578125" bestFit="1" customWidth="1"/>
    <col min="7" max="7" width="21" customWidth="1"/>
    <col min="8" max="8" width="15.42578125" customWidth="1"/>
    <col min="9" max="9" width="14.28515625" bestFit="1" customWidth="1"/>
    <col min="10" max="10" width="14.42578125" bestFit="1" customWidth="1"/>
  </cols>
  <sheetData>
    <row r="1" spans="1:8" ht="15.75" thickBot="1" x14ac:dyDescent="0.3"/>
    <row r="2" spans="1:8" ht="24" thickBot="1" x14ac:dyDescent="0.4">
      <c r="A2" s="290" t="s">
        <v>149</v>
      </c>
      <c r="B2" s="291"/>
      <c r="C2" s="291"/>
      <c r="D2" s="291"/>
      <c r="E2" s="292"/>
    </row>
    <row r="3" spans="1:8" ht="15.75" thickBot="1" x14ac:dyDescent="0.3"/>
    <row r="4" spans="1:8" ht="19.5" thickBot="1" x14ac:dyDescent="0.35">
      <c r="A4" s="114"/>
      <c r="B4" s="191">
        <v>2019</v>
      </c>
      <c r="C4" s="191">
        <v>2020</v>
      </c>
      <c r="D4" s="191">
        <v>2021</v>
      </c>
      <c r="E4" s="92"/>
      <c r="F4" s="190">
        <v>2019</v>
      </c>
      <c r="G4" s="190">
        <v>2020</v>
      </c>
      <c r="H4" s="190">
        <v>2021</v>
      </c>
    </row>
    <row r="5" spans="1:8" ht="18.75" customHeight="1" thickBot="1" x14ac:dyDescent="0.3">
      <c r="A5" s="2" t="s">
        <v>129</v>
      </c>
      <c r="B5" s="193">
        <f>'Cash Flow 2019'!N10</f>
        <v>4649866.9902535798</v>
      </c>
      <c r="C5" s="161">
        <f>B5*2</f>
        <v>9299733.9805071596</v>
      </c>
      <c r="D5" s="161">
        <f>C5*1.3</f>
        <v>12089654.174659308</v>
      </c>
      <c r="E5" s="194" t="s">
        <v>139</v>
      </c>
      <c r="F5" s="195">
        <f>'Cash Flow 2019'!N13+'Cash Flow 2019'!N14</f>
        <v>110985.36585365853</v>
      </c>
      <c r="G5" s="195">
        <f>F5*2</f>
        <v>221970.73170731706</v>
      </c>
      <c r="H5" s="195">
        <f>G5*1.3</f>
        <v>288561.95121951221</v>
      </c>
    </row>
    <row r="6" spans="1:8" ht="21" customHeight="1" thickBot="1" x14ac:dyDescent="0.3">
      <c r="A6" s="2" t="s">
        <v>130</v>
      </c>
      <c r="B6" s="196">
        <f>F13</f>
        <v>3239000.166493658</v>
      </c>
      <c r="C6" s="161">
        <f>G13</f>
        <v>6278000.332987316</v>
      </c>
      <c r="D6" s="161">
        <f>H13</f>
        <v>8101936.4328835113</v>
      </c>
      <c r="E6" s="194" t="s">
        <v>188</v>
      </c>
      <c r="F6" s="195">
        <f>'Cash Flow 2019'!N15</f>
        <v>2466074.8006399996</v>
      </c>
      <c r="G6" s="195">
        <f>F6*2</f>
        <v>4932149.6012799991</v>
      </c>
      <c r="H6" s="195">
        <f>G6*1.3</f>
        <v>6411794.4816639991</v>
      </c>
    </row>
    <row r="7" spans="1:8" ht="22.5" customHeight="1" thickBot="1" x14ac:dyDescent="0.3">
      <c r="A7" s="2" t="s">
        <v>131</v>
      </c>
      <c r="B7" s="193">
        <f>B5-B6</f>
        <v>1410866.8237599218</v>
      </c>
      <c r="C7" s="193">
        <f t="shared" ref="C7" si="0">C5-C6</f>
        <v>3021733.6475198437</v>
      </c>
      <c r="D7" s="193">
        <f>D5-D6</f>
        <v>3987717.7417757967</v>
      </c>
      <c r="E7" s="194" t="s">
        <v>141</v>
      </c>
      <c r="F7" s="218">
        <f>'Financial Table'!D26+'Financial Table'!D27</f>
        <v>440000</v>
      </c>
      <c r="G7" s="195">
        <f>F7*2</f>
        <v>880000</v>
      </c>
      <c r="H7" s="195">
        <f>G7*1.3</f>
        <v>1144000</v>
      </c>
    </row>
    <row r="8" spans="1:8" ht="23.25" customHeight="1" thickBot="1" x14ac:dyDescent="0.3">
      <c r="A8" s="115"/>
      <c r="B8" s="196"/>
      <c r="C8" s="161"/>
      <c r="D8" s="161"/>
      <c r="E8" s="194" t="s">
        <v>154</v>
      </c>
      <c r="F8" s="195">
        <f>'Financial Table'!D24</f>
        <v>120000</v>
      </c>
      <c r="G8" s="195">
        <f>F8</f>
        <v>120000</v>
      </c>
      <c r="H8" s="195">
        <f>F8</f>
        <v>120000</v>
      </c>
    </row>
    <row r="9" spans="1:8" ht="15.75" thickBot="1" x14ac:dyDescent="0.3">
      <c r="A9" s="2" t="s">
        <v>132</v>
      </c>
      <c r="B9" s="196"/>
      <c r="C9" s="161"/>
      <c r="D9" s="161"/>
      <c r="E9" s="194" t="s">
        <v>189</v>
      </c>
      <c r="F9" s="195">
        <f>'Financial Table'!D25</f>
        <v>100000</v>
      </c>
      <c r="G9" s="195">
        <f>F9*1.2</f>
        <v>120000</v>
      </c>
      <c r="H9" s="195">
        <f>G9*1.1</f>
        <v>132000</v>
      </c>
    </row>
    <row r="10" spans="1:8" ht="19.5" customHeight="1" thickBot="1" x14ac:dyDescent="0.3">
      <c r="A10" s="115" t="s">
        <v>155</v>
      </c>
      <c r="B10" s="196">
        <f>'Cash Flow 2019'!N18</f>
        <v>48000</v>
      </c>
      <c r="C10" s="161">
        <f>B10</f>
        <v>48000</v>
      </c>
      <c r="D10" s="161">
        <f>B10</f>
        <v>48000</v>
      </c>
      <c r="E10" s="194" t="s">
        <v>179</v>
      </c>
      <c r="F10" s="195">
        <f>'Financial Table'!D28</f>
        <v>700</v>
      </c>
      <c r="G10" s="195">
        <f>F10*2</f>
        <v>1400</v>
      </c>
      <c r="H10" s="195">
        <f>G10*1.5</f>
        <v>2100</v>
      </c>
    </row>
    <row r="11" spans="1:8" ht="18.75" customHeight="1" thickBot="1" x14ac:dyDescent="0.3">
      <c r="A11" s="115" t="s">
        <v>187</v>
      </c>
      <c r="B11" s="196">
        <f>'Cash Flow 2019'!N22</f>
        <v>12000</v>
      </c>
      <c r="C11" s="161">
        <f>B11*1.05</f>
        <v>12600</v>
      </c>
      <c r="D11" s="161">
        <f>C11*1.05</f>
        <v>13230</v>
      </c>
      <c r="E11" s="194" t="s">
        <v>180</v>
      </c>
      <c r="F11" s="197">
        <f>'Financial Table'!D29</f>
        <v>240</v>
      </c>
      <c r="G11" s="195">
        <f>F11*2</f>
        <v>480</v>
      </c>
      <c r="H11" s="195">
        <f>G11</f>
        <v>480</v>
      </c>
    </row>
    <row r="12" spans="1:8" ht="18.75" customHeight="1" thickBot="1" x14ac:dyDescent="0.3">
      <c r="A12" s="115" t="s">
        <v>158</v>
      </c>
      <c r="B12" s="196">
        <f>'Cash Flow 2019'!N23+'Cash Flow 2019'!N21</f>
        <v>54588</v>
      </c>
      <c r="C12" s="161">
        <v>100000</v>
      </c>
      <c r="D12" s="161">
        <f>C12*1.3</f>
        <v>130000</v>
      </c>
      <c r="E12" s="194" t="s">
        <v>181</v>
      </c>
      <c r="F12" s="195">
        <f>'Financial Table'!D30</f>
        <v>1000</v>
      </c>
      <c r="G12" s="195">
        <f>F12*2</f>
        <v>2000</v>
      </c>
      <c r="H12" s="195">
        <f>G12*1.5</f>
        <v>3000</v>
      </c>
    </row>
    <row r="13" spans="1:8" ht="15.75" thickBot="1" x14ac:dyDescent="0.3">
      <c r="A13" s="115" t="s">
        <v>120</v>
      </c>
      <c r="B13" s="196">
        <f>'Cash Flow 2019'!N24</f>
        <v>10000</v>
      </c>
      <c r="C13" s="161">
        <f>B13*2</f>
        <v>20000</v>
      </c>
      <c r="D13" s="161">
        <f>C13*1.5</f>
        <v>30000</v>
      </c>
      <c r="E13" s="198" t="s">
        <v>130</v>
      </c>
      <c r="F13" s="199">
        <f>SUM(F5:F12)</f>
        <v>3239000.166493658</v>
      </c>
      <c r="G13" s="199">
        <f>SUM(G5:G12)</f>
        <v>6278000.332987316</v>
      </c>
      <c r="H13" s="199">
        <f>SUM(H5:H12)</f>
        <v>8101936.4328835113</v>
      </c>
    </row>
    <row r="14" spans="1:8" ht="15.75" thickBot="1" x14ac:dyDescent="0.3">
      <c r="A14" s="115" t="s">
        <v>135</v>
      </c>
      <c r="B14" s="196">
        <f>'Cash Flow 2019'!N25</f>
        <v>115000</v>
      </c>
      <c r="C14" s="161">
        <f>B14*1.2</f>
        <v>138000</v>
      </c>
      <c r="D14" s="161">
        <f>C14*1.2</f>
        <v>165600</v>
      </c>
      <c r="E14" s="194"/>
      <c r="F14" s="195"/>
      <c r="G14" s="195"/>
      <c r="H14" s="195"/>
    </row>
    <row r="15" spans="1:8" ht="15.75" thickBot="1" x14ac:dyDescent="0.3">
      <c r="A15" s="115" t="s">
        <v>182</v>
      </c>
      <c r="B15" s="161">
        <f>'Cash Flow 2019'!N19</f>
        <v>24000</v>
      </c>
      <c r="C15" s="161">
        <f>B15*2</f>
        <v>48000</v>
      </c>
      <c r="D15" s="161">
        <f>B15*3</f>
        <v>72000</v>
      </c>
      <c r="E15" s="194" t="s">
        <v>150</v>
      </c>
      <c r="F15" s="195">
        <f>'Cash Flow 2019'!N26</f>
        <v>204000</v>
      </c>
      <c r="G15" s="195">
        <f>F15*2</f>
        <v>408000</v>
      </c>
      <c r="H15" s="195">
        <f>G15</f>
        <v>408000</v>
      </c>
    </row>
    <row r="16" spans="1:8" ht="15.75" thickBot="1" x14ac:dyDescent="0.3">
      <c r="A16" s="115" t="s">
        <v>13</v>
      </c>
      <c r="B16" s="196">
        <f>'Cash Flow 2019'!N20</f>
        <v>50000</v>
      </c>
      <c r="C16" s="161">
        <f>B16</f>
        <v>50000</v>
      </c>
      <c r="D16" s="161">
        <f>C16</f>
        <v>50000</v>
      </c>
      <c r="E16" s="200" t="s">
        <v>151</v>
      </c>
      <c r="F16" s="201">
        <f>'Cash Flow 2019'!N29</f>
        <v>80928</v>
      </c>
      <c r="G16" s="201">
        <f>F16*2</f>
        <v>161856</v>
      </c>
      <c r="H16" s="201">
        <f>G16</f>
        <v>161856</v>
      </c>
    </row>
    <row r="17" spans="1:17" ht="15.75" thickBot="1" x14ac:dyDescent="0.3">
      <c r="A17" s="115" t="s">
        <v>183</v>
      </c>
      <c r="B17" s="196">
        <f>'Cash Flow 2019'!N26</f>
        <v>204000</v>
      </c>
      <c r="C17" s="161">
        <f>B17*2.1</f>
        <v>428400</v>
      </c>
      <c r="D17" s="161">
        <f>C17*1.08</f>
        <v>462672.00000000006</v>
      </c>
      <c r="E17" s="198" t="s">
        <v>10</v>
      </c>
      <c r="F17" s="125">
        <f>SUM(F15:F16)</f>
        <v>284928</v>
      </c>
      <c r="G17" s="125">
        <f t="shared" ref="G17:H17" si="1">SUM(G15:G16)</f>
        <v>569856</v>
      </c>
      <c r="H17" s="125">
        <f t="shared" si="1"/>
        <v>569856</v>
      </c>
    </row>
    <row r="18" spans="1:17" ht="15.75" thickBot="1" x14ac:dyDescent="0.3">
      <c r="A18" s="115" t="s">
        <v>151</v>
      </c>
      <c r="B18" s="196">
        <f>'Cash Flow 2019'!N29</f>
        <v>80928</v>
      </c>
      <c r="C18" s="161">
        <f>B18*2.1</f>
        <v>169948.80000000002</v>
      </c>
      <c r="D18" s="161">
        <f>C18*1.08</f>
        <v>183544.70400000003</v>
      </c>
      <c r="E18" s="116"/>
      <c r="F18" s="116"/>
      <c r="G18" s="116"/>
      <c r="H18" s="116"/>
    </row>
    <row r="19" spans="1:17" ht="15.75" thickBot="1" x14ac:dyDescent="0.3">
      <c r="A19" s="115" t="s">
        <v>184</v>
      </c>
      <c r="B19" s="196">
        <f>'Cash Flow 2019'!N27</f>
        <v>34000</v>
      </c>
      <c r="C19" s="161">
        <f>B19*3</f>
        <v>102000</v>
      </c>
      <c r="D19" s="161">
        <f>C19*1.08</f>
        <v>110160</v>
      </c>
      <c r="E19" s="116"/>
      <c r="F19" s="116"/>
      <c r="G19" s="116"/>
      <c r="H19" s="116"/>
    </row>
    <row r="20" spans="1:17" ht="15.75" thickBot="1" x14ac:dyDescent="0.3">
      <c r="A20" s="115" t="s">
        <v>185</v>
      </c>
      <c r="B20" s="196">
        <f>'Cash Flow 2019'!N28</f>
        <v>13600</v>
      </c>
      <c r="C20" s="161">
        <f>B20*3</f>
        <v>40800</v>
      </c>
      <c r="D20" s="161">
        <f>C20*1.08</f>
        <v>44064</v>
      </c>
      <c r="E20" s="116"/>
      <c r="F20" s="116"/>
      <c r="G20" s="116"/>
      <c r="H20" s="116"/>
    </row>
    <row r="21" spans="1:17" ht="15.75" thickBot="1" x14ac:dyDescent="0.3">
      <c r="A21" s="115" t="s">
        <v>186</v>
      </c>
      <c r="B21" s="196">
        <f>F7+F8+F11+F10+F12</f>
        <v>561940</v>
      </c>
      <c r="C21" s="196">
        <f>G7+G8+G11+G10+G12</f>
        <v>1003880</v>
      </c>
      <c r="D21" s="196">
        <f>H7+H8+H11+H10+H12</f>
        <v>1269580</v>
      </c>
      <c r="E21" s="116"/>
      <c r="F21" s="116"/>
      <c r="G21" s="116"/>
      <c r="H21" s="116"/>
    </row>
    <row r="22" spans="1:17" ht="15.75" thickBot="1" x14ac:dyDescent="0.3">
      <c r="A22" s="2" t="s">
        <v>133</v>
      </c>
      <c r="B22" s="193">
        <f>SUM(B10:B21)</f>
        <v>1208056</v>
      </c>
      <c r="C22" s="202">
        <f>SUM(C10:C21)</f>
        <v>2161628.7999999998</v>
      </c>
      <c r="D22" s="202">
        <f>SUM(D10:D21)</f>
        <v>2578850.7039999999</v>
      </c>
      <c r="E22" s="116"/>
      <c r="F22" s="116"/>
      <c r="G22" s="116"/>
      <c r="H22" s="116"/>
    </row>
    <row r="23" spans="1:17" ht="15.75" thickBot="1" x14ac:dyDescent="0.3">
      <c r="A23" s="115" t="s">
        <v>134</v>
      </c>
      <c r="B23" s="196">
        <f>B7-B22</f>
        <v>202810.82375992183</v>
      </c>
      <c r="C23" s="161">
        <f>C7-C22</f>
        <v>860104.84751984384</v>
      </c>
      <c r="D23" s="161">
        <f>D7-D22</f>
        <v>1408867.0377757968</v>
      </c>
      <c r="E23" s="116"/>
      <c r="F23" s="116"/>
      <c r="G23" s="116"/>
      <c r="H23" s="116"/>
    </row>
    <row r="24" spans="1:17" ht="15.75" thickBot="1" x14ac:dyDescent="0.3">
      <c r="A24" s="115" t="s">
        <v>196</v>
      </c>
      <c r="B24" s="196"/>
      <c r="C24" s="161"/>
      <c r="D24" s="161"/>
      <c r="E24" s="116"/>
      <c r="F24" s="116"/>
      <c r="G24" s="116"/>
      <c r="H24" s="116"/>
    </row>
    <row r="25" spans="1:17" ht="15.75" thickBot="1" x14ac:dyDescent="0.3">
      <c r="A25" s="119" t="s">
        <v>197</v>
      </c>
      <c r="B25" s="203">
        <f>B23-B24</f>
        <v>202810.82375992183</v>
      </c>
      <c r="C25" s="204">
        <f>C23-C24</f>
        <v>860104.84751984384</v>
      </c>
      <c r="D25" s="204">
        <f t="shared" ref="D25" si="2">D23-D24</f>
        <v>1408867.0377757968</v>
      </c>
      <c r="E25" s="116"/>
      <c r="F25" s="116"/>
      <c r="G25" s="116"/>
      <c r="H25" s="116"/>
      <c r="Q25" s="120">
        <f>0.5%+(0.9%*(B5-3000000)/7000000)</f>
        <v>7.1212575588974602E-3</v>
      </c>
    </row>
    <row r="26" spans="1:17" ht="15.75" thickBot="1" x14ac:dyDescent="0.3">
      <c r="A26" s="115" t="s">
        <v>198</v>
      </c>
      <c r="B26" s="117">
        <f>33.3%*B25</f>
        <v>67536.004312053963</v>
      </c>
      <c r="C26" s="117">
        <f>33.3%*C25</f>
        <v>286414.91422410798</v>
      </c>
      <c r="D26" s="117">
        <f>33.3%*D25</f>
        <v>469152.72357934032</v>
      </c>
      <c r="E26" s="116"/>
      <c r="F26" s="116"/>
      <c r="G26" s="116"/>
      <c r="H26" s="116"/>
    </row>
    <row r="27" spans="1:17" ht="15.75" thickBot="1" x14ac:dyDescent="0.3">
      <c r="A27" s="2" t="s">
        <v>199</v>
      </c>
      <c r="B27" s="125">
        <f>B25-B26</f>
        <v>135274.81944786786</v>
      </c>
      <c r="C27" s="125">
        <f t="shared" ref="C27:D27" si="3">C25-C26</f>
        <v>573689.93329573586</v>
      </c>
      <c r="D27" s="125">
        <f t="shared" si="3"/>
        <v>939714.31419645646</v>
      </c>
      <c r="E27" s="205"/>
      <c r="F27" s="116"/>
      <c r="G27" s="116"/>
      <c r="H27" s="116"/>
    </row>
  </sheetData>
  <mergeCells count="1">
    <mergeCell ref="A2:E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E899-D82E-4887-9BFD-BDA7225950B0}">
  <dimension ref="A1:K51"/>
  <sheetViews>
    <sheetView tabSelected="1" workbookViewId="0">
      <selection activeCell="F42" sqref="F42"/>
    </sheetView>
  </sheetViews>
  <sheetFormatPr baseColWidth="10" defaultColWidth="11.42578125" defaultRowHeight="15" x14ac:dyDescent="0.25"/>
  <cols>
    <col min="1" max="1" width="35.140625" customWidth="1"/>
    <col min="2" max="2" width="21.28515625" style="100" bestFit="1" customWidth="1"/>
    <col min="3" max="3" width="17" bestFit="1" customWidth="1"/>
    <col min="4" max="4" width="16.42578125" bestFit="1" customWidth="1"/>
    <col min="5" max="5" width="14.140625" customWidth="1"/>
    <col min="6" max="6" width="19" customWidth="1"/>
    <col min="7" max="7" width="22.5703125" bestFit="1" customWidth="1"/>
    <col min="8" max="8" width="18.85546875" style="98" bestFit="1" customWidth="1"/>
    <col min="9" max="9" width="14.28515625" bestFit="1" customWidth="1"/>
    <col min="10" max="10" width="15.85546875" customWidth="1"/>
    <col min="11" max="11" width="11.85546875" customWidth="1"/>
  </cols>
  <sheetData>
    <row r="1" spans="1:11" ht="19.5" thickBot="1" x14ac:dyDescent="0.35">
      <c r="A1" s="311" t="s">
        <v>191</v>
      </c>
      <c r="B1" s="311"/>
    </row>
    <row r="3" spans="1:11" ht="15.75" thickBot="1" x14ac:dyDescent="0.3">
      <c r="G3" s="98"/>
    </row>
    <row r="4" spans="1:11" ht="19.5" thickBot="1" x14ac:dyDescent="0.3">
      <c r="A4" s="316" t="s">
        <v>201</v>
      </c>
      <c r="B4" s="316"/>
      <c r="C4" s="152">
        <v>2019</v>
      </c>
      <c r="D4" s="152">
        <v>2020</v>
      </c>
      <c r="E4" s="152">
        <v>2021</v>
      </c>
      <c r="F4" s="316" t="s">
        <v>202</v>
      </c>
      <c r="G4" s="316"/>
      <c r="H4" s="152">
        <v>2019</v>
      </c>
      <c r="I4" s="152">
        <v>2020</v>
      </c>
      <c r="J4" s="152">
        <v>2021</v>
      </c>
    </row>
    <row r="5" spans="1:11" ht="15.75" customHeight="1" thickBot="1" x14ac:dyDescent="0.3">
      <c r="A5" s="302" t="s">
        <v>211</v>
      </c>
      <c r="B5" s="19" t="s">
        <v>192</v>
      </c>
      <c r="C5" s="142">
        <f>'Financial Table'!E31</f>
        <v>3907760</v>
      </c>
      <c r="D5" s="142">
        <f>'Financial Table'!F31+'Financial Table'!F25+'Financial Table'!F26+'Financial Table'!F27+'Financial Table'!F28+'Financial Table'!F29+'Financial Table'!F30</f>
        <v>4931640</v>
      </c>
      <c r="E5" s="142">
        <f>Balance!D5*1.15</f>
        <v>5671386</v>
      </c>
      <c r="F5" s="312" t="s">
        <v>200</v>
      </c>
      <c r="G5" s="133" t="s">
        <v>194</v>
      </c>
      <c r="H5" s="110">
        <f>'Financial Table'!B36</f>
        <v>5000000</v>
      </c>
      <c r="I5" s="110">
        <v>5000000</v>
      </c>
      <c r="J5" s="110">
        <v>5000000</v>
      </c>
    </row>
    <row r="6" spans="1:11" ht="15.75" customHeight="1" thickBot="1" x14ac:dyDescent="0.3">
      <c r="A6" s="302"/>
      <c r="B6" s="19" t="s">
        <v>186</v>
      </c>
      <c r="C6" s="142">
        <f>'Income Statement'!B21</f>
        <v>561940</v>
      </c>
      <c r="D6" s="142">
        <f>'Income Statement'!C21</f>
        <v>1003880</v>
      </c>
      <c r="E6" s="142">
        <f>'Income Statement'!D21</f>
        <v>1269580</v>
      </c>
      <c r="F6" s="313"/>
      <c r="G6" s="146" t="s">
        <v>195</v>
      </c>
      <c r="H6" s="128">
        <f>H5</f>
        <v>5000000</v>
      </c>
      <c r="I6" s="110"/>
      <c r="J6" s="110"/>
    </row>
    <row r="7" spans="1:11" ht="15.75" customHeight="1" thickBot="1" x14ac:dyDescent="0.3">
      <c r="A7" s="302"/>
      <c r="B7" s="135" t="s">
        <v>193</v>
      </c>
      <c r="C7" s="136">
        <f>C5-C6</f>
        <v>3345820</v>
      </c>
      <c r="D7" s="136">
        <f t="shared" ref="D7:E7" si="0">D5-D6</f>
        <v>3927760</v>
      </c>
      <c r="E7" s="136">
        <f t="shared" si="0"/>
        <v>4401806</v>
      </c>
      <c r="F7" s="313"/>
      <c r="G7" s="133" t="s">
        <v>246</v>
      </c>
      <c r="H7" s="110"/>
      <c r="I7" s="110">
        <v>160000</v>
      </c>
      <c r="J7" s="110">
        <v>475000</v>
      </c>
    </row>
    <row r="8" spans="1:11" ht="15.75" customHeight="1" thickBot="1" x14ac:dyDescent="0.3">
      <c r="A8" s="302" t="s">
        <v>212</v>
      </c>
      <c r="B8" s="141" t="s">
        <v>213</v>
      </c>
      <c r="C8" s="142">
        <v>0</v>
      </c>
      <c r="D8" s="142">
        <v>0</v>
      </c>
      <c r="E8" s="142">
        <v>0</v>
      </c>
      <c r="F8" s="314"/>
      <c r="G8" s="133" t="s">
        <v>244</v>
      </c>
      <c r="H8" s="110">
        <f>'Income Statement'!B27</f>
        <v>135274.81944786786</v>
      </c>
      <c r="I8" s="110">
        <f>'Income Statement'!C27</f>
        <v>573689.93329573586</v>
      </c>
      <c r="J8" s="110">
        <f>'Income Statement'!D27</f>
        <v>939714.31419645646</v>
      </c>
    </row>
    <row r="9" spans="1:11" ht="15.75" customHeight="1" thickBot="1" x14ac:dyDescent="0.3">
      <c r="A9" s="302"/>
      <c r="B9" s="141" t="s">
        <v>214</v>
      </c>
      <c r="C9" s="142">
        <v>80000</v>
      </c>
      <c r="D9" s="142">
        <f>C9*1.3</f>
        <v>104000</v>
      </c>
      <c r="E9" s="142">
        <f>D9*1.2</f>
        <v>124800</v>
      </c>
      <c r="F9" s="315"/>
      <c r="G9" s="147" t="s">
        <v>190</v>
      </c>
      <c r="H9" s="121">
        <f>H5+H7+H8</f>
        <v>5135274.8194478676</v>
      </c>
      <c r="I9" s="121">
        <f>I5+I7+I8</f>
        <v>5733689.9332957361</v>
      </c>
      <c r="J9" s="121">
        <f t="shared" ref="J9" si="1">J5+J7+J8</f>
        <v>6414714.3141964562</v>
      </c>
    </row>
    <row r="10" spans="1:11" ht="15.75" customHeight="1" thickBot="1" x14ac:dyDescent="0.3">
      <c r="A10" s="302"/>
      <c r="B10" s="141" t="s">
        <v>222</v>
      </c>
      <c r="C10" s="142">
        <v>200000</v>
      </c>
      <c r="D10" s="142">
        <v>40000</v>
      </c>
      <c r="E10" s="143">
        <v>70000</v>
      </c>
      <c r="F10" s="303" t="s">
        <v>206</v>
      </c>
      <c r="G10" s="148" t="s">
        <v>203</v>
      </c>
      <c r="H10" s="122">
        <v>0</v>
      </c>
      <c r="I10" s="110">
        <v>0</v>
      </c>
      <c r="J10" s="110">
        <v>0</v>
      </c>
      <c r="K10" s="101"/>
    </row>
    <row r="11" spans="1:11" ht="15.75" customHeight="1" thickBot="1" x14ac:dyDescent="0.3">
      <c r="A11" s="302"/>
      <c r="B11" s="141" t="s">
        <v>226</v>
      </c>
      <c r="C11" s="142">
        <f>'Income Statement'!F6*0.0218369</f>
        <v>53851.428814095605</v>
      </c>
      <c r="D11" s="142">
        <f>C11*2.01571</f>
        <v>108548.86357486065</v>
      </c>
      <c r="E11" s="143">
        <f>D11*1.4584</f>
        <v>158307.66263757675</v>
      </c>
      <c r="F11" s="303"/>
      <c r="G11" s="148" t="s">
        <v>204</v>
      </c>
      <c r="H11" s="122">
        <v>70000</v>
      </c>
      <c r="I11" s="110">
        <v>100000</v>
      </c>
      <c r="J11" s="110">
        <v>100000</v>
      </c>
      <c r="K11" s="101"/>
    </row>
    <row r="12" spans="1:11" ht="15.75" customHeight="1" thickBot="1" x14ac:dyDescent="0.3">
      <c r="A12" s="302"/>
      <c r="B12" s="140" t="s">
        <v>224</v>
      </c>
      <c r="C12" s="125">
        <f>SUM(C9:C11)</f>
        <v>333851.42881409562</v>
      </c>
      <c r="D12" s="125">
        <f>SUM(D9:D11)</f>
        <v>252548.86357486065</v>
      </c>
      <c r="E12" s="145">
        <f t="shared" ref="E12" si="2">SUM(E9:E11)</f>
        <v>353107.66263757675</v>
      </c>
      <c r="F12" s="303"/>
      <c r="G12" s="148" t="s">
        <v>205</v>
      </c>
      <c r="H12" s="122">
        <v>90000</v>
      </c>
      <c r="I12" s="110">
        <v>200000</v>
      </c>
      <c r="J12" s="110">
        <v>200000</v>
      </c>
      <c r="K12" s="101"/>
    </row>
    <row r="13" spans="1:11" ht="15.75" customHeight="1" thickBot="1" x14ac:dyDescent="0.3">
      <c r="A13" s="304" t="s">
        <v>215</v>
      </c>
      <c r="B13" s="141" t="s">
        <v>223</v>
      </c>
      <c r="C13" s="142">
        <v>27500</v>
      </c>
      <c r="D13" s="142">
        <v>40000</v>
      </c>
      <c r="E13" s="143">
        <v>60000</v>
      </c>
      <c r="F13" s="303"/>
      <c r="G13" s="148" t="s">
        <v>207</v>
      </c>
      <c r="H13" s="122">
        <f>'Income Statement'!B26</f>
        <v>67536.004312053963</v>
      </c>
      <c r="I13" s="110">
        <f>'Income Statement'!C26</f>
        <v>286414.91422410798</v>
      </c>
      <c r="J13" s="110">
        <f>'Income Statement'!D26</f>
        <v>469152.72357934032</v>
      </c>
      <c r="K13" s="101"/>
    </row>
    <row r="14" spans="1:11" ht="15.75" customHeight="1" thickBot="1" x14ac:dyDescent="0.3">
      <c r="A14" s="305"/>
      <c r="B14" s="141" t="s">
        <v>245</v>
      </c>
      <c r="C14" s="132">
        <f>1785356</f>
        <v>1785356</v>
      </c>
      <c r="D14" s="132">
        <f>Revenues!C71*Balance!C14-I7</f>
        <v>2360653.9759220001</v>
      </c>
      <c r="E14" s="144">
        <f>D14*Revenues!C72-J7</f>
        <v>2636690.1367266448</v>
      </c>
      <c r="F14" s="303"/>
      <c r="G14" s="149" t="s">
        <v>208</v>
      </c>
      <c r="H14" s="110">
        <f>'Income Statement'!B7*'Income Statement'!$Q$25</f>
        <v>10047.146033297993</v>
      </c>
      <c r="I14" s="110">
        <f>'Income Statement'!C7*'Income Statement'!$Q$25</f>
        <v>21518.54357837548</v>
      </c>
      <c r="J14" s="110">
        <f>'Income Statement'!D7*'Income Statement'!$Q$25</f>
        <v>28397.565111370404</v>
      </c>
      <c r="K14" s="101"/>
    </row>
    <row r="15" spans="1:11" ht="15.75" customHeight="1" thickBot="1" x14ac:dyDescent="0.3">
      <c r="A15" s="305"/>
      <c r="B15" s="307" t="s">
        <v>225</v>
      </c>
      <c r="C15" s="309">
        <f>C13+C14</f>
        <v>1812856</v>
      </c>
      <c r="D15" s="309">
        <f>D13+D14</f>
        <v>2400653.9759220001</v>
      </c>
      <c r="E15" s="309">
        <f>E13+E14</f>
        <v>2696690.1367266448</v>
      </c>
      <c r="F15" s="303"/>
      <c r="G15" s="117" t="s">
        <v>209</v>
      </c>
      <c r="H15" s="122">
        <f>42%*Salary!I11</f>
        <v>119669.75999999999</v>
      </c>
      <c r="I15" s="122">
        <f>H15*2</f>
        <v>239339.51999999999</v>
      </c>
      <c r="J15" s="122">
        <f>I15</f>
        <v>239339.51999999999</v>
      </c>
      <c r="K15" s="101"/>
    </row>
    <row r="16" spans="1:11" ht="21.75" customHeight="1" thickBot="1" x14ac:dyDescent="0.3">
      <c r="A16" s="306"/>
      <c r="B16" s="308"/>
      <c r="C16" s="310"/>
      <c r="D16" s="310"/>
      <c r="E16" s="310"/>
      <c r="F16" s="303"/>
      <c r="G16" s="125" t="s">
        <v>210</v>
      </c>
      <c r="H16" s="124">
        <f>SUM(H11:H15)</f>
        <v>357252.91034535196</v>
      </c>
      <c r="I16" s="124">
        <f>SUM(I11:I15)</f>
        <v>847272.97780248348</v>
      </c>
      <c r="J16" s="124">
        <f>SUM(J11:J15)</f>
        <v>1036889.8086907108</v>
      </c>
      <c r="K16" s="101"/>
    </row>
    <row r="17" spans="1:11" ht="18" customHeight="1" thickBot="1" x14ac:dyDescent="0.3">
      <c r="A17" s="299" t="s">
        <v>19</v>
      </c>
      <c r="B17" s="299"/>
      <c r="C17" s="317">
        <f>C7+C12+C15</f>
        <v>5492527.4288140954</v>
      </c>
      <c r="D17" s="317">
        <f>D7+D12+D15</f>
        <v>6580962.8394968603</v>
      </c>
      <c r="E17" s="317">
        <f>E7+E12+E15</f>
        <v>7451603.7993642213</v>
      </c>
      <c r="F17" s="319" t="s">
        <v>19</v>
      </c>
      <c r="G17" s="319"/>
      <c r="H17" s="317">
        <f>H9+H16-0.5</f>
        <v>5492527.2297932198</v>
      </c>
      <c r="I17" s="317">
        <f>I9+I16</f>
        <v>6580962.9110982195</v>
      </c>
      <c r="J17" s="317">
        <f>J9+J16</f>
        <v>7451604.1228871671</v>
      </c>
      <c r="K17" s="237"/>
    </row>
    <row r="18" spans="1:11" ht="15.75" customHeight="1" thickBot="1" x14ac:dyDescent="0.3">
      <c r="A18" s="300"/>
      <c r="B18" s="300"/>
      <c r="C18" s="317"/>
      <c r="D18" s="317"/>
      <c r="E18" s="317"/>
      <c r="F18" s="320"/>
      <c r="G18" s="320"/>
      <c r="H18" s="317"/>
      <c r="I18" s="317"/>
      <c r="J18" s="317"/>
      <c r="K18" s="237"/>
    </row>
    <row r="19" spans="1:11" ht="21.75" thickBot="1" x14ac:dyDescent="0.4">
      <c r="A19" s="301"/>
      <c r="B19" s="301"/>
      <c r="C19" s="317"/>
      <c r="D19" s="317"/>
      <c r="E19" s="317"/>
      <c r="F19" s="131"/>
      <c r="G19" s="129"/>
      <c r="H19" s="130"/>
      <c r="I19" s="130"/>
      <c r="J19" s="130"/>
    </row>
    <row r="20" spans="1:11" x14ac:dyDescent="0.25">
      <c r="B20" s="129"/>
      <c r="C20" s="130"/>
      <c r="D20" s="130"/>
      <c r="E20" s="130"/>
      <c r="H20" s="123"/>
      <c r="I20" s="123"/>
      <c r="J20" s="123"/>
    </row>
    <row r="21" spans="1:11" x14ac:dyDescent="0.25">
      <c r="C21" s="116"/>
      <c r="D21" s="116"/>
      <c r="E21" s="116"/>
      <c r="H21" s="123"/>
      <c r="I21" s="123"/>
      <c r="J21" s="123"/>
      <c r="K21" s="101"/>
    </row>
    <row r="22" spans="1:11" x14ac:dyDescent="0.25">
      <c r="B22" s="318"/>
      <c r="C22" s="318"/>
      <c r="D22" s="318"/>
      <c r="E22" s="116"/>
      <c r="G22" s="228"/>
      <c r="H22" s="123"/>
      <c r="J22" s="123"/>
      <c r="K22" s="101"/>
    </row>
    <row r="23" spans="1:11" x14ac:dyDescent="0.25">
      <c r="B23" s="318"/>
      <c r="C23" s="318"/>
      <c r="D23" s="318"/>
      <c r="E23" s="116"/>
      <c r="G23" s="36"/>
      <c r="H23" s="123"/>
      <c r="I23" s="123"/>
      <c r="J23" s="123"/>
      <c r="K23" s="101"/>
    </row>
    <row r="24" spans="1:11" ht="13.5" customHeight="1" x14ac:dyDescent="0.25">
      <c r="B24" s="318"/>
      <c r="C24" s="318"/>
      <c r="D24" s="318"/>
      <c r="E24" s="116"/>
      <c r="H24" s="123"/>
      <c r="I24" s="101"/>
      <c r="J24" s="101"/>
      <c r="K24" s="101"/>
    </row>
    <row r="25" spans="1:11" ht="13.5" customHeight="1" x14ac:dyDescent="0.25">
      <c r="B25" s="134"/>
      <c r="C25" s="134"/>
      <c r="D25" s="134"/>
      <c r="E25" s="116"/>
      <c r="H25" s="123"/>
      <c r="I25" s="101"/>
      <c r="J25" s="101"/>
      <c r="K25" s="101"/>
    </row>
    <row r="26" spans="1:11" ht="13.5" customHeight="1" x14ac:dyDescent="0.25">
      <c r="B26" s="134"/>
      <c r="C26" s="134"/>
      <c r="D26" s="134"/>
      <c r="E26" s="116"/>
      <c r="H26" s="123"/>
      <c r="I26" s="101"/>
      <c r="J26" s="101"/>
      <c r="K26" s="101"/>
    </row>
    <row r="27" spans="1:11" ht="13.5" customHeight="1" x14ac:dyDescent="0.25">
      <c r="B27" s="134"/>
      <c r="C27" s="134"/>
      <c r="D27" s="134"/>
      <c r="E27" s="116"/>
      <c r="H27" s="101"/>
      <c r="I27" s="101"/>
    </row>
    <row r="28" spans="1:11" ht="13.5" customHeight="1" x14ac:dyDescent="0.25">
      <c r="B28" s="134"/>
      <c r="C28" s="134"/>
      <c r="D28" s="134"/>
      <c r="E28" s="116"/>
      <c r="H28" s="101"/>
      <c r="I28" s="101"/>
    </row>
    <row r="29" spans="1:11" ht="15.75" thickBot="1" x14ac:dyDescent="0.3">
      <c r="B29" s="134"/>
      <c r="C29" s="134"/>
      <c r="D29" s="134"/>
      <c r="E29" s="116"/>
      <c r="H29" s="123"/>
      <c r="I29" s="101"/>
      <c r="J29" s="101"/>
      <c r="K29" s="101"/>
    </row>
    <row r="30" spans="1:11" ht="19.5" thickBot="1" x14ac:dyDescent="0.35">
      <c r="A30" s="296" t="s">
        <v>216</v>
      </c>
      <c r="B30" s="297"/>
      <c r="C30" s="298"/>
      <c r="D30" s="259"/>
      <c r="E30" s="259"/>
      <c r="F30" s="259"/>
      <c r="G30" s="259"/>
    </row>
    <row r="31" spans="1:11" ht="19.5" thickBot="1" x14ac:dyDescent="0.35">
      <c r="A31" s="187"/>
      <c r="B31" s="256"/>
      <c r="C31" s="257"/>
      <c r="D31" s="258"/>
      <c r="E31" s="258"/>
    </row>
    <row r="32" spans="1:11" ht="15.75" thickBot="1" x14ac:dyDescent="0.3">
      <c r="A32" s="92" t="s">
        <v>71</v>
      </c>
      <c r="B32" s="118" t="s">
        <v>170</v>
      </c>
      <c r="C32" s="118" t="s">
        <v>171</v>
      </c>
      <c r="D32" s="252"/>
      <c r="E32" s="129"/>
      <c r="H32"/>
    </row>
    <row r="33" spans="1:8" ht="15.75" thickBot="1" x14ac:dyDescent="0.3">
      <c r="A33" s="117" t="s">
        <v>40</v>
      </c>
      <c r="B33" s="110">
        <v>180060.3943089431</v>
      </c>
      <c r="C33" s="110">
        <v>84457.277235772344</v>
      </c>
      <c r="D33" s="98"/>
      <c r="H33"/>
    </row>
    <row r="34" spans="1:8" ht="15.75" thickBot="1" x14ac:dyDescent="0.3">
      <c r="A34" s="117" t="s">
        <v>41</v>
      </c>
      <c r="B34" s="110">
        <v>419120.7886178862</v>
      </c>
      <c r="C34" s="110">
        <v>144457.27723577234</v>
      </c>
      <c r="D34" s="98"/>
      <c r="H34"/>
    </row>
    <row r="35" spans="1:8" ht="15.75" thickBot="1" x14ac:dyDescent="0.3">
      <c r="A35" s="117" t="s">
        <v>42</v>
      </c>
      <c r="B35" s="110">
        <v>668981.18292682932</v>
      </c>
      <c r="C35" s="110">
        <v>216457.27723577234</v>
      </c>
      <c r="D35" s="98"/>
      <c r="H35"/>
    </row>
    <row r="36" spans="1:8" ht="15.75" thickBot="1" x14ac:dyDescent="0.3">
      <c r="A36" s="117" t="s">
        <v>43</v>
      </c>
      <c r="B36" s="110">
        <v>931801.57723577239</v>
      </c>
      <c r="C36" s="110">
        <v>302857.27723577234</v>
      </c>
      <c r="D36" s="98"/>
      <c r="H36"/>
    </row>
    <row r="37" spans="1:8" ht="15.75" thickBot="1" x14ac:dyDescent="0.3">
      <c r="A37" s="117" t="s">
        <v>44</v>
      </c>
      <c r="B37" s="110">
        <v>1210173.9715447156</v>
      </c>
      <c r="C37" s="110">
        <v>406537.27723577234</v>
      </c>
      <c r="D37" s="98"/>
      <c r="H37"/>
    </row>
    <row r="38" spans="1:8" ht="15.75" thickBot="1" x14ac:dyDescent="0.3">
      <c r="A38" s="117" t="s">
        <v>46</v>
      </c>
      <c r="B38" s="110">
        <v>1507208.7658536586</v>
      </c>
      <c r="C38" s="110">
        <v>530953.27723577234</v>
      </c>
      <c r="D38" s="98"/>
      <c r="H38"/>
    </row>
    <row r="39" spans="1:8" ht="15.75" thickBot="1" x14ac:dyDescent="0.3">
      <c r="A39" s="117" t="s">
        <v>45</v>
      </c>
      <c r="B39" s="110">
        <v>1826638.4401626016</v>
      </c>
      <c r="C39" s="110">
        <v>680252.4772357723</v>
      </c>
      <c r="D39" s="98"/>
      <c r="H39"/>
    </row>
    <row r="40" spans="1:8" ht="15.75" thickBot="1" x14ac:dyDescent="0.3">
      <c r="A40" s="117" t="s">
        <v>47</v>
      </c>
      <c r="B40" s="110">
        <v>2172941.9704715447</v>
      </c>
      <c r="C40" s="110">
        <v>859411.51723577222</v>
      </c>
      <c r="D40" s="98"/>
      <c r="H40"/>
    </row>
    <row r="41" spans="1:8" ht="15.75" thickBot="1" x14ac:dyDescent="0.3">
      <c r="A41" s="117" t="s">
        <v>48</v>
      </c>
      <c r="B41" s="110">
        <v>2551494.1279804879</v>
      </c>
      <c r="C41" s="110">
        <v>1074402.3652357722</v>
      </c>
      <c r="D41" s="98"/>
      <c r="H41"/>
    </row>
    <row r="42" spans="1:8" ht="15.75" thickBot="1" x14ac:dyDescent="0.3">
      <c r="A42" s="117" t="s">
        <v>49</v>
      </c>
      <c r="B42" s="111">
        <f>'Cash Flow 2019'!D77</f>
        <v>2783684.243820488</v>
      </c>
      <c r="C42" s="111">
        <f>'Cash Flow 2019'!G77</f>
        <v>1332391.3828357721</v>
      </c>
      <c r="D42" s="98"/>
      <c r="H42"/>
    </row>
    <row r="43" spans="1:8" x14ac:dyDescent="0.25">
      <c r="A43" s="116"/>
      <c r="B43" s="238"/>
      <c r="C43" s="239"/>
      <c r="D43" s="240"/>
      <c r="E43" s="239"/>
      <c r="F43" s="116"/>
      <c r="G43" s="116"/>
      <c r="H43" s="233"/>
    </row>
    <row r="44" spans="1:8" ht="15.75" thickBot="1" x14ac:dyDescent="0.3">
      <c r="A44" s="116"/>
      <c r="B44" s="238"/>
      <c r="C44" s="239"/>
      <c r="D44" s="240"/>
      <c r="E44" s="239"/>
      <c r="F44" s="116"/>
      <c r="G44" s="116"/>
      <c r="H44" s="233"/>
    </row>
    <row r="45" spans="1:8" ht="15.75" thickBot="1" x14ac:dyDescent="0.3">
      <c r="A45" s="293" t="s">
        <v>217</v>
      </c>
      <c r="B45" s="294"/>
      <c r="C45" s="294"/>
      <c r="D45" s="294"/>
      <c r="E45" s="294"/>
      <c r="F45" s="295"/>
    </row>
    <row r="46" spans="1:8" ht="15.75" thickBot="1" x14ac:dyDescent="0.3">
      <c r="A46" s="100"/>
      <c r="B46" s="232"/>
      <c r="C46" s="232"/>
      <c r="D46" s="232"/>
      <c r="E46" s="232"/>
      <c r="F46" s="151" t="s">
        <v>221</v>
      </c>
    </row>
    <row r="47" spans="1:8" ht="15.75" thickBot="1" x14ac:dyDescent="0.3">
      <c r="A47" s="241" t="s">
        <v>238</v>
      </c>
      <c r="B47" s="150">
        <v>2019</v>
      </c>
      <c r="C47" s="150">
        <v>2020</v>
      </c>
      <c r="D47" s="150">
        <v>2021</v>
      </c>
      <c r="E47" s="150">
        <v>2022</v>
      </c>
      <c r="F47" s="117"/>
      <c r="H47" s="139"/>
    </row>
    <row r="48" spans="1:8" ht="15.75" thickBot="1" x14ac:dyDescent="0.3">
      <c r="A48" s="26" t="s">
        <v>218</v>
      </c>
      <c r="B48" s="125">
        <f>B42+C42</f>
        <v>4116075.6266562603</v>
      </c>
      <c r="C48" s="125">
        <f>B50+(B48*2)-B48*0.05</f>
        <v>11319207.973304715</v>
      </c>
      <c r="D48" s="125">
        <f>C50+(C48*1.3)</f>
        <v>23770336.743939899</v>
      </c>
      <c r="E48" s="125">
        <f>D50+C48</f>
        <v>30335477.368456636</v>
      </c>
      <c r="F48" s="242"/>
    </row>
    <row r="49" spans="1:6" ht="15.75" thickBot="1" x14ac:dyDescent="0.3">
      <c r="A49" s="138" t="s">
        <v>264</v>
      </c>
      <c r="B49" s="137">
        <f>B48*20%</f>
        <v>823215.12533125211</v>
      </c>
      <c r="C49" s="137">
        <f>20%*C48</f>
        <v>2263841.5946609429</v>
      </c>
      <c r="D49" s="137">
        <f>20%*D48</f>
        <v>4754067.3487879802</v>
      </c>
      <c r="E49" s="137">
        <f>20%*E48</f>
        <v>6067095.4736913275</v>
      </c>
      <c r="F49" s="243">
        <f>B49+C49+D49+E49</f>
        <v>13908219.542471502</v>
      </c>
    </row>
    <row r="50" spans="1:6" ht="15.75" thickBot="1" x14ac:dyDescent="0.3">
      <c r="A50" s="26" t="s">
        <v>220</v>
      </c>
      <c r="B50" s="125">
        <f>B48-B49</f>
        <v>3292860.5013250085</v>
      </c>
      <c r="C50" s="125">
        <f>C48-C49</f>
        <v>9055366.3786437716</v>
      </c>
      <c r="D50" s="125">
        <f>D48-D49</f>
        <v>19016269.395151921</v>
      </c>
      <c r="E50" s="125">
        <f>E48-E49</f>
        <v>24268381.89476531</v>
      </c>
      <c r="F50" s="92"/>
    </row>
    <row r="51" spans="1:6" x14ac:dyDescent="0.25">
      <c r="C51" s="100"/>
      <c r="D51" s="100"/>
      <c r="E51" s="100"/>
    </row>
  </sheetData>
  <mergeCells count="24">
    <mergeCell ref="H17:H18"/>
    <mergeCell ref="I17:I18"/>
    <mergeCell ref="J17:J18"/>
    <mergeCell ref="B22:D24"/>
    <mergeCell ref="C17:C19"/>
    <mergeCell ref="D17:D19"/>
    <mergeCell ref="E17:E19"/>
    <mergeCell ref="F17:G18"/>
    <mergeCell ref="A1:B1"/>
    <mergeCell ref="A5:A7"/>
    <mergeCell ref="F5:F9"/>
    <mergeCell ref="A4:B4"/>
    <mergeCell ref="F4:G4"/>
    <mergeCell ref="A45:F45"/>
    <mergeCell ref="A30:C30"/>
    <mergeCell ref="A17:A19"/>
    <mergeCell ref="B17:B19"/>
    <mergeCell ref="A8:A12"/>
    <mergeCell ref="F10:F16"/>
    <mergeCell ref="A13:A16"/>
    <mergeCell ref="B15:B16"/>
    <mergeCell ref="C15:C16"/>
    <mergeCell ref="D15:D16"/>
    <mergeCell ref="E15:E16"/>
  </mergeCells>
  <pageMargins left="0.7" right="0.7" top="0.75" bottom="0.75" header="0.3" footer="0.3"/>
  <pageSetup paperSize="9" orientation="portrait" horizontalDpi="0" verticalDpi="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E9D5-031D-4770-871E-2DA11D5958BA}">
  <dimension ref="A3:J44"/>
  <sheetViews>
    <sheetView topLeftCell="A19" workbookViewId="0">
      <selection activeCell="B23" sqref="B23"/>
    </sheetView>
  </sheetViews>
  <sheetFormatPr baseColWidth="10" defaultRowHeight="15" x14ac:dyDescent="0.25"/>
  <cols>
    <col min="1" max="1" width="17.7109375" customWidth="1"/>
    <col min="2" max="3" width="15.28515625" bestFit="1" customWidth="1"/>
    <col min="4" max="4" width="16.42578125" bestFit="1" customWidth="1"/>
    <col min="5" max="5" width="18" customWidth="1"/>
    <col min="6" max="6" width="14.28515625" bestFit="1" customWidth="1"/>
    <col min="7" max="7" width="21" customWidth="1"/>
    <col min="8" max="8" width="19.42578125" customWidth="1"/>
    <col min="9" max="9" width="19.140625" customWidth="1"/>
    <col min="10" max="10" width="20.5703125" customWidth="1"/>
  </cols>
  <sheetData>
    <row r="3" spans="1:10" x14ac:dyDescent="0.25">
      <c r="A3" t="s">
        <v>81</v>
      </c>
      <c r="B3" s="234" t="s">
        <v>235</v>
      </c>
      <c r="C3" s="234" t="s">
        <v>236</v>
      </c>
      <c r="D3" s="234" t="s">
        <v>237</v>
      </c>
      <c r="H3" s="7"/>
      <c r="I3" s="7"/>
      <c r="J3" s="7"/>
    </row>
    <row r="4" spans="1:10" x14ac:dyDescent="0.25">
      <c r="A4" s="235" t="s">
        <v>129</v>
      </c>
      <c r="B4" s="101">
        <v>4649866.9902535798</v>
      </c>
      <c r="C4" s="101">
        <v>9299733.9805071596</v>
      </c>
      <c r="D4" s="101">
        <v>12089654.174659308</v>
      </c>
      <c r="H4" s="7"/>
      <c r="I4" s="7"/>
      <c r="J4" s="7"/>
    </row>
    <row r="5" spans="1:10" x14ac:dyDescent="0.25">
      <c r="A5" s="236" t="s">
        <v>131</v>
      </c>
      <c r="B5" s="229">
        <v>1410866.8237599218</v>
      </c>
      <c r="C5" s="229">
        <v>3021733.6475198437</v>
      </c>
      <c r="D5" s="229">
        <v>3987717.7417757967</v>
      </c>
    </row>
    <row r="21" spans="1:10" x14ac:dyDescent="0.25">
      <c r="A21" s="321" t="s">
        <v>240</v>
      </c>
      <c r="B21" s="321"/>
      <c r="C21" s="321"/>
      <c r="D21" s="321"/>
      <c r="E21" s="321"/>
      <c r="F21" s="220"/>
      <c r="G21" s="321" t="s">
        <v>247</v>
      </c>
      <c r="H21" s="321"/>
      <c r="I21" s="321"/>
      <c r="J21" s="321"/>
    </row>
    <row r="22" spans="1:10" x14ac:dyDescent="0.25">
      <c r="A22" t="s">
        <v>238</v>
      </c>
      <c r="B22" t="s">
        <v>235</v>
      </c>
      <c r="C22" t="s">
        <v>236</v>
      </c>
      <c r="D22" t="s">
        <v>237</v>
      </c>
      <c r="E22" t="s">
        <v>239</v>
      </c>
      <c r="G22" t="s">
        <v>238</v>
      </c>
      <c r="H22" t="s">
        <v>235</v>
      </c>
      <c r="I22" t="s">
        <v>236</v>
      </c>
      <c r="J22" t="s">
        <v>237</v>
      </c>
    </row>
    <row r="23" spans="1:10" x14ac:dyDescent="0.25">
      <c r="A23" t="s">
        <v>219</v>
      </c>
      <c r="B23" s="7">
        <f>Balance!B49</f>
        <v>823215.12533125211</v>
      </c>
      <c r="C23" s="7">
        <f>Balance!C49</f>
        <v>2263841.5946609429</v>
      </c>
      <c r="D23" s="7">
        <f>Balance!D49</f>
        <v>4754067.3487879802</v>
      </c>
      <c r="E23" s="7">
        <f>Balance!E49</f>
        <v>6067095.4736913275</v>
      </c>
      <c r="F23" s="101"/>
      <c r="G23" t="s">
        <v>219</v>
      </c>
      <c r="H23" s="7">
        <f>Balance!H8*35%</f>
        <v>47346.186806753751</v>
      </c>
      <c r="I23" s="7">
        <f>Balance!I8*35%</f>
        <v>200791.47665350753</v>
      </c>
      <c r="J23" s="7">
        <f>Balance!J8*35%</f>
        <v>328900.00996875972</v>
      </c>
    </row>
    <row r="25" spans="1:10" x14ac:dyDescent="0.25">
      <c r="F25" s="7"/>
    </row>
    <row r="42" spans="1:5" x14ac:dyDescent="0.25">
      <c r="A42" s="321" t="s">
        <v>263</v>
      </c>
      <c r="B42" s="321"/>
      <c r="C42" s="321"/>
      <c r="D42" s="321"/>
      <c r="E42" s="321"/>
    </row>
    <row r="43" spans="1:5" x14ac:dyDescent="0.25">
      <c r="A43" s="221" t="s">
        <v>238</v>
      </c>
      <c r="B43" s="222" t="s">
        <v>235</v>
      </c>
      <c r="C43" s="222" t="s">
        <v>236</v>
      </c>
      <c r="D43" s="222" t="s">
        <v>237</v>
      </c>
      <c r="E43" s="223" t="s">
        <v>239</v>
      </c>
    </row>
    <row r="44" spans="1:5" x14ac:dyDescent="0.25">
      <c r="A44" s="224" t="s">
        <v>220</v>
      </c>
      <c r="B44" s="260">
        <f>Balance!B50</f>
        <v>3292860.5013250085</v>
      </c>
      <c r="C44" s="260">
        <f>Balance!C50</f>
        <v>9055366.3786437716</v>
      </c>
      <c r="D44" s="260">
        <f>Balance!D50</f>
        <v>19016269.395151921</v>
      </c>
      <c r="E44" s="261">
        <f>Balance!E50</f>
        <v>24268381.89476531</v>
      </c>
    </row>
  </sheetData>
  <mergeCells count="3">
    <mergeCell ref="A21:E21"/>
    <mergeCell ref="A42:E42"/>
    <mergeCell ref="G21:J21"/>
  </mergeCells>
  <pageMargins left="0.7" right="0.7" top="0.75" bottom="0.75" header="0.3" footer="0.3"/>
  <pageSetup paperSize="9" orientation="portrait" horizontalDpi="0" verticalDpi="0" r:id="rId1"/>
  <drawing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8FB82-E5CA-4B2E-839F-0FFD44523963}">
  <dimension ref="A1:I38"/>
  <sheetViews>
    <sheetView topLeftCell="A22" workbookViewId="0">
      <selection activeCell="C37" sqref="C37"/>
    </sheetView>
  </sheetViews>
  <sheetFormatPr baseColWidth="10" defaultRowHeight="15" x14ac:dyDescent="0.25"/>
  <cols>
    <col min="1" max="1" width="30.140625" customWidth="1"/>
    <col min="2" max="2" width="23" style="7" customWidth="1"/>
    <col min="3" max="3" width="19.42578125" customWidth="1"/>
    <col min="5" max="5" width="18.28515625" customWidth="1"/>
    <col min="6" max="6" width="29" customWidth="1"/>
    <col min="7" max="7" width="26.42578125" customWidth="1"/>
    <col min="8" max="8" width="21.5703125" customWidth="1"/>
  </cols>
  <sheetData>
    <row r="1" spans="1:9" x14ac:dyDescent="0.25">
      <c r="A1" s="324"/>
      <c r="B1" s="324"/>
    </row>
    <row r="2" spans="1:9" x14ac:dyDescent="0.25">
      <c r="A2" s="3" t="s">
        <v>117</v>
      </c>
      <c r="B2" s="230">
        <v>501400</v>
      </c>
      <c r="C2" s="322"/>
      <c r="D2" s="323"/>
      <c r="E2" s="323"/>
      <c r="F2" s="323"/>
      <c r="G2" s="323"/>
      <c r="H2" s="323"/>
      <c r="I2" s="323"/>
    </row>
    <row r="3" spans="1:9" x14ac:dyDescent="0.25">
      <c r="A3" s="3" t="s">
        <v>114</v>
      </c>
      <c r="B3" s="230">
        <v>793115.97560975596</v>
      </c>
      <c r="C3" s="322"/>
      <c r="D3" s="323"/>
      <c r="E3" s="323"/>
      <c r="F3" s="323"/>
      <c r="G3" s="323"/>
      <c r="H3" s="323"/>
      <c r="I3" s="323"/>
    </row>
    <row r="4" spans="1:9" x14ac:dyDescent="0.25">
      <c r="A4" s="3" t="s">
        <v>115</v>
      </c>
      <c r="B4" s="230">
        <v>404816.90243902436</v>
      </c>
      <c r="C4" s="322"/>
      <c r="D4" s="323"/>
      <c r="E4" s="323"/>
      <c r="F4" s="323"/>
      <c r="G4" s="323"/>
      <c r="H4" s="323"/>
      <c r="I4" s="323"/>
    </row>
    <row r="5" spans="1:9" x14ac:dyDescent="0.25">
      <c r="A5" s="3" t="s">
        <v>178</v>
      </c>
      <c r="B5" s="230">
        <v>2855455.0323199998</v>
      </c>
      <c r="C5" s="322"/>
      <c r="D5" s="323"/>
      <c r="E5" s="323"/>
      <c r="F5" s="323"/>
      <c r="G5" s="323"/>
      <c r="H5" s="323"/>
      <c r="I5" s="323"/>
    </row>
    <row r="6" spans="1:9" x14ac:dyDescent="0.25">
      <c r="A6" s="3" t="s">
        <v>176</v>
      </c>
      <c r="B6" s="230">
        <v>95079.079884799983</v>
      </c>
      <c r="C6" s="322"/>
      <c r="D6" s="323"/>
      <c r="E6" s="323"/>
      <c r="F6" s="323"/>
      <c r="G6" s="323"/>
      <c r="H6" s="323"/>
      <c r="I6" s="323"/>
    </row>
    <row r="7" spans="1:9" x14ac:dyDescent="0.25">
      <c r="A7" s="1" t="s">
        <v>10</v>
      </c>
      <c r="B7" s="231">
        <f>SUM(B2:B6)</f>
        <v>4649866.9902535798</v>
      </c>
    </row>
    <row r="9" spans="1:9" x14ac:dyDescent="0.25">
      <c r="A9" s="3" t="s">
        <v>118</v>
      </c>
      <c r="B9" s="230">
        <v>56195.121951219509</v>
      </c>
    </row>
    <row r="10" spans="1:9" x14ac:dyDescent="0.25">
      <c r="A10" s="3" t="s">
        <v>119</v>
      </c>
      <c r="B10" s="230">
        <v>54790.243902439026</v>
      </c>
      <c r="G10" s="129"/>
      <c r="H10" s="129"/>
    </row>
    <row r="11" spans="1:9" x14ac:dyDescent="0.25">
      <c r="A11" s="3" t="s">
        <v>177</v>
      </c>
      <c r="B11" s="230">
        <v>2466074.8006399996</v>
      </c>
      <c r="G11" s="129"/>
      <c r="H11" s="129"/>
    </row>
    <row r="12" spans="1:9" x14ac:dyDescent="0.25">
      <c r="A12" s="1" t="s">
        <v>10</v>
      </c>
      <c r="B12" s="231">
        <f>B9+B10+B11</f>
        <v>2577060.166493658</v>
      </c>
      <c r="F12" s="129"/>
      <c r="G12" s="129"/>
      <c r="H12" s="129"/>
    </row>
    <row r="13" spans="1:9" ht="30" customHeight="1" x14ac:dyDescent="0.25">
      <c r="E13" t="s">
        <v>81</v>
      </c>
      <c r="F13" s="249" t="s">
        <v>254</v>
      </c>
      <c r="G13" s="249" t="s">
        <v>255</v>
      </c>
      <c r="H13" s="249" t="s">
        <v>256</v>
      </c>
    </row>
    <row r="14" spans="1:9" x14ac:dyDescent="0.25">
      <c r="E14" s="255" t="s">
        <v>250</v>
      </c>
      <c r="F14" s="250" t="s">
        <v>257</v>
      </c>
      <c r="G14" s="250" t="s">
        <v>259</v>
      </c>
      <c r="H14" s="251">
        <v>0.02</v>
      </c>
    </row>
    <row r="15" spans="1:9" x14ac:dyDescent="0.25">
      <c r="E15" s="248" t="s">
        <v>251</v>
      </c>
      <c r="F15" s="252" t="s">
        <v>258</v>
      </c>
      <c r="G15" s="252" t="s">
        <v>258</v>
      </c>
      <c r="H15" s="253">
        <v>0.15</v>
      </c>
    </row>
    <row r="16" spans="1:9" x14ac:dyDescent="0.25">
      <c r="E16" s="248" t="s">
        <v>252</v>
      </c>
      <c r="F16" s="252" t="s">
        <v>261</v>
      </c>
      <c r="G16" s="254">
        <v>2E-3</v>
      </c>
      <c r="H16" s="252" t="s">
        <v>260</v>
      </c>
    </row>
    <row r="17" spans="1:8" x14ac:dyDescent="0.25">
      <c r="A17" t="s">
        <v>267</v>
      </c>
      <c r="B17"/>
      <c r="E17" s="248" t="s">
        <v>253</v>
      </c>
      <c r="F17" s="254">
        <v>1E-3</v>
      </c>
      <c r="G17" s="254">
        <v>1E-3</v>
      </c>
      <c r="H17" s="253">
        <v>3.16</v>
      </c>
    </row>
    <row r="18" spans="1:8" x14ac:dyDescent="0.25">
      <c r="B18"/>
      <c r="F18" s="129"/>
      <c r="G18" s="129"/>
      <c r="H18" s="129"/>
    </row>
    <row r="19" spans="1:8" x14ac:dyDescent="0.25">
      <c r="G19" s="129"/>
      <c r="H19" s="129"/>
    </row>
    <row r="20" spans="1:8" x14ac:dyDescent="0.25">
      <c r="G20" s="129"/>
    </row>
    <row r="23" spans="1:8" x14ac:dyDescent="0.25">
      <c r="G23" s="6"/>
    </row>
    <row r="24" spans="1:8" x14ac:dyDescent="0.25">
      <c r="A24" s="9" t="s">
        <v>268</v>
      </c>
      <c r="B24" s="265" t="s">
        <v>269</v>
      </c>
      <c r="C24" s="266" t="s">
        <v>270</v>
      </c>
      <c r="G24" s="6"/>
    </row>
    <row r="25" spans="1:8" x14ac:dyDescent="0.25">
      <c r="A25" s="18">
        <v>2022</v>
      </c>
      <c r="B25" s="227">
        <f>Tableau7[2022]</f>
        <v>24268381.89476531</v>
      </c>
      <c r="C25" s="264">
        <v>1</v>
      </c>
      <c r="D25" s="263"/>
      <c r="F25">
        <f>5000000+'Financial Table'!D6*3+'Financial Table'!D7*3</f>
        <v>10280000</v>
      </c>
    </row>
    <row r="26" spans="1:8" x14ac:dyDescent="0.25">
      <c r="A26" s="18">
        <v>2026</v>
      </c>
      <c r="B26" s="227">
        <f>B25*3-F25*2</f>
        <v>52245145.684295923</v>
      </c>
      <c r="C26" s="264">
        <v>3</v>
      </c>
      <c r="D26" s="263"/>
      <c r="F26" t="s">
        <v>250</v>
      </c>
    </row>
    <row r="27" spans="1:8" x14ac:dyDescent="0.25">
      <c r="A27" s="18">
        <v>2030</v>
      </c>
      <c r="B27" s="227">
        <f>C27*B25-(F25*3)</f>
        <v>139038673.26335716</v>
      </c>
      <c r="C27" s="264">
        <v>7</v>
      </c>
      <c r="D27" s="263"/>
    </row>
    <row r="28" spans="1:8" ht="15.75" thickBot="1" x14ac:dyDescent="0.3">
      <c r="A28" s="18">
        <v>2034</v>
      </c>
      <c r="B28" s="227">
        <f>B25*C28-(F25*3)</f>
        <v>211843818.94765311</v>
      </c>
      <c r="C28" s="264">
        <v>10</v>
      </c>
      <c r="D28" s="263"/>
      <c r="F28" s="7">
        <f>Balance!E48-Balance!D50</f>
        <v>11319207.973304715</v>
      </c>
    </row>
    <row r="29" spans="1:8" ht="15.75" thickBot="1" x14ac:dyDescent="0.3">
      <c r="A29" s="8">
        <v>2038</v>
      </c>
      <c r="B29" s="267">
        <f>B25*C29-(F25*2)</f>
        <v>270660582.73718369</v>
      </c>
      <c r="C29" s="262">
        <v>12</v>
      </c>
      <c r="D29" s="263"/>
      <c r="E29" s="262" t="s">
        <v>268</v>
      </c>
      <c r="F29" s="275" t="s">
        <v>269</v>
      </c>
      <c r="G29" s="274" t="s">
        <v>270</v>
      </c>
    </row>
    <row r="30" spans="1:8" x14ac:dyDescent="0.25">
      <c r="E30" s="268">
        <v>2022</v>
      </c>
      <c r="F30" s="271">
        <f>B25</f>
        <v>24268381.89476531</v>
      </c>
      <c r="G30" s="268">
        <v>1</v>
      </c>
    </row>
    <row r="31" spans="1:8" x14ac:dyDescent="0.25">
      <c r="E31" s="269">
        <v>2023</v>
      </c>
      <c r="F31" s="272">
        <f>F30+(F28*3)-F25*2</f>
        <v>37666005.814679451</v>
      </c>
      <c r="G31" s="269">
        <v>3</v>
      </c>
    </row>
    <row r="32" spans="1:8" x14ac:dyDescent="0.25">
      <c r="E32" s="269">
        <v>2024</v>
      </c>
      <c r="F32" s="272">
        <f>F31+F28*6-F25*3</f>
        <v>74741253.654507726</v>
      </c>
      <c r="G32" s="269">
        <v>6</v>
      </c>
    </row>
    <row r="33" spans="5:7" x14ac:dyDescent="0.25">
      <c r="E33" s="269">
        <v>2025</v>
      </c>
      <c r="F33" s="272">
        <f>F32+F28*9-F25*3</f>
        <v>145774125.41425017</v>
      </c>
      <c r="G33" s="269">
        <v>9</v>
      </c>
    </row>
    <row r="34" spans="5:7" x14ac:dyDescent="0.25">
      <c r="E34" s="269">
        <v>2026</v>
      </c>
      <c r="F34" s="272">
        <f>F33+F28*12-F25*3</f>
        <v>250764621.09390676</v>
      </c>
      <c r="G34" s="269">
        <v>12</v>
      </c>
    </row>
    <row r="35" spans="5:7" x14ac:dyDescent="0.25">
      <c r="E35" s="269">
        <v>2027</v>
      </c>
      <c r="F35" s="272">
        <f>F34+F28*15-F25*3</f>
        <v>389712740.69347751</v>
      </c>
      <c r="G35" s="269">
        <v>15</v>
      </c>
    </row>
    <row r="36" spans="5:7" x14ac:dyDescent="0.25">
      <c r="E36" s="269">
        <v>2028</v>
      </c>
      <c r="F36" s="272">
        <f>F35+F28*18-F25*3</f>
        <v>562618484.21296239</v>
      </c>
      <c r="G36" s="269">
        <v>18</v>
      </c>
    </row>
    <row r="37" spans="5:7" x14ac:dyDescent="0.25">
      <c r="E37" s="269">
        <v>2029</v>
      </c>
      <c r="F37" s="272">
        <f>F36+F28*20-F25*2</f>
        <v>768442643.67905664</v>
      </c>
      <c r="G37" s="269">
        <v>20</v>
      </c>
    </row>
    <row r="38" spans="5:7" ht="15.75" thickBot="1" x14ac:dyDescent="0.3">
      <c r="E38" s="270">
        <v>2030</v>
      </c>
      <c r="F38" s="273">
        <f>F37+F28*20</f>
        <v>994826803.1451509</v>
      </c>
      <c r="G38" s="270">
        <v>20</v>
      </c>
    </row>
  </sheetData>
  <mergeCells count="6">
    <mergeCell ref="C6:I6"/>
    <mergeCell ref="A1:B1"/>
    <mergeCell ref="C2:I2"/>
    <mergeCell ref="C3:I3"/>
    <mergeCell ref="C4:I4"/>
    <mergeCell ref="C5:I5"/>
  </mergeCells>
  <pageMargins left="0.7" right="0.7" top="0.75" bottom="0.75"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Financial Table</vt:lpstr>
      <vt:lpstr>Cash Flow 2019</vt:lpstr>
      <vt:lpstr>BreakEven Point</vt:lpstr>
      <vt:lpstr>Revenues</vt:lpstr>
      <vt:lpstr>Salary</vt:lpstr>
      <vt:lpstr>Income Statement</vt:lpstr>
      <vt:lpstr>Balance</vt:lpstr>
      <vt:lpstr>Graphics</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2018-07-07T19:14:39Z</dcterms:modified>
</cp:coreProperties>
</file>