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updateLinks="always" defaultThemeVersion="124226"/>
  <mc:AlternateContent xmlns:mc="http://schemas.openxmlformats.org/markup-compatibility/2006">
    <mc:Choice Requires="x15">
      <x15ac:absPath xmlns:x15ac="http://schemas.microsoft.com/office/spreadsheetml/2010/11/ac" url="H:\My Documents\Peds RT Department Documents\Calculator sheet\"/>
    </mc:Choice>
  </mc:AlternateContent>
  <bookViews>
    <workbookView xWindow="0" yWindow="75" windowWidth="14220" windowHeight="9600" activeTab="2"/>
  </bookViews>
  <sheets>
    <sheet name="PICU" sheetId="5" r:id="rId1"/>
    <sheet name="Tube Kit printable" sheetId="7" r:id="rId2"/>
    <sheet name="NICU" sheetId="1" r:id="rId3"/>
    <sheet name="combined units" sheetId="6" r:id="rId4"/>
    <sheet name="Cylinder duration " sheetId="8" r:id="rId5"/>
  </sheets>
  <externalReferences>
    <externalReference r:id="rId6"/>
  </externalReferences>
  <definedNames>
    <definedName name="Aeroneb_adolesant" localSheetId="3">'combined units'!$B$54:$F$54</definedName>
    <definedName name="Aeroneb_adolesant" localSheetId="0">PICU!$B$41:$F$41</definedName>
    <definedName name="Aeroneb_adolesant" localSheetId="1">'Tube Kit printable'!#REF!</definedName>
    <definedName name="Aeroneb_adolesant">NICU!$B$31:$F$31</definedName>
    <definedName name="Aeroneb_neonate" localSheetId="3">'combined units'!$B$52:$F$52</definedName>
    <definedName name="Aeroneb_neonate" localSheetId="0">PICU!$B$39:$F$39</definedName>
    <definedName name="Aeroneb_neonate" localSheetId="1">'Tube Kit printable'!#REF!</definedName>
    <definedName name="Aeroneb_neonate">NICU!$B$29:$F$29</definedName>
    <definedName name="Aeroneb_pediatric" localSheetId="3">'combined units'!$B$53:$F$53</definedName>
    <definedName name="Aeroneb_pediatric" localSheetId="0">PICU!$B$40:$F$40</definedName>
    <definedName name="Aeroneb_pediatric" localSheetId="1">'Tube Kit printable'!#REF!</definedName>
    <definedName name="Aeroneb_pediatric">NICU!$B$30:$F$30</definedName>
    <definedName name="AirLife_Misty_Finity" comment="Type of Nebulizer" localSheetId="3">'combined units'!$B$51:$F$51</definedName>
    <definedName name="AirLife_Misty_Finity" comment="Type of Nebulizer" localSheetId="0">PICU!$B$38:$F$38</definedName>
    <definedName name="AirLife_Misty_Finity" comment="Type of Nebulizer" localSheetId="1">'Tube Kit printable'!#REF!</definedName>
    <definedName name="AirLife_Misty_Finity" comment="Type of Nebulizer">NICU!$B$28:$F$28</definedName>
    <definedName name="IV_Heart" localSheetId="3">'combined units'!$B$55:$F$55</definedName>
    <definedName name="IV_Heart" localSheetId="0">PICU!$B$42:$F$42</definedName>
    <definedName name="IV_Heart" localSheetId="1">'Tube Kit printable'!#REF!</definedName>
    <definedName name="IV_Heart">NICU!$B$32:$F$32</definedName>
    <definedName name="Mini_Heart" localSheetId="3">'combined units'!$B$57:$F$57</definedName>
    <definedName name="Mini_Heart" localSheetId="0">PICU!$B$44:$F$44</definedName>
    <definedName name="Mini_Heart" localSheetId="1">'Tube Kit printable'!#REF!</definedName>
    <definedName name="Mini_Heart">NICU!$B$34:$F$34</definedName>
    <definedName name="Nebulizer_Type" localSheetId="3">'combined units'!#REF!</definedName>
    <definedName name="Nebulizer_Type" localSheetId="0">PICU!#REF!</definedName>
    <definedName name="Nebulizer_Type" localSheetId="1">'Tube Kit printable'!#REF!</definedName>
    <definedName name="Nebulizer_Type">NICU!#REF!</definedName>
    <definedName name="output" localSheetId="3">'combined units'!$F$51:$F$57</definedName>
    <definedName name="output" localSheetId="0">PICU!$F$38:$F$44</definedName>
    <definedName name="output" localSheetId="1">'Tube Kit printable'!#REF!</definedName>
    <definedName name="output">NICU!$F$28:$F$34</definedName>
    <definedName name="SpecificNeb" localSheetId="3">'combined units'!$A$51:$B$57</definedName>
    <definedName name="SpecificNeb" localSheetId="0">PICU!$A$38:$B$44</definedName>
    <definedName name="SpecificNeb" localSheetId="1">'Tube Kit printable'!#REF!</definedName>
    <definedName name="SpecificNeb">NICU!$A$28:$B$34</definedName>
    <definedName name="SpecificNebulizer" localSheetId="3">'combined units'!$A$51:$B$57</definedName>
    <definedName name="SpecificNebulizer" localSheetId="0">PICU!$A$38:$B$44</definedName>
    <definedName name="SpecificNebulizer" localSheetId="1">'Tube Kit printable'!#REF!</definedName>
    <definedName name="SpecificNebulizer">NICU!$A$28:$B$34</definedName>
    <definedName name="Uni_Heart" localSheetId="3">'combined units'!$B$56:$F$56</definedName>
    <definedName name="Uni_Heart" localSheetId="0">PICU!$B$43:$F$43</definedName>
    <definedName name="Uni_Heart" localSheetId="1">'Tube Kit printable'!#REF!</definedName>
    <definedName name="Uni_Heart">NICU!$B$33:$F$33</definedName>
  </definedNames>
  <calcPr calcId="152511"/>
</workbook>
</file>

<file path=xl/calcChain.xml><?xml version="1.0" encoding="utf-8"?>
<calcChain xmlns="http://schemas.openxmlformats.org/spreadsheetml/2006/main">
  <c r="C51" i="6" l="1"/>
  <c r="C52" i="6"/>
  <c r="C53" i="6"/>
  <c r="C54" i="6"/>
  <c r="C55" i="6"/>
  <c r="C56" i="6"/>
  <c r="C57" i="6"/>
  <c r="C38" i="5" l="1"/>
  <c r="C39" i="5"/>
  <c r="C40" i="5"/>
  <c r="C41" i="5"/>
  <c r="C42" i="5"/>
  <c r="C43" i="5"/>
  <c r="C44" i="5"/>
  <c r="G22" i="7" l="1"/>
  <c r="B33" i="8" l="1"/>
  <c r="D33" i="8" s="1"/>
  <c r="F33" i="8" l="1"/>
  <c r="C15" i="8" l="1"/>
  <c r="F15" i="8" s="1"/>
  <c r="C11" i="8"/>
  <c r="F11" i="8" s="1"/>
  <c r="C7" i="8"/>
  <c r="F7" i="8" s="1"/>
  <c r="C3" i="8"/>
  <c r="F3" i="8" s="1"/>
  <c r="I22" i="7" l="1"/>
  <c r="C22" i="7"/>
  <c r="D19" i="7"/>
  <c r="B19" i="7"/>
  <c r="D15" i="7"/>
  <c r="C15" i="7"/>
  <c r="F7" i="7"/>
  <c r="D57" i="6"/>
  <c r="D56" i="6"/>
  <c r="D55" i="6"/>
  <c r="D54" i="6"/>
  <c r="D53" i="6"/>
  <c r="D52" i="6"/>
  <c r="F51" i="6"/>
  <c r="D51" i="6"/>
  <c r="G39" i="6"/>
  <c r="I39" i="6" s="1"/>
  <c r="C39" i="6"/>
  <c r="D34" i="6"/>
  <c r="B34" i="6"/>
  <c r="D30" i="6"/>
  <c r="C30" i="6"/>
  <c r="C27" i="6"/>
  <c r="F22" i="6"/>
  <c r="E28" i="6" s="1"/>
  <c r="G15" i="6"/>
  <c r="C15" i="6"/>
  <c r="D12" i="6"/>
  <c r="B12" i="6"/>
  <c r="C9" i="6"/>
  <c r="C6" i="6"/>
  <c r="C5" i="6"/>
  <c r="D44" i="5"/>
  <c r="D43" i="5"/>
  <c r="D42" i="5"/>
  <c r="D41" i="5"/>
  <c r="D40" i="5"/>
  <c r="D39" i="5"/>
  <c r="F38" i="5"/>
  <c r="D38" i="5"/>
  <c r="G29" i="5"/>
  <c r="I29" i="5" s="1"/>
  <c r="C29" i="5"/>
  <c r="D26" i="5"/>
  <c r="B26" i="5"/>
  <c r="D22" i="5"/>
  <c r="C22" i="5"/>
  <c r="F14" i="5"/>
  <c r="G5" i="5"/>
  <c r="C5" i="5"/>
  <c r="D27" i="6" l="1"/>
  <c r="C31" i="6"/>
  <c r="C36" i="6"/>
  <c r="C23" i="5"/>
  <c r="H26" i="5"/>
  <c r="C16" i="7"/>
  <c r="C26" i="7"/>
  <c r="D12" i="7"/>
  <c r="D13" i="7"/>
  <c r="C12" i="7"/>
  <c r="E13" i="7"/>
  <c r="C13" i="7"/>
  <c r="F9" i="7"/>
  <c r="D19" i="5"/>
  <c r="C28" i="6"/>
  <c r="F24" i="6"/>
  <c r="D28" i="6"/>
  <c r="C19" i="5"/>
  <c r="E20" i="5"/>
  <c r="C20" i="5"/>
  <c r="F16" i="5"/>
  <c r="D20" i="5"/>
  <c r="C29" i="1"/>
  <c r="D29" i="1" s="1"/>
  <c r="C30" i="1"/>
  <c r="D30" i="1" s="1"/>
  <c r="C31" i="1"/>
  <c r="D31" i="1" s="1"/>
  <c r="C32" i="1"/>
  <c r="D32" i="1" s="1"/>
  <c r="C33" i="1"/>
  <c r="D33" i="1" s="1"/>
  <c r="C34" i="1"/>
  <c r="D34" i="1" s="1"/>
  <c r="C28" i="1"/>
  <c r="D28" i="1" s="1"/>
  <c r="F28" i="1"/>
  <c r="G17" i="1" l="1"/>
  <c r="D13" i="1" l="1"/>
  <c r="B13" i="1"/>
  <c r="C10" i="1"/>
  <c r="C17" i="1"/>
  <c r="C7" i="1"/>
  <c r="C6" i="1"/>
  <c r="G10" i="1" s="1"/>
</calcChain>
</file>

<file path=xl/sharedStrings.xml><?xml version="1.0" encoding="utf-8"?>
<sst xmlns="http://schemas.openxmlformats.org/spreadsheetml/2006/main" count="245" uniqueCount="98">
  <si>
    <t xml:space="preserve">Pediatric Respiratory Therpay Calculations </t>
  </si>
  <si>
    <t>Weight (grams)</t>
  </si>
  <si>
    <t>3.5-4</t>
  </si>
  <si>
    <t xml:space="preserve">Recommened ETT </t>
  </si>
  <si>
    <t xml:space="preserve">Depth of insertion </t>
  </si>
  <si>
    <t>MAP</t>
  </si>
  <si>
    <t xml:space="preserve">OI calculation </t>
  </si>
  <si>
    <t>Actual Wt. (grams)</t>
  </si>
  <si>
    <t xml:space="preserve">ETT size for PICU patients &gt; 1 year of age </t>
  </si>
  <si>
    <t>Depth of Oral ETT insertion</t>
  </si>
  <si>
    <t>Recommended Tube kit contents:</t>
  </si>
  <si>
    <t>cuffed ETT</t>
  </si>
  <si>
    <t>uncuffed ETT</t>
  </si>
  <si>
    <t>blades</t>
  </si>
  <si>
    <t>straight</t>
  </si>
  <si>
    <t>curved</t>
  </si>
  <si>
    <t xml:space="preserve"> </t>
  </si>
  <si>
    <r>
      <t>FiO</t>
    </r>
    <r>
      <rPr>
        <b/>
        <vertAlign val="subscript"/>
        <sz val="11"/>
        <color theme="1"/>
        <rFont val="Calibri"/>
        <family val="2"/>
        <scheme val="minor"/>
      </rPr>
      <t>2</t>
    </r>
  </si>
  <si>
    <r>
      <t>PaO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 xml:space="preserve"> </t>
    </r>
  </si>
  <si>
    <t xml:space="preserve">Blades: </t>
  </si>
  <si>
    <t xml:space="preserve">curved </t>
  </si>
  <si>
    <t>Infasurf dosing in mL</t>
  </si>
  <si>
    <t xml:space="preserve">NICU Calculations </t>
  </si>
  <si>
    <t>Both Units</t>
  </si>
  <si>
    <t xml:space="preserve">PICU Calculations </t>
  </si>
  <si>
    <t>VT range:</t>
  </si>
  <si>
    <t>4 mL/kg</t>
  </si>
  <si>
    <t>6 mL/kg</t>
  </si>
  <si>
    <t>Stylet size</t>
  </si>
  <si>
    <t>8 mL/kg</t>
  </si>
  <si>
    <t>Weight kg</t>
  </si>
  <si>
    <t>Age/years</t>
  </si>
  <si>
    <t xml:space="preserve">Continuous Aerosol Treatment Calculations </t>
  </si>
  <si>
    <t xml:space="preserve">MAP calculation </t>
  </si>
  <si>
    <t>Freq.</t>
  </si>
  <si>
    <t>Ti</t>
  </si>
  <si>
    <t>PIP</t>
  </si>
  <si>
    <t>PEEP</t>
  </si>
  <si>
    <t xml:space="preserve">RSBI </t>
  </si>
  <si>
    <t xml:space="preserve">result </t>
  </si>
  <si>
    <t>Spont. RR</t>
  </si>
  <si>
    <r>
      <t>CO</t>
    </r>
    <r>
      <rPr>
        <b/>
        <vertAlign val="subscript"/>
        <sz val="11"/>
        <color theme="4" tint="-0.249977111117893"/>
        <rFont val="Calibri"/>
        <family val="2"/>
        <scheme val="minor"/>
      </rPr>
      <t>2</t>
    </r>
    <r>
      <rPr>
        <b/>
        <sz val="11"/>
        <color theme="4" tint="-0.249977111117893"/>
        <rFont val="Calibri"/>
        <family val="2"/>
        <scheme val="minor"/>
      </rPr>
      <t xml:space="preserve"> detector </t>
    </r>
  </si>
  <si>
    <t xml:space="preserve">Nebulizer Type </t>
  </si>
  <si>
    <t>AirLife Misty Finity</t>
  </si>
  <si>
    <t>Aeroneb pediatric</t>
  </si>
  <si>
    <t>Aeroneb adolesant</t>
  </si>
  <si>
    <t>Flow</t>
  </si>
  <si>
    <t>N/A</t>
  </si>
  <si>
    <t>IV Heart</t>
  </si>
  <si>
    <t>Uni Heart</t>
  </si>
  <si>
    <t>Mini Heart</t>
  </si>
  <si>
    <t>Albuterol dose/hour</t>
  </si>
  <si>
    <t>NS</t>
  </si>
  <si>
    <t>output/hr</t>
  </si>
  <si>
    <t>Device</t>
  </si>
  <si>
    <t>4hr</t>
  </si>
  <si>
    <t>4H Alb</t>
  </si>
  <si>
    <t xml:space="preserve">Aeroneb neonate </t>
  </si>
  <si>
    <r>
      <t>VE</t>
    </r>
    <r>
      <rPr>
        <b/>
        <vertAlign val="subscript"/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(L/min)</t>
    </r>
  </si>
  <si>
    <t xml:space="preserve">PICU Airway/Ventilation Calculations </t>
  </si>
  <si>
    <t>Clinical Calculations</t>
  </si>
  <si>
    <t>NICU Airway and Ventilation Calculations</t>
  </si>
  <si>
    <t xml:space="preserve">Clinical Calculations </t>
  </si>
  <si>
    <t xml:space="preserve">Suction Catheter </t>
  </si>
  <si>
    <t>Suction Depth</t>
  </si>
  <si>
    <t xml:space="preserve">cm </t>
  </si>
  <si>
    <r>
      <t>CO</t>
    </r>
    <r>
      <rPr>
        <b/>
        <vertAlign val="subscript"/>
        <sz val="11"/>
        <color rgb="FF002060"/>
        <rFont val="Calibri"/>
        <family val="2"/>
        <scheme val="minor"/>
      </rPr>
      <t>2</t>
    </r>
    <r>
      <rPr>
        <b/>
        <sz val="11"/>
        <color rgb="FF002060"/>
        <rFont val="Calibri"/>
        <family val="2"/>
        <scheme val="minor"/>
      </rPr>
      <t xml:space="preserve"> detector </t>
    </r>
  </si>
  <si>
    <t>Suction Catheter</t>
  </si>
  <si>
    <t xml:space="preserve">Suction Depth </t>
  </si>
  <si>
    <r>
      <t>CO</t>
    </r>
    <r>
      <rPr>
        <b/>
        <vertAlign val="subscript"/>
        <sz val="11"/>
        <color theme="3" tint="-0.249977111117893"/>
        <rFont val="Calibri"/>
        <family val="2"/>
        <scheme val="minor"/>
      </rPr>
      <t>2</t>
    </r>
    <r>
      <rPr>
        <b/>
        <sz val="11"/>
        <color theme="3" tint="-0.249977111117893"/>
        <rFont val="Calibri"/>
        <family val="2"/>
        <scheme val="minor"/>
      </rPr>
      <t xml:space="preserve"> detector </t>
    </r>
  </si>
  <si>
    <t>Fr</t>
  </si>
  <si>
    <t>cm</t>
  </si>
  <si>
    <t>Cylinder Calculation Worksheet</t>
  </si>
  <si>
    <t>psig</t>
  </si>
  <si>
    <t>flow</t>
  </si>
  <si>
    <t>hours</t>
  </si>
  <si>
    <t xml:space="preserve">70/30 HeOx -E-cylinder </t>
  </si>
  <si>
    <t xml:space="preserve">70/30 HeOx H-cylinder </t>
  </si>
  <si>
    <t>Note: cylinder considered empty at 500 psi</t>
  </si>
  <si>
    <t>This should not replace regularly checking cylinder pressure!</t>
  </si>
  <si>
    <t>Cylinder duration time:</t>
  </si>
  <si>
    <t>(0 - 2000 psi)</t>
  </si>
  <si>
    <t>( K / T)</t>
  </si>
  <si>
    <t>(0 - 40 L/min)</t>
  </si>
  <si>
    <t>(21 - 100%)</t>
  </si>
  <si>
    <t>T</t>
  </si>
  <si>
    <t xml:space="preserve">Vapotherm Heliox Cylinder Duration </t>
  </si>
  <si>
    <t xml:space="preserve">Vapotherm Flow </t>
  </si>
  <si>
    <t xml:space="preserve">O2 Concentration </t>
  </si>
  <si>
    <t xml:space="preserve">Cylinder Type </t>
  </si>
  <si>
    <t xml:space="preserve">Cylinder pressure </t>
  </si>
  <si>
    <t>minutes</t>
  </si>
  <si>
    <r>
      <t>O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 xml:space="preserve"> E-cylinder </t>
    </r>
  </si>
  <si>
    <r>
      <t>O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 xml:space="preserve"> H-cylinder </t>
    </r>
  </si>
  <si>
    <t>(min)</t>
  </si>
  <si>
    <t xml:space="preserve">or </t>
  </si>
  <si>
    <t>.</t>
  </si>
  <si>
    <t xml:space="preserve"># of Hours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</si>
</sst>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;[Red]0.00"/>
    <numFmt numFmtId="165" formatCode="0.0"/>
    <numFmt numFmtId="166" formatCode="0.0;[Red]0.0"/>
    <numFmt numFmtId="167" formatCode="0;[Red]0"/>
  </numFmts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6" tint="-0.249977111117893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b/>
      <vertAlign val="subscript"/>
      <sz val="11"/>
      <color theme="4" tint="-0.249977111117893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11"/>
      <color rgb="FF002060"/>
      <name val="Calibri"/>
      <family val="2"/>
      <scheme val="minor"/>
    </font>
    <font>
      <b/>
      <vertAlign val="subscript"/>
      <sz val="11"/>
      <color rgb="FF002060"/>
      <name val="Calibri"/>
      <family val="2"/>
      <scheme val="minor"/>
    </font>
    <font>
      <b/>
      <sz val="11"/>
      <color theme="3" tint="-0.249977111117893"/>
      <name val="Calibri"/>
      <family val="2"/>
      <scheme val="minor"/>
    </font>
    <font>
      <b/>
      <vertAlign val="subscript"/>
      <sz val="11"/>
      <color theme="3" tint="-0.249977111117893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3" tint="-0.499984740745262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4" fillId="4" borderId="0" applyNumberFormat="0" applyBorder="0" applyAlignment="0" applyProtection="0"/>
    <xf numFmtId="0" fontId="19" fillId="8" borderId="21" applyNumberFormat="0" applyAlignment="0" applyProtection="0"/>
    <xf numFmtId="0" fontId="20" fillId="9" borderId="21" applyNumberFormat="0" applyAlignment="0" applyProtection="0"/>
  </cellStyleXfs>
  <cellXfs count="14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2" borderId="1" xfId="0" applyFont="1" applyFill="1" applyBorder="1" applyAlignment="1">
      <alignment horizontal="center"/>
    </xf>
    <xf numFmtId="0" fontId="1" fillId="0" borderId="0" xfId="0" applyFont="1" applyFill="1"/>
    <xf numFmtId="0" fontId="1" fillId="0" borderId="0" xfId="0" applyFont="1" applyFill="1" applyBorder="1"/>
    <xf numFmtId="0" fontId="0" fillId="0" borderId="0" xfId="0" applyFill="1" applyBorder="1"/>
    <xf numFmtId="0" fontId="1" fillId="0" borderId="0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Border="1"/>
    <xf numFmtId="0" fontId="6" fillId="0" borderId="0" xfId="0" applyFont="1"/>
    <xf numFmtId="0" fontId="1" fillId="0" borderId="0" xfId="0" applyFont="1" applyAlignment="1">
      <alignment horizontal="right"/>
    </xf>
    <xf numFmtId="0" fontId="7" fillId="6" borderId="4" xfId="0" applyFont="1" applyFill="1" applyBorder="1"/>
    <xf numFmtId="0" fontId="7" fillId="6" borderId="5" xfId="0" applyFont="1" applyFill="1" applyBorder="1"/>
    <xf numFmtId="0" fontId="7" fillId="6" borderId="3" xfId="0" applyFont="1" applyFill="1" applyBorder="1"/>
    <xf numFmtId="0" fontId="9" fillId="6" borderId="3" xfId="0" applyFont="1" applyFill="1" applyBorder="1"/>
    <xf numFmtId="0" fontId="7" fillId="6" borderId="8" xfId="0" applyFont="1" applyFill="1" applyBorder="1"/>
    <xf numFmtId="0" fontId="9" fillId="6" borderId="5" xfId="0" applyFont="1" applyFill="1" applyBorder="1"/>
    <xf numFmtId="0" fontId="8" fillId="0" borderId="0" xfId="0" applyFont="1"/>
    <xf numFmtId="0" fontId="0" fillId="0" borderId="0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7" fillId="6" borderId="10" xfId="0" applyFont="1" applyFill="1" applyBorder="1"/>
    <xf numFmtId="0" fontId="9" fillId="6" borderId="8" xfId="0" applyFont="1" applyFill="1" applyBorder="1"/>
    <xf numFmtId="0" fontId="3" fillId="0" borderId="11" xfId="0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7" fillId="6" borderId="12" xfId="0" applyFont="1" applyFill="1" applyBorder="1"/>
    <xf numFmtId="0" fontId="3" fillId="0" borderId="0" xfId="0" applyFont="1" applyFill="1" applyBorder="1" applyAlignment="1"/>
    <xf numFmtId="0" fontId="6" fillId="0" borderId="0" xfId="0" applyFont="1" applyFill="1" applyBorder="1"/>
    <xf numFmtId="0" fontId="3" fillId="0" borderId="13" xfId="0" applyFont="1" applyFill="1" applyBorder="1" applyAlignment="1"/>
    <xf numFmtId="0" fontId="3" fillId="0" borderId="14" xfId="0" applyFont="1" applyFill="1" applyBorder="1" applyAlignment="1"/>
    <xf numFmtId="0" fontId="7" fillId="6" borderId="11" xfId="0" applyFont="1" applyFill="1" applyBorder="1"/>
    <xf numFmtId="0" fontId="4" fillId="0" borderId="0" xfId="0" applyFont="1" applyAlignment="1">
      <alignment horizontal="center"/>
    </xf>
    <xf numFmtId="0" fontId="4" fillId="0" borderId="0" xfId="0" applyFont="1" applyBorder="1" applyAlignment="1">
      <alignment horizontal="center"/>
    </xf>
    <xf numFmtId="0" fontId="1" fillId="3" borderId="2" xfId="0" applyFont="1" applyFill="1" applyBorder="1" applyAlignment="1" applyProtection="1">
      <alignment horizontal="center"/>
      <protection locked="0"/>
    </xf>
    <xf numFmtId="0" fontId="1" fillId="3" borderId="1" xfId="0" applyFont="1" applyFill="1" applyBorder="1" applyAlignment="1" applyProtection="1">
      <alignment horizontal="center"/>
      <protection locked="0"/>
    </xf>
    <xf numFmtId="0" fontId="6" fillId="3" borderId="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0" fillId="0" borderId="0" xfId="0" applyProtection="1">
      <protection locked="0"/>
    </xf>
    <xf numFmtId="0" fontId="1" fillId="3" borderId="7" xfId="0" applyFont="1" applyFill="1" applyBorder="1" applyAlignment="1" applyProtection="1">
      <alignment horizontal="center"/>
      <protection locked="0"/>
    </xf>
    <xf numFmtId="0" fontId="11" fillId="6" borderId="3" xfId="0" applyFont="1" applyFill="1" applyBorder="1"/>
    <xf numFmtId="0" fontId="12" fillId="6" borderId="5" xfId="0" applyFont="1" applyFill="1" applyBorder="1"/>
    <xf numFmtId="0" fontId="11" fillId="6" borderId="4" xfId="0" applyFont="1" applyFill="1" applyBorder="1"/>
    <xf numFmtId="0" fontId="14" fillId="6" borderId="4" xfId="0" applyFont="1" applyFill="1" applyBorder="1"/>
    <xf numFmtId="0" fontId="14" fillId="6" borderId="10" xfId="0" applyFont="1" applyFill="1" applyBorder="1"/>
    <xf numFmtId="0" fontId="14" fillId="6" borderId="3" xfId="0" applyFont="1" applyFill="1" applyBorder="1"/>
    <xf numFmtId="0" fontId="1" fillId="0" borderId="0" xfId="0" applyFont="1" applyFill="1" applyBorder="1" applyAlignment="1" applyProtection="1">
      <alignment horizontal="center"/>
      <protection locked="0"/>
    </xf>
    <xf numFmtId="0" fontId="17" fillId="6" borderId="4" xfId="0" applyFont="1" applyFill="1" applyBorder="1"/>
    <xf numFmtId="0" fontId="17" fillId="6" borderId="8" xfId="0" applyFont="1" applyFill="1" applyBorder="1"/>
    <xf numFmtId="0" fontId="17" fillId="6" borderId="5" xfId="0" applyFont="1" applyFill="1" applyBorder="1"/>
    <xf numFmtId="0" fontId="18" fillId="6" borderId="4" xfId="0" applyFont="1" applyFill="1" applyBorder="1"/>
    <xf numFmtId="0" fontId="18" fillId="6" borderId="8" xfId="0" applyFont="1" applyFill="1" applyBorder="1"/>
    <xf numFmtId="0" fontId="18" fillId="6" borderId="5" xfId="0" applyFont="1" applyFill="1" applyBorder="1"/>
    <xf numFmtId="0" fontId="1" fillId="2" borderId="3" xfId="0" applyFont="1" applyFill="1" applyBorder="1" applyAlignment="1">
      <alignment horizontal="center"/>
    </xf>
    <xf numFmtId="0" fontId="0" fillId="3" borderId="3" xfId="0" applyFill="1" applyBorder="1" applyAlignment="1" applyProtection="1">
      <alignment horizontal="center"/>
      <protection locked="0"/>
    </xf>
    <xf numFmtId="0" fontId="1" fillId="3" borderId="3" xfId="0" applyFont="1" applyFill="1" applyBorder="1" applyAlignment="1" applyProtection="1">
      <alignment horizontal="center"/>
      <protection locked="0"/>
    </xf>
    <xf numFmtId="0" fontId="6" fillId="6" borderId="4" xfId="0" applyFont="1" applyFill="1" applyBorder="1"/>
    <xf numFmtId="0" fontId="6" fillId="6" borderId="8" xfId="0" applyFont="1" applyFill="1" applyBorder="1"/>
    <xf numFmtId="0" fontId="6" fillId="6" borderId="5" xfId="0" applyFont="1" applyFill="1" applyBorder="1"/>
    <xf numFmtId="0" fontId="1" fillId="3" borderId="18" xfId="0" applyFont="1" applyFill="1" applyBorder="1" applyAlignment="1" applyProtection="1">
      <alignment horizontal="center"/>
      <protection locked="0"/>
    </xf>
    <xf numFmtId="0" fontId="16" fillId="0" borderId="0" xfId="0" applyFont="1" applyBorder="1" applyAlignment="1" applyProtection="1">
      <alignment horizontal="center"/>
      <protection locked="0"/>
    </xf>
    <xf numFmtId="0" fontId="1" fillId="0" borderId="0" xfId="0" applyFont="1" applyBorder="1" applyProtection="1">
      <protection locked="0"/>
    </xf>
    <xf numFmtId="0" fontId="1" fillId="0" borderId="0" xfId="0" applyFont="1" applyBorder="1" applyAlignment="1" applyProtection="1">
      <alignment horizontal="center"/>
      <protection locked="0"/>
    </xf>
    <xf numFmtId="0" fontId="1" fillId="0" borderId="0" xfId="0" applyFont="1" applyBorder="1" applyProtection="1"/>
    <xf numFmtId="0" fontId="1" fillId="0" borderId="0" xfId="0" applyFont="1" applyBorder="1" applyAlignment="1" applyProtection="1">
      <alignment horizontal="center"/>
    </xf>
    <xf numFmtId="0" fontId="6" fillId="3" borderId="3" xfId="0" applyFont="1" applyFill="1" applyBorder="1" applyProtection="1">
      <protection locked="0"/>
    </xf>
    <xf numFmtId="0" fontId="1" fillId="3" borderId="10" xfId="0" applyFont="1" applyFill="1" applyBorder="1" applyAlignment="1" applyProtection="1">
      <alignment horizontal="center"/>
      <protection locked="0"/>
    </xf>
    <xf numFmtId="0" fontId="7" fillId="6" borderId="20" xfId="0" applyFont="1" applyFill="1" applyBorder="1"/>
    <xf numFmtId="164" fontId="1" fillId="7" borderId="3" xfId="0" applyNumberFormat="1" applyFont="1" applyFill="1" applyBorder="1"/>
    <xf numFmtId="0" fontId="1" fillId="11" borderId="10" xfId="0" applyFont="1" applyFill="1" applyBorder="1" applyAlignment="1" applyProtection="1">
      <alignment horizontal="center"/>
      <protection locked="0"/>
    </xf>
    <xf numFmtId="0" fontId="1" fillId="11" borderId="3" xfId="0" applyFont="1" applyFill="1" applyBorder="1" applyAlignment="1" applyProtection="1">
      <alignment horizontal="center"/>
      <protection locked="0"/>
    </xf>
    <xf numFmtId="0" fontId="0" fillId="11" borderId="10" xfId="0" applyFont="1" applyFill="1" applyBorder="1" applyProtection="1">
      <protection locked="0"/>
    </xf>
    <xf numFmtId="0" fontId="0" fillId="11" borderId="3" xfId="0" applyFont="1" applyFill="1" applyBorder="1" applyProtection="1">
      <protection locked="0"/>
    </xf>
    <xf numFmtId="0" fontId="1" fillId="11" borderId="10" xfId="0" applyFont="1" applyFill="1" applyBorder="1" applyProtection="1">
      <protection locked="0"/>
    </xf>
    <xf numFmtId="0" fontId="1" fillId="11" borderId="3" xfId="0" applyFont="1" applyFill="1" applyBorder="1" applyProtection="1">
      <protection locked="0"/>
    </xf>
    <xf numFmtId="0" fontId="1" fillId="11" borderId="3" xfId="2" applyFont="1" applyFill="1" applyBorder="1" applyProtection="1">
      <protection locked="0"/>
    </xf>
    <xf numFmtId="0" fontId="1" fillId="11" borderId="3" xfId="2" applyFont="1" applyFill="1" applyBorder="1" applyAlignment="1" applyProtection="1">
      <alignment horizontal="right"/>
      <protection locked="0"/>
    </xf>
    <xf numFmtId="1" fontId="6" fillId="7" borderId="4" xfId="3" applyNumberFormat="1" applyFont="1" applyFill="1" applyBorder="1"/>
    <xf numFmtId="0" fontId="1" fillId="7" borderId="5" xfId="0" applyFont="1" applyFill="1" applyBorder="1"/>
    <xf numFmtId="1" fontId="6" fillId="7" borderId="8" xfId="0" applyNumberFormat="1" applyFont="1" applyFill="1" applyBorder="1" applyAlignment="1">
      <alignment horizontal="center"/>
    </xf>
    <xf numFmtId="0" fontId="6" fillId="7" borderId="8" xfId="0" applyFont="1" applyFill="1" applyBorder="1" applyAlignment="1">
      <alignment horizontal="center"/>
    </xf>
    <xf numFmtId="0" fontId="6" fillId="7" borderId="5" xfId="0" applyFont="1" applyFill="1" applyBorder="1" applyAlignment="1">
      <alignment horizontal="center"/>
    </xf>
    <xf numFmtId="166" fontId="1" fillId="7" borderId="3" xfId="0" applyNumberFormat="1" applyFont="1" applyFill="1" applyBorder="1"/>
    <xf numFmtId="165" fontId="1" fillId="7" borderId="3" xfId="0" applyNumberFormat="1" applyFont="1" applyFill="1" applyBorder="1"/>
    <xf numFmtId="0" fontId="6" fillId="0" borderId="0" xfId="1" applyFont="1" applyFill="1" applyAlignment="1"/>
    <xf numFmtId="1" fontId="1" fillId="2" borderId="3" xfId="0" applyNumberFormat="1" applyFont="1" applyFill="1" applyBorder="1" applyAlignment="1">
      <alignment horizontal="center"/>
    </xf>
    <xf numFmtId="167" fontId="1" fillId="2" borderId="3" xfId="0" applyNumberFormat="1" applyFont="1" applyFill="1" applyBorder="1" applyAlignment="1">
      <alignment horizontal="center"/>
    </xf>
    <xf numFmtId="1" fontId="1" fillId="2" borderId="1" xfId="0" applyNumberFormat="1" applyFont="1" applyFill="1" applyBorder="1" applyAlignment="1">
      <alignment horizontal="center"/>
    </xf>
    <xf numFmtId="165" fontId="1" fillId="2" borderId="3" xfId="0" applyNumberFormat="1" applyFont="1" applyFill="1" applyBorder="1" applyAlignment="1">
      <alignment horizontal="center"/>
    </xf>
    <xf numFmtId="165" fontId="1" fillId="2" borderId="10" xfId="0" applyNumberFormat="1" applyFont="1" applyFill="1" applyBorder="1" applyAlignment="1">
      <alignment horizontal="center"/>
    </xf>
    <xf numFmtId="165" fontId="1" fillId="0" borderId="0" xfId="0" applyNumberFormat="1" applyFont="1"/>
    <xf numFmtId="165" fontId="1" fillId="0" borderId="3" xfId="0" applyNumberFormat="1" applyFont="1" applyFill="1" applyBorder="1" applyAlignment="1">
      <alignment horizontal="center"/>
    </xf>
    <xf numFmtId="166" fontId="1" fillId="2" borderId="3" xfId="0" applyNumberFormat="1" applyFont="1" applyFill="1" applyBorder="1" applyAlignment="1">
      <alignment horizontal="center"/>
    </xf>
    <xf numFmtId="167" fontId="1" fillId="2" borderId="6" xfId="0" applyNumberFormat="1" applyFont="1" applyFill="1" applyBorder="1" applyAlignment="1">
      <alignment horizontal="center"/>
    </xf>
    <xf numFmtId="165" fontId="1" fillId="2" borderId="16" xfId="0" applyNumberFormat="1" applyFont="1" applyFill="1" applyBorder="1" applyAlignment="1">
      <alignment horizontal="center"/>
    </xf>
    <xf numFmtId="165" fontId="1" fillId="2" borderId="6" xfId="0" applyNumberFormat="1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3" xfId="0" applyFont="1" applyFill="1" applyBorder="1" applyAlignment="1" applyProtection="1">
      <alignment horizontal="left"/>
      <protection locked="0"/>
    </xf>
    <xf numFmtId="0" fontId="1" fillId="2" borderId="4" xfId="0" applyFont="1" applyFill="1" applyBorder="1" applyAlignment="1" applyProtection="1">
      <alignment horizontal="center"/>
      <protection locked="0"/>
    </xf>
    <xf numFmtId="0" fontId="1" fillId="0" borderId="0" xfId="0" applyFont="1" applyBorder="1" applyAlignment="1" applyProtection="1"/>
    <xf numFmtId="0" fontId="1" fillId="3" borderId="10" xfId="0" applyFont="1" applyFill="1" applyBorder="1" applyAlignment="1" applyProtection="1">
      <alignment horizontal="left"/>
      <protection locked="0"/>
    </xf>
    <xf numFmtId="0" fontId="1" fillId="2" borderId="0" xfId="0" applyFont="1" applyFill="1" applyAlignment="1" applyProtection="1">
      <alignment horizontal="center"/>
      <protection locked="0"/>
    </xf>
    <xf numFmtId="0" fontId="6" fillId="0" borderId="4" xfId="0" applyFont="1" applyFill="1" applyBorder="1" applyAlignment="1">
      <alignment horizontal="right"/>
    </xf>
    <xf numFmtId="0" fontId="6" fillId="0" borderId="5" xfId="0" applyFont="1" applyFill="1" applyBorder="1" applyAlignment="1">
      <alignment horizontal="right"/>
    </xf>
    <xf numFmtId="0" fontId="1" fillId="3" borderId="4" xfId="0" applyFont="1" applyFill="1" applyBorder="1" applyAlignment="1" applyProtection="1">
      <alignment horizontal="left"/>
      <protection locked="0"/>
    </xf>
    <xf numFmtId="0" fontId="1" fillId="3" borderId="5" xfId="0" applyFont="1" applyFill="1" applyBorder="1" applyAlignment="1" applyProtection="1">
      <alignment horizontal="left"/>
      <protection locked="0"/>
    </xf>
    <xf numFmtId="0" fontId="3" fillId="7" borderId="4" xfId="0" applyFont="1" applyFill="1" applyBorder="1" applyAlignment="1">
      <alignment horizontal="center"/>
    </xf>
    <xf numFmtId="0" fontId="3" fillId="7" borderId="8" xfId="0" applyFont="1" applyFill="1" applyBorder="1" applyAlignment="1">
      <alignment horizontal="center"/>
    </xf>
    <xf numFmtId="0" fontId="3" fillId="7" borderId="5" xfId="0" applyFont="1" applyFill="1" applyBorder="1" applyAlignment="1">
      <alignment horizontal="center"/>
    </xf>
    <xf numFmtId="0" fontId="6" fillId="0" borderId="14" xfId="0" applyFont="1" applyFill="1" applyBorder="1" applyAlignment="1">
      <alignment horizontal="right"/>
    </xf>
    <xf numFmtId="0" fontId="6" fillId="0" borderId="12" xfId="0" applyFont="1" applyFill="1" applyBorder="1" applyAlignment="1">
      <alignment horizontal="right"/>
    </xf>
    <xf numFmtId="0" fontId="11" fillId="6" borderId="4" xfId="0" applyFont="1" applyFill="1" applyBorder="1" applyAlignment="1">
      <alignment horizontal="right"/>
    </xf>
    <xf numFmtId="0" fontId="11" fillId="6" borderId="5" xfId="0" applyFont="1" applyFill="1" applyBorder="1" applyAlignment="1">
      <alignment horizontal="right"/>
    </xf>
    <xf numFmtId="0" fontId="3" fillId="5" borderId="4" xfId="0" applyFont="1" applyFill="1" applyBorder="1" applyAlignment="1">
      <alignment horizontal="center"/>
    </xf>
    <xf numFmtId="0" fontId="3" fillId="5" borderId="8" xfId="0" applyFont="1" applyFill="1" applyBorder="1" applyAlignment="1">
      <alignment horizontal="center"/>
    </xf>
    <xf numFmtId="0" fontId="3" fillId="5" borderId="5" xfId="0" applyFont="1" applyFill="1" applyBorder="1" applyAlignment="1">
      <alignment horizontal="center"/>
    </xf>
    <xf numFmtId="0" fontId="6" fillId="0" borderId="11" xfId="0" applyFont="1" applyFill="1" applyBorder="1" applyAlignment="1">
      <alignment horizontal="right"/>
    </xf>
    <xf numFmtId="0" fontId="6" fillId="0" borderId="8" xfId="0" applyFont="1" applyFill="1" applyBorder="1" applyAlignment="1">
      <alignment horizontal="right"/>
    </xf>
    <xf numFmtId="0" fontId="6" fillId="4" borderId="4" xfId="1" applyFont="1" applyBorder="1" applyAlignment="1">
      <alignment horizontal="center"/>
    </xf>
    <xf numFmtId="0" fontId="6" fillId="4" borderId="8" xfId="1" applyFont="1" applyBorder="1" applyAlignment="1">
      <alignment horizontal="center"/>
    </xf>
    <xf numFmtId="0" fontId="6" fillId="4" borderId="5" xfId="1" applyFont="1" applyBorder="1" applyAlignment="1">
      <alignment horizontal="center"/>
    </xf>
    <xf numFmtId="0" fontId="14" fillId="6" borderId="4" xfId="0" applyFont="1" applyFill="1" applyBorder="1" applyAlignment="1">
      <alignment horizontal="left"/>
    </xf>
    <xf numFmtId="0" fontId="14" fillId="6" borderId="5" xfId="0" applyFont="1" applyFill="1" applyBorder="1" applyAlignment="1">
      <alignment horizontal="left"/>
    </xf>
    <xf numFmtId="0" fontId="14" fillId="0" borderId="4" xfId="0" applyFont="1" applyFill="1" applyBorder="1" applyAlignment="1">
      <alignment horizontal="right"/>
    </xf>
    <xf numFmtId="0" fontId="14" fillId="0" borderId="5" xfId="0" applyFont="1" applyFill="1" applyBorder="1" applyAlignment="1">
      <alignment horizontal="right"/>
    </xf>
    <xf numFmtId="0" fontId="14" fillId="0" borderId="11" xfId="0" applyFont="1" applyFill="1" applyBorder="1" applyAlignment="1">
      <alignment horizontal="right"/>
    </xf>
    <xf numFmtId="0" fontId="14" fillId="0" borderId="15" xfId="0" applyFont="1" applyFill="1" applyBorder="1" applyAlignment="1">
      <alignment horizontal="right"/>
    </xf>
    <xf numFmtId="0" fontId="14" fillId="0" borderId="14" xfId="0" applyFont="1" applyFill="1" applyBorder="1" applyAlignment="1">
      <alignment horizontal="right"/>
    </xf>
    <xf numFmtId="0" fontId="14" fillId="0" borderId="12" xfId="0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0" fontId="14" fillId="6" borderId="4" xfId="0" applyFont="1" applyFill="1" applyBorder="1" applyAlignment="1">
      <alignment horizontal="right"/>
    </xf>
    <xf numFmtId="0" fontId="14" fillId="6" borderId="5" xfId="0" applyFont="1" applyFill="1" applyBorder="1" applyAlignment="1">
      <alignment horizontal="right"/>
    </xf>
    <xf numFmtId="0" fontId="7" fillId="6" borderId="4" xfId="0" applyFont="1" applyFill="1" applyBorder="1" applyAlignment="1">
      <alignment horizontal="left"/>
    </xf>
    <xf numFmtId="0" fontId="7" fillId="6" borderId="5" xfId="0" applyFont="1" applyFill="1" applyBorder="1" applyAlignment="1">
      <alignment horizontal="left"/>
    </xf>
    <xf numFmtId="0" fontId="6" fillId="0" borderId="15" xfId="0" applyFont="1" applyFill="1" applyBorder="1" applyAlignment="1">
      <alignment horizontal="right"/>
    </xf>
    <xf numFmtId="0" fontId="14" fillId="6" borderId="19" xfId="0" applyFont="1" applyFill="1" applyBorder="1" applyAlignment="1">
      <alignment horizontal="left"/>
    </xf>
    <xf numFmtId="0" fontId="14" fillId="6" borderId="17" xfId="0" applyFont="1" applyFill="1" applyBorder="1" applyAlignment="1">
      <alignment horizontal="left"/>
    </xf>
    <xf numFmtId="0" fontId="6" fillId="0" borderId="16" xfId="0" applyFont="1" applyFill="1" applyBorder="1" applyAlignment="1">
      <alignment horizontal="right"/>
    </xf>
    <xf numFmtId="0" fontId="1" fillId="11" borderId="4" xfId="0" applyFont="1" applyFill="1" applyBorder="1" applyAlignment="1">
      <alignment horizontal="center"/>
    </xf>
    <xf numFmtId="0" fontId="1" fillId="11" borderId="8" xfId="0" applyFont="1" applyFill="1" applyBorder="1" applyAlignment="1">
      <alignment horizontal="center"/>
    </xf>
    <xf numFmtId="0" fontId="1" fillId="11" borderId="5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1" fillId="10" borderId="4" xfId="0" applyFont="1" applyFill="1" applyBorder="1" applyAlignment="1">
      <alignment horizontal="left"/>
    </xf>
    <xf numFmtId="0" fontId="1" fillId="10" borderId="5" xfId="0" applyFont="1" applyFill="1" applyBorder="1" applyAlignment="1">
      <alignment horizontal="left"/>
    </xf>
  </cellXfs>
  <cellStyles count="4">
    <cellStyle name="60% - Accent3" xfId="1" builtinId="40"/>
    <cellStyle name="Calculation" xfId="3" builtinId="22"/>
    <cellStyle name="Input" xfId="2" builtinId="20"/>
    <cellStyle name="Normal" xfId="0" builtinId="0"/>
  </cellStyles>
  <dxfs count="27">
    <dxf>
      <font>
        <b/>
      </font>
      <alignment horizontal="center" vertical="bottom" textRotation="0" wrapText="0" indent="0" justifyLastLine="0" shrinkToFit="0" readingOrder="0"/>
      <protection locked="0" hidden="0"/>
    </dxf>
    <dxf>
      <font>
        <b/>
      </font>
      <alignment horizontal="center" vertical="bottom" textRotation="0" wrapText="0" indent="0" justifyLastLine="0" shrinkToFit="0" readingOrder="0"/>
      <protection locked="0" hidden="0"/>
    </dxf>
    <dxf>
      <font>
        <b/>
      </font>
      <alignment horizontal="center" vertical="bottom" textRotation="0" wrapText="0" indent="0" justifyLastLine="0" shrinkToFit="0" readingOrder="0"/>
      <protection locked="0" hidden="0"/>
    </dxf>
    <dxf>
      <font>
        <b/>
      </font>
      <numFmt numFmtId="0" formatCode="General"/>
      <protection locked="0" hidden="0"/>
    </dxf>
    <dxf>
      <font>
        <b/>
      </font>
      <protection locked="0" hidden="0"/>
    </dxf>
    <dxf>
      <font>
        <b/>
      </font>
      <protection locked="0" hidden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</font>
      <alignment horizontal="center" vertical="bottom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scheme val="minor"/>
      </font>
      <alignment horizontal="center" vertical="bottom" textRotation="0" wrapText="0" indent="0" justifyLastLine="0" shrinkToFit="0" readingOrder="0"/>
      <protection locked="0" hidden="0"/>
    </dxf>
    <dxf>
      <font>
        <b/>
      </font>
      <alignment horizontal="center" vertical="bottom" textRotation="0" wrapText="0" indent="0" justifyLastLine="0" shrinkToFit="0" readingOrder="0"/>
      <protection locked="0" hidden="0"/>
    </dxf>
    <dxf>
      <font>
        <b/>
      </font>
      <alignment horizontal="center" vertical="bottom" textRotation="0" wrapText="0" indent="0" justifyLastLine="0" shrinkToFit="0" readingOrder="0"/>
      <protection locked="0" hidden="0"/>
    </dxf>
    <dxf>
      <font>
        <b/>
      </font>
      <alignment horizontal="center" vertical="bottom" textRotation="0" wrapText="0" indent="0" justifyLastLine="0" shrinkToFit="0" readingOrder="0"/>
      <protection locked="0" hidden="0"/>
    </dxf>
    <dxf>
      <font>
        <b/>
      </font>
      <numFmt numFmtId="0" formatCode="General"/>
      <protection locked="0" hidden="0"/>
    </dxf>
    <dxf>
      <font>
        <b/>
      </font>
      <protection locked="0" hidden="0"/>
    </dxf>
    <dxf>
      <font>
        <b/>
      </font>
      <protection locked="0" hidden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</font>
      <alignment horizontal="center" vertical="bottom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scheme val="minor"/>
      </font>
      <alignment horizontal="center" vertical="bottom" textRotation="0" wrapText="0" indent="0" justifyLastLine="0" shrinkToFit="0" readingOrder="0"/>
      <protection locked="0" hidden="0"/>
    </dxf>
    <dxf>
      <font>
        <b/>
      </font>
      <alignment horizontal="center" vertical="bottom" textRotation="0" wrapText="0" indent="0" justifyLastLine="0" shrinkToFit="0" readingOrder="0"/>
      <protection locked="1" hidden="0"/>
    </dxf>
    <dxf>
      <font>
        <b/>
      </font>
      <alignment horizontal="center" vertical="bottom" textRotation="0" wrapText="0" indent="0" justifyLastLine="0" shrinkToFit="0" readingOrder="0"/>
      <protection locked="1" hidden="0"/>
    </dxf>
    <dxf>
      <font>
        <b/>
      </font>
      <alignment horizontal="center" vertical="bottom" textRotation="0" wrapText="0" indent="0" justifyLastLine="0" shrinkToFit="0" readingOrder="0"/>
      <protection locked="1" hidden="0"/>
    </dxf>
    <dxf>
      <font>
        <b/>
      </font>
      <numFmt numFmtId="0" formatCode="General"/>
      <protection locked="1" hidden="0"/>
    </dxf>
    <dxf>
      <font>
        <b/>
      </font>
      <protection locked="1" hidden="0"/>
    </dxf>
    <dxf>
      <font>
        <b/>
      </font>
      <protection locked="1" hidden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</font>
      <alignment horizontal="center" vertical="bottom" textRotation="0" wrapText="0" 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scheme val="minor"/>
      </font>
      <alignment horizontal="center" vertical="bottom" textRotation="0" wrapText="0" indent="0" justifyLastLine="0" shrinkToFit="0" readingOrder="0"/>
      <protection locked="0" hidden="0"/>
    </dxf>
  </dxfs>
  <tableStyles count="0" defaultTableStyle="TableStyleMedium2" defaultPivotStyle="PivotStyleLight16"/>
  <colors>
    <mruColors>
      <color rgb="FFCCFFCC"/>
      <color rgb="FFFFFF99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FEDORK\Local%20Settings\Temporary%20Internet%20Files\Content.Outlook\BQV4W1OY\Heliox%20Cylinder%20duration%20chart%20(4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uration"/>
      <sheetName val="Heliox cylinders"/>
      <sheetName val="Sheet3"/>
    </sheetNames>
    <sheetDataSet>
      <sheetData sheetId="0"/>
      <sheetData sheetId="1">
        <row r="15">
          <cell r="A15" t="str">
            <v>K</v>
          </cell>
          <cell r="B15">
            <v>6348.5999999999995</v>
          </cell>
        </row>
        <row r="16">
          <cell r="A16" t="str">
            <v>T</v>
          </cell>
          <cell r="B16">
            <v>8500.4</v>
          </cell>
        </row>
      </sheetData>
      <sheetData sheetId="2"/>
    </sheetDataSet>
  </externalBook>
</externalLink>
</file>

<file path=xl/tables/table1.xml><?xml version="1.0" encoding="utf-8"?>
<table xmlns="http://schemas.openxmlformats.org/spreadsheetml/2006/main" id="1" name="Table22" displayName="Table22" ref="A37:F44" totalsRowShown="0" headerRowDxfId="26" dataDxfId="25" tableBorderDxfId="24">
  <autoFilter ref="A37:F44"/>
  <tableColumns count="6">
    <tableColumn id="1" name="Device" dataDxfId="23"/>
    <tableColumn id="2" name="4hr" dataDxfId="22"/>
    <tableColumn id="6" name="4H Alb" dataDxfId="21">
      <calculatedColumnFormula>($D$36/5)*$F$36</calculatedColumnFormula>
    </tableColumn>
    <tableColumn id="3" name="NS" dataDxfId="20"/>
    <tableColumn id="4" name="Flow" dataDxfId="19"/>
    <tableColumn id="5" name="output/hr" dataDxfId="18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27:F34" totalsRowShown="0" headerRowDxfId="17" dataDxfId="16" tableBorderDxfId="15">
  <autoFilter ref="A27:F34"/>
  <tableColumns count="6">
    <tableColumn id="1" name="Device" dataDxfId="14"/>
    <tableColumn id="2" name="4hr" dataDxfId="13"/>
    <tableColumn id="6" name="4H Alb" dataDxfId="12"/>
    <tableColumn id="3" name="." dataDxfId="11"/>
    <tableColumn id="4" name="Flow" dataDxfId="10"/>
    <tableColumn id="5" name="output/hr" dataDxfId="9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Table224" displayName="Table224" ref="A50:F57" totalsRowShown="0" headerRowDxfId="8" dataDxfId="7" tableBorderDxfId="6">
  <autoFilter ref="A50:F57"/>
  <tableColumns count="6">
    <tableColumn id="1" name="Device" dataDxfId="5"/>
    <tableColumn id="2" name="4hr" dataDxfId="4"/>
    <tableColumn id="6" name="4H Alb" dataDxfId="3">
      <calculatedColumnFormula>($D$49/5)*$F$49</calculatedColumnFormula>
    </tableColumn>
    <tableColumn id="3" name="NS" dataDxfId="2"/>
    <tableColumn id="4" name="Flow" dataDxfId="1"/>
    <tableColumn id="5" name="output/hr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1"/>
  <sheetViews>
    <sheetView showGridLines="0" view="pageLayout" topLeftCell="A20" zoomScaleNormal="100" workbookViewId="0">
      <selection activeCell="D35" sqref="D35:E35"/>
    </sheetView>
  </sheetViews>
  <sheetFormatPr defaultRowHeight="15" x14ac:dyDescent="0.25"/>
  <cols>
    <col min="1" max="1" width="10.42578125" customWidth="1"/>
    <col min="2" max="2" width="8.7109375" customWidth="1"/>
    <col min="3" max="3" width="9.5703125" customWidth="1"/>
    <col min="4" max="4" width="10.42578125" customWidth="1"/>
    <col min="5" max="5" width="10.140625" customWidth="1"/>
    <col min="6" max="6" width="9.85546875" customWidth="1"/>
    <col min="7" max="7" width="10.140625" customWidth="1"/>
    <col min="8" max="8" width="10.85546875" customWidth="1"/>
    <col min="9" max="9" width="9.28515625" customWidth="1"/>
    <col min="10" max="10" width="11.42578125" customWidth="1"/>
    <col min="11" max="11" width="10.85546875" customWidth="1"/>
    <col min="12" max="12" width="5.28515625" customWidth="1"/>
    <col min="14" max="14" width="10" customWidth="1"/>
    <col min="15" max="15" width="5.85546875" customWidth="1"/>
  </cols>
  <sheetData>
    <row r="1" spans="1:10" ht="15.75" thickBot="1" x14ac:dyDescent="0.3">
      <c r="A1" s="118" t="s">
        <v>0</v>
      </c>
      <c r="B1" s="119"/>
      <c r="C1" s="119"/>
      <c r="D1" s="119"/>
      <c r="E1" s="119"/>
      <c r="F1" s="119"/>
      <c r="G1" s="119"/>
      <c r="H1" s="119"/>
      <c r="I1" s="120"/>
      <c r="J1" s="84"/>
    </row>
    <row r="2" spans="1:10" ht="15.75" thickBot="1" x14ac:dyDescent="0.3">
      <c r="A2" s="2"/>
      <c r="B2" s="2"/>
      <c r="C2" s="2"/>
      <c r="D2" s="2"/>
    </row>
    <row r="3" spans="1:10" ht="15.75" thickBot="1" x14ac:dyDescent="0.3">
      <c r="A3" s="106" t="s">
        <v>60</v>
      </c>
      <c r="B3" s="107"/>
      <c r="C3" s="107"/>
      <c r="D3" s="107"/>
      <c r="E3" s="107"/>
      <c r="F3" s="107"/>
      <c r="G3" s="107"/>
      <c r="H3" s="107"/>
      <c r="I3" s="108"/>
    </row>
    <row r="4" spans="1:10" ht="15.75" thickBot="1" x14ac:dyDescent="0.3">
      <c r="A4" s="23"/>
      <c r="B4" s="24"/>
      <c r="C4" s="25"/>
      <c r="D4" s="2"/>
      <c r="F4" s="1"/>
      <c r="G4" s="1"/>
    </row>
    <row r="5" spans="1:10" ht="15.75" thickBot="1" x14ac:dyDescent="0.3">
      <c r="A5" s="44" t="s">
        <v>6</v>
      </c>
      <c r="B5" s="31"/>
      <c r="C5" s="87">
        <f>(B6*B7)/B8</f>
        <v>40</v>
      </c>
      <c r="E5" s="45" t="s">
        <v>33</v>
      </c>
      <c r="F5" s="15"/>
      <c r="G5" s="95">
        <f>(F6*F7)/60*(F8-F9)+F9</f>
        <v>14.75</v>
      </c>
    </row>
    <row r="6" spans="1:10" x14ac:dyDescent="0.25">
      <c r="A6" s="11" t="s">
        <v>5</v>
      </c>
      <c r="B6" s="34">
        <v>20</v>
      </c>
      <c r="C6" s="7"/>
      <c r="D6" s="4"/>
      <c r="E6" s="11" t="s">
        <v>34</v>
      </c>
      <c r="F6" s="36">
        <v>30</v>
      </c>
    </row>
    <row r="7" spans="1:10" ht="14.25" customHeight="1" x14ac:dyDescent="0.35">
      <c r="A7" s="11" t="s">
        <v>17</v>
      </c>
      <c r="B7" s="35">
        <v>100</v>
      </c>
      <c r="C7" s="7"/>
      <c r="D7" s="2"/>
      <c r="E7" s="11" t="s">
        <v>35</v>
      </c>
      <c r="F7" s="37">
        <v>0.5</v>
      </c>
    </row>
    <row r="8" spans="1:10" ht="15.75" customHeight="1" x14ac:dyDescent="0.35">
      <c r="A8" s="11" t="s">
        <v>18</v>
      </c>
      <c r="B8" s="35">
        <v>50</v>
      </c>
      <c r="C8" s="7"/>
      <c r="D8" s="2"/>
      <c r="E8" s="11" t="s">
        <v>36</v>
      </c>
      <c r="F8" s="37">
        <v>35</v>
      </c>
    </row>
    <row r="9" spans="1:10" ht="15.75" customHeight="1" x14ac:dyDescent="0.25">
      <c r="A9" s="2"/>
      <c r="B9" s="7"/>
      <c r="C9" s="7"/>
      <c r="D9" s="2"/>
      <c r="E9" s="11" t="s">
        <v>37</v>
      </c>
      <c r="F9" s="37">
        <v>8</v>
      </c>
    </row>
    <row r="10" spans="1:10" ht="15.75" customHeight="1" thickBot="1" x14ac:dyDescent="0.3">
      <c r="A10" s="2"/>
      <c r="B10" s="7"/>
      <c r="C10" s="7"/>
      <c r="D10" s="2"/>
      <c r="F10" s="28"/>
    </row>
    <row r="11" spans="1:10" ht="15.75" thickBot="1" x14ac:dyDescent="0.3">
      <c r="A11" s="113" t="s">
        <v>59</v>
      </c>
      <c r="B11" s="114"/>
      <c r="C11" s="114"/>
      <c r="D11" s="114"/>
      <c r="E11" s="114"/>
      <c r="F11" s="114"/>
      <c r="G11" s="114"/>
      <c r="H11" s="114"/>
      <c r="I11" s="115"/>
    </row>
    <row r="12" spans="1:10" x14ac:dyDescent="0.25">
      <c r="A12" s="25"/>
      <c r="B12" s="25"/>
      <c r="C12" s="25"/>
      <c r="D12" s="25"/>
    </row>
    <row r="13" spans="1:10" ht="15.75" thickBot="1" x14ac:dyDescent="0.3">
      <c r="A13" s="2" t="s">
        <v>31</v>
      </c>
      <c r="B13" s="35">
        <v>4</v>
      </c>
      <c r="C13" s="7"/>
      <c r="D13" s="9" t="s">
        <v>30</v>
      </c>
      <c r="E13" s="35">
        <v>20</v>
      </c>
    </row>
    <row r="14" spans="1:10" ht="15.75" thickBot="1" x14ac:dyDescent="0.3">
      <c r="A14" s="43" t="s">
        <v>8</v>
      </c>
      <c r="B14" s="26"/>
      <c r="C14" s="16"/>
      <c r="D14" s="16"/>
      <c r="E14" s="22"/>
      <c r="F14" s="88">
        <f>(B13+16)/4</f>
        <v>5</v>
      </c>
    </row>
    <row r="15" spans="1:10" ht="15.75" thickBot="1" x14ac:dyDescent="0.3">
      <c r="D15" s="2"/>
    </row>
    <row r="16" spans="1:10" ht="15.75" thickBot="1" x14ac:dyDescent="0.3">
      <c r="A16" s="42" t="s">
        <v>9</v>
      </c>
      <c r="B16" s="16"/>
      <c r="C16" s="16"/>
      <c r="D16" s="16"/>
      <c r="E16" s="17"/>
      <c r="F16" s="88">
        <f>F14*3</f>
        <v>15</v>
      </c>
    </row>
    <row r="17" spans="1:13" ht="15.75" thickBot="1" x14ac:dyDescent="0.3">
      <c r="A17" s="2"/>
      <c r="B17" s="2"/>
      <c r="C17" s="2"/>
      <c r="D17" s="2"/>
      <c r="F17" s="7"/>
    </row>
    <row r="18" spans="1:13" ht="15.75" thickBot="1" x14ac:dyDescent="0.3">
      <c r="A18" s="50" t="s">
        <v>10</v>
      </c>
      <c r="B18" s="51"/>
      <c r="C18" s="51"/>
      <c r="D18" s="52"/>
      <c r="E18" s="2"/>
      <c r="G18" s="33" t="s">
        <v>19</v>
      </c>
      <c r="H18" s="33" t="s">
        <v>14</v>
      </c>
      <c r="I18" s="33" t="s">
        <v>20</v>
      </c>
      <c r="L18" s="1"/>
      <c r="M18" s="1"/>
    </row>
    <row r="19" spans="1:13" ht="15.75" thickBot="1" x14ac:dyDescent="0.3">
      <c r="A19" s="116" t="s">
        <v>11</v>
      </c>
      <c r="B19" s="110"/>
      <c r="C19" s="88">
        <f>F14-0.5</f>
        <v>4.5</v>
      </c>
      <c r="D19" s="94">
        <f>F14</f>
        <v>5</v>
      </c>
      <c r="E19" s="90"/>
      <c r="G19" s="32">
        <v>1</v>
      </c>
      <c r="H19" s="32">
        <v>1</v>
      </c>
      <c r="I19" s="32">
        <v>1</v>
      </c>
    </row>
    <row r="20" spans="1:13" ht="15.75" thickBot="1" x14ac:dyDescent="0.3">
      <c r="A20" s="102" t="s">
        <v>12</v>
      </c>
      <c r="B20" s="117"/>
      <c r="C20" s="88">
        <f>F14-0.5</f>
        <v>4.5</v>
      </c>
      <c r="D20" s="88">
        <f>F14</f>
        <v>5</v>
      </c>
      <c r="E20" s="88">
        <f>F14+0.5</f>
        <v>5.5</v>
      </c>
      <c r="G20" s="32">
        <v>5</v>
      </c>
      <c r="H20" s="32">
        <v>1.5</v>
      </c>
      <c r="I20" s="32">
        <v>2</v>
      </c>
    </row>
    <row r="21" spans="1:13" ht="15.75" thickBot="1" x14ac:dyDescent="0.3">
      <c r="A21" s="109" t="s">
        <v>13</v>
      </c>
      <c r="B21" s="109"/>
      <c r="C21" s="53" t="s">
        <v>14</v>
      </c>
      <c r="D21" s="53" t="s">
        <v>15</v>
      </c>
      <c r="E21" s="6"/>
      <c r="G21" s="32">
        <v>10</v>
      </c>
      <c r="H21" s="32">
        <v>2</v>
      </c>
      <c r="I21" s="32">
        <v>3</v>
      </c>
    </row>
    <row r="22" spans="1:13" ht="15.75" thickBot="1" x14ac:dyDescent="0.3">
      <c r="A22" s="110"/>
      <c r="B22" s="110"/>
      <c r="C22" s="53">
        <f>VLOOKUP(B13,G19:H22,2)</f>
        <v>1</v>
      </c>
      <c r="D22" s="53">
        <f>VLOOKUP(B13,G19:I22,3)</f>
        <v>1</v>
      </c>
      <c r="E22" s="6"/>
      <c r="G22" s="32">
        <v>20</v>
      </c>
      <c r="H22" s="32">
        <v>3</v>
      </c>
      <c r="I22" s="32">
        <v>4</v>
      </c>
    </row>
    <row r="23" spans="1:13" ht="15.75" thickBot="1" x14ac:dyDescent="0.3">
      <c r="A23" s="102" t="s">
        <v>28</v>
      </c>
      <c r="B23" s="103"/>
      <c r="C23" s="53" t="str">
        <f>IF(F14&lt;=5.5,"6 Fr","14 Fr")</f>
        <v>6 Fr</v>
      </c>
      <c r="D23" s="5"/>
      <c r="E23" s="5"/>
    </row>
    <row r="24" spans="1:13" ht="15.75" thickBot="1" x14ac:dyDescent="0.3"/>
    <row r="25" spans="1:13" ht="15.75" thickBot="1" x14ac:dyDescent="0.3">
      <c r="A25" s="40" t="s">
        <v>25</v>
      </c>
      <c r="B25" s="2"/>
      <c r="C25" s="2"/>
      <c r="D25" s="2"/>
      <c r="E25" s="2"/>
      <c r="G25" t="s">
        <v>16</v>
      </c>
    </row>
    <row r="26" spans="1:13" ht="15.75" thickBot="1" x14ac:dyDescent="0.3">
      <c r="A26" s="8" t="s">
        <v>27</v>
      </c>
      <c r="B26" s="85">
        <f>E13*6</f>
        <v>120</v>
      </c>
      <c r="C26" s="8" t="s">
        <v>29</v>
      </c>
      <c r="D26" s="85">
        <f>E13*8</f>
        <v>160</v>
      </c>
      <c r="F26" s="111" t="s">
        <v>63</v>
      </c>
      <c r="G26" s="112"/>
      <c r="H26" s="53">
        <f>F14*2</f>
        <v>10</v>
      </c>
      <c r="I26" t="s">
        <v>70</v>
      </c>
    </row>
    <row r="27" spans="1:13" ht="15.75" thickBot="1" x14ac:dyDescent="0.3">
      <c r="F27" s="111" t="s">
        <v>64</v>
      </c>
      <c r="G27" s="112"/>
      <c r="H27" s="54"/>
      <c r="I27" t="s">
        <v>65</v>
      </c>
    </row>
    <row r="28" spans="1:13" ht="15.75" thickBot="1" x14ac:dyDescent="0.3"/>
    <row r="29" spans="1:13" ht="18.75" thickBot="1" x14ac:dyDescent="0.4">
      <c r="A29" s="42" t="s">
        <v>66</v>
      </c>
      <c r="B29" s="41"/>
      <c r="C29" s="53" t="str">
        <f>IF(E13&lt;15,"Pedi-Cap","EZ-Cap")</f>
        <v>EZ-Cap</v>
      </c>
      <c r="F29" s="40" t="s">
        <v>38</v>
      </c>
      <c r="G29" s="93">
        <f>G30/(G31/G30)</f>
        <v>20</v>
      </c>
      <c r="H29" s="11" t="s">
        <v>39</v>
      </c>
      <c r="I29" s="3" t="str">
        <f>IF(G29&lt;100,"Pass","Fail")</f>
        <v>Pass</v>
      </c>
    </row>
    <row r="30" spans="1:13" x14ac:dyDescent="0.25">
      <c r="F30" s="10" t="s">
        <v>40</v>
      </c>
      <c r="G30" s="35">
        <v>10</v>
      </c>
    </row>
    <row r="31" spans="1:13" ht="18" x14ac:dyDescent="0.35">
      <c r="F31" s="2" t="s">
        <v>58</v>
      </c>
      <c r="G31" s="35">
        <v>5</v>
      </c>
    </row>
    <row r="32" spans="1:13" ht="15.75" thickBot="1" x14ac:dyDescent="0.3">
      <c r="F32" s="2"/>
      <c r="G32" s="7"/>
    </row>
    <row r="33" spans="1:15" ht="15.75" thickBot="1" x14ac:dyDescent="0.3">
      <c r="A33" s="106" t="s">
        <v>32</v>
      </c>
      <c r="B33" s="107"/>
      <c r="C33" s="107"/>
      <c r="D33" s="107"/>
      <c r="E33" s="107"/>
      <c r="F33" s="107"/>
      <c r="G33" s="107"/>
      <c r="H33" s="107"/>
      <c r="I33" s="108"/>
    </row>
    <row r="34" spans="1:15" ht="15.75" thickBot="1" x14ac:dyDescent="0.3"/>
    <row r="35" spans="1:15" ht="15.75" thickBot="1" x14ac:dyDescent="0.3">
      <c r="A35" t="s">
        <v>42</v>
      </c>
      <c r="D35" s="104" t="s">
        <v>43</v>
      </c>
      <c r="E35" s="105"/>
      <c r="L35" s="18"/>
      <c r="M35" s="18"/>
      <c r="N35" s="18"/>
      <c r="O35" s="18"/>
    </row>
    <row r="36" spans="1:15" ht="15.75" thickBot="1" x14ac:dyDescent="0.3">
      <c r="A36" t="s">
        <v>51</v>
      </c>
      <c r="D36" s="97">
        <v>10</v>
      </c>
      <c r="E36" s="98" t="s">
        <v>97</v>
      </c>
      <c r="F36" s="55">
        <v>1</v>
      </c>
      <c r="G36" s="7"/>
      <c r="N36" s="1"/>
    </row>
    <row r="37" spans="1:15" x14ac:dyDescent="0.25">
      <c r="A37" s="60" t="s">
        <v>54</v>
      </c>
      <c r="B37" s="60" t="s">
        <v>55</v>
      </c>
      <c r="C37" s="60" t="s">
        <v>56</v>
      </c>
      <c r="D37" s="60" t="s">
        <v>52</v>
      </c>
      <c r="E37" s="60" t="s">
        <v>46</v>
      </c>
      <c r="F37" s="60" t="s">
        <v>53</v>
      </c>
      <c r="N37" s="1"/>
    </row>
    <row r="38" spans="1:15" x14ac:dyDescent="0.25">
      <c r="A38" s="63" t="s">
        <v>43</v>
      </c>
      <c r="B38" s="63"/>
      <c r="C38" s="63">
        <f t="shared" ref="C38:C44" si="0">($D$36/5)*$F$36</f>
        <v>2</v>
      </c>
      <c r="D38" s="64">
        <f>120-Table22[[#This Row],[4H Alb]]</f>
        <v>118</v>
      </c>
      <c r="E38" s="64">
        <v>11</v>
      </c>
      <c r="F38" s="64">
        <f>30</f>
        <v>30</v>
      </c>
      <c r="N38" s="1"/>
    </row>
    <row r="39" spans="1:15" x14ac:dyDescent="0.25">
      <c r="A39" s="63" t="s">
        <v>57</v>
      </c>
      <c r="B39" s="63"/>
      <c r="C39" s="63">
        <f t="shared" si="0"/>
        <v>2</v>
      </c>
      <c r="D39" s="64">
        <f>20-Table22[[#This Row],[4H Alb]]</f>
        <v>18</v>
      </c>
      <c r="E39" s="64" t="s">
        <v>47</v>
      </c>
      <c r="F39" s="64">
        <v>5</v>
      </c>
      <c r="N39" s="1"/>
    </row>
    <row r="40" spans="1:15" x14ac:dyDescent="0.25">
      <c r="A40" s="63" t="s">
        <v>44</v>
      </c>
      <c r="B40" s="63"/>
      <c r="C40" s="63">
        <f t="shared" si="0"/>
        <v>2</v>
      </c>
      <c r="D40" s="64">
        <f>32-C40</f>
        <v>30</v>
      </c>
      <c r="E40" s="64" t="s">
        <v>47</v>
      </c>
      <c r="F40" s="64">
        <v>8</v>
      </c>
    </row>
    <row r="41" spans="1:15" x14ac:dyDescent="0.25">
      <c r="A41" s="63" t="s">
        <v>45</v>
      </c>
      <c r="B41" s="63"/>
      <c r="C41" s="63">
        <f t="shared" si="0"/>
        <v>2</v>
      </c>
      <c r="D41" s="64">
        <f>40-C41</f>
        <v>38</v>
      </c>
      <c r="E41" s="64" t="s">
        <v>47</v>
      </c>
      <c r="F41" s="64">
        <v>10</v>
      </c>
    </row>
    <row r="42" spans="1:15" x14ac:dyDescent="0.25">
      <c r="A42" s="63" t="s">
        <v>48</v>
      </c>
      <c r="B42" s="63"/>
      <c r="C42" s="63">
        <f t="shared" si="0"/>
        <v>2</v>
      </c>
      <c r="D42" s="64">
        <f>100-C42</f>
        <v>98</v>
      </c>
      <c r="E42" s="64">
        <v>10</v>
      </c>
      <c r="F42" s="64">
        <v>25</v>
      </c>
    </row>
    <row r="43" spans="1:15" x14ac:dyDescent="0.25">
      <c r="A43" s="63" t="s">
        <v>49</v>
      </c>
      <c r="B43" s="63"/>
      <c r="C43" s="63">
        <f t="shared" si="0"/>
        <v>2</v>
      </c>
      <c r="D43" s="64">
        <f>16-C43</f>
        <v>14</v>
      </c>
      <c r="E43" s="64">
        <v>2</v>
      </c>
      <c r="F43" s="64">
        <v>4</v>
      </c>
    </row>
    <row r="44" spans="1:15" x14ac:dyDescent="0.25">
      <c r="A44" s="99" t="s">
        <v>50</v>
      </c>
      <c r="B44" s="99"/>
      <c r="C44" s="63">
        <f t="shared" si="0"/>
        <v>2</v>
      </c>
      <c r="D44" s="64">
        <f>32-C44</f>
        <v>30</v>
      </c>
      <c r="E44" s="64">
        <v>2</v>
      </c>
      <c r="F44" s="64">
        <v>8</v>
      </c>
    </row>
    <row r="49" spans="4:4" x14ac:dyDescent="0.25">
      <c r="D49" s="19"/>
    </row>
    <row r="50" spans="4:4" x14ac:dyDescent="0.25">
      <c r="D50" s="6"/>
    </row>
    <row r="51" spans="4:4" x14ac:dyDescent="0.25">
      <c r="D51" s="6"/>
    </row>
  </sheetData>
  <sheetProtection sheet="1" objects="1" scenarios="1" selectLockedCells="1"/>
  <mergeCells count="11">
    <mergeCell ref="A11:I11"/>
    <mergeCell ref="A19:B19"/>
    <mergeCell ref="A20:B20"/>
    <mergeCell ref="A3:I3"/>
    <mergeCell ref="A1:I1"/>
    <mergeCell ref="A23:B23"/>
    <mergeCell ref="D35:E35"/>
    <mergeCell ref="A33:I33"/>
    <mergeCell ref="A21:B22"/>
    <mergeCell ref="F26:G26"/>
    <mergeCell ref="F27:G27"/>
  </mergeCells>
  <dataValidations count="1">
    <dataValidation type="list" allowBlank="1" showInputMessage="1" showErrorMessage="1" promptTitle="Nebulizer Type" prompt="Select the nebulizer used " sqref="D35:E35">
      <formula1>$A$38:$A$44</formula1>
    </dataValidation>
  </dataValidations>
  <pageMargins left="0.25" right="0.25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showGridLines="0" workbookViewId="0">
      <selection activeCell="C27" sqref="C27"/>
    </sheetView>
  </sheetViews>
  <sheetFormatPr defaultRowHeight="15" x14ac:dyDescent="0.25"/>
  <cols>
    <col min="1" max="1" width="10.42578125" customWidth="1"/>
    <col min="2" max="2" width="8.7109375" customWidth="1"/>
    <col min="3" max="3" width="9.5703125" customWidth="1"/>
    <col min="4" max="4" width="10.42578125" customWidth="1"/>
    <col min="5" max="5" width="10.140625" customWidth="1"/>
    <col min="6" max="6" width="9.85546875" customWidth="1"/>
    <col min="7" max="7" width="10.140625" customWidth="1"/>
    <col min="8" max="8" width="10.85546875" customWidth="1"/>
    <col min="9" max="9" width="9.28515625" customWidth="1"/>
    <col min="10" max="10" width="11.42578125" customWidth="1"/>
    <col min="11" max="11" width="10.85546875" customWidth="1"/>
    <col min="12" max="12" width="5.28515625" customWidth="1"/>
    <col min="14" max="14" width="10" customWidth="1"/>
    <col min="15" max="15" width="5.85546875" customWidth="1"/>
  </cols>
  <sheetData>
    <row r="1" spans="1:13" ht="15.75" thickBot="1" x14ac:dyDescent="0.3">
      <c r="A1" s="118" t="s">
        <v>0</v>
      </c>
      <c r="B1" s="119"/>
      <c r="C1" s="119"/>
      <c r="D1" s="119"/>
      <c r="E1" s="119"/>
      <c r="F1" s="119"/>
      <c r="G1" s="119"/>
      <c r="H1" s="119"/>
      <c r="I1" s="120"/>
      <c r="J1" s="84"/>
    </row>
    <row r="2" spans="1:13" x14ac:dyDescent="0.25">
      <c r="A2" s="2"/>
      <c r="B2" s="2"/>
      <c r="C2" s="2"/>
      <c r="D2" s="2"/>
    </row>
    <row r="3" spans="1:13" ht="15.75" customHeight="1" thickBot="1" x14ac:dyDescent="0.3">
      <c r="A3" s="2"/>
      <c r="B3" s="7"/>
      <c r="C3" s="7"/>
      <c r="D3" s="2"/>
      <c r="F3" s="28"/>
    </row>
    <row r="4" spans="1:13" ht="15.75" thickBot="1" x14ac:dyDescent="0.3">
      <c r="A4" s="113" t="s">
        <v>59</v>
      </c>
      <c r="B4" s="114"/>
      <c r="C4" s="114"/>
      <c r="D4" s="114"/>
      <c r="E4" s="114"/>
      <c r="F4" s="114"/>
      <c r="G4" s="114"/>
      <c r="H4" s="114"/>
      <c r="I4" s="115"/>
    </row>
    <row r="5" spans="1:13" ht="15.75" thickBot="1" x14ac:dyDescent="0.3">
      <c r="A5" s="25"/>
      <c r="B5" s="25"/>
      <c r="C5" s="25"/>
      <c r="D5" s="25"/>
    </row>
    <row r="6" spans="1:13" ht="15.75" thickBot="1" x14ac:dyDescent="0.3">
      <c r="A6" s="2" t="s">
        <v>31</v>
      </c>
      <c r="B6" s="55">
        <v>3</v>
      </c>
      <c r="C6" s="7"/>
      <c r="D6" s="9" t="s">
        <v>30</v>
      </c>
      <c r="E6" s="55">
        <v>14</v>
      </c>
    </row>
    <row r="7" spans="1:13" ht="15.75" thickBot="1" x14ac:dyDescent="0.3">
      <c r="A7" s="43" t="s">
        <v>8</v>
      </c>
      <c r="B7" s="26"/>
      <c r="C7" s="16"/>
      <c r="D7" s="16"/>
      <c r="E7" s="22"/>
      <c r="F7" s="92">
        <f>(B6+16)/4</f>
        <v>4.75</v>
      </c>
    </row>
    <row r="8" spans="1:13" ht="15.75" thickBot="1" x14ac:dyDescent="0.3">
      <c r="D8" s="2"/>
    </row>
    <row r="9" spans="1:13" ht="15.75" thickBot="1" x14ac:dyDescent="0.3">
      <c r="A9" s="43" t="s">
        <v>9</v>
      </c>
      <c r="B9" s="16"/>
      <c r="C9" s="16"/>
      <c r="D9" s="16"/>
      <c r="E9" s="17"/>
      <c r="F9" s="88">
        <f>F7*3</f>
        <v>14.25</v>
      </c>
    </row>
    <row r="10" spans="1:13" ht="15.75" thickBot="1" x14ac:dyDescent="0.3">
      <c r="A10" s="2"/>
      <c r="B10" s="2"/>
      <c r="C10" s="2"/>
      <c r="D10" s="2"/>
      <c r="F10" s="7"/>
    </row>
    <row r="11" spans="1:13" ht="15.75" thickBot="1" x14ac:dyDescent="0.3">
      <c r="A11" s="56" t="s">
        <v>10</v>
      </c>
      <c r="B11" s="57"/>
      <c r="C11" s="57"/>
      <c r="D11" s="57"/>
      <c r="E11" s="58"/>
      <c r="G11" s="33" t="s">
        <v>19</v>
      </c>
      <c r="H11" s="33" t="s">
        <v>14</v>
      </c>
      <c r="I11" s="33" t="s">
        <v>20</v>
      </c>
      <c r="L11" s="1"/>
      <c r="M11" s="1"/>
    </row>
    <row r="12" spans="1:13" ht="15.75" thickBot="1" x14ac:dyDescent="0.3">
      <c r="A12" s="125" t="s">
        <v>11</v>
      </c>
      <c r="B12" s="126"/>
      <c r="C12" s="88">
        <f>F7-0.5</f>
        <v>4.25</v>
      </c>
      <c r="D12" s="88">
        <f>F7</f>
        <v>4.75</v>
      </c>
      <c r="E12" s="90"/>
      <c r="G12" s="32">
        <v>1</v>
      </c>
      <c r="H12" s="32">
        <v>1</v>
      </c>
      <c r="I12" s="32">
        <v>1</v>
      </c>
    </row>
    <row r="13" spans="1:13" ht="15.75" thickBot="1" x14ac:dyDescent="0.3">
      <c r="A13" s="123" t="s">
        <v>12</v>
      </c>
      <c r="B13" s="124"/>
      <c r="C13" s="88">
        <f>F7-0.5</f>
        <v>4.25</v>
      </c>
      <c r="D13" s="88">
        <f>F7</f>
        <v>4.75</v>
      </c>
      <c r="E13" s="88">
        <f>F7+0.5</f>
        <v>5.25</v>
      </c>
      <c r="G13" s="32">
        <v>5</v>
      </c>
      <c r="H13" s="32">
        <v>1.5</v>
      </c>
      <c r="I13" s="32">
        <v>2</v>
      </c>
    </row>
    <row r="14" spans="1:13" ht="15.75" thickBot="1" x14ac:dyDescent="0.3">
      <c r="A14" s="127" t="s">
        <v>13</v>
      </c>
      <c r="B14" s="127"/>
      <c r="C14" s="53" t="s">
        <v>14</v>
      </c>
      <c r="D14" s="53" t="s">
        <v>15</v>
      </c>
      <c r="E14" s="6"/>
      <c r="G14" s="32">
        <v>10</v>
      </c>
      <c r="H14" s="32">
        <v>2</v>
      </c>
      <c r="I14" s="32">
        <v>3</v>
      </c>
    </row>
    <row r="15" spans="1:13" ht="15.75" thickBot="1" x14ac:dyDescent="0.3">
      <c r="A15" s="128"/>
      <c r="B15" s="128"/>
      <c r="C15" s="53">
        <f>VLOOKUP(B6,G12:H15,2)</f>
        <v>1</v>
      </c>
      <c r="D15" s="53">
        <f>VLOOKUP(B6,G12:I15,3)</f>
        <v>1</v>
      </c>
      <c r="E15" s="6"/>
      <c r="G15" s="32">
        <v>20</v>
      </c>
      <c r="H15" s="32">
        <v>3</v>
      </c>
      <c r="I15" s="32">
        <v>4</v>
      </c>
    </row>
    <row r="16" spans="1:13" ht="15.75" thickBot="1" x14ac:dyDescent="0.3">
      <c r="A16" s="123" t="s">
        <v>28</v>
      </c>
      <c r="B16" s="124"/>
      <c r="C16" s="53" t="str">
        <f>IF(F7&lt;=5.5,"6 Fr","14 Fr")</f>
        <v>6 Fr</v>
      </c>
      <c r="D16" s="5"/>
      <c r="E16" s="5"/>
    </row>
    <row r="17" spans="1:9" ht="15.75" thickBot="1" x14ac:dyDescent="0.3"/>
    <row r="18" spans="1:9" ht="15.75" thickBot="1" x14ac:dyDescent="0.3">
      <c r="A18" s="45" t="s">
        <v>25</v>
      </c>
      <c r="B18" s="2"/>
      <c r="C18" s="2"/>
      <c r="D18" s="2"/>
      <c r="E18" s="2"/>
      <c r="G18" t="s">
        <v>16</v>
      </c>
    </row>
    <row r="19" spans="1:9" ht="15.75" thickBot="1" x14ac:dyDescent="0.3">
      <c r="A19" s="8" t="s">
        <v>27</v>
      </c>
      <c r="B19" s="85">
        <f>E6*6</f>
        <v>84</v>
      </c>
      <c r="C19" s="8" t="s">
        <v>29</v>
      </c>
      <c r="D19" s="85">
        <f>E6*8</f>
        <v>112</v>
      </c>
    </row>
    <row r="21" spans="1:9" ht="15.75" thickBot="1" x14ac:dyDescent="0.3"/>
    <row r="22" spans="1:9" ht="18.75" thickBot="1" x14ac:dyDescent="0.4">
      <c r="A22" s="43" t="s">
        <v>69</v>
      </c>
      <c r="B22" s="17"/>
      <c r="C22" s="53" t="str">
        <f>IF(E6&lt;15,"Pedi-Cap","EZ-Cap")</f>
        <v>Pedi-Cap</v>
      </c>
      <c r="F22" s="45" t="s">
        <v>38</v>
      </c>
      <c r="G22" s="86">
        <f>G23/(G24/G23)</f>
        <v>144</v>
      </c>
      <c r="H22" s="11" t="s">
        <v>39</v>
      </c>
      <c r="I22" s="53" t="str">
        <f>IF(G22&lt;100,"Pass","Fail")</f>
        <v>Fail</v>
      </c>
    </row>
    <row r="23" spans="1:9" ht="15.75" thickBot="1" x14ac:dyDescent="0.3">
      <c r="F23" s="10" t="s">
        <v>40</v>
      </c>
      <c r="G23" s="55">
        <v>12</v>
      </c>
    </row>
    <row r="24" spans="1:9" ht="18.75" thickBot="1" x14ac:dyDescent="0.4">
      <c r="F24" s="2" t="s">
        <v>58</v>
      </c>
      <c r="G24" s="55">
        <v>1</v>
      </c>
    </row>
    <row r="25" spans="1:9" ht="15.75" thickBot="1" x14ac:dyDescent="0.3">
      <c r="F25" s="2"/>
      <c r="G25" s="7"/>
    </row>
    <row r="26" spans="1:9" ht="15.75" thickBot="1" x14ac:dyDescent="0.3">
      <c r="A26" s="121" t="s">
        <v>67</v>
      </c>
      <c r="B26" s="122"/>
      <c r="C26" s="85">
        <f>F7*2</f>
        <v>9.5</v>
      </c>
      <c r="D26" t="s">
        <v>70</v>
      </c>
    </row>
    <row r="27" spans="1:9" ht="15.75" thickBot="1" x14ac:dyDescent="0.3">
      <c r="A27" s="121" t="s">
        <v>68</v>
      </c>
      <c r="B27" s="122"/>
      <c r="C27" s="55"/>
      <c r="D27" t="s">
        <v>65</v>
      </c>
    </row>
    <row r="29" spans="1:9" x14ac:dyDescent="0.25">
      <c r="D29" s="19"/>
    </row>
    <row r="30" spans="1:9" x14ac:dyDescent="0.25">
      <c r="D30" s="6"/>
    </row>
    <row r="31" spans="1:9" x14ac:dyDescent="0.25">
      <c r="D31" s="6"/>
    </row>
  </sheetData>
  <sheetProtection sheet="1" objects="1" scenarios="1" selectLockedCells="1"/>
  <mergeCells count="8">
    <mergeCell ref="A1:I1"/>
    <mergeCell ref="A26:B26"/>
    <mergeCell ref="A27:B27"/>
    <mergeCell ref="A16:B16"/>
    <mergeCell ref="A4:I4"/>
    <mergeCell ref="A12:B12"/>
    <mergeCell ref="A13:B13"/>
    <mergeCell ref="A14:B15"/>
  </mergeCells>
  <pageMargins left="0.25" right="0.25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1"/>
  <sheetViews>
    <sheetView showGridLines="0" tabSelected="1" workbookViewId="0">
      <selection activeCell="A27" sqref="A27"/>
    </sheetView>
  </sheetViews>
  <sheetFormatPr defaultRowHeight="15" x14ac:dyDescent="0.25"/>
  <cols>
    <col min="1" max="1" width="10.42578125" customWidth="1"/>
    <col min="2" max="2" width="8.7109375" customWidth="1"/>
    <col min="3" max="3" width="9.5703125" customWidth="1"/>
    <col min="4" max="4" width="10.42578125" customWidth="1"/>
    <col min="5" max="5" width="10.140625" customWidth="1"/>
    <col min="6" max="6" width="9.85546875" customWidth="1"/>
    <col min="7" max="7" width="10.140625" customWidth="1"/>
    <col min="8" max="8" width="10.85546875" customWidth="1"/>
    <col min="9" max="9" width="9.28515625" customWidth="1"/>
    <col min="10" max="10" width="11.42578125" customWidth="1"/>
    <col min="11" max="11" width="10.85546875" customWidth="1"/>
    <col min="12" max="12" width="5.28515625" customWidth="1"/>
    <col min="14" max="14" width="10" customWidth="1"/>
    <col min="15" max="15" width="5.85546875" customWidth="1"/>
  </cols>
  <sheetData>
    <row r="1" spans="1:10" ht="15.75" thickBot="1" x14ac:dyDescent="0.3">
      <c r="A1" s="118" t="s">
        <v>0</v>
      </c>
      <c r="B1" s="119"/>
      <c r="C1" s="119"/>
      <c r="D1" s="119"/>
      <c r="E1" s="119"/>
      <c r="F1" s="119"/>
      <c r="G1" s="119"/>
      <c r="H1" s="119"/>
      <c r="I1" s="119"/>
      <c r="J1" s="120"/>
    </row>
    <row r="2" spans="1:10" ht="15.75" thickBot="1" x14ac:dyDescent="0.3">
      <c r="A2" s="2"/>
      <c r="B2" s="2"/>
      <c r="C2" s="2"/>
      <c r="D2" s="2"/>
    </row>
    <row r="3" spans="1:10" ht="15.75" thickBot="1" x14ac:dyDescent="0.3">
      <c r="A3" s="106" t="s">
        <v>61</v>
      </c>
      <c r="B3" s="107"/>
      <c r="C3" s="107"/>
      <c r="D3" s="107"/>
      <c r="E3" s="107"/>
      <c r="F3" s="107"/>
      <c r="G3" s="107"/>
      <c r="H3" s="107"/>
      <c r="I3" s="107"/>
      <c r="J3" s="108"/>
    </row>
    <row r="4" spans="1:10" ht="15.75" thickBot="1" x14ac:dyDescent="0.3">
      <c r="A4" s="27"/>
      <c r="B4" s="27"/>
      <c r="C4" s="27"/>
      <c r="D4" s="2"/>
      <c r="E4" t="s">
        <v>1</v>
      </c>
    </row>
    <row r="5" spans="1:10" ht="15.75" thickBot="1" x14ac:dyDescent="0.3">
      <c r="A5" s="2" t="s">
        <v>7</v>
      </c>
      <c r="B5" s="2"/>
      <c r="C5" s="55">
        <v>1100</v>
      </c>
      <c r="E5" s="1">
        <v>400</v>
      </c>
      <c r="F5" s="1">
        <v>2.5</v>
      </c>
    </row>
    <row r="6" spans="1:10" ht="15.75" thickBot="1" x14ac:dyDescent="0.3">
      <c r="A6" s="129" t="s">
        <v>3</v>
      </c>
      <c r="B6" s="130"/>
      <c r="C6" s="91">
        <f>VLOOKUP(C5,E5:F8,2)</f>
        <v>3</v>
      </c>
      <c r="E6" s="1">
        <v>1000</v>
      </c>
      <c r="F6" s="1">
        <v>3</v>
      </c>
    </row>
    <row r="7" spans="1:10" ht="15.75" thickBot="1" x14ac:dyDescent="0.3">
      <c r="A7" s="129" t="s">
        <v>4</v>
      </c>
      <c r="B7" s="130"/>
      <c r="C7" s="91">
        <f>(C5/1000)+6</f>
        <v>7.1</v>
      </c>
      <c r="E7" s="1">
        <v>2000</v>
      </c>
      <c r="F7" s="1">
        <v>3.5</v>
      </c>
    </row>
    <row r="8" spans="1:10" x14ac:dyDescent="0.25">
      <c r="A8" s="2"/>
      <c r="B8" s="2"/>
      <c r="C8" s="2"/>
      <c r="E8" s="1">
        <v>3000</v>
      </c>
      <c r="F8" s="1" t="s">
        <v>2</v>
      </c>
    </row>
    <row r="9" spans="1:10" ht="15.75" thickBot="1" x14ac:dyDescent="0.3">
      <c r="A9" s="2"/>
      <c r="B9" s="2"/>
      <c r="C9" s="2"/>
    </row>
    <row r="10" spans="1:10" ht="15.75" thickBot="1" x14ac:dyDescent="0.3">
      <c r="A10" s="12" t="s">
        <v>21</v>
      </c>
      <c r="B10" s="13"/>
      <c r="C10" s="53">
        <f>(C5/1000)*3</f>
        <v>3.3000000000000003</v>
      </c>
      <c r="E10" s="131" t="s">
        <v>67</v>
      </c>
      <c r="F10" s="132"/>
      <c r="G10" s="85">
        <f>C6*2</f>
        <v>6</v>
      </c>
      <c r="H10" t="s">
        <v>70</v>
      </c>
    </row>
    <row r="11" spans="1:10" ht="15.75" thickBot="1" x14ac:dyDescent="0.3">
      <c r="A11" s="2"/>
      <c r="B11" s="2"/>
      <c r="C11" s="2"/>
      <c r="D11" s="2"/>
      <c r="E11" s="131" t="s">
        <v>64</v>
      </c>
      <c r="F11" s="132"/>
      <c r="G11" s="55"/>
      <c r="H11" t="s">
        <v>65</v>
      </c>
    </row>
    <row r="12" spans="1:10" ht="15.75" thickBot="1" x14ac:dyDescent="0.3">
      <c r="A12" s="14" t="s">
        <v>25</v>
      </c>
      <c r="B12" s="2"/>
      <c r="C12" s="2"/>
      <c r="D12" s="2"/>
      <c r="F12" s="1"/>
      <c r="G12" s="1"/>
    </row>
    <row r="13" spans="1:10" ht="15.75" thickBot="1" x14ac:dyDescent="0.3">
      <c r="A13" s="8" t="s">
        <v>26</v>
      </c>
      <c r="B13" s="88">
        <f>(C5/1000)*4</f>
        <v>4.4000000000000004</v>
      </c>
      <c r="C13" s="8" t="s">
        <v>27</v>
      </c>
      <c r="D13" s="88">
        <f>(C5/1000)*6</f>
        <v>6.6000000000000005</v>
      </c>
      <c r="F13" s="1"/>
      <c r="G13" s="1"/>
    </row>
    <row r="14" spans="1:10" ht="15.75" thickBot="1" x14ac:dyDescent="0.3">
      <c r="A14" s="2"/>
      <c r="B14" s="5"/>
      <c r="C14" s="5"/>
      <c r="D14" s="2"/>
      <c r="F14" s="1"/>
      <c r="G14" s="1"/>
    </row>
    <row r="15" spans="1:10" ht="15.75" thickBot="1" x14ac:dyDescent="0.3">
      <c r="A15" s="113" t="s">
        <v>62</v>
      </c>
      <c r="B15" s="114"/>
      <c r="C15" s="114"/>
      <c r="D15" s="114"/>
      <c r="E15" s="114"/>
      <c r="F15" s="114"/>
      <c r="G15" s="114"/>
      <c r="H15" s="114"/>
      <c r="I15" s="114"/>
      <c r="J15" s="115"/>
    </row>
    <row r="16" spans="1:10" ht="15.75" thickBot="1" x14ac:dyDescent="0.3">
      <c r="A16" s="29"/>
      <c r="B16" s="30"/>
      <c r="C16" s="30"/>
      <c r="D16" s="30"/>
      <c r="E16" s="30"/>
      <c r="F16" s="30"/>
      <c r="G16" s="30"/>
      <c r="H16" s="30"/>
      <c r="I16" s="30"/>
      <c r="J16" s="30"/>
    </row>
    <row r="17" spans="1:15" ht="15.75" thickBot="1" x14ac:dyDescent="0.3">
      <c r="A17" s="133" t="s">
        <v>6</v>
      </c>
      <c r="B17" s="134"/>
      <c r="C17" s="85">
        <f>(B18*B19)/B20</f>
        <v>9.2307692307692299</v>
      </c>
      <c r="E17" s="133" t="s">
        <v>33</v>
      </c>
      <c r="F17" s="134"/>
      <c r="G17" s="88">
        <f>(F18*F19)/60*(F20-F21)+F21</f>
        <v>14.6</v>
      </c>
    </row>
    <row r="18" spans="1:15" ht="15.75" thickBot="1" x14ac:dyDescent="0.3">
      <c r="A18" s="11" t="s">
        <v>5</v>
      </c>
      <c r="B18" s="55">
        <v>12</v>
      </c>
      <c r="C18" s="7"/>
      <c r="D18" s="4"/>
      <c r="E18" s="11" t="s">
        <v>34</v>
      </c>
      <c r="F18" s="65">
        <v>30</v>
      </c>
    </row>
    <row r="19" spans="1:15" ht="14.25" customHeight="1" thickBot="1" x14ac:dyDescent="0.4">
      <c r="A19" s="11" t="s">
        <v>17</v>
      </c>
      <c r="B19" s="55">
        <v>50</v>
      </c>
      <c r="C19" s="7"/>
      <c r="D19" s="2"/>
      <c r="E19" s="11" t="s">
        <v>35</v>
      </c>
      <c r="F19" s="65">
        <v>0.6</v>
      </c>
    </row>
    <row r="20" spans="1:15" ht="15.75" customHeight="1" thickBot="1" x14ac:dyDescent="0.4">
      <c r="A20" s="11" t="s">
        <v>18</v>
      </c>
      <c r="B20" s="55">
        <v>65</v>
      </c>
      <c r="C20" s="7"/>
      <c r="D20" s="2"/>
      <c r="E20" s="11" t="s">
        <v>36</v>
      </c>
      <c r="F20" s="65">
        <v>30</v>
      </c>
    </row>
    <row r="21" spans="1:15" ht="15.75" customHeight="1" thickBot="1" x14ac:dyDescent="0.3">
      <c r="A21" s="2"/>
      <c r="B21" s="7"/>
      <c r="C21" s="7"/>
      <c r="D21" s="2"/>
      <c r="E21" s="11" t="s">
        <v>37</v>
      </c>
      <c r="F21" s="65">
        <v>8</v>
      </c>
    </row>
    <row r="22" spans="1:15" ht="15.75" customHeight="1" thickBot="1" x14ac:dyDescent="0.3">
      <c r="A22" s="2"/>
      <c r="B22" s="7"/>
      <c r="C22" s="7"/>
      <c r="D22" s="2"/>
      <c r="F22" s="28"/>
    </row>
    <row r="23" spans="1:15" ht="15.75" thickBot="1" x14ac:dyDescent="0.3">
      <c r="A23" s="106" t="s">
        <v>32</v>
      </c>
      <c r="B23" s="107"/>
      <c r="C23" s="107"/>
      <c r="D23" s="107"/>
      <c r="E23" s="107"/>
      <c r="F23" s="107"/>
      <c r="G23" s="107"/>
      <c r="H23" s="107"/>
      <c r="I23" s="107"/>
      <c r="J23" s="108"/>
    </row>
    <row r="24" spans="1:15" ht="15.75" thickBot="1" x14ac:dyDescent="0.3"/>
    <row r="25" spans="1:15" ht="15.75" thickBot="1" x14ac:dyDescent="0.3">
      <c r="A25" t="s">
        <v>42</v>
      </c>
      <c r="D25" s="104" t="s">
        <v>45</v>
      </c>
      <c r="E25" s="105"/>
      <c r="L25" s="18"/>
      <c r="M25" s="18"/>
      <c r="N25" s="18"/>
      <c r="O25" s="18"/>
    </row>
    <row r="26" spans="1:15" x14ac:dyDescent="0.25">
      <c r="A26" t="s">
        <v>51</v>
      </c>
      <c r="D26" s="59">
        <v>10</v>
      </c>
      <c r="E26" s="38"/>
      <c r="N26" s="1"/>
    </row>
    <row r="27" spans="1:15" x14ac:dyDescent="0.25">
      <c r="A27" s="60" t="s">
        <v>54</v>
      </c>
      <c r="B27" s="60" t="s">
        <v>55</v>
      </c>
      <c r="C27" s="60" t="s">
        <v>56</v>
      </c>
      <c r="D27" s="60" t="s">
        <v>96</v>
      </c>
      <c r="E27" s="60" t="s">
        <v>46</v>
      </c>
      <c r="F27" s="60" t="s">
        <v>53</v>
      </c>
      <c r="N27" s="1"/>
    </row>
    <row r="28" spans="1:15" x14ac:dyDescent="0.25">
      <c r="A28" s="61" t="s">
        <v>43</v>
      </c>
      <c r="B28" s="61"/>
      <c r="C28" s="61">
        <f>($D$26/5)*4</f>
        <v>8</v>
      </c>
      <c r="D28" s="62">
        <f>120-Table2[[#This Row],[4H Alb]]</f>
        <v>112</v>
      </c>
      <c r="E28" s="62">
        <v>11</v>
      </c>
      <c r="F28" s="62">
        <f>30</f>
        <v>30</v>
      </c>
      <c r="N28" s="1"/>
    </row>
    <row r="29" spans="1:15" x14ac:dyDescent="0.25">
      <c r="A29" s="61" t="s">
        <v>57</v>
      </c>
      <c r="B29" s="61"/>
      <c r="C29" s="61">
        <f t="shared" ref="C29:C34" si="0">($D$26/5)*4</f>
        <v>8</v>
      </c>
      <c r="D29" s="62">
        <f>20-Table2[[#This Row],[4H Alb]]</f>
        <v>12</v>
      </c>
      <c r="E29" s="62" t="s">
        <v>47</v>
      </c>
      <c r="F29" s="62">
        <v>5</v>
      </c>
      <c r="N29" s="1"/>
    </row>
    <row r="30" spans="1:15" x14ac:dyDescent="0.25">
      <c r="A30" s="61" t="s">
        <v>44</v>
      </c>
      <c r="B30" s="61"/>
      <c r="C30" s="61">
        <f t="shared" si="0"/>
        <v>8</v>
      </c>
      <c r="D30" s="62">
        <f>32-C30</f>
        <v>24</v>
      </c>
      <c r="E30" s="62" t="s">
        <v>47</v>
      </c>
      <c r="F30" s="62">
        <v>8</v>
      </c>
    </row>
    <row r="31" spans="1:15" x14ac:dyDescent="0.25">
      <c r="A31" s="61" t="s">
        <v>45</v>
      </c>
      <c r="B31" s="61"/>
      <c r="C31" s="61">
        <f t="shared" si="0"/>
        <v>8</v>
      </c>
      <c r="D31" s="62">
        <f>40-C31</f>
        <v>32</v>
      </c>
      <c r="E31" s="62" t="s">
        <v>47</v>
      </c>
      <c r="F31" s="62">
        <v>10</v>
      </c>
    </row>
    <row r="32" spans="1:15" x14ac:dyDescent="0.25">
      <c r="A32" s="61" t="s">
        <v>48</v>
      </c>
      <c r="B32" s="61"/>
      <c r="C32" s="61">
        <f t="shared" si="0"/>
        <v>8</v>
      </c>
      <c r="D32" s="62">
        <f>100-C32</f>
        <v>92</v>
      </c>
      <c r="E32" s="62">
        <v>10</v>
      </c>
      <c r="F32" s="62">
        <v>25</v>
      </c>
    </row>
    <row r="33" spans="1:6" x14ac:dyDescent="0.25">
      <c r="A33" s="61" t="s">
        <v>49</v>
      </c>
      <c r="B33" s="61"/>
      <c r="C33" s="61">
        <f t="shared" si="0"/>
        <v>8</v>
      </c>
      <c r="D33" s="62">
        <f>16-C33</f>
        <v>8</v>
      </c>
      <c r="E33" s="62">
        <v>2</v>
      </c>
      <c r="F33" s="62">
        <v>4</v>
      </c>
    </row>
    <row r="34" spans="1:6" x14ac:dyDescent="0.25">
      <c r="A34" s="61" t="s">
        <v>50</v>
      </c>
      <c r="B34" s="61"/>
      <c r="C34" s="61">
        <f t="shared" si="0"/>
        <v>8</v>
      </c>
      <c r="D34" s="62">
        <f>32-C34</f>
        <v>24</v>
      </c>
      <c r="E34" s="62">
        <v>2</v>
      </c>
      <c r="F34" s="62">
        <v>8</v>
      </c>
    </row>
    <row r="39" spans="1:6" x14ac:dyDescent="0.25">
      <c r="D39" s="19"/>
    </row>
    <row r="40" spans="1:6" x14ac:dyDescent="0.25">
      <c r="D40" s="6"/>
    </row>
    <row r="41" spans="1:6" x14ac:dyDescent="0.25">
      <c r="D41" s="6"/>
    </row>
  </sheetData>
  <sheetProtection sheet="1" objects="1" scenarios="1" selectLockedCells="1"/>
  <mergeCells count="11">
    <mergeCell ref="A1:J1"/>
    <mergeCell ref="D25:E25"/>
    <mergeCell ref="A3:J3"/>
    <mergeCell ref="A15:J15"/>
    <mergeCell ref="A23:J23"/>
    <mergeCell ref="A6:B6"/>
    <mergeCell ref="A7:B7"/>
    <mergeCell ref="E10:F10"/>
    <mergeCell ref="E11:F11"/>
    <mergeCell ref="A17:B17"/>
    <mergeCell ref="E17:F17"/>
  </mergeCells>
  <dataValidations count="1">
    <dataValidation type="list" allowBlank="1" showInputMessage="1" showErrorMessage="1" promptTitle="Nebulizer Type" prompt="Select the nebulizer used " sqref="D25:E25">
      <formula1>$A$28:$A$34</formula1>
    </dataValidation>
  </dataValidations>
  <pageMargins left="0.25" right="0.25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4"/>
  <sheetViews>
    <sheetView showGridLines="0" topLeftCell="A31" workbookViewId="0">
      <selection activeCell="F50" sqref="F50"/>
    </sheetView>
  </sheetViews>
  <sheetFormatPr defaultRowHeight="15" x14ac:dyDescent="0.25"/>
  <cols>
    <col min="1" max="1" width="10.42578125" customWidth="1"/>
    <col min="2" max="2" width="8.7109375" customWidth="1"/>
    <col min="3" max="3" width="9.5703125" customWidth="1"/>
    <col min="4" max="4" width="10.42578125" customWidth="1"/>
    <col min="5" max="5" width="10.140625" customWidth="1"/>
    <col min="6" max="6" width="9.85546875" customWidth="1"/>
    <col min="7" max="7" width="10.140625" customWidth="1"/>
    <col min="8" max="8" width="10.85546875" customWidth="1"/>
    <col min="9" max="9" width="9.28515625" customWidth="1"/>
    <col min="10" max="10" width="11.42578125" customWidth="1"/>
    <col min="11" max="11" width="10.85546875" customWidth="1"/>
    <col min="12" max="12" width="5.28515625" customWidth="1"/>
    <col min="14" max="14" width="10" customWidth="1"/>
    <col min="15" max="15" width="5.85546875" customWidth="1"/>
  </cols>
  <sheetData>
    <row r="1" spans="1:10" ht="15.75" thickBot="1" x14ac:dyDescent="0.3">
      <c r="A1" s="118" t="s">
        <v>0</v>
      </c>
      <c r="B1" s="119"/>
      <c r="C1" s="119"/>
      <c r="D1" s="119"/>
      <c r="E1" s="119"/>
      <c r="F1" s="119"/>
      <c r="G1" s="119"/>
      <c r="H1" s="119"/>
      <c r="I1" s="119"/>
      <c r="J1" s="120"/>
    </row>
    <row r="2" spans="1:10" ht="15.75" thickBot="1" x14ac:dyDescent="0.3">
      <c r="A2" s="2"/>
      <c r="B2" s="2"/>
      <c r="C2" s="2"/>
      <c r="D2" s="2"/>
    </row>
    <row r="3" spans="1:10" ht="15.75" thickBot="1" x14ac:dyDescent="0.3">
      <c r="A3" s="113" t="s">
        <v>22</v>
      </c>
      <c r="B3" s="114"/>
      <c r="C3" s="115"/>
      <c r="D3" s="2"/>
      <c r="E3" t="s">
        <v>1</v>
      </c>
    </row>
    <row r="4" spans="1:10" ht="15.75" thickBot="1" x14ac:dyDescent="0.3">
      <c r="A4" s="2" t="s">
        <v>7</v>
      </c>
      <c r="B4" s="2"/>
      <c r="C4" s="55">
        <v>1500</v>
      </c>
      <c r="E4" s="1">
        <v>400</v>
      </c>
      <c r="F4" s="1">
        <v>2.5</v>
      </c>
    </row>
    <row r="5" spans="1:10" ht="15.75" thickBot="1" x14ac:dyDescent="0.3">
      <c r="A5" s="129" t="s">
        <v>3</v>
      </c>
      <c r="B5" s="130"/>
      <c r="C5" s="88">
        <f>VLOOKUP(C4,E4:F7,2)</f>
        <v>3</v>
      </c>
      <c r="E5" s="1">
        <v>1000</v>
      </c>
      <c r="F5" s="1">
        <v>3</v>
      </c>
    </row>
    <row r="6" spans="1:10" ht="15.75" thickBot="1" x14ac:dyDescent="0.3">
      <c r="A6" s="129" t="s">
        <v>4</v>
      </c>
      <c r="B6" s="130"/>
      <c r="C6" s="88">
        <f>(C4/1000)+6</f>
        <v>7.5</v>
      </c>
      <c r="E6" s="1">
        <v>2000</v>
      </c>
      <c r="F6" s="1">
        <v>3.5</v>
      </c>
    </row>
    <row r="7" spans="1:10" x14ac:dyDescent="0.25">
      <c r="A7" s="2"/>
      <c r="B7" s="2"/>
      <c r="C7" s="2"/>
      <c r="E7" s="1">
        <v>3000</v>
      </c>
      <c r="F7" s="1" t="s">
        <v>2</v>
      </c>
    </row>
    <row r="8" spans="1:10" ht="15.75" thickBot="1" x14ac:dyDescent="0.3">
      <c r="A8" s="2"/>
      <c r="B8" s="2"/>
      <c r="C8" s="2"/>
    </row>
    <row r="9" spans="1:10" ht="15.75" thickBot="1" x14ac:dyDescent="0.3">
      <c r="A9" s="12" t="s">
        <v>21</v>
      </c>
      <c r="B9" s="13"/>
      <c r="C9" s="53">
        <f>(C4/1000)*3</f>
        <v>4.5</v>
      </c>
      <c r="F9" s="1"/>
      <c r="G9" s="1"/>
    </row>
    <row r="10" spans="1:10" ht="15.75" thickBot="1" x14ac:dyDescent="0.3">
      <c r="A10" s="2"/>
      <c r="B10" s="2"/>
      <c r="C10" s="2"/>
      <c r="D10" s="2"/>
      <c r="F10" s="1"/>
      <c r="G10" s="1"/>
    </row>
    <row r="11" spans="1:10" ht="15.75" thickBot="1" x14ac:dyDescent="0.3">
      <c r="A11" s="14" t="s">
        <v>25</v>
      </c>
      <c r="B11" s="2"/>
      <c r="C11" s="2"/>
      <c r="D11" s="2"/>
      <c r="F11" s="1"/>
      <c r="G11" s="1"/>
    </row>
    <row r="12" spans="1:10" ht="15.75" thickBot="1" x14ac:dyDescent="0.3">
      <c r="A12" s="8" t="s">
        <v>26</v>
      </c>
      <c r="B12" s="88">
        <f>(C4/1000)*4</f>
        <v>6</v>
      </c>
      <c r="C12" s="8" t="s">
        <v>27</v>
      </c>
      <c r="D12" s="88">
        <f>(C4/1000)*6</f>
        <v>9</v>
      </c>
      <c r="F12" s="1"/>
      <c r="G12" s="1"/>
    </row>
    <row r="13" spans="1:10" ht="15.75" thickBot="1" x14ac:dyDescent="0.3">
      <c r="A13" s="2"/>
      <c r="B13" s="5"/>
      <c r="C13" s="5"/>
      <c r="D13" s="2"/>
      <c r="F13" s="1"/>
      <c r="G13" s="1"/>
    </row>
    <row r="14" spans="1:10" ht="15.75" thickBot="1" x14ac:dyDescent="0.3">
      <c r="A14" s="113" t="s">
        <v>23</v>
      </c>
      <c r="B14" s="115"/>
      <c r="C14" s="2"/>
      <c r="D14" s="2"/>
    </row>
    <row r="15" spans="1:10" ht="15.75" thickBot="1" x14ac:dyDescent="0.3">
      <c r="A15" s="21" t="s">
        <v>6</v>
      </c>
      <c r="B15" s="67"/>
      <c r="C15" s="85">
        <f>(B16*B17)/B18</f>
        <v>41.509433962264154</v>
      </c>
      <c r="E15" s="14" t="s">
        <v>33</v>
      </c>
      <c r="F15" s="15"/>
      <c r="G15" s="53">
        <f>(F16*F17)/60*(F18-F19)+F19</f>
        <v>13.5</v>
      </c>
    </row>
    <row r="16" spans="1:10" ht="15.75" thickBot="1" x14ac:dyDescent="0.3">
      <c r="A16" s="2" t="s">
        <v>5</v>
      </c>
      <c r="B16" s="55">
        <v>22</v>
      </c>
      <c r="C16" s="7"/>
      <c r="D16" s="4"/>
      <c r="E16" s="11" t="s">
        <v>34</v>
      </c>
      <c r="F16" s="65">
        <v>25</v>
      </c>
    </row>
    <row r="17" spans="1:13" ht="14.25" customHeight="1" thickBot="1" x14ac:dyDescent="0.4">
      <c r="A17" s="2" t="s">
        <v>17</v>
      </c>
      <c r="B17" s="66">
        <v>100</v>
      </c>
      <c r="C17" s="7"/>
      <c r="D17" s="2"/>
      <c r="E17" s="11" t="s">
        <v>35</v>
      </c>
      <c r="F17" s="65">
        <v>0.6</v>
      </c>
    </row>
    <row r="18" spans="1:13" ht="15.75" customHeight="1" thickBot="1" x14ac:dyDescent="0.4">
      <c r="A18" s="2" t="s">
        <v>18</v>
      </c>
      <c r="B18" s="55">
        <v>53</v>
      </c>
      <c r="C18" s="7"/>
      <c r="D18" s="2"/>
      <c r="E18" s="11" t="s">
        <v>36</v>
      </c>
      <c r="F18" s="65">
        <v>30</v>
      </c>
    </row>
    <row r="19" spans="1:13" ht="15.75" customHeight="1" thickBot="1" x14ac:dyDescent="0.3">
      <c r="A19" s="2"/>
      <c r="B19" s="7"/>
      <c r="C19" s="7"/>
      <c r="D19" s="2"/>
      <c r="E19" s="11" t="s">
        <v>37</v>
      </c>
      <c r="F19" s="65">
        <v>8</v>
      </c>
    </row>
    <row r="20" spans="1:13" ht="15.75" thickBot="1" x14ac:dyDescent="0.3">
      <c r="A20" s="113" t="s">
        <v>24</v>
      </c>
      <c r="B20" s="115"/>
      <c r="C20" s="5"/>
      <c r="D20" s="2"/>
    </row>
    <row r="21" spans="1:13" ht="15.75" thickBot="1" x14ac:dyDescent="0.3">
      <c r="A21" s="2" t="s">
        <v>31</v>
      </c>
      <c r="B21" s="39">
        <v>2</v>
      </c>
      <c r="C21" s="7"/>
      <c r="D21" s="9" t="s">
        <v>30</v>
      </c>
      <c r="E21" s="35">
        <v>14</v>
      </c>
    </row>
    <row r="22" spans="1:13" ht="15.75" thickBot="1" x14ac:dyDescent="0.3">
      <c r="A22" s="12" t="s">
        <v>8</v>
      </c>
      <c r="B22" s="16"/>
      <c r="C22" s="16"/>
      <c r="D22" s="16"/>
      <c r="E22" s="22"/>
      <c r="F22" s="88">
        <f>(B21+16)/4</f>
        <v>4.5</v>
      </c>
      <c r="L22" s="38"/>
    </row>
    <row r="23" spans="1:13" ht="15.75" thickBot="1" x14ac:dyDescent="0.3">
      <c r="D23" s="2"/>
    </row>
    <row r="24" spans="1:13" ht="15.75" thickBot="1" x14ac:dyDescent="0.3">
      <c r="A24" s="12" t="s">
        <v>9</v>
      </c>
      <c r="B24" s="16"/>
      <c r="C24" s="16"/>
      <c r="D24" s="16"/>
      <c r="E24" s="17"/>
      <c r="F24" s="88">
        <f>F22*3</f>
        <v>13.5</v>
      </c>
    </row>
    <row r="25" spans="1:13" ht="15.75" thickBot="1" x14ac:dyDescent="0.3">
      <c r="A25" s="2"/>
      <c r="B25" s="2"/>
      <c r="C25" s="2"/>
      <c r="D25" s="2"/>
      <c r="F25" s="7"/>
    </row>
    <row r="26" spans="1:13" ht="15.75" thickBot="1" x14ac:dyDescent="0.3">
      <c r="A26" s="47" t="s">
        <v>10</v>
      </c>
      <c r="B26" s="48"/>
      <c r="C26" s="48"/>
      <c r="D26" s="48"/>
      <c r="E26" s="49"/>
      <c r="G26" s="20" t="s">
        <v>19</v>
      </c>
      <c r="H26" s="20" t="s">
        <v>14</v>
      </c>
      <c r="I26" s="20" t="s">
        <v>20</v>
      </c>
      <c r="L26" s="1"/>
      <c r="M26" s="1"/>
    </row>
    <row r="27" spans="1:13" ht="15.75" thickBot="1" x14ac:dyDescent="0.3">
      <c r="A27" s="116" t="s">
        <v>11</v>
      </c>
      <c r="B27" s="135"/>
      <c r="C27" s="89">
        <f>F22-0.5</f>
        <v>4</v>
      </c>
      <c r="D27" s="89">
        <f>F22</f>
        <v>4.5</v>
      </c>
      <c r="E27" s="90"/>
      <c r="G27" s="1">
        <v>1</v>
      </c>
      <c r="H27" s="1">
        <v>1</v>
      </c>
      <c r="I27" s="1">
        <v>1</v>
      </c>
    </row>
    <row r="28" spans="1:13" ht="15.75" thickBot="1" x14ac:dyDescent="0.3">
      <c r="A28" s="102" t="s">
        <v>12</v>
      </c>
      <c r="B28" s="103"/>
      <c r="C28" s="88">
        <f>F22-0.5</f>
        <v>4</v>
      </c>
      <c r="D28" s="88">
        <f>F22</f>
        <v>4.5</v>
      </c>
      <c r="E28" s="88">
        <f>F22+0.5</f>
        <v>5</v>
      </c>
      <c r="G28" s="1">
        <v>5</v>
      </c>
      <c r="H28" s="1">
        <v>1.5</v>
      </c>
      <c r="I28" s="1">
        <v>2</v>
      </c>
    </row>
    <row r="29" spans="1:13" ht="15.75" thickBot="1" x14ac:dyDescent="0.3">
      <c r="A29" s="109" t="s">
        <v>13</v>
      </c>
      <c r="B29" s="138"/>
      <c r="C29" s="53" t="s">
        <v>14</v>
      </c>
      <c r="D29" s="53" t="s">
        <v>15</v>
      </c>
      <c r="E29" s="6"/>
      <c r="G29" s="1">
        <v>10</v>
      </c>
      <c r="H29" s="1">
        <v>2</v>
      </c>
      <c r="I29" s="1">
        <v>3</v>
      </c>
    </row>
    <row r="30" spans="1:13" ht="15.75" thickBot="1" x14ac:dyDescent="0.3">
      <c r="A30" s="110"/>
      <c r="B30" s="135"/>
      <c r="C30" s="53">
        <f>VLOOKUP(B21,G27:H30,2)</f>
        <v>1</v>
      </c>
      <c r="D30" s="53">
        <f>VLOOKUP(B21,G27:I30,3)</f>
        <v>1</v>
      </c>
      <c r="E30" s="6"/>
      <c r="G30" s="1">
        <v>20</v>
      </c>
      <c r="H30" s="1">
        <v>3</v>
      </c>
      <c r="I30" s="1">
        <v>4</v>
      </c>
    </row>
    <row r="31" spans="1:13" ht="15.75" thickBot="1" x14ac:dyDescent="0.3">
      <c r="A31" s="102" t="s">
        <v>28</v>
      </c>
      <c r="B31" s="103"/>
      <c r="C31" s="53" t="str">
        <f>IF(F22&lt;=5.5,"6 Fr","14 Fr")</f>
        <v>6 Fr</v>
      </c>
      <c r="D31" s="5"/>
      <c r="E31" s="5"/>
    </row>
    <row r="32" spans="1:13" ht="15.75" thickBot="1" x14ac:dyDescent="0.3"/>
    <row r="33" spans="1:15" ht="15.75" thickBot="1" x14ac:dyDescent="0.3">
      <c r="A33" s="14" t="s">
        <v>25</v>
      </c>
      <c r="B33" s="2"/>
      <c r="C33" s="2"/>
      <c r="D33" s="2"/>
      <c r="E33" s="2"/>
      <c r="G33" t="s">
        <v>16</v>
      </c>
    </row>
    <row r="34" spans="1:15" ht="15.75" thickBot="1" x14ac:dyDescent="0.3">
      <c r="A34" s="8" t="s">
        <v>27</v>
      </c>
      <c r="B34" s="85">
        <f>E21*6</f>
        <v>84</v>
      </c>
      <c r="C34" s="8" t="s">
        <v>29</v>
      </c>
      <c r="D34" s="85">
        <f>E21*8</f>
        <v>112</v>
      </c>
    </row>
    <row r="35" spans="1:15" ht="15.75" thickBot="1" x14ac:dyDescent="0.3"/>
    <row r="36" spans="1:15" ht="15.75" thickBot="1" x14ac:dyDescent="0.3">
      <c r="A36" s="121" t="s">
        <v>63</v>
      </c>
      <c r="B36" s="122"/>
      <c r="C36" s="85">
        <f>F22*2</f>
        <v>9</v>
      </c>
      <c r="D36" t="s">
        <v>70</v>
      </c>
    </row>
    <row r="37" spans="1:15" ht="15.75" thickBot="1" x14ac:dyDescent="0.3">
      <c r="A37" s="136" t="s">
        <v>68</v>
      </c>
      <c r="B37" s="137"/>
      <c r="C37" s="55"/>
      <c r="D37" t="s">
        <v>71</v>
      </c>
    </row>
    <row r="38" spans="1:15" ht="15.75" thickBot="1" x14ac:dyDescent="0.3"/>
    <row r="39" spans="1:15" ht="18.75" thickBot="1" x14ac:dyDescent="0.4">
      <c r="A39" s="12" t="s">
        <v>41</v>
      </c>
      <c r="B39" s="17"/>
      <c r="C39" s="53" t="str">
        <f>IF(E21&lt;15,"Pedi-Cap","EZ-Cap")</f>
        <v>Pedi-Cap</v>
      </c>
      <c r="F39" s="14" t="s">
        <v>38</v>
      </c>
      <c r="G39" s="86">
        <f>G40/(G41/G40)</f>
        <v>228.57142857142858</v>
      </c>
      <c r="H39" s="11" t="s">
        <v>39</v>
      </c>
      <c r="I39" s="53" t="str">
        <f>IF(G39&lt;100,"Pass","Fail")</f>
        <v>Fail</v>
      </c>
    </row>
    <row r="40" spans="1:15" ht="15.75" thickBot="1" x14ac:dyDescent="0.3">
      <c r="F40" s="10" t="s">
        <v>40</v>
      </c>
      <c r="G40" s="55">
        <v>40</v>
      </c>
    </row>
    <row r="41" spans="1:15" ht="18.75" thickBot="1" x14ac:dyDescent="0.4">
      <c r="F41" s="2" t="s">
        <v>58</v>
      </c>
      <c r="G41" s="55">
        <v>7</v>
      </c>
    </row>
    <row r="42" spans="1:15" x14ac:dyDescent="0.25">
      <c r="F42" s="2"/>
      <c r="G42" s="46"/>
    </row>
    <row r="43" spans="1:15" x14ac:dyDescent="0.25">
      <c r="F43" s="2"/>
      <c r="G43" s="46"/>
    </row>
    <row r="44" spans="1:15" x14ac:dyDescent="0.25">
      <c r="F44" s="2"/>
      <c r="G44" s="46"/>
    </row>
    <row r="45" spans="1:15" x14ac:dyDescent="0.25">
      <c r="F45" s="2"/>
      <c r="G45" s="46"/>
    </row>
    <row r="46" spans="1:15" x14ac:dyDescent="0.25">
      <c r="A46" s="2" t="s">
        <v>32</v>
      </c>
    </row>
    <row r="47" spans="1:15" ht="15.75" thickBot="1" x14ac:dyDescent="0.3"/>
    <row r="48" spans="1:15" ht="15.75" thickBot="1" x14ac:dyDescent="0.3">
      <c r="A48" t="s">
        <v>42</v>
      </c>
      <c r="D48" s="104" t="s">
        <v>43</v>
      </c>
      <c r="E48" s="105"/>
      <c r="L48" s="18"/>
      <c r="M48" s="18"/>
      <c r="N48" s="18"/>
      <c r="O48" s="18"/>
    </row>
    <row r="49" spans="1:14" ht="15.75" thickBot="1" x14ac:dyDescent="0.3">
      <c r="A49" t="s">
        <v>51</v>
      </c>
      <c r="D49" s="100">
        <v>10</v>
      </c>
      <c r="E49" s="101" t="s">
        <v>97</v>
      </c>
      <c r="F49" s="96">
        <v>1</v>
      </c>
      <c r="N49" s="1"/>
    </row>
    <row r="50" spans="1:14" x14ac:dyDescent="0.25">
      <c r="A50" s="60" t="s">
        <v>54</v>
      </c>
      <c r="B50" s="60" t="s">
        <v>55</v>
      </c>
      <c r="C50" s="60" t="s">
        <v>56</v>
      </c>
      <c r="D50" s="60" t="s">
        <v>52</v>
      </c>
      <c r="E50" s="60" t="s">
        <v>46</v>
      </c>
      <c r="F50" s="60" t="s">
        <v>53</v>
      </c>
      <c r="N50" s="1"/>
    </row>
    <row r="51" spans="1:14" x14ac:dyDescent="0.25">
      <c r="A51" s="61" t="s">
        <v>43</v>
      </c>
      <c r="B51" s="61"/>
      <c r="C51" s="61">
        <f t="shared" ref="C51:C57" si="0">($D$49/5)*$F$49</f>
        <v>2</v>
      </c>
      <c r="D51" s="62">
        <f>120-Table224[[#This Row],[4H Alb]]</f>
        <v>118</v>
      </c>
      <c r="E51" s="62">
        <v>11</v>
      </c>
      <c r="F51" s="62">
        <f>30</f>
        <v>30</v>
      </c>
      <c r="N51" s="1"/>
    </row>
    <row r="52" spans="1:14" x14ac:dyDescent="0.25">
      <c r="A52" s="61" t="s">
        <v>57</v>
      </c>
      <c r="B52" s="61"/>
      <c r="C52" s="61">
        <f t="shared" si="0"/>
        <v>2</v>
      </c>
      <c r="D52" s="62">
        <f>20-Table224[[#This Row],[4H Alb]]</f>
        <v>18</v>
      </c>
      <c r="E52" s="62" t="s">
        <v>47</v>
      </c>
      <c r="F52" s="62">
        <v>5</v>
      </c>
      <c r="N52" s="1"/>
    </row>
    <row r="53" spans="1:14" x14ac:dyDescent="0.25">
      <c r="A53" s="61" t="s">
        <v>44</v>
      </c>
      <c r="B53" s="61"/>
      <c r="C53" s="61">
        <f t="shared" si="0"/>
        <v>2</v>
      </c>
      <c r="D53" s="62">
        <f>32-C53</f>
        <v>30</v>
      </c>
      <c r="E53" s="62" t="s">
        <v>47</v>
      </c>
      <c r="F53" s="62">
        <v>8</v>
      </c>
    </row>
    <row r="54" spans="1:14" x14ac:dyDescent="0.25">
      <c r="A54" s="61" t="s">
        <v>45</v>
      </c>
      <c r="B54" s="61"/>
      <c r="C54" s="61">
        <f t="shared" si="0"/>
        <v>2</v>
      </c>
      <c r="D54" s="62">
        <f>40-C54</f>
        <v>38</v>
      </c>
      <c r="E54" s="62" t="s">
        <v>47</v>
      </c>
      <c r="F54" s="62">
        <v>10</v>
      </c>
    </row>
    <row r="55" spans="1:14" x14ac:dyDescent="0.25">
      <c r="A55" s="61" t="s">
        <v>48</v>
      </c>
      <c r="B55" s="61"/>
      <c r="C55" s="61">
        <f t="shared" si="0"/>
        <v>2</v>
      </c>
      <c r="D55" s="62">
        <f>100-C55</f>
        <v>98</v>
      </c>
      <c r="E55" s="62">
        <v>10</v>
      </c>
      <c r="F55" s="62">
        <v>25</v>
      </c>
    </row>
    <row r="56" spans="1:14" x14ac:dyDescent="0.25">
      <c r="A56" s="61" t="s">
        <v>49</v>
      </c>
      <c r="B56" s="61"/>
      <c r="C56" s="61">
        <f t="shared" si="0"/>
        <v>2</v>
      </c>
      <c r="D56" s="62">
        <f>16-C56</f>
        <v>14</v>
      </c>
      <c r="E56" s="62">
        <v>2</v>
      </c>
      <c r="F56" s="62">
        <v>4</v>
      </c>
    </row>
    <row r="57" spans="1:14" x14ac:dyDescent="0.25">
      <c r="A57" s="61" t="s">
        <v>50</v>
      </c>
      <c r="B57" s="61"/>
      <c r="C57" s="61">
        <f t="shared" si="0"/>
        <v>2</v>
      </c>
      <c r="D57" s="62">
        <f>32-C57</f>
        <v>30</v>
      </c>
      <c r="E57" s="62">
        <v>2</v>
      </c>
      <c r="F57" s="62">
        <v>8</v>
      </c>
    </row>
    <row r="62" spans="1:14" x14ac:dyDescent="0.25">
      <c r="D62" s="19"/>
    </row>
    <row r="63" spans="1:14" x14ac:dyDescent="0.25">
      <c r="D63" s="6"/>
    </row>
    <row r="64" spans="1:14" x14ac:dyDescent="0.25">
      <c r="D64" s="6"/>
    </row>
  </sheetData>
  <sheetProtection sheet="1" objects="1" scenarios="1" selectLockedCells="1"/>
  <mergeCells count="13">
    <mergeCell ref="A31:B31"/>
    <mergeCell ref="D48:E48"/>
    <mergeCell ref="A1:J1"/>
    <mergeCell ref="A3:C3"/>
    <mergeCell ref="A14:B14"/>
    <mergeCell ref="A20:B20"/>
    <mergeCell ref="A27:B27"/>
    <mergeCell ref="A28:B28"/>
    <mergeCell ref="A36:B36"/>
    <mergeCell ref="A37:B37"/>
    <mergeCell ref="A29:B30"/>
    <mergeCell ref="A5:B5"/>
    <mergeCell ref="A6:B6"/>
  </mergeCells>
  <dataValidations count="1">
    <dataValidation type="list" allowBlank="1" showInputMessage="1" showErrorMessage="1" promptTitle="Nebulizer Type" prompt="Select the nebulizer used " sqref="D48:E48">
      <formula1>$A$51:$A$57</formula1>
    </dataValidation>
  </dataValidations>
  <pageMargins left="0.25" right="0.25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showGridLines="0" workbookViewId="0">
      <selection activeCell="B8" sqref="B8"/>
    </sheetView>
  </sheetViews>
  <sheetFormatPr defaultRowHeight="15" x14ac:dyDescent="0.25"/>
  <cols>
    <col min="2" max="2" width="12.42578125" customWidth="1"/>
    <col min="5" max="5" width="6.85546875" customWidth="1"/>
    <col min="6" max="6" width="7.7109375" customWidth="1"/>
  </cols>
  <sheetData>
    <row r="1" spans="1:7" ht="15.75" thickBot="1" x14ac:dyDescent="0.3">
      <c r="A1" s="139" t="s">
        <v>72</v>
      </c>
      <c r="B1" s="140"/>
      <c r="C1" s="140"/>
      <c r="D1" s="140"/>
      <c r="E1" s="140"/>
      <c r="F1" s="140"/>
      <c r="G1" s="141"/>
    </row>
    <row r="2" spans="1:7" ht="15.75" thickBot="1" x14ac:dyDescent="0.3"/>
    <row r="3" spans="1:7" ht="18.75" thickBot="1" x14ac:dyDescent="0.4">
      <c r="A3" s="144" t="s">
        <v>92</v>
      </c>
      <c r="B3" s="145"/>
      <c r="C3" s="68">
        <f>(B4*0.283)/B5/60</f>
        <v>1.698</v>
      </c>
      <c r="D3" s="8" t="s">
        <v>75</v>
      </c>
      <c r="E3" s="8" t="s">
        <v>95</v>
      </c>
      <c r="F3" s="82">
        <f>C3*60</f>
        <v>101.88</v>
      </c>
      <c r="G3" s="8" t="s">
        <v>91</v>
      </c>
    </row>
    <row r="4" spans="1:7" ht="15.75" thickBot="1" x14ac:dyDescent="0.3">
      <c r="A4" s="11" t="s">
        <v>73</v>
      </c>
      <c r="B4" s="69">
        <v>3600</v>
      </c>
    </row>
    <row r="5" spans="1:7" ht="15.75" thickBot="1" x14ac:dyDescent="0.3">
      <c r="A5" s="11" t="s">
        <v>74</v>
      </c>
      <c r="B5" s="70">
        <v>10</v>
      </c>
    </row>
    <row r="6" spans="1:7" ht="15.75" thickBot="1" x14ac:dyDescent="0.3"/>
    <row r="7" spans="1:7" ht="18.75" thickBot="1" x14ac:dyDescent="0.4">
      <c r="A7" s="144" t="s">
        <v>93</v>
      </c>
      <c r="B7" s="145"/>
      <c r="C7" s="68">
        <f>(B8*3.14)/B9/60</f>
        <v>38.377777777777773</v>
      </c>
      <c r="D7" s="8" t="s">
        <v>75</v>
      </c>
      <c r="E7" s="8" t="s">
        <v>95</v>
      </c>
      <c r="F7" s="82">
        <f>C7*60</f>
        <v>2302.6666666666665</v>
      </c>
      <c r="G7" s="8" t="s">
        <v>91</v>
      </c>
    </row>
    <row r="8" spans="1:7" ht="15.75" thickBot="1" x14ac:dyDescent="0.3">
      <c r="A8" s="11" t="s">
        <v>73</v>
      </c>
      <c r="B8" s="71">
        <v>2200</v>
      </c>
      <c r="C8" s="2"/>
      <c r="D8" s="2"/>
    </row>
    <row r="9" spans="1:7" ht="15.75" thickBot="1" x14ac:dyDescent="0.3">
      <c r="A9" s="11" t="s">
        <v>74</v>
      </c>
      <c r="B9" s="72">
        <v>3</v>
      </c>
      <c r="C9" s="2"/>
      <c r="D9" s="2"/>
    </row>
    <row r="10" spans="1:7" ht="15.75" thickBot="1" x14ac:dyDescent="0.3">
      <c r="A10" s="2"/>
      <c r="B10" s="2"/>
      <c r="C10" s="2"/>
      <c r="D10" s="2"/>
    </row>
    <row r="11" spans="1:7" ht="15.75" thickBot="1" x14ac:dyDescent="0.3">
      <c r="A11" s="144" t="s">
        <v>76</v>
      </c>
      <c r="B11" s="145"/>
      <c r="C11" s="68">
        <f>(B12*0.283)/(B13*1.6)/60</f>
        <v>1.3101851851851853</v>
      </c>
      <c r="D11" s="8" t="s">
        <v>75</v>
      </c>
      <c r="E11" s="8" t="s">
        <v>95</v>
      </c>
      <c r="F11" s="82">
        <f>C11*60</f>
        <v>78.611111111111114</v>
      </c>
      <c r="G11" s="8" t="s">
        <v>91</v>
      </c>
    </row>
    <row r="12" spans="1:7" ht="15.75" thickBot="1" x14ac:dyDescent="0.3">
      <c r="A12" s="11" t="s">
        <v>73</v>
      </c>
      <c r="B12" s="69">
        <v>2000</v>
      </c>
      <c r="C12" s="2"/>
      <c r="D12" s="2"/>
    </row>
    <row r="13" spans="1:7" ht="15.75" thickBot="1" x14ac:dyDescent="0.3">
      <c r="A13" s="11" t="s">
        <v>74</v>
      </c>
      <c r="B13" s="70">
        <v>4.5</v>
      </c>
      <c r="C13" s="2"/>
      <c r="D13" s="2"/>
    </row>
    <row r="14" spans="1:7" ht="15.75" thickBot="1" x14ac:dyDescent="0.3">
      <c r="A14" s="2"/>
      <c r="B14" s="2"/>
      <c r="C14" s="2"/>
      <c r="D14" s="2"/>
    </row>
    <row r="15" spans="1:7" ht="15.75" thickBot="1" x14ac:dyDescent="0.3">
      <c r="A15" s="144" t="s">
        <v>77</v>
      </c>
      <c r="B15" s="145"/>
      <c r="C15" s="68">
        <f>(B16*3.14)/(B17*1.8)/60</f>
        <v>29.074074074074073</v>
      </c>
      <c r="D15" s="8" t="s">
        <v>75</v>
      </c>
      <c r="E15" s="8" t="s">
        <v>95</v>
      </c>
      <c r="F15" s="83">
        <f>C15*60</f>
        <v>1744.4444444444443</v>
      </c>
      <c r="G15" s="8" t="s">
        <v>91</v>
      </c>
    </row>
    <row r="16" spans="1:7" ht="15.75" thickBot="1" x14ac:dyDescent="0.3">
      <c r="A16" s="11" t="s">
        <v>73</v>
      </c>
      <c r="B16" s="73">
        <v>2000</v>
      </c>
      <c r="C16" s="2"/>
      <c r="D16" s="2"/>
    </row>
    <row r="17" spans="1:7" ht="15.75" thickBot="1" x14ac:dyDescent="0.3">
      <c r="A17" s="11" t="s">
        <v>74</v>
      </c>
      <c r="B17" s="74">
        <v>2</v>
      </c>
      <c r="C17" s="2"/>
      <c r="D17" s="2"/>
    </row>
    <row r="18" spans="1:7" ht="15.75" thickBot="1" x14ac:dyDescent="0.3">
      <c r="A18" s="2"/>
      <c r="B18" s="2"/>
      <c r="C18" s="2"/>
      <c r="D18" s="2"/>
    </row>
    <row r="19" spans="1:7" ht="15.75" thickBot="1" x14ac:dyDescent="0.3">
      <c r="A19" s="139" t="s">
        <v>86</v>
      </c>
      <c r="B19" s="140"/>
      <c r="C19" s="140"/>
      <c r="D19" s="140"/>
      <c r="E19" s="140"/>
      <c r="F19" s="140"/>
      <c r="G19" s="141"/>
    </row>
    <row r="20" spans="1:7" ht="15.75" thickBot="1" x14ac:dyDescent="0.3">
      <c r="A20" s="143" t="s">
        <v>88</v>
      </c>
      <c r="B20" s="143"/>
      <c r="C20" s="2" t="s">
        <v>84</v>
      </c>
      <c r="D20" s="2"/>
    </row>
    <row r="21" spans="1:7" ht="15.75" thickBot="1" x14ac:dyDescent="0.3">
      <c r="B21" s="75">
        <v>21</v>
      </c>
    </row>
    <row r="23" spans="1:7" ht="15.75" thickBot="1" x14ac:dyDescent="0.3">
      <c r="A23" s="142" t="s">
        <v>87</v>
      </c>
      <c r="B23" s="142"/>
      <c r="C23" s="2" t="s">
        <v>83</v>
      </c>
      <c r="D23" s="2"/>
    </row>
    <row r="24" spans="1:7" ht="15.75" thickBot="1" x14ac:dyDescent="0.3">
      <c r="B24" s="75">
        <v>4</v>
      </c>
    </row>
    <row r="26" spans="1:7" ht="15.75" thickBot="1" x14ac:dyDescent="0.3">
      <c r="A26" s="142" t="s">
        <v>89</v>
      </c>
      <c r="B26" s="142"/>
      <c r="C26" s="2" t="s">
        <v>82</v>
      </c>
      <c r="D26" s="2"/>
    </row>
    <row r="27" spans="1:7" ht="15.75" thickBot="1" x14ac:dyDescent="0.3">
      <c r="B27" s="76" t="s">
        <v>85</v>
      </c>
    </row>
    <row r="29" spans="1:7" ht="15.75" thickBot="1" x14ac:dyDescent="0.3">
      <c r="A29" s="142" t="s">
        <v>90</v>
      </c>
      <c r="B29" s="142"/>
      <c r="C29" s="2" t="s">
        <v>81</v>
      </c>
      <c r="D29" s="2"/>
    </row>
    <row r="30" spans="1:7" ht="15.75" thickBot="1" x14ac:dyDescent="0.3">
      <c r="B30" s="75">
        <v>2000</v>
      </c>
    </row>
    <row r="32" spans="1:7" ht="15.75" thickBot="1" x14ac:dyDescent="0.3">
      <c r="B32" s="2" t="s">
        <v>80</v>
      </c>
      <c r="C32" s="2"/>
      <c r="D32" s="2"/>
    </row>
    <row r="33" spans="2:7" ht="15.75" thickBot="1" x14ac:dyDescent="0.3">
      <c r="B33" s="77">
        <f>MAX((80/(100-B21))*((B30-250)/2000)*VLOOKUP(B27,'[1]Heliox cylinders'!A15:B16,2)/B24,0)</f>
        <v>1883</v>
      </c>
      <c r="C33" s="78" t="s">
        <v>94</v>
      </c>
      <c r="D33" s="79">
        <f>TRUNC(B33/60)</f>
        <v>31</v>
      </c>
      <c r="E33" s="80" t="s">
        <v>75</v>
      </c>
      <c r="F33" s="79">
        <f>B33-TRUNC(D33)*60</f>
        <v>23</v>
      </c>
      <c r="G33" s="81" t="s">
        <v>91</v>
      </c>
    </row>
    <row r="38" spans="2:7" x14ac:dyDescent="0.25">
      <c r="B38" t="s">
        <v>79</v>
      </c>
    </row>
    <row r="39" spans="2:7" x14ac:dyDescent="0.25">
      <c r="B39" t="s">
        <v>78</v>
      </c>
    </row>
  </sheetData>
  <sheetProtection sheet="1" objects="1" scenarios="1" selectLockedCells="1"/>
  <mergeCells count="10">
    <mergeCell ref="A1:G1"/>
    <mergeCell ref="A23:B23"/>
    <mergeCell ref="A20:B20"/>
    <mergeCell ref="A26:B26"/>
    <mergeCell ref="A29:B29"/>
    <mergeCell ref="A3:B3"/>
    <mergeCell ref="A7:B7"/>
    <mergeCell ref="A11:B11"/>
    <mergeCell ref="A15:B15"/>
    <mergeCell ref="A19:G19"/>
  </mergeCells>
  <dataValidations count="5">
    <dataValidation errorStyle="warning" allowBlank="1" showInputMessage="1" showErrorMessage="1" errorTitle="Cylinder not in use" error="Check the data - the cylinder might not be in use" sqref="B33"/>
    <dataValidation type="whole" allowBlank="1" showInputMessage="1" showErrorMessage="1" errorTitle="Wrong pressure" error="Enter the heliox cylinder pressure (whole numbers only)" promptTitle="Enter pressure in cylinder" prompt="Enter the heliox cylinder pressure (whole numbers only)" sqref="B30">
      <formula1>0</formula1>
      <formula2>2000</formula2>
    </dataValidation>
    <dataValidation type="list" allowBlank="1" showInputMessage="1" showErrorMessage="1" sqref="B27">
      <formula1>"K, T"</formula1>
    </dataValidation>
    <dataValidation type="decimal" allowBlank="1" showInputMessage="1" showErrorMessage="1" errorTitle="Wrong flow rate" error="Enter flow rate between 0 and 40" promptTitle="Enter flow rate" prompt="Enter flow value between 0 and 40 L/min" sqref="B24">
      <formula1>0</formula1>
      <formula2>40</formula2>
    </dataValidation>
    <dataValidation type="whole" allowBlank="1" showInputMessage="1" showErrorMessage="1" errorTitle="Wrong O2 value" error="Enter values between 20 and 100%" promptTitle="O2 concentration" prompt="Enter the O2 setting" sqref="B21">
      <formula1>20</formula1>
      <formula2>100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30</vt:i4>
      </vt:variant>
    </vt:vector>
  </HeadingPairs>
  <TitlesOfParts>
    <vt:vector size="35" baseType="lpstr">
      <vt:lpstr>PICU</vt:lpstr>
      <vt:lpstr>Tube Kit printable</vt:lpstr>
      <vt:lpstr>NICU</vt:lpstr>
      <vt:lpstr>combined units</vt:lpstr>
      <vt:lpstr>Cylinder duration </vt:lpstr>
      <vt:lpstr>'combined units'!Aeroneb_adolesant</vt:lpstr>
      <vt:lpstr>PICU!Aeroneb_adolesant</vt:lpstr>
      <vt:lpstr>Aeroneb_adolesant</vt:lpstr>
      <vt:lpstr>'combined units'!Aeroneb_neonate</vt:lpstr>
      <vt:lpstr>PICU!Aeroneb_neonate</vt:lpstr>
      <vt:lpstr>Aeroneb_neonate</vt:lpstr>
      <vt:lpstr>'combined units'!Aeroneb_pediatric</vt:lpstr>
      <vt:lpstr>PICU!Aeroneb_pediatric</vt:lpstr>
      <vt:lpstr>Aeroneb_pediatric</vt:lpstr>
      <vt:lpstr>'combined units'!AirLife_Misty_Finity</vt:lpstr>
      <vt:lpstr>PICU!AirLife_Misty_Finity</vt:lpstr>
      <vt:lpstr>AirLife_Misty_Finity</vt:lpstr>
      <vt:lpstr>'combined units'!IV_Heart</vt:lpstr>
      <vt:lpstr>PICU!IV_Heart</vt:lpstr>
      <vt:lpstr>IV_Heart</vt:lpstr>
      <vt:lpstr>'combined units'!Mini_Heart</vt:lpstr>
      <vt:lpstr>PICU!Mini_Heart</vt:lpstr>
      <vt:lpstr>Mini_Heart</vt:lpstr>
      <vt:lpstr>'combined units'!output</vt:lpstr>
      <vt:lpstr>PICU!output</vt:lpstr>
      <vt:lpstr>output</vt:lpstr>
      <vt:lpstr>'combined units'!SpecificNeb</vt:lpstr>
      <vt:lpstr>PICU!SpecificNeb</vt:lpstr>
      <vt:lpstr>SpecificNeb</vt:lpstr>
      <vt:lpstr>'combined units'!SpecificNebulizer</vt:lpstr>
      <vt:lpstr>PICU!SpecificNebulizer</vt:lpstr>
      <vt:lpstr>SpecificNebulizer</vt:lpstr>
      <vt:lpstr>'combined units'!Uni_Heart</vt:lpstr>
      <vt:lpstr>PICU!Uni_Heart</vt:lpstr>
      <vt:lpstr>Uni_Heart</vt:lpstr>
    </vt:vector>
  </TitlesOfParts>
  <Company>Cleveland Clinic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Fedor, Kathy</dc:creator>
  <cp:lastModifiedBy>Fedor, Kathy</cp:lastModifiedBy>
  <cp:lastPrinted>2014-06-17T13:45:48Z</cp:lastPrinted>
  <dcterms:created xsi:type="dcterms:W3CDTF">2014-05-09T17:18:24Z</dcterms:created>
  <dcterms:modified xsi:type="dcterms:W3CDTF">2017-10-20T19:42:06Z</dcterms:modified>
</cp:coreProperties>
</file>