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ocuments\Peds RT Department Documents\Calculator sheet\"/>
    </mc:Choice>
  </mc:AlternateContent>
  <bookViews>
    <workbookView xWindow="120" yWindow="30" windowWidth="15450" windowHeight="9090" activeTab="1"/>
  </bookViews>
  <sheets>
    <sheet name="Neo calculations" sheetId="1" r:id="rId1"/>
    <sheet name="Pediatric calculations" sheetId="3" r:id="rId2"/>
    <sheet name="Tables " sheetId="2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G35" i="3" l="1"/>
  <c r="D17" i="1" l="1"/>
  <c r="F17" i="1"/>
  <c r="C18" i="1"/>
  <c r="C8" i="1"/>
  <c r="E8" i="1"/>
  <c r="G30" i="3"/>
  <c r="G31" i="3"/>
  <c r="G32" i="3"/>
  <c r="G33" i="3"/>
  <c r="G34" i="3"/>
  <c r="C29" i="3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F20" i="3"/>
  <c r="D20" i="3"/>
  <c r="C23" i="3"/>
  <c r="C18" i="3"/>
  <c r="B14" i="3"/>
  <c r="F29" i="3"/>
  <c r="G29" i="3" s="1"/>
  <c r="B13" i="3"/>
  <c r="D29" i="3" l="1"/>
  <c r="D9" i="1"/>
  <c r="B7" i="3"/>
  <c r="B12" i="3" s="1"/>
  <c r="C11" i="1"/>
  <c r="H7" i="3" l="1"/>
  <c r="G7" i="3"/>
  <c r="G8" i="3"/>
  <c r="H8" i="3"/>
  <c r="D10" i="3"/>
</calcChain>
</file>

<file path=xl/sharedStrings.xml><?xml version="1.0" encoding="utf-8"?>
<sst xmlns="http://schemas.openxmlformats.org/spreadsheetml/2006/main" count="100" uniqueCount="78">
  <si>
    <t>3.5-4.0</t>
  </si>
  <si>
    <t>20-30</t>
  </si>
  <si>
    <t>15-20</t>
  </si>
  <si>
    <t>12-15</t>
  </si>
  <si>
    <t>10-12</t>
  </si>
  <si>
    <t>0.5-07</t>
  </si>
  <si>
    <t>0.6-0.8</t>
  </si>
  <si>
    <t>0.8-1.0</t>
  </si>
  <si>
    <t>1.0-1.2</t>
  </si>
  <si>
    <t>Neonatal:</t>
  </si>
  <si>
    <t>ETT size</t>
  </si>
  <si>
    <t>Vent settings:</t>
  </si>
  <si>
    <t>Mode:</t>
  </si>
  <si>
    <t>SIMV-PC/PS</t>
  </si>
  <si>
    <t>Rate:</t>
  </si>
  <si>
    <t xml:space="preserve">PC setting: </t>
  </si>
  <si>
    <t>Titrate to achieve 4-6 mL/kg</t>
  </si>
  <si>
    <t>Target Vt:</t>
  </si>
  <si>
    <t>PEEP:</t>
  </si>
  <si>
    <t>FiO2:</t>
  </si>
  <si>
    <t>Titrate to maintain SpO2 &gt; 90%</t>
  </si>
  <si>
    <t>Ti:</t>
  </si>
  <si>
    <t>0.3-0.35 sec</t>
  </si>
  <si>
    <t>mL</t>
  </si>
  <si>
    <t xml:space="preserve">Pediatric </t>
  </si>
  <si>
    <t>Age</t>
  </si>
  <si>
    <t>Wt.</t>
  </si>
  <si>
    <t>Neonatal Reference Sheet</t>
  </si>
  <si>
    <t xml:space="preserve">Pediatric Reference Sheet </t>
  </si>
  <si>
    <t>cuffed</t>
  </si>
  <si>
    <t>uncuffed</t>
  </si>
  <si>
    <t>depth of ETT insertion lip to tip:</t>
  </si>
  <si>
    <t>Depth of ETT insertion lip to tip:</t>
  </si>
  <si>
    <t>cm</t>
  </si>
  <si>
    <t>grams</t>
  </si>
  <si>
    <t>weeks</t>
  </si>
  <si>
    <t xml:space="preserve">est. GA </t>
  </si>
  <si>
    <t xml:space="preserve">est. wt </t>
  </si>
  <si>
    <t>Target Vt range:</t>
  </si>
  <si>
    <t xml:space="preserve">years </t>
  </si>
  <si>
    <t>kg</t>
  </si>
  <si>
    <t>Have available……</t>
  </si>
  <si>
    <t>Stylet:</t>
  </si>
  <si>
    <t>CO2 detector:</t>
  </si>
  <si>
    <t>SIMV-PC/PS or SIMV PRVC/PS</t>
  </si>
  <si>
    <t># of hours</t>
  </si>
  <si>
    <t>Device</t>
  </si>
  <si>
    <t>.</t>
  </si>
  <si>
    <t>4H Alb</t>
  </si>
  <si>
    <t>NS</t>
  </si>
  <si>
    <t>Flow</t>
  </si>
  <si>
    <t>Alb mg/mL</t>
  </si>
  <si>
    <t>AirLife Misty Finity</t>
  </si>
  <si>
    <t xml:space="preserve">Aeroneb neonate </t>
  </si>
  <si>
    <t>N/A</t>
  </si>
  <si>
    <t>Aeroneb pediatric</t>
  </si>
  <si>
    <t>Aeroneb adolesant</t>
  </si>
  <si>
    <t>IV Heart</t>
  </si>
  <si>
    <t>Uni Heart</t>
  </si>
  <si>
    <t>Mini Heart</t>
  </si>
  <si>
    <t>5-8 cmH2O (use higher PEEP if lungs are stiff)</t>
  </si>
  <si>
    <t>LMA:</t>
  </si>
  <si>
    <t>Titrate to achieve exh. Vt of 6-8 mL/kg</t>
  </si>
  <si>
    <t>mandatory breaths per minute</t>
  </si>
  <si>
    <t>seconds</t>
  </si>
  <si>
    <t>Albuterol dose (mg/hour)</t>
  </si>
  <si>
    <t>6mL/kg -</t>
  </si>
  <si>
    <t>8mL/kg -</t>
  </si>
  <si>
    <t>output</t>
  </si>
  <si>
    <t>by GA:</t>
  </si>
  <si>
    <t>by wt:</t>
  </si>
  <si>
    <t xml:space="preserve">Recommended ETT size </t>
  </si>
  <si>
    <t>infasurf dose:</t>
  </si>
  <si>
    <t>6 mL/kg=</t>
  </si>
  <si>
    <t>4 mL/kg=</t>
  </si>
  <si>
    <t>cm H2O</t>
  </si>
  <si>
    <t>(set 15-20 cm H2O)</t>
  </si>
  <si>
    <t>set mandatory rate 30-40/min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</si>
</sst>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Border="1" applyProtection="1"/>
    <xf numFmtId="0" fontId="1" fillId="0" borderId="0" xfId="0" applyFont="1" applyBorder="1" applyAlignment="1" applyProtection="1">
      <alignment horizontal="center"/>
    </xf>
    <xf numFmtId="165" fontId="1" fillId="0" borderId="0" xfId="0" applyNumberFormat="1" applyFont="1" applyBorder="1" applyAlignment="1" applyProtection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3" borderId="1" xfId="0" applyFont="1" applyFill="1" applyBorder="1" applyAlignment="1" applyProtection="1">
      <alignment horizontal="center"/>
      <protection locked="0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2" borderId="4" xfId="0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</xf>
    <xf numFmtId="164" fontId="2" fillId="0" borderId="0" xfId="0" applyNumberFormat="1" applyFont="1"/>
    <xf numFmtId="0" fontId="1" fillId="2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5" fillId="2" borderId="3" xfId="0" applyFont="1" applyFill="1" applyBorder="1" applyAlignment="1"/>
    <xf numFmtId="0" fontId="5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3" borderId="3" xfId="0" applyFont="1" applyFill="1" applyBorder="1"/>
    <xf numFmtId="0" fontId="1" fillId="0" borderId="0" xfId="0" applyFont="1" applyAlignment="1">
      <alignment horizontal="center"/>
    </xf>
    <xf numFmtId="0" fontId="1" fillId="3" borderId="2" xfId="0" applyFont="1" applyFill="1" applyBorder="1" applyProtection="1">
      <protection locked="0"/>
    </xf>
    <xf numFmtId="0" fontId="1" fillId="2" borderId="12" xfId="0" applyFont="1" applyFill="1" applyBorder="1" applyAlignment="1">
      <alignment horizontal="center"/>
    </xf>
    <xf numFmtId="0" fontId="1" fillId="0" borderId="0" xfId="0" applyFont="1" applyBorder="1" applyAlignment="1" applyProtection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</cellXfs>
  <cellStyles count="1">
    <cellStyle name="Normal" xfId="0" builtinId="0"/>
  </cellStyles>
  <dxfs count="10">
    <dxf>
      <font>
        <b/>
      </font>
      <numFmt numFmtId="165" formatCode="0.00;[Red]0.00"/>
      <alignment horizontal="center" vertical="bottom" textRotation="0" wrapText="0" indent="0" justifyLastLine="0" shrinkToFit="0" readingOrder="0"/>
      <protection locked="1" hidden="0"/>
    </dxf>
    <dxf>
      <font>
        <b/>
      </font>
      <alignment horizontal="center" vertical="bottom" textRotation="0" wrapText="0" indent="0" justifyLastLine="0" shrinkToFit="0" readingOrder="0"/>
      <protection locked="1" hidden="0"/>
    </dxf>
    <dxf>
      <font>
        <b/>
      </font>
      <alignment horizontal="center" vertical="bottom" textRotation="0" wrapText="0" indent="0" justifyLastLine="0" shrinkToFit="0" readingOrder="0"/>
      <protection locked="1" hidden="0"/>
    </dxf>
    <dxf>
      <font>
        <b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</font>
      <numFmt numFmtId="0" formatCode="General"/>
      <protection locked="1" hidden="0"/>
    </dxf>
    <dxf>
      <font>
        <b/>
      </font>
      <protection locked="1" hidden="0"/>
    </dxf>
    <dxf>
      <font>
        <b/>
      </font>
      <protection locked="1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215" displayName="Table215" ref="A28:G35" totalsRowShown="0" headerRowDxfId="9" dataDxfId="8" tableBorderDxfId="7">
  <autoFilter ref="A28:G35"/>
  <tableColumns count="7">
    <tableColumn id="1" name="Device" dataDxfId="6"/>
    <tableColumn id="2" name="." dataDxfId="5"/>
    <tableColumn id="6" name="4H Alb" dataDxfId="4">
      <calculatedColumnFormula>($D$27/5)*$F$27</calculatedColumnFormula>
    </tableColumn>
    <tableColumn id="3" name="NS" dataDxfId="3">
      <calculatedColumnFormula>(Table215[[#This Row],[output]]*$F$27)-C29</calculatedColumnFormula>
    </tableColumn>
    <tableColumn id="4" name="Flow" dataDxfId="2"/>
    <tableColumn id="5" name="output" dataDxfId="1"/>
    <tableColumn id="7" name="Alb mg/mL" dataDxfId="0">
      <calculatedColumnFormula>$D$27/Table215[[#This Row],[output]]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workbookViewId="0">
      <selection activeCell="C4" sqref="C4"/>
    </sheetView>
  </sheetViews>
  <sheetFormatPr defaultRowHeight="15" x14ac:dyDescent="0.25"/>
  <cols>
    <col min="1" max="1" width="11.28515625" customWidth="1"/>
    <col min="2" max="2" width="14.7109375" customWidth="1"/>
    <col min="3" max="3" width="8.5703125" customWidth="1"/>
    <col min="4" max="4" width="9.7109375" customWidth="1"/>
  </cols>
  <sheetData>
    <row r="1" spans="1:11" x14ac:dyDescent="0.25">
      <c r="A1" s="50" t="s">
        <v>27</v>
      </c>
      <c r="B1" s="50"/>
      <c r="C1" s="50"/>
      <c r="D1" s="50"/>
      <c r="E1" s="50"/>
      <c r="F1" s="50"/>
      <c r="G1" s="50"/>
    </row>
    <row r="2" spans="1:11" x14ac:dyDescent="0.25">
      <c r="F2" s="12">
        <v>400</v>
      </c>
      <c r="G2" s="12">
        <v>2.5</v>
      </c>
      <c r="H2" s="12">
        <v>23</v>
      </c>
      <c r="I2" s="12">
        <v>2.5</v>
      </c>
      <c r="J2" s="12">
        <v>25</v>
      </c>
      <c r="K2" s="12">
        <v>4</v>
      </c>
    </row>
    <row r="3" spans="1:11" x14ac:dyDescent="0.25">
      <c r="A3" s="5" t="s">
        <v>9</v>
      </c>
      <c r="F3" s="12">
        <v>1000</v>
      </c>
      <c r="G3" s="12">
        <v>3</v>
      </c>
      <c r="H3" s="12">
        <v>28</v>
      </c>
      <c r="I3" s="31">
        <v>3</v>
      </c>
      <c r="J3" s="12">
        <v>28</v>
      </c>
      <c r="K3" s="12">
        <v>5</v>
      </c>
    </row>
    <row r="4" spans="1:11" x14ac:dyDescent="0.25">
      <c r="B4" s="5" t="s">
        <v>37</v>
      </c>
      <c r="C4" s="44">
        <v>500</v>
      </c>
      <c r="D4" s="4" t="s">
        <v>34</v>
      </c>
      <c r="F4" s="12">
        <v>2000</v>
      </c>
      <c r="G4" s="12">
        <v>3.5</v>
      </c>
      <c r="H4" s="12">
        <v>35</v>
      </c>
      <c r="I4" s="12">
        <v>3.5</v>
      </c>
      <c r="J4" s="12"/>
      <c r="K4" s="12"/>
    </row>
    <row r="5" spans="1:11" x14ac:dyDescent="0.25">
      <c r="B5" s="5" t="s">
        <v>36</v>
      </c>
      <c r="C5" s="44">
        <v>25</v>
      </c>
      <c r="D5" s="4" t="s">
        <v>35</v>
      </c>
      <c r="F5" s="12">
        <v>3000</v>
      </c>
      <c r="G5" s="18" t="s">
        <v>0</v>
      </c>
      <c r="H5" s="12">
        <v>44</v>
      </c>
      <c r="I5" s="18" t="s">
        <v>0</v>
      </c>
      <c r="J5" s="12"/>
      <c r="K5" s="12"/>
    </row>
    <row r="6" spans="1:11" x14ac:dyDescent="0.25">
      <c r="D6" s="4"/>
      <c r="G6" s="1"/>
      <c r="I6" s="1"/>
    </row>
    <row r="7" spans="1:11" x14ac:dyDescent="0.25">
      <c r="A7" s="5" t="s">
        <v>71</v>
      </c>
    </row>
    <row r="8" spans="1:11" x14ac:dyDescent="0.25">
      <c r="A8" s="6"/>
      <c r="B8" s="43" t="s">
        <v>70</v>
      </c>
      <c r="C8" s="25">
        <f>VLOOKUP(C4,F2:G5,2)</f>
        <v>2.5</v>
      </c>
      <c r="D8" s="43" t="s">
        <v>69</v>
      </c>
      <c r="E8" s="45">
        <f>VLOOKUP(C5,H2:I5,2)</f>
        <v>2.5</v>
      </c>
    </row>
    <row r="9" spans="1:11" x14ac:dyDescent="0.25">
      <c r="A9" s="50" t="s">
        <v>31</v>
      </c>
      <c r="B9" s="50"/>
      <c r="C9" s="50"/>
      <c r="D9" s="32">
        <f>(C4/1000)+6</f>
        <v>6.5</v>
      </c>
      <c r="E9" s="19" t="s">
        <v>33</v>
      </c>
    </row>
    <row r="10" spans="1:11" x14ac:dyDescent="0.25">
      <c r="A10" s="4"/>
      <c r="B10" s="4"/>
      <c r="C10" s="4"/>
    </row>
    <row r="11" spans="1:11" x14ac:dyDescent="0.25">
      <c r="B11" s="5" t="s">
        <v>72</v>
      </c>
      <c r="C11" s="21">
        <f>C4*3/1000</f>
        <v>1.5</v>
      </c>
      <c r="D11" s="24" t="s">
        <v>23</v>
      </c>
    </row>
    <row r="13" spans="1:11" x14ac:dyDescent="0.25">
      <c r="A13" s="5" t="s">
        <v>11</v>
      </c>
    </row>
    <row r="14" spans="1:11" x14ac:dyDescent="0.25">
      <c r="B14" s="28" t="s">
        <v>12</v>
      </c>
      <c r="C14" s="47" t="s">
        <v>13</v>
      </c>
      <c r="D14" s="48"/>
      <c r="E14" s="48"/>
      <c r="F14" s="48"/>
      <c r="G14" s="49"/>
    </row>
    <row r="15" spans="1:11" x14ac:dyDescent="0.25">
      <c r="B15" s="28" t="s">
        <v>14</v>
      </c>
      <c r="C15" s="47" t="s">
        <v>77</v>
      </c>
      <c r="D15" s="48"/>
      <c r="E15" s="48"/>
      <c r="F15" s="48"/>
      <c r="G15" s="49"/>
    </row>
    <row r="16" spans="1:11" x14ac:dyDescent="0.25">
      <c r="B16" s="28" t="s">
        <v>15</v>
      </c>
      <c r="C16" s="33" t="s">
        <v>16</v>
      </c>
      <c r="D16" s="34"/>
      <c r="E16" s="34"/>
      <c r="F16" s="34" t="s">
        <v>76</v>
      </c>
      <c r="G16" s="36"/>
    </row>
    <row r="17" spans="2:7" x14ac:dyDescent="0.25">
      <c r="B17" s="42" t="s">
        <v>38</v>
      </c>
      <c r="C17" s="38" t="s">
        <v>74</v>
      </c>
      <c r="D17" s="22">
        <f>(C4/1000)*4</f>
        <v>2</v>
      </c>
      <c r="E17" s="39" t="s">
        <v>73</v>
      </c>
      <c r="F17" s="48">
        <f>(C4/1000)*6</f>
        <v>3</v>
      </c>
      <c r="G17" s="49"/>
    </row>
    <row r="18" spans="2:7" x14ac:dyDescent="0.25">
      <c r="B18" s="28" t="s">
        <v>18</v>
      </c>
      <c r="C18" s="40">
        <f>VLOOKUP(C5,J2:K3,2)</f>
        <v>4</v>
      </c>
      <c r="D18" s="35" t="s">
        <v>75</v>
      </c>
      <c r="E18" s="35"/>
      <c r="F18" s="35"/>
      <c r="G18" s="37"/>
    </row>
    <row r="19" spans="2:7" x14ac:dyDescent="0.25">
      <c r="B19" s="28" t="s">
        <v>19</v>
      </c>
      <c r="C19" s="47" t="s">
        <v>20</v>
      </c>
      <c r="D19" s="48"/>
      <c r="E19" s="48"/>
      <c r="F19" s="48"/>
      <c r="G19" s="49"/>
    </row>
    <row r="20" spans="2:7" x14ac:dyDescent="0.25">
      <c r="B20" s="28" t="s">
        <v>21</v>
      </c>
      <c r="C20" s="47" t="s">
        <v>22</v>
      </c>
      <c r="D20" s="48"/>
      <c r="E20" s="48"/>
      <c r="F20" s="48"/>
      <c r="G20" s="49"/>
    </row>
  </sheetData>
  <sheetProtection sheet="1" objects="1" scenarios="1" selectLockedCells="1"/>
  <mergeCells count="7">
    <mergeCell ref="C20:G20"/>
    <mergeCell ref="F17:G17"/>
    <mergeCell ref="A1:G1"/>
    <mergeCell ref="A9:C9"/>
    <mergeCell ref="C14:G14"/>
    <mergeCell ref="C15:G15"/>
    <mergeCell ref="C19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tabSelected="1" workbookViewId="0">
      <selection activeCell="C6" sqref="C6"/>
    </sheetView>
  </sheetViews>
  <sheetFormatPr defaultRowHeight="15" x14ac:dyDescent="0.25"/>
  <cols>
    <col min="1" max="1" width="13.140625" customWidth="1"/>
    <col min="2" max="2" width="10.140625" customWidth="1"/>
    <col min="5" max="5" width="10.7109375" customWidth="1"/>
    <col min="6" max="6" width="10.28515625" customWidth="1"/>
    <col min="7" max="7" width="13.42578125" customWidth="1"/>
  </cols>
  <sheetData>
    <row r="1" spans="1:10" x14ac:dyDescent="0.25">
      <c r="A1" s="50" t="s">
        <v>28</v>
      </c>
      <c r="B1" s="50"/>
      <c r="C1" s="50"/>
      <c r="D1" s="50"/>
      <c r="E1" s="50"/>
      <c r="F1" s="50"/>
      <c r="G1" s="50"/>
      <c r="H1" s="50"/>
    </row>
    <row r="3" spans="1:10" x14ac:dyDescent="0.25">
      <c r="A3" s="5" t="s">
        <v>24</v>
      </c>
    </row>
    <row r="4" spans="1:10" x14ac:dyDescent="0.25">
      <c r="B4" t="s">
        <v>25</v>
      </c>
      <c r="C4" s="29">
        <v>8</v>
      </c>
      <c r="D4" s="4" t="s">
        <v>39</v>
      </c>
    </row>
    <row r="5" spans="1:10" x14ac:dyDescent="0.25">
      <c r="B5" t="s">
        <v>26</v>
      </c>
      <c r="C5" s="29">
        <v>30</v>
      </c>
      <c r="D5" s="4" t="s">
        <v>40</v>
      </c>
    </row>
    <row r="7" spans="1:10" x14ac:dyDescent="0.25">
      <c r="A7" s="6" t="s">
        <v>10</v>
      </c>
      <c r="B7" s="25">
        <f>(C4+16)/4</f>
        <v>6</v>
      </c>
      <c r="D7" s="5" t="s">
        <v>41</v>
      </c>
      <c r="F7" s="6" t="s">
        <v>29</v>
      </c>
      <c r="G7" s="25">
        <f>B7-0.5</f>
        <v>5.5</v>
      </c>
      <c r="H7" s="25">
        <f>B7</f>
        <v>6</v>
      </c>
    </row>
    <row r="8" spans="1:10" x14ac:dyDescent="0.25">
      <c r="F8" s="6" t="s">
        <v>30</v>
      </c>
      <c r="G8" s="25">
        <f>B7</f>
        <v>6</v>
      </c>
      <c r="H8" s="25">
        <f>B7+0.5</f>
        <v>6.5</v>
      </c>
    </row>
    <row r="10" spans="1:10" x14ac:dyDescent="0.25">
      <c r="A10" s="5" t="s">
        <v>32</v>
      </c>
      <c r="D10" s="26">
        <f>B7*3</f>
        <v>18</v>
      </c>
      <c r="E10" s="27" t="s">
        <v>33</v>
      </c>
      <c r="F10" s="12">
        <v>5</v>
      </c>
      <c r="G10" s="13">
        <v>1</v>
      </c>
      <c r="H10" s="12">
        <v>1</v>
      </c>
      <c r="I10" s="17" t="s">
        <v>1</v>
      </c>
      <c r="J10" s="18" t="s">
        <v>5</v>
      </c>
    </row>
    <row r="11" spans="1:10" x14ac:dyDescent="0.25">
      <c r="D11" s="1"/>
      <c r="F11" s="12">
        <v>10</v>
      </c>
      <c r="G11" s="13">
        <v>1.5</v>
      </c>
      <c r="H11" s="12">
        <v>4</v>
      </c>
      <c r="I11" s="17" t="s">
        <v>2</v>
      </c>
      <c r="J11" s="18" t="s">
        <v>6</v>
      </c>
    </row>
    <row r="12" spans="1:10" x14ac:dyDescent="0.25">
      <c r="A12" s="6" t="s">
        <v>42</v>
      </c>
      <c r="B12" s="25" t="str">
        <f>IF(B7&lt;5.5,"6 Fr","14 Fr")</f>
        <v>14 Fr</v>
      </c>
      <c r="F12" s="12">
        <v>20</v>
      </c>
      <c r="G12" s="13">
        <v>2</v>
      </c>
      <c r="H12" s="12">
        <v>12</v>
      </c>
      <c r="I12" s="17" t="s">
        <v>3</v>
      </c>
      <c r="J12" s="18" t="s">
        <v>7</v>
      </c>
    </row>
    <row r="13" spans="1:10" x14ac:dyDescent="0.25">
      <c r="A13" s="5" t="s">
        <v>43</v>
      </c>
      <c r="B13" s="25" t="str">
        <f>IF(C5&lt;15,"PediCap","EZCap")</f>
        <v>EZCap</v>
      </c>
      <c r="F13" s="12">
        <v>30</v>
      </c>
      <c r="G13" s="13">
        <v>2.5</v>
      </c>
      <c r="H13" s="12">
        <v>20</v>
      </c>
      <c r="I13" s="17" t="s">
        <v>4</v>
      </c>
      <c r="J13" s="18" t="s">
        <v>8</v>
      </c>
    </row>
    <row r="14" spans="1:10" x14ac:dyDescent="0.25">
      <c r="A14" s="6" t="s">
        <v>61</v>
      </c>
      <c r="B14" s="25">
        <f>VLOOKUP(C5,F10:G16,2)</f>
        <v>2.5</v>
      </c>
      <c r="F14" s="12">
        <v>50</v>
      </c>
      <c r="G14" s="13">
        <v>3</v>
      </c>
      <c r="H14" s="12"/>
      <c r="I14" s="12"/>
      <c r="J14" s="12"/>
    </row>
    <row r="15" spans="1:10" x14ac:dyDescent="0.25">
      <c r="F15" s="12">
        <v>70</v>
      </c>
      <c r="G15" s="13">
        <v>4</v>
      </c>
      <c r="H15" s="12"/>
      <c r="I15" s="12"/>
      <c r="J15" s="12"/>
    </row>
    <row r="16" spans="1:10" x14ac:dyDescent="0.25">
      <c r="A16" s="5" t="s">
        <v>11</v>
      </c>
      <c r="F16" s="12">
        <v>100</v>
      </c>
      <c r="G16" s="13">
        <v>5</v>
      </c>
      <c r="H16" s="12"/>
      <c r="I16" s="12"/>
      <c r="J16" s="12"/>
    </row>
    <row r="17" spans="1:7" x14ac:dyDescent="0.25">
      <c r="B17" s="28" t="s">
        <v>12</v>
      </c>
      <c r="C17" s="47" t="s">
        <v>44</v>
      </c>
      <c r="D17" s="48"/>
      <c r="E17" s="48"/>
      <c r="F17" s="48"/>
      <c r="G17" s="49"/>
    </row>
    <row r="18" spans="1:7" x14ac:dyDescent="0.25">
      <c r="B18" s="28" t="s">
        <v>14</v>
      </c>
      <c r="C18" s="20" t="str">
        <f>VLOOKUP(C4,H10:J13,2)</f>
        <v>15-20</v>
      </c>
      <c r="D18" s="48" t="s">
        <v>63</v>
      </c>
      <c r="E18" s="48"/>
      <c r="F18" s="48"/>
      <c r="G18" s="49"/>
    </row>
    <row r="19" spans="1:7" x14ac:dyDescent="0.25">
      <c r="B19" s="28" t="s">
        <v>15</v>
      </c>
      <c r="C19" s="47" t="s">
        <v>62</v>
      </c>
      <c r="D19" s="48"/>
      <c r="E19" s="48"/>
      <c r="F19" s="48"/>
      <c r="G19" s="49"/>
    </row>
    <row r="20" spans="1:7" x14ac:dyDescent="0.25">
      <c r="B20" s="28" t="s">
        <v>17</v>
      </c>
      <c r="C20" s="39" t="s">
        <v>66</v>
      </c>
      <c r="D20" s="23">
        <f>C5*6</f>
        <v>180</v>
      </c>
      <c r="E20" s="41" t="s">
        <v>67</v>
      </c>
      <c r="F20" s="23">
        <f>C5*8</f>
        <v>240</v>
      </c>
      <c r="G20" s="24"/>
    </row>
    <row r="21" spans="1:7" x14ac:dyDescent="0.25">
      <c r="B21" s="28" t="s">
        <v>18</v>
      </c>
      <c r="C21" s="47" t="s">
        <v>60</v>
      </c>
      <c r="D21" s="48"/>
      <c r="E21" s="48"/>
      <c r="F21" s="48"/>
      <c r="G21" s="49"/>
    </row>
    <row r="22" spans="1:7" x14ac:dyDescent="0.25">
      <c r="B22" s="28" t="s">
        <v>19</v>
      </c>
      <c r="C22" s="47" t="s">
        <v>20</v>
      </c>
      <c r="D22" s="48"/>
      <c r="E22" s="48"/>
      <c r="F22" s="48"/>
      <c r="G22" s="49"/>
    </row>
    <row r="23" spans="1:7" x14ac:dyDescent="0.25">
      <c r="B23" s="28" t="s">
        <v>21</v>
      </c>
      <c r="C23" s="20" t="str">
        <f>VLOOKUP(C4,H10:J13,3)</f>
        <v>0.6-0.8</v>
      </c>
      <c r="D23" s="23" t="s">
        <v>64</v>
      </c>
      <c r="E23" s="23"/>
      <c r="F23" s="23"/>
      <c r="G23" s="24"/>
    </row>
    <row r="26" spans="1:7" ht="15.75" thickBot="1" x14ac:dyDescent="0.3"/>
    <row r="27" spans="1:7" x14ac:dyDescent="0.25">
      <c r="A27" s="51" t="s">
        <v>65</v>
      </c>
      <c r="B27" s="51"/>
      <c r="C27" s="52"/>
      <c r="D27" s="16">
        <v>15</v>
      </c>
      <c r="E27" s="7" t="s">
        <v>45</v>
      </c>
      <c r="F27" s="16">
        <v>1</v>
      </c>
      <c r="G27" s="8"/>
    </row>
    <row r="28" spans="1:7" x14ac:dyDescent="0.25">
      <c r="A28" s="30" t="s">
        <v>46</v>
      </c>
      <c r="B28" s="30" t="s">
        <v>47</v>
      </c>
      <c r="C28" s="30" t="s">
        <v>48</v>
      </c>
      <c r="D28" s="30" t="s">
        <v>49</v>
      </c>
      <c r="E28" s="30" t="s">
        <v>50</v>
      </c>
      <c r="F28" s="30" t="s">
        <v>68</v>
      </c>
      <c r="G28" s="30" t="s">
        <v>51</v>
      </c>
    </row>
    <row r="29" spans="1:7" x14ac:dyDescent="0.25">
      <c r="A29" s="9" t="s">
        <v>52</v>
      </c>
      <c r="B29" s="9"/>
      <c r="C29" s="9">
        <f t="shared" ref="C29:C35" si="0">($D$27/5)*$F$27</f>
        <v>3</v>
      </c>
      <c r="D29" s="10">
        <f>(Table215[[#This Row],[output]]*$F$27)-C29</f>
        <v>27</v>
      </c>
      <c r="E29" s="10">
        <v>11</v>
      </c>
      <c r="F29" s="10">
        <f>30</f>
        <v>30</v>
      </c>
      <c r="G29" s="11">
        <f>$D$27/Table215[[#This Row],[output]]</f>
        <v>0.5</v>
      </c>
    </row>
    <row r="30" spans="1:7" x14ac:dyDescent="0.25">
      <c r="A30" s="9" t="s">
        <v>53</v>
      </c>
      <c r="B30" s="9"/>
      <c r="C30" s="9">
        <f t="shared" si="0"/>
        <v>3</v>
      </c>
      <c r="D30" s="10">
        <f>(Table215[[#This Row],[output]]*$F$27)-C30</f>
        <v>2</v>
      </c>
      <c r="E30" s="10" t="s">
        <v>54</v>
      </c>
      <c r="F30" s="10">
        <v>5</v>
      </c>
      <c r="G30" s="11">
        <f>$D$27/Table215[[#This Row],[output]]</f>
        <v>3</v>
      </c>
    </row>
    <row r="31" spans="1:7" x14ac:dyDescent="0.25">
      <c r="A31" s="9" t="s">
        <v>55</v>
      </c>
      <c r="B31" s="9"/>
      <c r="C31" s="9">
        <f t="shared" si="0"/>
        <v>3</v>
      </c>
      <c r="D31" s="10">
        <f>(Table215[[#This Row],[output]]*$F$27)-C31</f>
        <v>5</v>
      </c>
      <c r="E31" s="10" t="s">
        <v>54</v>
      </c>
      <c r="F31" s="10">
        <v>8</v>
      </c>
      <c r="G31" s="11">
        <f>$D$27/Table215[[#This Row],[output]]</f>
        <v>1.875</v>
      </c>
    </row>
    <row r="32" spans="1:7" x14ac:dyDescent="0.25">
      <c r="A32" s="9" t="s">
        <v>56</v>
      </c>
      <c r="B32" s="9"/>
      <c r="C32" s="9">
        <f t="shared" si="0"/>
        <v>3</v>
      </c>
      <c r="D32" s="10">
        <f>(Table215[[#This Row],[output]]*$F$27)-C32</f>
        <v>7</v>
      </c>
      <c r="E32" s="10" t="s">
        <v>54</v>
      </c>
      <c r="F32" s="10">
        <v>10</v>
      </c>
      <c r="G32" s="11">
        <f>$D$27/Table215[[#This Row],[output]]</f>
        <v>1.5</v>
      </c>
    </row>
    <row r="33" spans="1:7" x14ac:dyDescent="0.25">
      <c r="A33" s="9" t="s">
        <v>57</v>
      </c>
      <c r="B33" s="9"/>
      <c r="C33" s="9">
        <f t="shared" si="0"/>
        <v>3</v>
      </c>
      <c r="D33" s="10">
        <f>(Table215[[#This Row],[output]]*$F$27)-C33</f>
        <v>22</v>
      </c>
      <c r="E33" s="10">
        <v>10</v>
      </c>
      <c r="F33" s="10">
        <v>25</v>
      </c>
      <c r="G33" s="11">
        <f>$D$27/Table215[[#This Row],[output]]</f>
        <v>0.6</v>
      </c>
    </row>
    <row r="34" spans="1:7" x14ac:dyDescent="0.25">
      <c r="A34" s="9" t="s">
        <v>58</v>
      </c>
      <c r="B34" s="9"/>
      <c r="C34" s="9">
        <f t="shared" si="0"/>
        <v>3</v>
      </c>
      <c r="D34" s="10">
        <f>(Table215[[#This Row],[output]]*$F$27)-C34</f>
        <v>1</v>
      </c>
      <c r="E34" s="10">
        <v>2</v>
      </c>
      <c r="F34" s="10">
        <v>4</v>
      </c>
      <c r="G34" s="11">
        <f>$D$27/Table215[[#This Row],[output]]</f>
        <v>3.75</v>
      </c>
    </row>
    <row r="35" spans="1:7" x14ac:dyDescent="0.25">
      <c r="A35" s="9" t="s">
        <v>59</v>
      </c>
      <c r="B35" s="9"/>
      <c r="C35" s="9">
        <f t="shared" si="0"/>
        <v>3</v>
      </c>
      <c r="D35" s="46">
        <f>(Table215[[#This Row],[output]]*$F$27)-C35</f>
        <v>17</v>
      </c>
      <c r="E35" s="10">
        <v>8</v>
      </c>
      <c r="F35" s="10">
        <v>20</v>
      </c>
      <c r="G35" s="11">
        <f>$D$27/Table215[[#This Row],[output]]</f>
        <v>0.75</v>
      </c>
    </row>
  </sheetData>
  <sheetProtection selectLockedCells="1"/>
  <mergeCells count="7">
    <mergeCell ref="A1:H1"/>
    <mergeCell ref="A27:C27"/>
    <mergeCell ref="C19:G19"/>
    <mergeCell ref="C17:G17"/>
    <mergeCell ref="D18:G18"/>
    <mergeCell ref="C21:G21"/>
    <mergeCell ref="C22:G2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sqref="A1:H4"/>
    </sheetView>
  </sheetViews>
  <sheetFormatPr defaultRowHeight="15" x14ac:dyDescent="0.25"/>
  <sheetData>
    <row r="1" spans="1:8" x14ac:dyDescent="0.25">
      <c r="A1">
        <v>1000</v>
      </c>
      <c r="B1">
        <v>2.5</v>
      </c>
      <c r="D1">
        <v>23</v>
      </c>
      <c r="E1">
        <v>2.5</v>
      </c>
      <c r="G1">
        <v>25</v>
      </c>
      <c r="H1">
        <v>4</v>
      </c>
    </row>
    <row r="2" spans="1:8" x14ac:dyDescent="0.25">
      <c r="A2">
        <v>2000</v>
      </c>
      <c r="B2">
        <v>3</v>
      </c>
      <c r="D2">
        <v>28</v>
      </c>
      <c r="E2" s="3">
        <v>3</v>
      </c>
      <c r="G2">
        <v>28</v>
      </c>
      <c r="H2">
        <v>5</v>
      </c>
    </row>
    <row r="3" spans="1:8" x14ac:dyDescent="0.25">
      <c r="A3">
        <v>3000</v>
      </c>
      <c r="B3">
        <v>3.5</v>
      </c>
      <c r="D3">
        <v>35</v>
      </c>
      <c r="E3">
        <v>3.5</v>
      </c>
    </row>
    <row r="4" spans="1:8" x14ac:dyDescent="0.25">
      <c r="A4">
        <v>4000</v>
      </c>
      <c r="B4" s="1" t="s">
        <v>0</v>
      </c>
      <c r="D4">
        <v>44</v>
      </c>
      <c r="E4" s="1" t="s">
        <v>0</v>
      </c>
    </row>
    <row r="7" spans="1:8" x14ac:dyDescent="0.25">
      <c r="A7">
        <v>1</v>
      </c>
      <c r="B7" s="2" t="s">
        <v>1</v>
      </c>
      <c r="C7" s="1" t="s">
        <v>5</v>
      </c>
      <c r="E7" s="14">
        <v>5</v>
      </c>
      <c r="F7" s="15">
        <v>1</v>
      </c>
    </row>
    <row r="8" spans="1:8" x14ac:dyDescent="0.25">
      <c r="A8">
        <v>5</v>
      </c>
      <c r="B8" s="2" t="s">
        <v>2</v>
      </c>
      <c r="C8" s="1" t="s">
        <v>6</v>
      </c>
      <c r="E8" s="14">
        <v>10</v>
      </c>
      <c r="F8" s="15">
        <v>1.5</v>
      </c>
    </row>
    <row r="9" spans="1:8" x14ac:dyDescent="0.25">
      <c r="A9">
        <v>12</v>
      </c>
      <c r="B9" s="2" t="s">
        <v>3</v>
      </c>
      <c r="C9" s="1" t="s">
        <v>7</v>
      </c>
      <c r="E9" s="14">
        <v>20</v>
      </c>
      <c r="F9" s="15">
        <v>2</v>
      </c>
    </row>
    <row r="10" spans="1:8" x14ac:dyDescent="0.25">
      <c r="A10">
        <v>20</v>
      </c>
      <c r="B10" s="2" t="s">
        <v>4</v>
      </c>
      <c r="C10" s="1" t="s">
        <v>8</v>
      </c>
      <c r="E10" s="14">
        <v>30</v>
      </c>
      <c r="F10" s="15">
        <v>2.5</v>
      </c>
    </row>
    <row r="11" spans="1:8" x14ac:dyDescent="0.25">
      <c r="E11" s="14">
        <v>50</v>
      </c>
      <c r="F11" s="15">
        <v>3</v>
      </c>
    </row>
    <row r="12" spans="1:8" x14ac:dyDescent="0.25">
      <c r="E12" s="14">
        <v>70</v>
      </c>
      <c r="F12" s="15">
        <v>4</v>
      </c>
    </row>
    <row r="13" spans="1:8" x14ac:dyDescent="0.25">
      <c r="E13" s="14">
        <v>100</v>
      </c>
      <c r="F13" s="15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Neo calculations</vt:lpstr>
      <vt:lpstr>Pediatric calculations</vt:lpstr>
      <vt:lpstr>Tables </vt:lpstr>
      <vt:lpstr>Sheet4</vt:lpstr>
    </vt:vector>
  </TitlesOfParts>
  <Company>Cleveland Clinic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Fedor, Kathy</dc:creator>
  <cp:lastModifiedBy>Fedor, Kathy</cp:lastModifiedBy>
  <cp:lastPrinted>2014-09-10T16:52:27Z</cp:lastPrinted>
  <dcterms:created xsi:type="dcterms:W3CDTF">2014-09-10T15:01:35Z</dcterms:created>
  <dcterms:modified xsi:type="dcterms:W3CDTF">2017-10-20T19:42:59Z</dcterms:modified>
</cp:coreProperties>
</file>