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verChuk\Google Drive\A SCHOOL\SPRING16\CHEM THERMO\COMPUTATION CODES\Cubic equation\VLE\"/>
    </mc:Choice>
  </mc:AlternateContent>
  <bookViews>
    <workbookView xWindow="0" yWindow="0" windowWidth="20490" windowHeight="8445" firstSheet="1" activeTab="4"/>
  </bookViews>
  <sheets>
    <sheet name="Props" sheetId="4" r:id="rId1"/>
    <sheet name="Antoine" sheetId="3" r:id="rId2"/>
    <sheet name="VLE Adiabatic_flash__Antoine" sheetId="1" r:id="rId3"/>
    <sheet name="Vapor Ref" sheetId="5" r:id="rId4"/>
    <sheet name="VaporFEED" sheetId="6" r:id="rId5"/>
    <sheet name="VLE adiabatic flash-SC" sheetId="2" r:id="rId6"/>
  </sheets>
  <externalReferences>
    <externalReference r:id="rId7"/>
  </externalReferences>
  <definedNames>
    <definedName name="_R">'[1]Ref State'!$I$26</definedName>
    <definedName name="PREF">'[1]Ref State'!$B$8</definedName>
    <definedName name="solver_adj" localSheetId="3" hidden="1">'Vapor Ref'!$B$24,'Vapor Ref'!$E$35</definedName>
    <definedName name="solver_adj" localSheetId="4" hidden="1">VaporFEED!$B$24,VaporFEED!$E$35</definedName>
    <definedName name="solver_adj" localSheetId="5" hidden="1">'VLE adiabatic flash-SC'!$B$24,'VLE adiabatic flash-SC'!$E$35</definedName>
    <definedName name="solver_adj" localSheetId="2" hidden="1">'VLE Adiabatic_flash__Antoine'!$B$24,'VLE Adiabatic_flash__Antoine'!$E$35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2" hidden="1">0.0001</definedName>
    <definedName name="solver_drv" localSheetId="3" hidden="1">2</definedName>
    <definedName name="solver_drv" localSheetId="4" hidden="1">2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2" hidden="1">2147483647</definedName>
    <definedName name="solver_lhs1" localSheetId="3" hidden="1">'Vapor Ref'!$G$30</definedName>
    <definedName name="solver_lhs1" localSheetId="4" hidden="1">VaporFEED!$G$30</definedName>
    <definedName name="solver_lhs1" localSheetId="5" hidden="1">'VLE adiabatic flash-SC'!$G$30</definedName>
    <definedName name="solver_lhs1" localSheetId="2" hidden="1">'VLE Adiabatic_flash__Antoine'!$E$35</definedName>
    <definedName name="solver_lhs2" localSheetId="3" hidden="1">'Vapor Ref'!$G$38</definedName>
    <definedName name="solver_lhs2" localSheetId="4" hidden="1">VaporFEED!$G$38</definedName>
    <definedName name="solver_lhs2" localSheetId="5" hidden="1">'VLE adiabatic flash-SC'!$G$38</definedName>
    <definedName name="solver_lhs2" localSheetId="2" hidden="1">'VLE Adiabatic_flash__Antoine'!$H$32</definedName>
    <definedName name="solver_lhs3" localSheetId="3" hidden="1">'Vapor Ref'!$L$33</definedName>
    <definedName name="solver_lhs3" localSheetId="4" hidden="1">VaporFEED!$L$33</definedName>
    <definedName name="solver_lhs3" localSheetId="5" hidden="1">'VLE adiabatic flash-SC'!$L$33</definedName>
    <definedName name="solver_lhs3" localSheetId="2" hidden="1">'VLE Adiabatic_flash__Antoine'!$L$33</definedName>
    <definedName name="solver_lhs4" localSheetId="3" hidden="1">'Vapor Ref'!$L$33</definedName>
    <definedName name="solver_lhs4" localSheetId="4" hidden="1">VaporFEED!$L$33</definedName>
    <definedName name="solver_lhs4" localSheetId="2" hidden="1">'VLE Adiabatic_flash__Antoine'!$L$33</definedName>
    <definedName name="solver_lhs5" localSheetId="3" hidden="1">'Vapor Ref'!$L$33</definedName>
    <definedName name="solver_lhs5" localSheetId="4" hidden="1">VaporFEED!$L$33</definedName>
    <definedName name="solver_lhs5" localSheetId="2" hidden="1">'VLE Adiabatic_flash__Antoine'!$L$33</definedName>
    <definedName name="solver_lhs6" localSheetId="2" hidden="1">'VLE Adiabatic_flash__Antoine'!$L$33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2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opt" localSheetId="3" hidden="1">'Vapor Ref'!$L$25</definedName>
    <definedName name="solver_opt" localSheetId="4" hidden="1">VaporFEED!$L$25</definedName>
    <definedName name="solver_opt" localSheetId="5" hidden="1">'VLE adiabatic flash-SC'!$L$25</definedName>
    <definedName name="solver_opt" localSheetId="2" hidden="1">'VLE Adiabatic_flash__Antoine'!$L$25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5" hidden="1">1</definedName>
    <definedName name="solver_rbv" localSheetId="2" hidden="1">1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2" hidden="1">1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2" hidden="1">2</definedName>
    <definedName name="solver_rel4" localSheetId="3" hidden="1">2</definedName>
    <definedName name="solver_rel4" localSheetId="4" hidden="1">2</definedName>
    <definedName name="solver_rel4" localSheetId="2" hidden="1">2</definedName>
    <definedName name="solver_rel5" localSheetId="3" hidden="1">2</definedName>
    <definedName name="solver_rel5" localSheetId="4" hidden="1">2</definedName>
    <definedName name="solver_rel5" localSheetId="2" hidden="1">2</definedName>
    <definedName name="solver_rel6" localSheetId="2" hidden="1">2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2" hidden="1">0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2" hidden="1">1</definedName>
    <definedName name="solver_rhs4" localSheetId="3" hidden="1">1</definedName>
    <definedName name="solver_rhs4" localSheetId="4" hidden="1">1</definedName>
    <definedName name="solver_rhs4" localSheetId="2" hidden="1">1</definedName>
    <definedName name="solver_rhs5" localSheetId="3" hidden="1">1</definedName>
    <definedName name="solver_rhs5" localSheetId="4" hidden="1">1</definedName>
    <definedName name="solver_rhs5" localSheetId="2" hidden="1">1</definedName>
    <definedName name="solver_rhs6" localSheetId="2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2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2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2" hidden="1">3</definedName>
    <definedName name="TREF">'[1]Ref State'!$B$7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J35" i="5"/>
  <c r="J24" i="5"/>
  <c r="F36" i="1"/>
  <c r="F24" i="6"/>
  <c r="E18" i="6"/>
  <c r="E17" i="6"/>
  <c r="B35" i="6"/>
  <c r="D35" i="6" s="1"/>
  <c r="D24" i="6" s="1"/>
  <c r="E24" i="6"/>
  <c r="L33" i="6" s="1"/>
  <c r="C24" i="6"/>
  <c r="C35" i="6" s="1"/>
  <c r="D17" i="6"/>
  <c r="C17" i="6"/>
  <c r="B17" i="6"/>
  <c r="B13" i="6"/>
  <c r="N8" i="6"/>
  <c r="M8" i="6"/>
  <c r="L8" i="6"/>
  <c r="K8" i="6"/>
  <c r="J8" i="6"/>
  <c r="N7" i="6"/>
  <c r="M7" i="6"/>
  <c r="L7" i="6"/>
  <c r="K7" i="6"/>
  <c r="J7" i="6"/>
  <c r="G5" i="6"/>
  <c r="F5" i="6"/>
  <c r="E5" i="6"/>
  <c r="D5" i="6"/>
  <c r="B5" i="6"/>
  <c r="F18" i="6" s="1"/>
  <c r="A5" i="6"/>
  <c r="A25" i="6" s="1"/>
  <c r="N4" i="6"/>
  <c r="M4" i="6"/>
  <c r="L4" i="6"/>
  <c r="K4" i="6"/>
  <c r="J4" i="6"/>
  <c r="G4" i="6"/>
  <c r="F4" i="6"/>
  <c r="E4" i="6"/>
  <c r="D4" i="6"/>
  <c r="B4" i="6"/>
  <c r="F17" i="6" s="1"/>
  <c r="A4" i="6"/>
  <c r="A24" i="6" s="1"/>
  <c r="N3" i="6"/>
  <c r="M3" i="6"/>
  <c r="L3" i="6"/>
  <c r="K3" i="6"/>
  <c r="J3" i="6"/>
  <c r="D36" i="6" l="1"/>
  <c r="D25" i="6" s="1"/>
  <c r="H25" i="6" s="1"/>
  <c r="H36" i="6" s="1"/>
  <c r="H24" i="6"/>
  <c r="H35" i="6" s="1"/>
  <c r="G35" i="6" s="1"/>
  <c r="A18" i="6"/>
  <c r="F25" i="6"/>
  <c r="A35" i="6"/>
  <c r="A36" i="6"/>
  <c r="A17" i="6"/>
  <c r="G24" i="6" l="1"/>
  <c r="I24" i="6" s="1"/>
  <c r="G25" i="6"/>
  <c r="I25" i="6" s="1"/>
  <c r="I35" i="6"/>
  <c r="G36" i="6"/>
  <c r="I36" i="6" s="1"/>
  <c r="G5" i="2"/>
  <c r="G4" i="2"/>
  <c r="C24" i="1"/>
  <c r="B17" i="1"/>
  <c r="L1" i="1"/>
  <c r="G30" i="6" l="1"/>
  <c r="G38" i="6"/>
  <c r="F4" i="2"/>
  <c r="E17" i="1"/>
  <c r="G32" i="6" l="1"/>
  <c r="C24" i="2"/>
  <c r="C18" i="2"/>
  <c r="C24" i="5"/>
  <c r="B4" i="5"/>
  <c r="D4" i="5"/>
  <c r="E4" i="5"/>
  <c r="F4" i="5"/>
  <c r="G4" i="5"/>
  <c r="A4" i="5"/>
  <c r="E18" i="1" l="1"/>
  <c r="E24" i="1" l="1"/>
  <c r="A25" i="2"/>
  <c r="A36" i="2" s="1"/>
  <c r="A19" i="2"/>
  <c r="A18" i="2"/>
  <c r="A24" i="2" s="1"/>
  <c r="A35" i="2" s="1"/>
  <c r="F18" i="2"/>
  <c r="D18" i="2"/>
  <c r="K8" i="2"/>
  <c r="L8" i="2"/>
  <c r="M8" i="2"/>
  <c r="L7" i="2"/>
  <c r="M7" i="2"/>
  <c r="K7" i="2"/>
  <c r="K4" i="2"/>
  <c r="L4" i="2"/>
  <c r="M4" i="2"/>
  <c r="N4" i="2"/>
  <c r="L3" i="2"/>
  <c r="M3" i="2"/>
  <c r="N3" i="2"/>
  <c r="K3" i="2"/>
  <c r="B18" i="2"/>
  <c r="N7" i="5"/>
  <c r="N8" i="5"/>
  <c r="K8" i="5"/>
  <c r="L8" i="5"/>
  <c r="M8" i="5"/>
  <c r="K7" i="5"/>
  <c r="L7" i="5"/>
  <c r="M7" i="5"/>
  <c r="K4" i="5"/>
  <c r="L4" i="5"/>
  <c r="M4" i="5"/>
  <c r="N4" i="5"/>
  <c r="K3" i="5"/>
  <c r="L3" i="5"/>
  <c r="M3" i="5"/>
  <c r="N3" i="5"/>
  <c r="E5" i="5"/>
  <c r="F5" i="5"/>
  <c r="G5" i="5"/>
  <c r="B5" i="5"/>
  <c r="F18" i="5" s="1"/>
  <c r="F17" i="5"/>
  <c r="A5" i="5"/>
  <c r="A36" i="5" s="1"/>
  <c r="D17" i="5"/>
  <c r="C17" i="5"/>
  <c r="B17" i="5"/>
  <c r="B35" i="5"/>
  <c r="E24" i="5"/>
  <c r="L33" i="5" s="1"/>
  <c r="C35" i="5"/>
  <c r="B13" i="5"/>
  <c r="F24" i="5" l="1"/>
  <c r="F25" i="5"/>
  <c r="D35" i="5"/>
  <c r="A18" i="5"/>
  <c r="A25" i="5"/>
  <c r="A17" i="5"/>
  <c r="A24" i="5"/>
  <c r="A35" i="5"/>
  <c r="D36" i="5"/>
  <c r="D24" i="5" l="1"/>
  <c r="H24" i="5" s="1"/>
  <c r="H35" i="5" s="1"/>
  <c r="G35" i="5" s="1"/>
  <c r="G36" i="5" s="1"/>
  <c r="G38" i="5" s="1"/>
  <c r="D25" i="5"/>
  <c r="H25" i="5" s="1"/>
  <c r="I36" i="5" l="1"/>
  <c r="I35" i="5"/>
  <c r="G24" i="5"/>
  <c r="I24" i="5" s="1"/>
  <c r="H36" i="5"/>
  <c r="G25" i="5"/>
  <c r="I25" i="5" s="1"/>
  <c r="G30" i="5" l="1"/>
  <c r="G32" i="5" s="1"/>
  <c r="G213" i="4" l="1"/>
  <c r="I212" i="4"/>
  <c r="I210" i="4"/>
  <c r="I209" i="4"/>
  <c r="G209" i="4"/>
  <c r="N206" i="4"/>
  <c r="M206" i="4"/>
  <c r="O184" i="4"/>
  <c r="I183" i="4"/>
  <c r="G183" i="4"/>
  <c r="G181" i="4"/>
  <c r="I163" i="4"/>
  <c r="H163" i="4"/>
  <c r="I162" i="4"/>
  <c r="G162" i="4"/>
  <c r="I159" i="4"/>
  <c r="G159" i="4"/>
  <c r="J158" i="4"/>
  <c r="I158" i="4"/>
  <c r="G158" i="4"/>
  <c r="I152" i="4"/>
  <c r="G152" i="4"/>
  <c r="G151" i="4"/>
  <c r="D151" i="4"/>
  <c r="I150" i="4"/>
  <c r="G150" i="4"/>
  <c r="I149" i="4"/>
  <c r="C149" i="4"/>
  <c r="I147" i="4"/>
  <c r="G147" i="4"/>
  <c r="L146" i="4"/>
  <c r="I146" i="4"/>
  <c r="G146" i="4"/>
  <c r="C146" i="4"/>
  <c r="I145" i="4"/>
  <c r="G145" i="4"/>
  <c r="I144" i="4"/>
  <c r="G144" i="4"/>
  <c r="I143" i="4"/>
  <c r="G143" i="4"/>
  <c r="I142" i="4"/>
  <c r="G142" i="4"/>
  <c r="I138" i="4"/>
  <c r="O138" i="4" s="1"/>
  <c r="I124" i="4"/>
  <c r="G124" i="4"/>
  <c r="G117" i="4"/>
  <c r="I112" i="4"/>
  <c r="G112" i="4"/>
  <c r="I109" i="4"/>
  <c r="G109" i="4"/>
  <c r="I107" i="4"/>
  <c r="G107" i="4"/>
  <c r="I106" i="4"/>
  <c r="G106" i="4"/>
  <c r="I104" i="4"/>
  <c r="G104" i="4"/>
  <c r="I103" i="4"/>
  <c r="G103" i="4"/>
  <c r="I102" i="4"/>
  <c r="G102" i="4"/>
  <c r="I101" i="4"/>
  <c r="G101" i="4"/>
  <c r="C101" i="4"/>
  <c r="I100" i="4"/>
  <c r="G100" i="4"/>
  <c r="I99" i="4"/>
  <c r="G99" i="4"/>
  <c r="I88" i="4"/>
  <c r="G88" i="4"/>
  <c r="C88" i="4"/>
  <c r="I85" i="4"/>
  <c r="G85" i="4"/>
  <c r="I76" i="4"/>
  <c r="H76" i="4"/>
  <c r="C76" i="4"/>
  <c r="U62" i="4"/>
  <c r="I56" i="4"/>
  <c r="G56" i="4"/>
  <c r="I55" i="4"/>
  <c r="G55" i="4"/>
  <c r="I51" i="4"/>
  <c r="G51" i="4"/>
  <c r="O47" i="4"/>
  <c r="I38" i="4"/>
  <c r="G38" i="4"/>
  <c r="I37" i="4"/>
  <c r="G37" i="4"/>
  <c r="I35" i="4"/>
  <c r="G35" i="4"/>
  <c r="H27" i="4"/>
  <c r="I21" i="4"/>
  <c r="G21" i="4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8" i="2" l="1"/>
  <c r="E18" i="2"/>
  <c r="E19" i="2"/>
  <c r="F19" i="2"/>
  <c r="E24" i="2"/>
  <c r="B35" i="2"/>
  <c r="F35" i="2" s="1"/>
  <c r="C35" i="2"/>
  <c r="L4" i="1"/>
  <c r="J3" i="2" s="1"/>
  <c r="J7" i="2" s="1"/>
  <c r="L5" i="1"/>
  <c r="D5" i="1"/>
  <c r="D8" i="1"/>
  <c r="L9" i="1"/>
  <c r="J8" i="5" s="1"/>
  <c r="B13" i="1"/>
  <c r="A17" i="1"/>
  <c r="F17" i="1"/>
  <c r="A18" i="1"/>
  <c r="F18" i="1"/>
  <c r="A24" i="1"/>
  <c r="C35" i="1"/>
  <c r="A25" i="1"/>
  <c r="A35" i="1"/>
  <c r="B35" i="1"/>
  <c r="A36" i="1"/>
  <c r="C4" i="1" l="1"/>
  <c r="C4" i="6" s="1"/>
  <c r="F35" i="6" s="1"/>
  <c r="F35" i="1"/>
  <c r="C5" i="1"/>
  <c r="C5" i="6" s="1"/>
  <c r="F36" i="6" s="1"/>
  <c r="L27" i="1"/>
  <c r="D36" i="2"/>
  <c r="D35" i="2"/>
  <c r="D24" i="2" s="1"/>
  <c r="H24" i="2" s="1"/>
  <c r="G24" i="2" s="1"/>
  <c r="L33" i="2"/>
  <c r="J4" i="5"/>
  <c r="J4" i="2"/>
  <c r="J8" i="2" s="1"/>
  <c r="D5" i="5"/>
  <c r="F5" i="2"/>
  <c r="L8" i="1"/>
  <c r="J7" i="5" s="1"/>
  <c r="J3" i="5"/>
  <c r="D35" i="1"/>
  <c r="F36" i="2"/>
  <c r="D36" i="1"/>
  <c r="L25" i="6" l="1"/>
  <c r="F25" i="1"/>
  <c r="C5" i="5"/>
  <c r="E5" i="2"/>
  <c r="F25" i="2" s="1"/>
  <c r="F24" i="1"/>
  <c r="E4" i="2"/>
  <c r="F24" i="2" s="1"/>
  <c r="C4" i="5"/>
  <c r="F35" i="5" s="1"/>
  <c r="H35" i="2"/>
  <c r="G35" i="2" s="1"/>
  <c r="G36" i="2" s="1"/>
  <c r="G38" i="2" s="1"/>
  <c r="D24" i="1"/>
  <c r="H24" i="1" s="1"/>
  <c r="D25" i="2"/>
  <c r="H25" i="2" s="1"/>
  <c r="I24" i="2"/>
  <c r="D25" i="1"/>
  <c r="H25" i="1" s="1"/>
  <c r="E18" i="5" l="1"/>
  <c r="F36" i="5"/>
  <c r="E17" i="5"/>
  <c r="L28" i="2"/>
  <c r="I35" i="2"/>
  <c r="I36" i="2"/>
  <c r="H35" i="1"/>
  <c r="G35" i="1" s="1"/>
  <c r="I35" i="1" s="1"/>
  <c r="G25" i="2"/>
  <c r="H36" i="2"/>
  <c r="H36" i="1"/>
  <c r="L25" i="5" l="1"/>
  <c r="L25" i="2"/>
  <c r="L27" i="2"/>
  <c r="I25" i="2"/>
  <c r="G30" i="2"/>
  <c r="J24" i="1" l="1"/>
  <c r="G24" i="1"/>
  <c r="J35" i="1"/>
  <c r="G25" i="1"/>
  <c r="I25" i="1" s="1"/>
  <c r="L28" i="1" l="1"/>
  <c r="I24" i="1"/>
  <c r="G30" i="1"/>
  <c r="L33" i="1"/>
  <c r="G36" i="1"/>
  <c r="L29" i="1" s="1"/>
  <c r="L25" i="1" l="1"/>
  <c r="I36" i="1"/>
  <c r="M27" i="1"/>
  <c r="G38" i="1"/>
  <c r="H32" i="1" s="1"/>
</calcChain>
</file>

<file path=xl/comments1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1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<sst xmlns="http://schemas.openxmlformats.org/spreadsheetml/2006/main" count="893" uniqueCount="513">
  <si>
    <t>L/F</t>
  </si>
  <si>
    <t>V/F + L/F = 1</t>
  </si>
  <si>
    <t>Constraint</t>
  </si>
  <si>
    <t>Tout</t>
  </si>
  <si>
    <t>Sum(Yi) = 1</t>
  </si>
  <si>
    <t>Sum(Xi) = 1</t>
  </si>
  <si>
    <t xml:space="preserve">Change </t>
  </si>
  <si>
    <t>Constraints</t>
  </si>
  <si>
    <t>Fugacity</t>
  </si>
  <si>
    <t>Ki</t>
  </si>
  <si>
    <t>Xi</t>
  </si>
  <si>
    <t>Hi</t>
  </si>
  <si>
    <t>Psat(Mpa)</t>
  </si>
  <si>
    <t>P(Mpa)</t>
  </si>
  <si>
    <t>T(K)</t>
  </si>
  <si>
    <t>Compound</t>
  </si>
  <si>
    <t>Liquid Outlet</t>
  </si>
  <si>
    <t>Lever Rule</t>
  </si>
  <si>
    <t>Obj =</t>
  </si>
  <si>
    <t>Hin - Hout = 0 = Q</t>
  </si>
  <si>
    <t>EB</t>
  </si>
  <si>
    <t>Yi</t>
  </si>
  <si>
    <t>V/F</t>
  </si>
  <si>
    <t>Vapor Outlet</t>
  </si>
  <si>
    <t>zi</t>
  </si>
  <si>
    <t>F</t>
  </si>
  <si>
    <t>Feed</t>
  </si>
  <si>
    <t>L</t>
  </si>
  <si>
    <t>Ref</t>
  </si>
  <si>
    <t>Phase</t>
  </si>
  <si>
    <t>Propanol</t>
  </si>
  <si>
    <t>Liquid</t>
  </si>
  <si>
    <t>Methanol</t>
  </si>
  <si>
    <t>D</t>
  </si>
  <si>
    <t>C</t>
  </si>
  <si>
    <t>B</t>
  </si>
  <si>
    <t>A</t>
  </si>
  <si>
    <t>CP</t>
  </si>
  <si>
    <t>Ethanol</t>
  </si>
  <si>
    <t>Gas</t>
  </si>
  <si>
    <t>Tbiol(K)</t>
  </si>
  <si>
    <t>Hvap(J/mol)</t>
  </si>
  <si>
    <t>w</t>
  </si>
  <si>
    <t>Pc (MPa)</t>
  </si>
  <si>
    <t>Tc (K)</t>
  </si>
  <si>
    <t>Component</t>
  </si>
  <si>
    <t>ADIABATIC FLASH SHORT CUT</t>
  </si>
  <si>
    <t>ADIABATIC FLASH ANTOINE PSAT</t>
  </si>
  <si>
    <t>tMin[oC]</t>
  </si>
  <si>
    <t>tMax[oC]</t>
  </si>
  <si>
    <t>Source</t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</si>
  <si>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 xml:space="preserve"> (mmHg)</t>
    </r>
  </si>
  <si>
    <t>methanol</t>
  </si>
  <si>
    <r>
      <t>T(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</si>
  <si>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</si>
  <si>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</si>
  <si>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</si>
  <si>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</si>
  <si>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</si>
  <si>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</si>
  <si>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</si>
  <si>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</si>
  <si>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</si>
  <si>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</si>
  <si>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</si>
  <si>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</si>
  <si>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</si>
  <si>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</si>
  <si>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</si>
  <si>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</si>
  <si>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</si>
  <si>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</si>
  <si>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</si>
  <si>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</si>
  <si>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</si>
  <si>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</si>
  <si>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</si>
  <si>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</si>
  <si>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</si>
  <si>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</si>
  <si>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</si>
  <si>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</si>
  <si>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</si>
  <si>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</si>
  <si>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</si>
  <si>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</si>
  <si>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</si>
  <si>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</si>
  <si>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</si>
  <si>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</si>
  <si>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</si>
  <si>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</si>
  <si>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</si>
  <si>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</si>
  <si>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</si>
  <si>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</si>
  <si>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</si>
  <si>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</si>
  <si>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</si>
  <si>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</si>
  <si>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</si>
  <si>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</si>
  <si>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</si>
  <si>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</si>
  <si>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</si>
  <si>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</si>
  <si>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</si>
  <si>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</si>
  <si>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</si>
  <si>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t>ver 1.102</t>
  </si>
  <si>
    <t>If a compound appears multiple times, the latent heat properties are entered in the first listing.</t>
  </si>
  <si>
    <t>ID</t>
  </si>
  <si>
    <t>Abbr</t>
  </si>
  <si>
    <t>Tc(K)</t>
  </si>
  <si>
    <t>Pc(MPa)</t>
  </si>
  <si>
    <r>
      <t>r</t>
    </r>
    <r>
      <rPr>
        <sz val="10"/>
        <rFont val="Arial"/>
        <family val="2"/>
      </rPr>
      <t>298</t>
    </r>
  </si>
  <si>
    <t>MW</t>
  </si>
  <si>
    <t>CpIg/R</t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</si>
  <si>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</si>
  <si>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</si>
  <si>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</si>
  <si>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Hf(kJ/mol)</t>
  </si>
  <si>
    <t>Gf(kJ/mol)</t>
  </si>
  <si>
    <t>Cp A</t>
  </si>
  <si>
    <t>Cp B</t>
  </si>
  <si>
    <t>Cp C</t>
  </si>
  <si>
    <t>Cp D</t>
  </si>
  <si>
    <t>Zc</t>
  </si>
  <si>
    <t>Tm(K)</t>
  </si>
  <si>
    <t>Hfus(kJ/mol) at Tm</t>
  </si>
  <si>
    <t>Tb(K)</t>
  </si>
  <si>
    <t>Hvap(kJ/mol) at Tb</t>
  </si>
  <si>
    <t>Data for Gases. Cp and Hf and Gf are for ideal gases at 298.15K and 1 bar.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</si>
  <si>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</si>
  <si>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</si>
  <si>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</si>
  <si>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</si>
  <si>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</si>
  <si>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</si>
  <si>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</si>
  <si>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</si>
  <si>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</si>
  <si>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</si>
  <si>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</si>
  <si>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</si>
  <si>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</si>
  <si>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</si>
  <si>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</si>
  <si>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</si>
  <si>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</si>
  <si>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</si>
  <si>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</si>
  <si>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</si>
  <si>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</si>
  <si>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</si>
  <si>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</si>
  <si>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</si>
  <si>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</si>
  <si>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</si>
  <si>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</si>
  <si>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</si>
  <si>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</si>
  <si>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</si>
  <si>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</si>
  <si>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</si>
  <si>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</si>
  <si>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</si>
  <si>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n-EICOSANE</t>
  </si>
  <si>
    <t>Neicosane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</si>
  <si>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</si>
  <si>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</si>
  <si>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</si>
  <si>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</si>
  <si>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</si>
  <si>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</si>
  <si>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</si>
  <si>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</si>
  <si>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</si>
  <si>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</si>
  <si>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</si>
  <si>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</si>
  <si>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</si>
  <si>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</si>
  <si>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</si>
  <si>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</si>
  <si>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</si>
  <si>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</si>
  <si>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</si>
  <si>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</si>
  <si>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</si>
  <si>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</si>
  <si>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</si>
  <si>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</si>
  <si>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</si>
  <si>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</si>
  <si>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</si>
  <si>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</si>
  <si>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</si>
  <si>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</si>
  <si>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</si>
  <si>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</si>
  <si>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</si>
  <si>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</si>
  <si>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</si>
  <si>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</si>
  <si>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</si>
  <si>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</si>
  <si>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</si>
  <si>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</si>
  <si>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</si>
  <si>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</si>
  <si>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</si>
  <si>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</si>
  <si>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</si>
  <si>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</si>
  <si>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</si>
  <si>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</si>
  <si>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</si>
  <si>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</si>
  <si>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</si>
  <si>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</si>
  <si>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</si>
  <si>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</si>
  <si>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DIPHENYLMETHANE</t>
  </si>
  <si>
    <t>Diphenylmethane</t>
  </si>
  <si>
    <t>PHENYLETHENE</t>
  </si>
  <si>
    <t>Phenylethene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</si>
  <si>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</si>
  <si>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</si>
  <si>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</si>
  <si>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</si>
  <si>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</si>
  <si>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</si>
  <si>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</si>
  <si>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</si>
  <si>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</si>
  <si>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</si>
  <si>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</si>
  <si>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</si>
  <si>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</si>
  <si>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</si>
  <si>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H2</t>
  </si>
  <si>
    <t>NITROGEN</t>
  </si>
  <si>
    <t>N2</t>
  </si>
  <si>
    <t>CARBON MONOXIDE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</si>
  <si>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</si>
  <si>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</si>
  <si>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</si>
  <si>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</si>
  <si>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</si>
  <si>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</si>
  <si>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</si>
  <si>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</si>
  <si>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</si>
  <si>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</si>
  <si>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</si>
  <si>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</si>
  <si>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</si>
  <si>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</si>
  <si>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</si>
  <si>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</si>
  <si>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</si>
  <si>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</si>
  <si>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</si>
  <si>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</si>
  <si>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</si>
  <si>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</si>
  <si>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</si>
  <si>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</si>
  <si>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</si>
  <si>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</si>
  <si>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</si>
  <si>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</si>
  <si>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</si>
  <si>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Benzaldehyde</t>
  </si>
  <si>
    <t>ACETONE</t>
  </si>
  <si>
    <t>Acetone</t>
  </si>
  <si>
    <t>METHYL ETHYL KETONE</t>
  </si>
  <si>
    <t>Mek</t>
  </si>
  <si>
    <t>METHANOL</t>
  </si>
  <si>
    <t>ETHANOL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</si>
  <si>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</si>
  <si>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</si>
  <si>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</si>
  <si>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</si>
  <si>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</si>
  <si>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</si>
  <si>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</si>
  <si>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</si>
  <si>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</si>
  <si>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</si>
  <si>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</si>
  <si>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</si>
  <si>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2,4DiMethylPhenol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</si>
  <si>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</si>
  <si>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</si>
  <si>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</si>
  <si>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</si>
  <si>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</si>
  <si>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</si>
  <si>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</si>
  <si>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</si>
  <si>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</si>
  <si>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</si>
  <si>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</si>
  <si>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</si>
  <si>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</si>
  <si>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</si>
  <si>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</si>
  <si>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</si>
  <si>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</si>
  <si>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</si>
  <si>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</si>
  <si>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</si>
  <si>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</si>
  <si>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</si>
  <si>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</si>
  <si>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SalicylicAcid</t>
  </si>
  <si>
    <t>TEREPHTHALIC ACID</t>
  </si>
  <si>
    <t>Tpa</t>
  </si>
  <si>
    <t>NA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</si>
  <si>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</si>
  <si>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</si>
  <si>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</si>
  <si>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</si>
  <si>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</si>
  <si>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</si>
  <si>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</si>
  <si>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Dimethylether</t>
  </si>
  <si>
    <t>DME</t>
  </si>
  <si>
    <t>DIETHYL ETHER</t>
  </si>
  <si>
    <t>Ether</t>
  </si>
  <si>
    <t>ISOPROPYL ETHER</t>
  </si>
  <si>
    <t>Isopropylether</t>
  </si>
  <si>
    <t>MethylTertButylEther</t>
  </si>
  <si>
    <t>Mtbe</t>
  </si>
  <si>
    <t xml:space="preserve"> ETHYLENE OXIDE</t>
  </si>
  <si>
    <t>Ethyleneoxide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</si>
  <si>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</si>
  <si>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</si>
  <si>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</si>
  <si>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</si>
  <si>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</si>
  <si>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</si>
  <si>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</si>
  <si>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</si>
  <si>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</si>
  <si>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</si>
  <si>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</si>
  <si>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</si>
  <si>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</si>
  <si>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</si>
  <si>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</si>
  <si>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</si>
  <si>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</si>
  <si>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>trichloroethylene</t>
  </si>
  <si>
    <t>Tce</t>
  </si>
  <si>
    <t xml:space="preserve">CHLOROBENZENE          </t>
  </si>
  <si>
    <t>Chlorobenzene</t>
  </si>
  <si>
    <t>Allylchloride</t>
  </si>
  <si>
    <t xml:space="preserve">       </t>
  </si>
  <si>
    <t>VINYLIDENE CHLORIDE(1,1-C2H2Cl2)</t>
  </si>
  <si>
    <t>Vinyldichloride</t>
  </si>
  <si>
    <t xml:space="preserve">FREON-12(CCl2F2)       </t>
  </si>
  <si>
    <t>R12</t>
  </si>
  <si>
    <t>R11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</si>
  <si>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</si>
  <si>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</si>
  <si>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</si>
  <si>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</si>
  <si>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</si>
  <si>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</si>
  <si>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</si>
  <si>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</si>
  <si>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</si>
  <si>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</si>
  <si>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Hydrazine</t>
  </si>
  <si>
    <t>MethylDiethanolAmine</t>
  </si>
  <si>
    <t>Mdea</t>
  </si>
  <si>
    <t>Ethanolamine</t>
  </si>
  <si>
    <t>Mea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</si>
  <si>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</si>
  <si>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</si>
  <si>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</si>
  <si>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</si>
  <si>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</si>
  <si>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</si>
  <si>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</si>
  <si>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</si>
  <si>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</si>
  <si>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</si>
  <si>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</si>
  <si>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</si>
  <si>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ChloroBenzaldehyde</t>
  </si>
  <si>
    <t>UREA</t>
  </si>
  <si>
    <t>Urea</t>
  </si>
  <si>
    <t>Unknown</t>
  </si>
  <si>
    <t>Nitrobenzene</t>
  </si>
  <si>
    <t>Furfural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</si>
  <si>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</si>
  <si>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</si>
  <si>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</si>
  <si>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</si>
  <si>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</si>
  <si>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</si>
  <si>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</si>
  <si>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</si>
  <si>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</si>
  <si>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</si>
  <si>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</si>
  <si>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</si>
  <si>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</si>
  <si>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</si>
  <si>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</si>
  <si>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</si>
  <si>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</si>
  <si>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</si>
  <si>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</si>
  <si>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</si>
  <si>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</si>
  <si>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EthylVanillin</t>
  </si>
  <si>
    <t>Etvanillin</t>
  </si>
  <si>
    <t>Hfo1234yf</t>
  </si>
  <si>
    <t>Trifluoroethylene</t>
  </si>
  <si>
    <t>Ephedrine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</si>
  <si>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</si>
  <si>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</si>
  <si>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</si>
  <si>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</si>
  <si>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</si>
  <si>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</si>
  <si>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</si>
  <si>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</si>
  <si>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</si>
  <si>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</si>
  <si>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</si>
  <si>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</si>
  <si>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</si>
  <si>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</si>
  <si>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Mercury</t>
  </si>
  <si>
    <t>Acrylic Acid</t>
  </si>
  <si>
    <t>Acrylicacid</t>
  </si>
  <si>
    <t>Propionaldehyde</t>
  </si>
  <si>
    <t>Propanal</t>
  </si>
  <si>
    <t>Nitrogen dioxide</t>
  </si>
  <si>
    <t>NO2</t>
  </si>
  <si>
    <t xml:space="preserve">Data for liquids: </t>
  </si>
  <si>
    <t>TmK</t>
  </si>
  <si>
    <t>Hfus(kJ/mol)</t>
  </si>
  <si>
    <t>TbK</t>
  </si>
  <si>
    <t>Hvap(kJ/mol)</t>
  </si>
  <si>
    <t xml:space="preserve">Hf and Gf for liquid at 298.15K.Cp from 273.15 to 373.15 </t>
  </si>
  <si>
    <t>Acetone-L</t>
  </si>
  <si>
    <t>Ammonia</t>
  </si>
  <si>
    <t>Ammonia-L</t>
  </si>
  <si>
    <t>Aniline-L</t>
  </si>
  <si>
    <t>Benzene-L</t>
  </si>
  <si>
    <t>1,3-Butadiene</t>
  </si>
  <si>
    <t>13Butadiene-L</t>
  </si>
  <si>
    <t>Carbon tetrachloride</t>
  </si>
  <si>
    <t>Carbontet-L</t>
  </si>
  <si>
    <t>Chlorobenzene-L</t>
  </si>
  <si>
    <t>Chloroform-L</t>
  </si>
  <si>
    <t>Cyclohexane-L</t>
  </si>
  <si>
    <t>Ethanol-L</t>
  </si>
  <si>
    <t>Ethylene oxide</t>
  </si>
  <si>
    <t>EO-L</t>
  </si>
  <si>
    <t>Methanol-L</t>
  </si>
  <si>
    <t>Lactic acid</t>
  </si>
  <si>
    <t>Lactic acid-L</t>
  </si>
  <si>
    <t>n-Propanol</t>
  </si>
  <si>
    <t>nPropanol-L</t>
  </si>
  <si>
    <t>Sulfur trioxide</t>
  </si>
  <si>
    <t>SO3-L</t>
  </si>
  <si>
    <t>Toluene-L</t>
  </si>
  <si>
    <t>Triolean</t>
  </si>
  <si>
    <t>Triolean-L</t>
  </si>
  <si>
    <t>Water(l)</t>
  </si>
  <si>
    <t>Water-L</t>
  </si>
  <si>
    <t>Data for Solids and Glasses</t>
  </si>
  <si>
    <t>Hf and Gf for liquid at 298.15K.</t>
  </si>
  <si>
    <t>Anthracene</t>
  </si>
  <si>
    <t>SODIUM HYDROXIDE</t>
  </si>
  <si>
    <t>NaOH-S</t>
  </si>
  <si>
    <t>0..213</t>
  </si>
  <si>
    <t>Carbon</t>
  </si>
  <si>
    <t>Carbon-S</t>
  </si>
  <si>
    <t>Calcium Carbonate</t>
  </si>
  <si>
    <t>Calcium Carbonate-S</t>
  </si>
  <si>
    <t>Calcium Oxide</t>
  </si>
  <si>
    <t>Calcium Oxide-S</t>
  </si>
  <si>
    <t>Glucose</t>
  </si>
  <si>
    <t>Glucose-S</t>
  </si>
  <si>
    <t>Lactic Acid</t>
  </si>
  <si>
    <t>LacticAcid-S</t>
  </si>
  <si>
    <t>Polyvinylchloride</t>
  </si>
  <si>
    <t>PVC-S</t>
  </si>
  <si>
    <t>Polyester</t>
  </si>
  <si>
    <t>PET-S</t>
  </si>
  <si>
    <t>References: Reid et al.(1998), ChemCAD PPData(V6.2.1), Lazzaroni et al. IECR, 44:4075 (2005)</t>
  </si>
  <si>
    <t>V</t>
  </si>
  <si>
    <t>V_flow rate</t>
  </si>
  <si>
    <t>L_flow rate</t>
  </si>
  <si>
    <t>Hvapor</t>
  </si>
  <si>
    <t>Hliquid</t>
  </si>
  <si>
    <t>H_vapor</t>
  </si>
  <si>
    <t>H_liquid</t>
  </si>
  <si>
    <t>H_Feed</t>
  </si>
  <si>
    <t>Di</t>
  </si>
  <si>
    <t>R(j/mol/k)</t>
  </si>
  <si>
    <t>propanol</t>
  </si>
  <si>
    <t>V_flow_rate</t>
  </si>
  <si>
    <t>L_flow_rate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</si>
</sst>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ourier New"/>
      <family val="3"/>
    </font>
    <font>
      <sz val="10"/>
      <name val="Times New Roman"/>
      <family val="1"/>
    </font>
    <font>
      <b/>
      <sz val="11"/>
      <color rgb="FFFA7D00"/>
      <name val="Courier New"/>
      <family val="3"/>
    </font>
    <font>
      <b/>
      <sz val="15"/>
      <color theme="3"/>
      <name val="Courier New"/>
      <family val="3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0" borderId="0"/>
    <xf numFmtId="0" fontId="7" fillId="0" borderId="0"/>
    <xf numFmtId="0" fontId="7" fillId="0" borderId="0"/>
    <xf numFmtId="0" fontId="4" fillId="0" borderId="0"/>
  </cellStyleXfs>
  <cellXfs count="123">
    <xf numFmtId="0" fontId="0" fillId="0" borderId="0" xfId="0"/>
    <xf numFmtId="0" fontId="3" fillId="3" borderId="3" xfId="0" applyFont="1" applyFill="1" applyBorder="1"/>
    <xf numFmtId="0" fontId="2" fillId="2" borderId="2" xfId="2"/>
    <xf numFmtId="0" fontId="0" fillId="4" borderId="0" xfId="0" applyFill="1"/>
    <xf numFmtId="0" fontId="3" fillId="0" borderId="0" xfId="0" applyFont="1"/>
    <xf numFmtId="0" fontId="3" fillId="3" borderId="6" xfId="0" applyFont="1" applyFill="1" applyBorder="1"/>
    <xf numFmtId="164" fontId="0" fillId="0" borderId="0" xfId="0" applyNumberFormat="1" applyAlignment="1">
      <alignment horizontal="center"/>
    </xf>
    <xf numFmtId="0" fontId="3" fillId="0" borderId="0" xfId="0" applyFont="1" applyBorder="1"/>
    <xf numFmtId="0" fontId="3" fillId="5" borderId="8" xfId="0" applyFont="1" applyFill="1" applyBorder="1"/>
    <xf numFmtId="0" fontId="0" fillId="0" borderId="0" xfId="0" applyAlignment="1">
      <alignment horizontal="center"/>
    </xf>
    <xf numFmtId="0" fontId="3" fillId="0" borderId="0" xfId="0" applyFont="1" applyFill="1" applyBorder="1"/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/>
    <xf numFmtId="0" fontId="1" fillId="3" borderId="1" xfId="1" applyFill="1"/>
    <xf numFmtId="0" fontId="3" fillId="6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Border="1" applyAlignment="1"/>
    <xf numFmtId="0" fontId="4" fillId="0" borderId="0" xfId="0" applyNumberFormat="1" applyFont="1" applyAlignment="1">
      <alignment horizontal="center"/>
    </xf>
    <xf numFmtId="0" fontId="4" fillId="0" borderId="0" xfId="3" applyAlignment="1">
      <alignment horizontal="left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3" applyBorder="1" applyAlignment="1">
      <alignment horizontal="left"/>
    </xf>
    <xf numFmtId="0" fontId="0" fillId="0" borderId="0" xfId="0" applyNumberFormat="1" applyAlignment="1">
      <alignment horizontal="center"/>
    </xf>
    <xf numFmtId="0" fontId="5" fillId="2" borderId="11" xfId="2" applyFont="1" applyBorder="1" applyAlignment="1">
      <alignment horizontal="center" vertical="center"/>
    </xf>
    <xf numFmtId="0" fontId="5" fillId="2" borderId="9" xfId="2" applyFont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4" fillId="0" borderId="0" xfId="3"/>
    <xf numFmtId="0" fontId="4" fillId="0" borderId="0" xfId="3"/>
    <xf numFmtId="0" fontId="7" fillId="0" borderId="0" xfId="4"/>
    <xf numFmtId="0" fontId="7" fillId="0" borderId="12" xfId="4" applyBorder="1"/>
    <xf numFmtId="0" fontId="9" fillId="0" borderId="12" xfId="4" applyFont="1" applyBorder="1" applyProtection="1">
      <protection locked="0"/>
    </xf>
    <xf numFmtId="0" fontId="4" fillId="0" borderId="0" xfId="3" applyFont="1"/>
    <xf numFmtId="14" fontId="4" fillId="0" borderId="0" xfId="3" applyNumberFormat="1"/>
    <xf numFmtId="0" fontId="4" fillId="0" borderId="0" xfId="3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 applyNumberFormat="1"/>
    <xf numFmtId="0" fontId="4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165" fontId="4" fillId="0" borderId="0" xfId="3" applyNumberFormat="1" applyAlignment="1">
      <alignment horizontal="center"/>
    </xf>
    <xf numFmtId="164" fontId="4" fillId="0" borderId="0" xfId="3" applyNumberFormat="1" applyAlignment="1">
      <alignment horizontal="center"/>
    </xf>
    <xf numFmtId="2" fontId="10" fillId="0" borderId="0" xfId="3" applyNumberFormat="1" applyFont="1" applyAlignment="1">
      <alignment horizontal="center"/>
    </xf>
    <xf numFmtId="2" fontId="4" fillId="0" borderId="0" xfId="3" applyNumberFormat="1" applyAlignment="1">
      <alignment horizontal="center"/>
    </xf>
    <xf numFmtId="0" fontId="10" fillId="0" borderId="0" xfId="3" applyFont="1" applyAlignment="1">
      <alignment horizontal="center"/>
    </xf>
    <xf numFmtId="0" fontId="12" fillId="0" borderId="0" xfId="3" applyFont="1" applyAlignment="1">
      <alignment horizontal="left"/>
    </xf>
    <xf numFmtId="0" fontId="4" fillId="0" borderId="0" xfId="5" applyFont="1" applyAlignment="1">
      <alignment horizontal="center"/>
    </xf>
    <xf numFmtId="0" fontId="7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64" fontId="4" fillId="0" borderId="0" xfId="3" applyNumberFormat="1" applyFill="1" applyAlignment="1">
      <alignment horizontal="center"/>
    </xf>
    <xf numFmtId="0" fontId="4" fillId="0" borderId="0" xfId="3" applyFill="1" applyAlignment="1">
      <alignment horizontal="left"/>
    </xf>
    <xf numFmtId="1" fontId="4" fillId="0" borderId="0" xfId="3" applyNumberFormat="1" applyAlignment="1">
      <alignment horizontal="center"/>
    </xf>
    <xf numFmtId="0" fontId="4" fillId="0" borderId="0" xfId="3" applyFill="1" applyAlignment="1">
      <alignment horizontal="center"/>
    </xf>
    <xf numFmtId="0" fontId="4" fillId="0" borderId="0" xfId="5" applyFont="1"/>
    <xf numFmtId="165" fontId="4" fillId="0" borderId="0" xfId="5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0" fontId="7" fillId="0" borderId="0" xfId="5" applyNumberFormat="1" applyFont="1" applyAlignment="1">
      <alignment horizontal="center"/>
    </xf>
    <xf numFmtId="0" fontId="4" fillId="0" borderId="0" xfId="5" applyFont="1" applyFill="1" applyAlignment="1">
      <alignment horizontal="center"/>
    </xf>
    <xf numFmtId="0" fontId="7" fillId="0" borderId="0" xfId="5" applyFont="1" applyAlignment="1">
      <alignment horizontal="left"/>
    </xf>
    <xf numFmtId="164" fontId="4" fillId="0" borderId="0" xfId="3" applyNumberFormat="1"/>
    <xf numFmtId="0" fontId="4" fillId="0" borderId="0" xfId="6" applyFont="1" applyAlignment="1">
      <alignment horizontal="center"/>
    </xf>
    <xf numFmtId="0" fontId="4" fillId="0" borderId="0" xfId="5" applyFont="1" applyAlignment="1">
      <alignment horizontal="left"/>
    </xf>
    <xf numFmtId="166" fontId="4" fillId="0" borderId="0" xfId="6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0" fontId="7" fillId="0" borderId="0" xfId="5" applyFont="1" applyAlignment="1">
      <alignment horizontal="center"/>
    </xf>
    <xf numFmtId="164" fontId="4" fillId="0" borderId="0" xfId="5" applyNumberFormat="1" applyFont="1" applyAlignment="1">
      <alignment horizontal="center"/>
    </xf>
    <xf numFmtId="2" fontId="4" fillId="0" borderId="0" xfId="5" applyNumberFormat="1" applyFont="1" applyFill="1" applyAlignment="1">
      <alignment horizontal="center"/>
    </xf>
    <xf numFmtId="0" fontId="4" fillId="0" borderId="0" xfId="3" applyNumberFormat="1" applyFont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5" applyFont="1" applyFill="1" applyAlignment="1">
      <alignment horizontal="left"/>
    </xf>
    <xf numFmtId="0" fontId="7" fillId="0" borderId="0" xfId="5" applyFont="1" applyFill="1" applyAlignment="1" applyProtection="1">
      <alignment horizontal="left"/>
      <protection locked="0"/>
    </xf>
    <xf numFmtId="164" fontId="7" fillId="0" borderId="0" xfId="3" applyNumberFormat="1" applyFont="1" applyAlignment="1">
      <alignment horizontal="center"/>
    </xf>
    <xf numFmtId="2" fontId="4" fillId="0" borderId="0" xfId="3" applyNumberFormat="1"/>
    <xf numFmtId="0" fontId="4" fillId="0" borderId="0" xfId="6" applyFont="1" applyAlignment="1">
      <alignment horizontal="left"/>
    </xf>
    <xf numFmtId="2" fontId="4" fillId="0" borderId="0" xfId="3" applyNumberFormat="1" applyFont="1"/>
    <xf numFmtId="166" fontId="4" fillId="0" borderId="0" xfId="3" applyNumberFormat="1" applyFont="1"/>
    <xf numFmtId="2" fontId="7" fillId="0" borderId="0" xfId="5" applyNumberFormat="1" applyFont="1" applyAlignment="1">
      <alignment horizontal="center"/>
    </xf>
    <xf numFmtId="0" fontId="12" fillId="0" borderId="13" xfId="3" applyFont="1" applyBorder="1" applyAlignment="1">
      <alignment horizontal="left"/>
    </xf>
    <xf numFmtId="0" fontId="4" fillId="0" borderId="13" xfId="3" applyFont="1" applyBorder="1" applyAlignment="1">
      <alignment horizontal="center"/>
    </xf>
    <xf numFmtId="0" fontId="4" fillId="0" borderId="13" xfId="3" applyFont="1" applyBorder="1" applyAlignment="1">
      <alignment horizontal="left"/>
    </xf>
    <xf numFmtId="165" fontId="4" fillId="0" borderId="13" xfId="3" applyNumberFormat="1" applyBorder="1" applyAlignment="1">
      <alignment horizontal="center"/>
    </xf>
    <xf numFmtId="164" fontId="4" fillId="0" borderId="13" xfId="3" applyNumberFormat="1" applyBorder="1" applyAlignment="1">
      <alignment horizontal="center"/>
    </xf>
    <xf numFmtId="2" fontId="10" fillId="0" borderId="13" xfId="3" applyNumberFormat="1" applyFont="1" applyBorder="1" applyAlignment="1">
      <alignment horizontal="center"/>
    </xf>
    <xf numFmtId="2" fontId="4" fillId="0" borderId="13" xfId="3" applyNumberForma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4" fillId="0" borderId="13" xfId="3" applyBorder="1" applyAlignment="1">
      <alignment horizontal="center"/>
    </xf>
    <xf numFmtId="0" fontId="4" fillId="0" borderId="13" xfId="3" applyNumberFormat="1" applyBorder="1" applyAlignment="1">
      <alignment horizontal="center"/>
    </xf>
    <xf numFmtId="0" fontId="4" fillId="0" borderId="13" xfId="3" applyFont="1" applyBorder="1"/>
    <xf numFmtId="0" fontId="12" fillId="0" borderId="0" xfId="3" applyFont="1" applyBorder="1" applyAlignment="1">
      <alignment horizontal="left"/>
    </xf>
    <xf numFmtId="0" fontId="4" fillId="0" borderId="0" xfId="3" applyFont="1" applyBorder="1" applyAlignment="1">
      <alignment horizontal="center"/>
    </xf>
    <xf numFmtId="0" fontId="4" fillId="0" borderId="0" xfId="3" applyFont="1" applyBorder="1" applyAlignment="1">
      <alignment horizontal="left"/>
    </xf>
    <xf numFmtId="165" fontId="4" fillId="0" borderId="0" xfId="3" applyNumberFormat="1" applyBorder="1" applyAlignment="1">
      <alignment horizontal="center"/>
    </xf>
    <xf numFmtId="164" fontId="4" fillId="0" borderId="0" xfId="3" applyNumberFormat="1" applyBorder="1" applyAlignment="1">
      <alignment horizontal="center"/>
    </xf>
    <xf numFmtId="2" fontId="10" fillId="0" borderId="0" xfId="3" applyNumberFormat="1" applyFont="1" applyBorder="1" applyAlignment="1">
      <alignment horizontal="center"/>
    </xf>
    <xf numFmtId="2" fontId="4" fillId="0" borderId="0" xfId="3" applyNumberForma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4" fillId="0" borderId="0" xfId="3" applyBorder="1" applyAlignment="1">
      <alignment horizontal="center"/>
    </xf>
    <xf numFmtId="0" fontId="4" fillId="0" borderId="0" xfId="3" applyNumberFormat="1" applyBorder="1" applyAlignment="1">
      <alignment horizontal="center"/>
    </xf>
    <xf numFmtId="0" fontId="4" fillId="0" borderId="0" xfId="3" applyFont="1" applyBorder="1"/>
    <xf numFmtId="3" fontId="4" fillId="0" borderId="0" xfId="3" applyNumberFormat="1" applyFont="1" applyAlignment="1">
      <alignment horizontal="center"/>
    </xf>
    <xf numFmtId="0" fontId="4" fillId="0" borderId="13" xfId="3" applyBorder="1"/>
    <xf numFmtId="0" fontId="4" fillId="0" borderId="0" xfId="3" applyBorder="1"/>
    <xf numFmtId="0" fontId="13" fillId="0" borderId="0" xfId="3" applyFont="1" applyAlignment="1">
      <alignment horizontal="left"/>
    </xf>
    <xf numFmtId="0" fontId="4" fillId="0" borderId="0" xfId="3" applyFont="1" applyAlignment="1"/>
    <xf numFmtId="0" fontId="4" fillId="0" borderId="0" xfId="3" applyAlignment="1"/>
    <xf numFmtId="11" fontId="4" fillId="0" borderId="0" xfId="3" applyNumberFormat="1" applyAlignment="1">
      <alignment horizontal="center"/>
    </xf>
    <xf numFmtId="0" fontId="7" fillId="0" borderId="0" xfId="3" applyNumberFormat="1" applyFont="1" applyAlignment="1">
      <alignment horizontal="center"/>
    </xf>
    <xf numFmtId="0" fontId="4" fillId="0" borderId="0" xfId="6" applyFont="1" applyAlignment="1"/>
    <xf numFmtId="0" fontId="4" fillId="0" borderId="0" xfId="5" applyFont="1" applyAlignment="1"/>
    <xf numFmtId="0" fontId="0" fillId="3" borderId="0" xfId="0" applyFill="1"/>
    <xf numFmtId="0" fontId="3" fillId="7" borderId="0" xfId="0" applyFont="1" applyFill="1"/>
    <xf numFmtId="0" fontId="17" fillId="3" borderId="0" xfId="0" applyFont="1" applyFill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5" borderId="1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3"/>
  </cellXfs>
  <cellStyles count="7">
    <cellStyle name="Calculation" xfId="2" builtinId="22"/>
    <cellStyle name="Heading 1" xfId="1" builtinId="16"/>
    <cellStyle name="Normal" xfId="0" builtinId="0"/>
    <cellStyle name="Normal 2" xfId="3"/>
    <cellStyle name="Normal 3" xfId="4"/>
    <cellStyle name="Normal_PREOS" xfId="5"/>
    <cellStyle name="Normal_ThermoShortCuts08c" xfId="6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ck/Google%20Drive/A%20SCHOOL/SPRING16/CHEM%20THERMO/Pre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VT"/>
      <sheetName val="Props"/>
      <sheetName val="Ref State"/>
      <sheetName val="Crit. Props"/>
      <sheetName val="IG Cps"/>
      <sheetName val="rev. info"/>
    </sheetNames>
    <sheetDataSet>
      <sheetData sheetId="0"/>
      <sheetData sheetId="1"/>
      <sheetData sheetId="2"/>
      <sheetData sheetId="3">
        <row r="7">
          <cell r="B7">
            <v>298</v>
          </cell>
        </row>
        <row r="8">
          <cell r="B8">
            <v>0.1</v>
          </cell>
        </row>
        <row r="26">
          <cell r="I26">
            <v>8.3144720000000003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8"/>
  <sheetViews>
    <sheetView zoomScaleNormal="100" workbookViewId="0">
      <pane ySplit="2" topLeftCell="A191" activePane="bottomLeft" state="frozen"/>
      <selection pane="bottomLeft" activeCell="M195" sqref="M195"/>
    </sheetView>
  </sheetViews>
  <sheetFormatPr defaultRowHeight="12.75" x14ac:dyDescent="0.2"/>
  <cols>
    <col min="1" max="1" width="9.140625" style="31"/>
    <col min="2" max="2" width="9" style="31" bestFit="1" customWidth="1"/>
    <col min="3" max="3" width="11.140625" style="31" customWidth="1"/>
    <col min="4" max="7" width="6.28515625" style="37" customWidth="1"/>
    <col min="8" max="8" width="7.28515625" style="37" customWidth="1"/>
    <col min="9" max="9" width="6.28515625" style="37" customWidth="1"/>
    <col min="10" max="11" width="7.28515625" style="37" customWidth="1"/>
    <col min="12" max="12" width="7" style="37" customWidth="1"/>
    <col min="13" max="14" width="7.85546875" style="37" customWidth="1"/>
    <col min="15" max="15" width="8.7109375" style="38" customWidth="1"/>
    <col min="16" max="16" width="8.140625" style="39" bestFit="1" customWidth="1"/>
    <col min="17" max="17" width="9.5703125" style="39" bestFit="1" customWidth="1"/>
    <col min="18" max="18" width="10.42578125" style="39" bestFit="1" customWidth="1"/>
    <col min="19" max="19" width="8" style="35" customWidth="1"/>
    <col min="20" max="20" width="9.140625" style="31"/>
    <col min="21" max="21" width="9.42578125" style="31" customWidth="1"/>
    <col min="22" max="16384" width="9.140625" style="31"/>
  </cols>
  <sheetData>
    <row r="1" spans="1:23" x14ac:dyDescent="0.2">
      <c r="A1" s="35" t="s">
        <v>109</v>
      </c>
      <c r="B1" s="36">
        <v>42161</v>
      </c>
      <c r="C1" s="35" t="s">
        <v>110</v>
      </c>
    </row>
    <row r="2" spans="1:23" ht="15" x14ac:dyDescent="0.2">
      <c r="A2" s="40" t="s">
        <v>111</v>
      </c>
      <c r="B2" s="37" t="s">
        <v>15</v>
      </c>
      <c r="C2" s="41" t="s">
        <v>112</v>
      </c>
      <c r="D2" s="42" t="s">
        <v>113</v>
      </c>
      <c r="E2" s="43" t="s">
        <v>114</v>
      </c>
      <c r="F2" s="43" t="s">
        <v>42</v>
      </c>
      <c r="G2" s="44" t="s">
        <v>115</v>
      </c>
      <c r="H2" s="42" t="s">
        <v>116</v>
      </c>
      <c r="I2" s="45" t="s">
        <v>117</v>
      </c>
      <c r="J2" s="46" t="s">
        <v>118</v>
      </c>
      <c r="K2" s="46" t="s">
        <v>119</v>
      </c>
      <c r="L2" s="46" t="s">
        <v>120</v>
      </c>
      <c r="M2" s="37" t="s">
        <v>121</v>
      </c>
      <c r="N2" s="37" t="s">
        <v>122</v>
      </c>
      <c r="O2" s="38" t="s">
        <v>123</v>
      </c>
      <c r="P2" s="38" t="s">
        <v>124</v>
      </c>
      <c r="Q2" s="38" t="s">
        <v>125</v>
      </c>
      <c r="R2" s="38" t="s">
        <v>126</v>
      </c>
      <c r="S2" s="40" t="s">
        <v>127</v>
      </c>
      <c r="T2" s="35" t="s">
        <v>128</v>
      </c>
      <c r="U2" s="35" t="s">
        <v>129</v>
      </c>
      <c r="V2" s="35" t="s">
        <v>130</v>
      </c>
      <c r="W2" s="35" t="s">
        <v>131</v>
      </c>
    </row>
    <row r="3" spans="1:23" x14ac:dyDescent="0.2">
      <c r="A3" s="47" t="s">
        <v>132</v>
      </c>
      <c r="B3" s="37"/>
      <c r="C3" s="41"/>
      <c r="D3" s="42"/>
      <c r="E3" s="43"/>
      <c r="F3" s="43"/>
      <c r="G3" s="44"/>
      <c r="H3" s="42"/>
      <c r="I3" s="45"/>
      <c r="J3" s="46"/>
      <c r="K3" s="46"/>
      <c r="L3" s="46"/>
      <c r="P3" s="38"/>
      <c r="Q3" s="38"/>
      <c r="R3" s="38"/>
      <c r="S3" s="40"/>
      <c r="T3" s="35"/>
      <c r="U3" s="35"/>
    </row>
    <row r="4" spans="1:23" x14ac:dyDescent="0.2">
      <c r="A4" s="37">
        <v>1</v>
      </c>
      <c r="B4" s="21" t="s">
        <v>133</v>
      </c>
      <c r="C4" s="21" t="s">
        <v>134</v>
      </c>
      <c r="D4" s="37">
        <v>190.6</v>
      </c>
      <c r="E4" s="37">
        <v>4.6040000000000001</v>
      </c>
      <c r="F4" s="43">
        <v>1.0999999999999999E-2</v>
      </c>
      <c r="G4" s="37">
        <v>0.28999999999999998</v>
      </c>
      <c r="H4" s="37">
        <v>16</v>
      </c>
      <c r="I4" s="37">
        <v>4.3</v>
      </c>
      <c r="J4" s="37">
        <v>11.7</v>
      </c>
      <c r="K4" s="37">
        <v>0</v>
      </c>
      <c r="L4" s="37">
        <v>0</v>
      </c>
      <c r="M4" s="37">
        <v>-74.893600000000006</v>
      </c>
      <c r="N4" s="37">
        <v>-50.45</v>
      </c>
      <c r="O4" s="38">
        <v>19.25</v>
      </c>
      <c r="P4" s="38">
        <v>5.2130000000000003E-2</v>
      </c>
      <c r="Q4" s="38">
        <v>1.1970000000000001E-5</v>
      </c>
      <c r="R4" s="38">
        <v>-1.132E-8</v>
      </c>
      <c r="S4" s="48">
        <v>0.28799999999999998</v>
      </c>
    </row>
    <row r="5" spans="1:23" x14ac:dyDescent="0.2">
      <c r="A5" s="37">
        <v>2</v>
      </c>
      <c r="B5" s="21" t="s">
        <v>135</v>
      </c>
      <c r="C5" s="21" t="s">
        <v>136</v>
      </c>
      <c r="D5" s="37">
        <v>305.39999999999998</v>
      </c>
      <c r="E5" s="37">
        <v>4.88</v>
      </c>
      <c r="F5" s="43">
        <v>9.9000000000000005E-2</v>
      </c>
      <c r="G5" s="37">
        <v>0.43</v>
      </c>
      <c r="H5" s="37">
        <v>30</v>
      </c>
      <c r="I5" s="37">
        <v>6.31</v>
      </c>
      <c r="J5" s="37">
        <v>13.5</v>
      </c>
      <c r="K5" s="37">
        <v>0</v>
      </c>
      <c r="L5" s="37">
        <v>0</v>
      </c>
      <c r="M5" s="37">
        <v>-83.82</v>
      </c>
      <c r="N5" s="37">
        <v>-31.86</v>
      </c>
      <c r="O5" s="38">
        <v>5.4089999999999998</v>
      </c>
      <c r="P5" s="38">
        <v>0.17810000000000001</v>
      </c>
      <c r="Q5" s="38">
        <v>-6.9380000000000003E-5</v>
      </c>
      <c r="R5" s="38">
        <v>8.713E-9</v>
      </c>
      <c r="S5" s="48">
        <v>0.28399999999999997</v>
      </c>
    </row>
    <row r="6" spans="1:23" x14ac:dyDescent="0.2">
      <c r="A6" s="37">
        <v>3</v>
      </c>
      <c r="B6" s="21" t="s">
        <v>137</v>
      </c>
      <c r="C6" s="21" t="s">
        <v>138</v>
      </c>
      <c r="D6" s="37">
        <v>369.8</v>
      </c>
      <c r="E6" s="37">
        <v>4.2489999999999997</v>
      </c>
      <c r="F6" s="43">
        <v>0.152</v>
      </c>
      <c r="G6" s="37">
        <v>0.57999999999999996</v>
      </c>
      <c r="H6" s="37">
        <v>44</v>
      </c>
      <c r="I6" s="37">
        <v>8.85</v>
      </c>
      <c r="J6" s="37">
        <v>13.1</v>
      </c>
      <c r="K6" s="37">
        <v>0</v>
      </c>
      <c r="L6" s="37">
        <v>0</v>
      </c>
      <c r="M6" s="37">
        <v>-104.68</v>
      </c>
      <c r="N6" s="37">
        <v>-24.29</v>
      </c>
      <c r="O6" s="38">
        <v>-4.2240000000000002</v>
      </c>
      <c r="P6" s="38">
        <v>0.30630000000000002</v>
      </c>
      <c r="Q6" s="38">
        <v>-1.5860000000000001E-4</v>
      </c>
      <c r="R6" s="38">
        <v>3.215E-8</v>
      </c>
      <c r="S6" s="48">
        <v>0.28100000000000003</v>
      </c>
    </row>
    <row r="7" spans="1:23" x14ac:dyDescent="0.2">
      <c r="A7" s="37">
        <v>4</v>
      </c>
      <c r="B7" s="21" t="s">
        <v>139</v>
      </c>
      <c r="C7" s="21" t="s">
        <v>140</v>
      </c>
      <c r="D7" s="37">
        <v>425.2</v>
      </c>
      <c r="E7" s="37">
        <v>3.7970000000000002</v>
      </c>
      <c r="F7" s="43">
        <v>0.193</v>
      </c>
      <c r="G7" s="37">
        <v>0.6</v>
      </c>
      <c r="H7" s="37">
        <v>58</v>
      </c>
      <c r="I7" s="37">
        <v>11.89</v>
      </c>
      <c r="J7" s="37">
        <v>13.5</v>
      </c>
      <c r="K7" s="37">
        <v>0</v>
      </c>
      <c r="L7" s="37">
        <v>0</v>
      </c>
      <c r="M7" s="37">
        <v>-125.79</v>
      </c>
      <c r="N7" s="37">
        <v>-16.57</v>
      </c>
      <c r="O7" s="38">
        <v>9.4870000000000001</v>
      </c>
      <c r="P7" s="38">
        <v>0.33129999999999998</v>
      </c>
      <c r="Q7" s="38">
        <v>-1.108E-4</v>
      </c>
      <c r="R7" s="38">
        <v>-2.822E-9</v>
      </c>
      <c r="S7" s="48">
        <v>0.27400000000000002</v>
      </c>
      <c r="T7" s="31">
        <v>134.84999999999997</v>
      </c>
      <c r="U7" s="31">
        <v>4.6609999999999996</v>
      </c>
      <c r="V7" s="31">
        <v>272.54999999999995</v>
      </c>
      <c r="W7" s="31">
        <v>22.305</v>
      </c>
    </row>
    <row r="8" spans="1:23" x14ac:dyDescent="0.2">
      <c r="A8" s="37">
        <v>5</v>
      </c>
      <c r="B8" s="21" t="s">
        <v>141</v>
      </c>
      <c r="C8" s="21" t="s">
        <v>142</v>
      </c>
      <c r="D8" s="37">
        <v>408.1</v>
      </c>
      <c r="E8" s="37">
        <v>3.6480000000000001</v>
      </c>
      <c r="F8" s="43">
        <v>0.17699999999999999</v>
      </c>
      <c r="G8" s="37">
        <v>0.55000000000000004</v>
      </c>
      <c r="H8" s="37">
        <v>58</v>
      </c>
      <c r="I8" s="37">
        <v>11.7</v>
      </c>
      <c r="J8" s="37">
        <v>12.5</v>
      </c>
      <c r="K8" s="37">
        <v>0</v>
      </c>
      <c r="L8" s="37">
        <v>0</v>
      </c>
      <c r="M8" s="37">
        <v>-134.99</v>
      </c>
      <c r="N8" s="37">
        <v>-20.8781</v>
      </c>
      <c r="O8" s="38">
        <v>-1.39</v>
      </c>
      <c r="P8" s="38">
        <v>0.38469999999999999</v>
      </c>
      <c r="Q8" s="38">
        <v>-1.8459999999999999E-4</v>
      </c>
      <c r="R8" s="38">
        <v>2.8950000000000001E-8</v>
      </c>
      <c r="S8" s="48">
        <v>0.28199999999999997</v>
      </c>
    </row>
    <row r="9" spans="1:23" x14ac:dyDescent="0.2">
      <c r="A9" s="37">
        <v>7</v>
      </c>
      <c r="B9" s="21" t="s">
        <v>143</v>
      </c>
      <c r="C9" s="21" t="s">
        <v>144</v>
      </c>
      <c r="D9" s="37">
        <v>469.7</v>
      </c>
      <c r="E9" s="37">
        <v>3.3690000000000002</v>
      </c>
      <c r="F9" s="43">
        <v>0.249</v>
      </c>
      <c r="G9" s="37">
        <v>0.62</v>
      </c>
      <c r="H9" s="37">
        <v>72</v>
      </c>
      <c r="I9" s="37">
        <v>14.45</v>
      </c>
      <c r="J9" s="37">
        <v>14.3</v>
      </c>
      <c r="K9" s="37">
        <v>0</v>
      </c>
      <c r="L9" s="37">
        <v>0</v>
      </c>
      <c r="M9" s="37">
        <v>-146.76</v>
      </c>
      <c r="N9" s="37">
        <v>-8.65</v>
      </c>
      <c r="O9" s="38">
        <v>-3.6259999999999999</v>
      </c>
      <c r="P9" s="38">
        <v>0.48730000000000001</v>
      </c>
      <c r="Q9" s="38">
        <v>-2.5799999999999998E-4</v>
      </c>
      <c r="R9" s="38">
        <v>5.3050000000000002E-8</v>
      </c>
      <c r="S9" s="48">
        <v>0.26900000000000002</v>
      </c>
    </row>
    <row r="10" spans="1:23" x14ac:dyDescent="0.2">
      <c r="A10" s="37">
        <v>8</v>
      </c>
      <c r="B10" s="21" t="s">
        <v>145</v>
      </c>
      <c r="C10" s="21" t="s">
        <v>146</v>
      </c>
      <c r="D10" s="37">
        <v>460.4</v>
      </c>
      <c r="E10" s="37">
        <v>3.3809999999999998</v>
      </c>
      <c r="F10" s="43">
        <v>0.22800000000000001</v>
      </c>
      <c r="G10" s="37">
        <v>0.62</v>
      </c>
      <c r="H10" s="37">
        <v>72</v>
      </c>
      <c r="I10" s="37">
        <v>14.28</v>
      </c>
      <c r="J10" s="37">
        <v>13.9</v>
      </c>
      <c r="K10" s="37">
        <v>0</v>
      </c>
      <c r="L10" s="37">
        <v>0</v>
      </c>
      <c r="M10" s="37">
        <v>-153.69999999999999</v>
      </c>
      <c r="N10" s="37">
        <v>-14.05</v>
      </c>
      <c r="O10" s="38">
        <v>-9.5250000000000004</v>
      </c>
      <c r="P10" s="38">
        <v>0.50660000000000005</v>
      </c>
      <c r="Q10" s="38">
        <v>-2.7290000000000002E-4</v>
      </c>
      <c r="R10" s="38">
        <v>5.7229999999999997E-8</v>
      </c>
      <c r="S10" s="48">
        <v>0.27</v>
      </c>
    </row>
    <row r="11" spans="1:23" x14ac:dyDescent="0.2">
      <c r="A11" s="37">
        <v>9</v>
      </c>
      <c r="B11" s="21" t="s">
        <v>147</v>
      </c>
      <c r="C11" s="21" t="s">
        <v>148</v>
      </c>
      <c r="D11" s="37">
        <v>433.8</v>
      </c>
      <c r="E11" s="37">
        <v>3.1989999999999998</v>
      </c>
      <c r="F11" s="43">
        <v>0.19600000000000001</v>
      </c>
      <c r="G11" s="37">
        <v>0.6</v>
      </c>
      <c r="H11" s="37">
        <v>72</v>
      </c>
      <c r="I11" s="37">
        <v>14.62</v>
      </c>
      <c r="J11" s="37">
        <v>13.1</v>
      </c>
      <c r="K11" s="37">
        <v>0</v>
      </c>
      <c r="L11" s="37">
        <v>0</v>
      </c>
      <c r="M11" s="37">
        <v>-168.07</v>
      </c>
      <c r="N11" s="37">
        <v>-17.14</v>
      </c>
      <c r="O11" s="38">
        <v>-16.59</v>
      </c>
      <c r="P11" s="38">
        <v>0.55520000000000003</v>
      </c>
      <c r="Q11" s="38">
        <v>-3.3060000000000001E-4</v>
      </c>
      <c r="R11" s="38">
        <v>7.6329999999999996E-8</v>
      </c>
      <c r="S11" s="48">
        <v>0.26900000000000002</v>
      </c>
    </row>
    <row r="12" spans="1:23" x14ac:dyDescent="0.2">
      <c r="A12" s="37">
        <v>11</v>
      </c>
      <c r="B12" s="21" t="s">
        <v>149</v>
      </c>
      <c r="C12" s="21" t="s">
        <v>150</v>
      </c>
      <c r="D12" s="37">
        <v>507.4</v>
      </c>
      <c r="E12" s="37">
        <v>3.012</v>
      </c>
      <c r="F12" s="43">
        <v>0.30499999999999999</v>
      </c>
      <c r="G12" s="37">
        <v>0.66</v>
      </c>
      <c r="H12" s="37">
        <v>86</v>
      </c>
      <c r="I12" s="37">
        <v>17.21</v>
      </c>
      <c r="J12" s="37">
        <v>14.9</v>
      </c>
      <c r="K12" s="37">
        <v>0</v>
      </c>
      <c r="L12" s="37">
        <v>0</v>
      </c>
      <c r="M12" s="37">
        <v>-166.92</v>
      </c>
      <c r="N12" s="37">
        <v>-0.16736000000000001</v>
      </c>
      <c r="O12" s="38">
        <v>-4.4130000000000003</v>
      </c>
      <c r="P12" s="38">
        <v>0.52800000000000002</v>
      </c>
      <c r="Q12" s="38">
        <v>-3.1189999999999999E-4</v>
      </c>
      <c r="R12" s="38">
        <v>6.4939999999999998E-8</v>
      </c>
      <c r="S12" s="48">
        <v>0.26400000000000001</v>
      </c>
      <c r="T12" s="31">
        <v>177.82999999999998</v>
      </c>
      <c r="U12" s="31">
        <v>13.03</v>
      </c>
      <c r="V12" s="31">
        <v>341.89</v>
      </c>
      <c r="W12" s="31">
        <v>28.85</v>
      </c>
    </row>
    <row r="13" spans="1:23" x14ac:dyDescent="0.2">
      <c r="A13" s="37">
        <v>17</v>
      </c>
      <c r="B13" s="21" t="s">
        <v>151</v>
      </c>
      <c r="C13" s="21" t="s">
        <v>152</v>
      </c>
      <c r="D13" s="37">
        <v>540.29999999999995</v>
      </c>
      <c r="E13" s="37">
        <v>2.7360000000000002</v>
      </c>
      <c r="F13" s="43">
        <v>0.34899999999999998</v>
      </c>
      <c r="G13" s="37">
        <v>0.68</v>
      </c>
      <c r="H13" s="37">
        <v>100</v>
      </c>
      <c r="I13" s="37">
        <v>19.95</v>
      </c>
      <c r="J13" s="37">
        <v>15.3</v>
      </c>
      <c r="K13" s="37">
        <v>0</v>
      </c>
      <c r="L13" s="37">
        <v>0</v>
      </c>
      <c r="M13" s="37">
        <v>-187.8</v>
      </c>
      <c r="N13" s="37">
        <v>8.1999999999999993</v>
      </c>
      <c r="O13" s="38">
        <v>-5.1459999999999999</v>
      </c>
      <c r="P13" s="38">
        <v>0.67620000000000002</v>
      </c>
      <c r="Q13" s="38">
        <v>-3.6509999999999998E-4</v>
      </c>
      <c r="R13" s="38">
        <v>7.6580000000000001E-8</v>
      </c>
      <c r="S13" s="48">
        <v>0.26300000000000001</v>
      </c>
    </row>
    <row r="14" spans="1:23" x14ac:dyDescent="0.2">
      <c r="A14" s="37">
        <v>27</v>
      </c>
      <c r="B14" s="21" t="s">
        <v>153</v>
      </c>
      <c r="C14" s="21" t="s">
        <v>154</v>
      </c>
      <c r="D14" s="37">
        <v>568.79999999999995</v>
      </c>
      <c r="E14" s="37">
        <v>2.4860000000000002</v>
      </c>
      <c r="F14" s="43">
        <v>0.39600000000000002</v>
      </c>
      <c r="G14" s="37">
        <v>0.7</v>
      </c>
      <c r="H14" s="37">
        <v>114</v>
      </c>
      <c r="I14" s="37">
        <v>22.7</v>
      </c>
      <c r="J14" s="37">
        <v>15.5</v>
      </c>
      <c r="K14" s="37">
        <v>0</v>
      </c>
      <c r="L14" s="37">
        <v>0</v>
      </c>
      <c r="M14" s="37">
        <v>-208.75</v>
      </c>
      <c r="N14" s="37">
        <v>16.401299999999999</v>
      </c>
      <c r="O14" s="38">
        <v>-6.0960000000000001</v>
      </c>
      <c r="P14" s="38">
        <v>0.7712</v>
      </c>
      <c r="Q14" s="38">
        <v>-4.1950000000000001E-4</v>
      </c>
      <c r="R14" s="38">
        <v>8.8549999999999996E-8</v>
      </c>
      <c r="S14" s="48">
        <v>0.25900000000000001</v>
      </c>
    </row>
    <row r="15" spans="1:23" x14ac:dyDescent="0.2">
      <c r="A15" s="37">
        <v>41</v>
      </c>
      <c r="B15" s="49" t="s">
        <v>155</v>
      </c>
      <c r="C15" s="21" t="s">
        <v>156</v>
      </c>
      <c r="D15" s="37">
        <v>544</v>
      </c>
      <c r="E15" s="37">
        <v>2.57</v>
      </c>
      <c r="F15" s="43">
        <v>0.30299999999999999</v>
      </c>
      <c r="G15" s="37">
        <v>0.7</v>
      </c>
      <c r="H15" s="37">
        <v>114</v>
      </c>
      <c r="I15" s="37">
        <v>22.5</v>
      </c>
      <c r="J15" s="37">
        <v>14.1</v>
      </c>
      <c r="K15" s="37">
        <v>0</v>
      </c>
      <c r="L15" s="37">
        <v>0</v>
      </c>
      <c r="M15" s="37">
        <v>-224.01</v>
      </c>
      <c r="N15" s="37">
        <v>13.681699999999999</v>
      </c>
      <c r="P15" s="38"/>
      <c r="Q15" s="38"/>
      <c r="R15" s="38"/>
      <c r="S15" s="48">
        <v>0.26600000000000001</v>
      </c>
    </row>
    <row r="16" spans="1:23" x14ac:dyDescent="0.2">
      <c r="A16" s="37">
        <v>46</v>
      </c>
      <c r="B16" s="21" t="s">
        <v>157</v>
      </c>
      <c r="C16" s="21" t="s">
        <v>158</v>
      </c>
      <c r="D16" s="37">
        <v>595.70000000000005</v>
      </c>
      <c r="E16" s="37">
        <v>2.306</v>
      </c>
      <c r="F16" s="43">
        <v>0.437</v>
      </c>
      <c r="G16" s="37">
        <v>0.71</v>
      </c>
      <c r="H16" s="37">
        <v>128</v>
      </c>
      <c r="I16" s="37">
        <v>25.45</v>
      </c>
      <c r="J16" s="37">
        <v>15.6</v>
      </c>
      <c r="K16" s="37">
        <v>0</v>
      </c>
      <c r="L16" s="37">
        <v>0</v>
      </c>
      <c r="M16" s="37">
        <v>-228.74</v>
      </c>
      <c r="N16" s="37">
        <v>24.97</v>
      </c>
      <c r="O16" s="38">
        <v>-8.3740000000000006</v>
      </c>
      <c r="P16" s="38">
        <v>0.87290000000000001</v>
      </c>
      <c r="Q16" s="38">
        <v>-4.8230000000000001E-4</v>
      </c>
      <c r="R16" s="38">
        <v>1.031E-7</v>
      </c>
      <c r="S16" s="48">
        <v>0.255</v>
      </c>
    </row>
    <row r="17" spans="1:21" x14ac:dyDescent="0.2">
      <c r="A17" s="37">
        <v>56</v>
      </c>
      <c r="B17" s="21" t="s">
        <v>159</v>
      </c>
      <c r="C17" s="21" t="s">
        <v>160</v>
      </c>
      <c r="D17" s="37">
        <v>618.5</v>
      </c>
      <c r="E17" s="37">
        <v>2.1230000000000002</v>
      </c>
      <c r="F17" s="43">
        <v>0.48399999999999999</v>
      </c>
      <c r="G17" s="37">
        <v>0.73</v>
      </c>
      <c r="H17" s="37">
        <v>142</v>
      </c>
      <c r="I17" s="37">
        <v>28.22</v>
      </c>
      <c r="J17" s="37">
        <v>15.7</v>
      </c>
      <c r="K17" s="37">
        <v>0</v>
      </c>
      <c r="L17" s="37">
        <v>0</v>
      </c>
      <c r="M17" s="37">
        <v>-249.46</v>
      </c>
      <c r="N17" s="37">
        <v>33.18</v>
      </c>
      <c r="O17" s="38">
        <v>-7.9130000000000003</v>
      </c>
      <c r="P17" s="38">
        <v>0.96089999999999998</v>
      </c>
      <c r="Q17" s="38">
        <v>-5.2879999999999995E-4</v>
      </c>
      <c r="R17" s="38">
        <v>1.131E-7</v>
      </c>
      <c r="S17" s="48">
        <v>0.249</v>
      </c>
    </row>
    <row r="18" spans="1:21" x14ac:dyDescent="0.2">
      <c r="A18" s="37">
        <v>64</v>
      </c>
      <c r="B18" s="21" t="s">
        <v>161</v>
      </c>
      <c r="C18" s="21" t="s">
        <v>162</v>
      </c>
      <c r="D18" s="37">
        <v>658.2</v>
      </c>
      <c r="E18" s="37">
        <v>1.8240000000000001</v>
      </c>
      <c r="F18" s="43">
        <v>0.57499999999999996</v>
      </c>
      <c r="G18" s="37">
        <v>0.75</v>
      </c>
      <c r="H18" s="37">
        <v>170</v>
      </c>
      <c r="I18" s="37">
        <v>33.71</v>
      </c>
      <c r="J18" s="37">
        <v>15.9</v>
      </c>
      <c r="K18" s="37">
        <v>0</v>
      </c>
      <c r="L18" s="37">
        <v>0</v>
      </c>
      <c r="M18" s="37">
        <v>-290.72000000000003</v>
      </c>
      <c r="N18" s="37">
        <v>49.81</v>
      </c>
      <c r="O18" s="38">
        <v>-9.3279999999999994</v>
      </c>
      <c r="P18" s="38">
        <v>1.149</v>
      </c>
      <c r="Q18" s="38">
        <v>-6.3469999999999998E-4</v>
      </c>
      <c r="R18" s="38">
        <v>1.3589999999999999E-7</v>
      </c>
      <c r="S18" s="48">
        <v>0.23799999999999999</v>
      </c>
    </row>
    <row r="19" spans="1:21" x14ac:dyDescent="0.2">
      <c r="A19" s="37">
        <v>66</v>
      </c>
      <c r="B19" s="21" t="s">
        <v>163</v>
      </c>
      <c r="C19" s="21" t="s">
        <v>164</v>
      </c>
      <c r="D19" s="37">
        <v>696.9</v>
      </c>
      <c r="E19" s="37">
        <v>1.4379999999999999</v>
      </c>
      <c r="F19" s="43">
        <v>0.56999999999999995</v>
      </c>
      <c r="G19" s="37">
        <v>0.76</v>
      </c>
      <c r="H19" s="37">
        <v>198</v>
      </c>
      <c r="I19" s="37">
        <v>39.22</v>
      </c>
      <c r="J19" s="37">
        <v>16.100000000000001</v>
      </c>
      <c r="K19" s="37">
        <v>0</v>
      </c>
      <c r="L19" s="37">
        <v>0</v>
      </c>
      <c r="M19" s="37">
        <v>-332.44</v>
      </c>
      <c r="N19" s="37">
        <v>65.989999999999995</v>
      </c>
      <c r="O19" s="38">
        <v>-10.98</v>
      </c>
      <c r="P19" s="38">
        <v>1.3380000000000001</v>
      </c>
      <c r="Q19" s="38">
        <v>-7.4229999999999999E-4</v>
      </c>
      <c r="R19" s="38">
        <v>1.5979999999999999E-7</v>
      </c>
      <c r="S19" s="48">
        <v>0.20300000000000001</v>
      </c>
    </row>
    <row r="20" spans="1:21" x14ac:dyDescent="0.2">
      <c r="A20" s="37">
        <v>68</v>
      </c>
      <c r="B20" s="21" t="s">
        <v>165</v>
      </c>
      <c r="C20" s="21" t="s">
        <v>166</v>
      </c>
      <c r="D20" s="37">
        <v>720.6</v>
      </c>
      <c r="E20" s="37">
        <v>1.419</v>
      </c>
      <c r="F20" s="43">
        <v>0.747</v>
      </c>
      <c r="G20" s="37">
        <v>0.77</v>
      </c>
      <c r="H20" s="37">
        <v>226</v>
      </c>
      <c r="I20" s="37">
        <v>44.54</v>
      </c>
      <c r="J20" s="37">
        <v>16.2</v>
      </c>
      <c r="K20" s="37">
        <v>0</v>
      </c>
      <c r="L20" s="37">
        <v>0</v>
      </c>
      <c r="M20" s="37">
        <v>-374.17</v>
      </c>
      <c r="N20" s="37">
        <v>82.15</v>
      </c>
      <c r="O20" s="38">
        <v>-13.02</v>
      </c>
      <c r="P20" s="38">
        <v>1.5289999999999999</v>
      </c>
      <c r="Q20" s="38">
        <v>-8.5369999999999999E-4</v>
      </c>
      <c r="R20" s="38">
        <v>1.85E-7</v>
      </c>
      <c r="S20" s="48">
        <v>0.22</v>
      </c>
    </row>
    <row r="21" spans="1:21" x14ac:dyDescent="0.2">
      <c r="A21" s="37">
        <v>73</v>
      </c>
      <c r="B21" s="21" t="s">
        <v>167</v>
      </c>
      <c r="C21" s="50" t="s">
        <v>168</v>
      </c>
      <c r="D21" s="37">
        <v>768</v>
      </c>
      <c r="E21" s="37">
        <v>1.1599999999999999</v>
      </c>
      <c r="F21" s="43">
        <v>0.90690000000000004</v>
      </c>
      <c r="G21" s="37">
        <f>H21/363.69</f>
        <v>0.77676042783689403</v>
      </c>
      <c r="H21" s="37">
        <v>282.5</v>
      </c>
      <c r="I21" s="37">
        <f>460.28/8.314</f>
        <v>55.362039932643732</v>
      </c>
      <c r="J21" s="37">
        <v>16.2</v>
      </c>
      <c r="K21" s="37">
        <v>0</v>
      </c>
      <c r="L21" s="37">
        <v>0</v>
      </c>
      <c r="M21" s="37">
        <v>-456.46</v>
      </c>
      <c r="N21" s="37">
        <v>115.7</v>
      </c>
      <c r="P21" s="38"/>
      <c r="Q21" s="38"/>
      <c r="R21" s="38"/>
      <c r="S21" s="48"/>
    </row>
    <row r="22" spans="1:21" x14ac:dyDescent="0.2">
      <c r="A22" s="37">
        <v>104</v>
      </c>
      <c r="B22" s="21" t="s">
        <v>169</v>
      </c>
      <c r="C22" s="21" t="s">
        <v>170</v>
      </c>
      <c r="D22" s="37">
        <v>511.8</v>
      </c>
      <c r="E22" s="37">
        <v>4.5019999999999998</v>
      </c>
      <c r="F22" s="43">
        <v>0.19400000000000001</v>
      </c>
      <c r="G22" s="37">
        <v>0.74</v>
      </c>
      <c r="H22" s="37">
        <v>70</v>
      </c>
      <c r="I22" s="37">
        <v>9.9700000000000006</v>
      </c>
      <c r="J22" s="37">
        <v>16.5</v>
      </c>
      <c r="K22" s="37">
        <v>0</v>
      </c>
      <c r="L22" s="37">
        <v>0</v>
      </c>
      <c r="M22" s="37">
        <v>-78.400000000000006</v>
      </c>
      <c r="N22" s="37">
        <v>38.869300000000003</v>
      </c>
      <c r="O22" s="38">
        <v>-53.62</v>
      </c>
      <c r="P22" s="38">
        <v>0.54259999999999997</v>
      </c>
      <c r="Q22" s="38">
        <v>-3.0309999999999999E-4</v>
      </c>
      <c r="R22" s="38">
        <v>6.4850000000000002E-8</v>
      </c>
      <c r="S22" s="48">
        <v>0.27300000000000002</v>
      </c>
    </row>
    <row r="23" spans="1:21" x14ac:dyDescent="0.2">
      <c r="A23" s="37">
        <v>105</v>
      </c>
      <c r="B23" s="21" t="s">
        <v>171</v>
      </c>
      <c r="C23" s="21" t="s">
        <v>172</v>
      </c>
      <c r="D23" s="37">
        <v>532.79999999999995</v>
      </c>
      <c r="E23" s="37">
        <v>3.7850000000000001</v>
      </c>
      <c r="F23" s="43">
        <v>0.23</v>
      </c>
      <c r="G23" s="37">
        <v>0.74</v>
      </c>
      <c r="H23" s="37">
        <v>84</v>
      </c>
      <c r="I23" s="37">
        <v>13.21</v>
      </c>
      <c r="J23" s="37">
        <v>16.100000000000001</v>
      </c>
      <c r="K23" s="37">
        <v>0</v>
      </c>
      <c r="L23" s="37">
        <v>0</v>
      </c>
      <c r="M23" s="37">
        <v>-106.023</v>
      </c>
      <c r="N23" s="37">
        <v>35.773200000000003</v>
      </c>
      <c r="O23" s="38">
        <v>-50.11</v>
      </c>
      <c r="P23" s="38">
        <v>0.6381</v>
      </c>
      <c r="Q23" s="38">
        <v>-3.6420000000000002E-4</v>
      </c>
      <c r="R23" s="38">
        <v>8.0140000000000002E-8</v>
      </c>
      <c r="S23" s="48">
        <v>0.27200000000000002</v>
      </c>
    </row>
    <row r="24" spans="1:21" x14ac:dyDescent="0.2">
      <c r="A24" s="37">
        <v>137</v>
      </c>
      <c r="B24" s="21" t="s">
        <v>173</v>
      </c>
      <c r="C24" s="21" t="s">
        <v>174</v>
      </c>
      <c r="D24" s="37">
        <v>553.5</v>
      </c>
      <c r="E24" s="37">
        <v>4.0750000000000002</v>
      </c>
      <c r="F24" s="43">
        <v>0.215</v>
      </c>
      <c r="G24" s="37">
        <v>0.77</v>
      </c>
      <c r="H24" s="37">
        <v>84</v>
      </c>
      <c r="I24" s="37">
        <v>12.74</v>
      </c>
      <c r="J24" s="37">
        <v>16.8</v>
      </c>
      <c r="K24" s="37">
        <v>0</v>
      </c>
      <c r="L24" s="37">
        <v>0</v>
      </c>
      <c r="M24" s="37">
        <v>-123.3</v>
      </c>
      <c r="N24" s="37">
        <v>31.756599999999999</v>
      </c>
      <c r="O24" s="38">
        <v>-54.54</v>
      </c>
      <c r="P24" s="38">
        <v>0.61129999999999995</v>
      </c>
      <c r="Q24" s="38">
        <v>-2.5230000000000001E-4</v>
      </c>
      <c r="R24" s="38">
        <v>1.321E-8</v>
      </c>
      <c r="S24" s="48">
        <v>0.27300000000000002</v>
      </c>
      <c r="T24" s="31">
        <v>279.84999999999997</v>
      </c>
      <c r="U24" s="31">
        <v>2.677</v>
      </c>
    </row>
    <row r="25" spans="1:21" x14ac:dyDescent="0.2">
      <c r="A25" s="37">
        <v>138</v>
      </c>
      <c r="B25" s="21" t="s">
        <v>175</v>
      </c>
      <c r="C25" s="21" t="s">
        <v>176</v>
      </c>
      <c r="D25" s="37">
        <v>572.20000000000005</v>
      </c>
      <c r="E25" s="37">
        <v>3.4710000000000001</v>
      </c>
      <c r="F25" s="43">
        <v>0.23499999999999999</v>
      </c>
      <c r="G25" s="37">
        <v>0.77</v>
      </c>
      <c r="H25" s="37">
        <v>98</v>
      </c>
      <c r="I25" s="37">
        <v>16.25</v>
      </c>
      <c r="J25" s="37">
        <v>16.100000000000001</v>
      </c>
      <c r="K25" s="37">
        <v>0</v>
      </c>
      <c r="L25" s="37">
        <v>0</v>
      </c>
      <c r="M25" s="37">
        <v>-154.76599999999999</v>
      </c>
      <c r="N25" s="37">
        <v>27.279699999999998</v>
      </c>
      <c r="O25" s="38">
        <v>-61.92</v>
      </c>
      <c r="P25" s="38">
        <v>0.78420000000000001</v>
      </c>
      <c r="Q25" s="38">
        <v>-4.438E-4</v>
      </c>
      <c r="R25" s="38">
        <v>9.3660000000000006E-8</v>
      </c>
      <c r="S25" s="48">
        <v>0.26900000000000002</v>
      </c>
    </row>
    <row r="26" spans="1:21" x14ac:dyDescent="0.2">
      <c r="A26" s="37">
        <v>153</v>
      </c>
      <c r="B26" s="21" t="s">
        <v>177</v>
      </c>
      <c r="C26" s="21" t="s">
        <v>178</v>
      </c>
      <c r="D26" s="37">
        <v>703.6</v>
      </c>
      <c r="E26" s="37">
        <v>3.2</v>
      </c>
      <c r="F26" s="43">
        <v>0.27900000000000003</v>
      </c>
      <c r="G26" s="37">
        <v>0.89</v>
      </c>
      <c r="H26" s="37">
        <v>138</v>
      </c>
      <c r="I26" s="37">
        <v>20.04</v>
      </c>
      <c r="J26" s="37">
        <v>17.600000000000001</v>
      </c>
      <c r="K26" s="37">
        <v>0</v>
      </c>
      <c r="L26" s="37">
        <v>0</v>
      </c>
      <c r="M26" s="37">
        <v>-168.95</v>
      </c>
      <c r="N26" s="37">
        <v>85.813800000000001</v>
      </c>
      <c r="P26" s="38"/>
      <c r="Q26" s="38"/>
      <c r="R26" s="38"/>
      <c r="S26" s="48">
        <v>0.26300000000000001</v>
      </c>
    </row>
    <row r="27" spans="1:21" x14ac:dyDescent="0.2">
      <c r="A27" s="37">
        <v>154</v>
      </c>
      <c r="B27" s="21" t="s">
        <v>179</v>
      </c>
      <c r="C27" s="21" t="s">
        <v>180</v>
      </c>
      <c r="D27" s="37">
        <v>687</v>
      </c>
      <c r="E27" s="37">
        <v>3.2</v>
      </c>
      <c r="F27" s="51">
        <v>0.29899999999999999</v>
      </c>
      <c r="G27" s="37">
        <v>0.87</v>
      </c>
      <c r="H27" s="37">
        <f>H26</f>
        <v>138</v>
      </c>
      <c r="I27" s="37">
        <v>20.16</v>
      </c>
      <c r="J27" s="37">
        <v>16.95</v>
      </c>
      <c r="K27" s="37">
        <v>0</v>
      </c>
      <c r="L27" s="37">
        <v>0</v>
      </c>
      <c r="M27" s="37">
        <v>-182.297</v>
      </c>
      <c r="N27" s="37">
        <v>73.429199999999994</v>
      </c>
      <c r="P27" s="38"/>
      <c r="Q27" s="38"/>
      <c r="R27" s="38"/>
      <c r="S27" s="40">
        <v>0.26900000000000002</v>
      </c>
    </row>
    <row r="28" spans="1:21" x14ac:dyDescent="0.2">
      <c r="A28" s="37">
        <v>201</v>
      </c>
      <c r="B28" s="21" t="s">
        <v>181</v>
      </c>
      <c r="C28" s="21" t="s">
        <v>182</v>
      </c>
      <c r="D28" s="37">
        <v>282.39999999999998</v>
      </c>
      <c r="E28" s="37">
        <v>5.032</v>
      </c>
      <c r="F28" s="43">
        <v>8.5000000000000006E-2</v>
      </c>
      <c r="G28" s="37">
        <v>0.43</v>
      </c>
      <c r="H28" s="37">
        <v>28</v>
      </c>
      <c r="I28" s="37">
        <v>5.26</v>
      </c>
      <c r="J28" s="37">
        <v>13.5</v>
      </c>
      <c r="K28" s="37">
        <v>0</v>
      </c>
      <c r="L28" s="37">
        <v>0.4</v>
      </c>
      <c r="M28" s="37">
        <v>52.51</v>
      </c>
      <c r="N28" s="37">
        <v>68.430000000000007</v>
      </c>
      <c r="O28" s="38">
        <v>3.806</v>
      </c>
      <c r="P28" s="38">
        <v>0.15659999999999999</v>
      </c>
      <c r="Q28" s="38">
        <v>-8.3479999999999994E-5</v>
      </c>
      <c r="R28" s="38">
        <v>1.7550000000000002E-8</v>
      </c>
      <c r="S28" s="48">
        <v>0.27700000000000002</v>
      </c>
    </row>
    <row r="29" spans="1:21" x14ac:dyDescent="0.2">
      <c r="A29" s="37">
        <v>202</v>
      </c>
      <c r="B29" s="21" t="s">
        <v>183</v>
      </c>
      <c r="C29" s="21" t="s">
        <v>184</v>
      </c>
      <c r="D29" s="37">
        <v>364.8</v>
      </c>
      <c r="E29" s="37">
        <v>4.6130000000000004</v>
      </c>
      <c r="F29" s="43">
        <v>0.14199999999999999</v>
      </c>
      <c r="G29" s="37">
        <v>0.61</v>
      </c>
      <c r="H29" s="37">
        <v>42</v>
      </c>
      <c r="I29" s="37">
        <v>7.69</v>
      </c>
      <c r="J29" s="37">
        <v>13.2</v>
      </c>
      <c r="K29" s="37">
        <v>0</v>
      </c>
      <c r="L29" s="37">
        <v>0.4</v>
      </c>
      <c r="M29" s="37">
        <v>19.71</v>
      </c>
      <c r="N29" s="37">
        <v>62.14</v>
      </c>
      <c r="O29" s="38">
        <v>3.71</v>
      </c>
      <c r="P29" s="38">
        <v>0.23449999999999999</v>
      </c>
      <c r="Q29" s="38">
        <v>-1.16E-4</v>
      </c>
      <c r="R29" s="38">
        <v>2.2049999999999999E-8</v>
      </c>
      <c r="S29" s="48">
        <v>0.27500000000000002</v>
      </c>
    </row>
    <row r="30" spans="1:21" x14ac:dyDescent="0.2">
      <c r="A30" s="37">
        <v>204</v>
      </c>
      <c r="B30" s="21" t="s">
        <v>185</v>
      </c>
      <c r="C30" s="21" t="s">
        <v>186</v>
      </c>
      <c r="D30" s="37">
        <v>419.6</v>
      </c>
      <c r="E30" s="37">
        <v>4.0199999999999996</v>
      </c>
      <c r="F30" s="43">
        <v>0.187</v>
      </c>
      <c r="G30" s="37">
        <v>0.63</v>
      </c>
      <c r="H30" s="37">
        <v>56</v>
      </c>
      <c r="I30" s="37">
        <v>10.31</v>
      </c>
      <c r="J30" s="37">
        <v>13.7</v>
      </c>
      <c r="K30" s="37">
        <v>0</v>
      </c>
      <c r="L30" s="37">
        <v>0.4</v>
      </c>
      <c r="M30" s="37">
        <v>-0.54</v>
      </c>
      <c r="N30" s="37">
        <v>70.239999999999995</v>
      </c>
      <c r="O30" s="38">
        <v>-2.9940000000000002</v>
      </c>
      <c r="P30" s="38">
        <v>0.35320000000000001</v>
      </c>
      <c r="Q30" s="38">
        <v>-1.9900000000000001E-4</v>
      </c>
      <c r="R30" s="38">
        <v>4.4630000000000003E-8</v>
      </c>
      <c r="S30" s="48">
        <v>0.27600000000000002</v>
      </c>
    </row>
    <row r="31" spans="1:21" x14ac:dyDescent="0.2">
      <c r="A31" s="37">
        <v>205</v>
      </c>
      <c r="B31" s="21" t="s">
        <v>187</v>
      </c>
      <c r="C31" s="21" t="s">
        <v>188</v>
      </c>
      <c r="D31" s="42">
        <v>435.3</v>
      </c>
      <c r="E31" s="43">
        <v>4.2</v>
      </c>
      <c r="F31" s="43">
        <v>0.20200000000000001</v>
      </c>
      <c r="G31" s="45">
        <v>0.64073226544622419</v>
      </c>
      <c r="H31" s="42">
        <v>56.11</v>
      </c>
      <c r="I31" s="45">
        <v>9.6223237911955728</v>
      </c>
      <c r="J31" s="45">
        <v>14.727476362228527</v>
      </c>
      <c r="K31" s="45">
        <v>0</v>
      </c>
      <c r="L31" s="45">
        <v>0.4</v>
      </c>
      <c r="M31" s="37">
        <v>-7.4</v>
      </c>
      <c r="N31" s="37">
        <v>65.5</v>
      </c>
      <c r="P31" s="38"/>
      <c r="Q31" s="38"/>
      <c r="R31" s="38"/>
      <c r="S31" s="48">
        <v>0.27200000000000002</v>
      </c>
    </row>
    <row r="32" spans="1:21" x14ac:dyDescent="0.2">
      <c r="A32" s="37">
        <v>206</v>
      </c>
      <c r="B32" s="21" t="s">
        <v>189</v>
      </c>
      <c r="C32" s="50" t="s">
        <v>190</v>
      </c>
      <c r="D32" s="42">
        <v>428.7</v>
      </c>
      <c r="E32" s="43">
        <v>3.98</v>
      </c>
      <c r="F32" s="43">
        <v>0.219</v>
      </c>
      <c r="G32" s="45">
        <v>0.62639821029082765</v>
      </c>
      <c r="H32" s="42">
        <v>70.13</v>
      </c>
      <c r="I32" s="45">
        <v>10.50036083714217</v>
      </c>
      <c r="J32" s="45">
        <v>14.482018422858053</v>
      </c>
      <c r="K32" s="45">
        <v>0</v>
      </c>
      <c r="L32" s="45">
        <v>0.4</v>
      </c>
      <c r="M32" s="37">
        <v>-11</v>
      </c>
      <c r="N32" s="37">
        <v>63.4</v>
      </c>
      <c r="P32" s="38"/>
      <c r="Q32" s="38"/>
      <c r="R32" s="38"/>
      <c r="S32" s="48">
        <v>0.27400000000000002</v>
      </c>
    </row>
    <row r="33" spans="1:23" x14ac:dyDescent="0.2">
      <c r="A33" s="37">
        <v>207</v>
      </c>
      <c r="B33" s="21" t="s">
        <v>191</v>
      </c>
      <c r="C33" s="21" t="s">
        <v>192</v>
      </c>
      <c r="D33" s="37">
        <v>417.9</v>
      </c>
      <c r="E33" s="37">
        <v>3.9990000000000001</v>
      </c>
      <c r="F33" s="43">
        <v>0.189</v>
      </c>
      <c r="G33" s="37">
        <v>0.59</v>
      </c>
      <c r="H33" s="37">
        <v>56</v>
      </c>
      <c r="I33" s="37">
        <v>10.72</v>
      </c>
      <c r="J33" s="37">
        <v>13.7</v>
      </c>
      <c r="K33" s="37">
        <v>0</v>
      </c>
      <c r="L33" s="37">
        <v>0.4</v>
      </c>
      <c r="M33" s="37">
        <v>-17.100000000000001</v>
      </c>
      <c r="N33" s="37">
        <v>57</v>
      </c>
      <c r="O33" s="38">
        <v>16.05</v>
      </c>
      <c r="P33" s="38">
        <v>0.28039999999999998</v>
      </c>
      <c r="Q33" s="38">
        <v>-1.091E-4</v>
      </c>
      <c r="R33" s="38">
        <v>9.0979999999999998E-9</v>
      </c>
      <c r="S33" s="48">
        <v>0.27500000000000002</v>
      </c>
    </row>
    <row r="34" spans="1:23" x14ac:dyDescent="0.2">
      <c r="A34" s="37">
        <v>209</v>
      </c>
      <c r="B34" s="21" t="s">
        <v>193</v>
      </c>
      <c r="C34" s="21" t="s">
        <v>194</v>
      </c>
      <c r="D34" s="37">
        <v>464.8</v>
      </c>
      <c r="E34" s="37">
        <v>3.5289999999999999</v>
      </c>
      <c r="F34" s="43">
        <v>0.23300000000000001</v>
      </c>
      <c r="G34" s="37">
        <v>0.63</v>
      </c>
      <c r="H34" s="37">
        <v>70</v>
      </c>
      <c r="I34" s="37">
        <v>13.17</v>
      </c>
      <c r="J34" s="37">
        <v>14.5</v>
      </c>
      <c r="K34" s="37">
        <v>0</v>
      </c>
      <c r="L34" s="37">
        <v>0.24</v>
      </c>
      <c r="M34" s="37">
        <v>-21.3</v>
      </c>
      <c r="N34" s="37">
        <v>78.45</v>
      </c>
      <c r="O34" s="38">
        <v>-0.13400000000000001</v>
      </c>
      <c r="P34" s="38">
        <v>0.43290000000000001</v>
      </c>
      <c r="Q34" s="38">
        <v>-2.3169999999999999E-4</v>
      </c>
      <c r="R34" s="38">
        <v>4.681E-8</v>
      </c>
      <c r="S34" s="48">
        <v>0.27</v>
      </c>
    </row>
    <row r="35" spans="1:23" x14ac:dyDescent="0.2">
      <c r="A35" s="37">
        <v>216</v>
      </c>
      <c r="B35" s="21" t="s">
        <v>195</v>
      </c>
      <c r="C35" s="52" t="s">
        <v>196</v>
      </c>
      <c r="D35" s="37">
        <v>504</v>
      </c>
      <c r="E35" s="37">
        <v>3.21</v>
      </c>
      <c r="F35" s="43">
        <v>0.28550999999999999</v>
      </c>
      <c r="G35" s="45">
        <f>84.1595/125.7848</f>
        <v>0.66907527777601106</v>
      </c>
      <c r="H35" s="37">
        <v>84</v>
      </c>
      <c r="I35" s="45">
        <f>130.6022/8.314</f>
        <v>15.708708203031033</v>
      </c>
      <c r="J35" s="37">
        <v>14.94</v>
      </c>
      <c r="M35" s="37">
        <v>-41.67</v>
      </c>
      <c r="N35" s="37">
        <v>87.445599999999999</v>
      </c>
      <c r="P35" s="38"/>
      <c r="Q35" s="38"/>
      <c r="R35" s="38"/>
      <c r="S35" s="48">
        <v>0.27200000000000002</v>
      </c>
    </row>
    <row r="36" spans="1:23" x14ac:dyDescent="0.2">
      <c r="A36" s="37">
        <v>248</v>
      </c>
      <c r="B36" s="21" t="s">
        <v>197</v>
      </c>
      <c r="C36" s="21" t="s">
        <v>197</v>
      </c>
      <c r="D36" s="42">
        <v>531</v>
      </c>
      <c r="E36" s="43">
        <v>3.14</v>
      </c>
      <c r="F36" s="43">
        <v>0.23880000000000001</v>
      </c>
      <c r="G36" s="45">
        <v>19.004089487611257</v>
      </c>
      <c r="H36" s="42">
        <v>98.19</v>
      </c>
      <c r="I36" s="45">
        <v>0.7</v>
      </c>
      <c r="J36" s="45">
        <v>14.645657049105036</v>
      </c>
      <c r="K36" s="45">
        <v>0</v>
      </c>
      <c r="L36" s="45">
        <v>0.4</v>
      </c>
      <c r="M36" s="37">
        <v>-85.48</v>
      </c>
      <c r="N36" s="37">
        <v>85.57</v>
      </c>
      <c r="P36" s="38"/>
      <c r="Q36" s="38"/>
      <c r="R36" s="38"/>
      <c r="S36" s="40">
        <v>0.27100000000000002</v>
      </c>
    </row>
    <row r="37" spans="1:23" x14ac:dyDescent="0.2">
      <c r="A37" s="37">
        <v>260</v>
      </c>
      <c r="B37" s="21" t="s">
        <v>198</v>
      </c>
      <c r="C37" s="52" t="s">
        <v>199</v>
      </c>
      <c r="D37" s="53">
        <v>617</v>
      </c>
      <c r="E37" s="37">
        <v>2.2200000000000002</v>
      </c>
      <c r="F37" s="43">
        <v>0.475248</v>
      </c>
      <c r="G37" s="45">
        <f>H37/190.242</f>
        <v>0.73730196276321747</v>
      </c>
      <c r="H37" s="53">
        <v>140.26580000000001</v>
      </c>
      <c r="I37" s="45">
        <f>221.0337/8.314</f>
        <v>26.585722877074815</v>
      </c>
      <c r="J37" s="37">
        <v>15.81</v>
      </c>
      <c r="M37" s="37">
        <v>-124.69</v>
      </c>
      <c r="N37" s="37">
        <v>119.83</v>
      </c>
      <c r="P37" s="38"/>
      <c r="Q37" s="38"/>
      <c r="R37" s="38"/>
      <c r="S37" s="40">
        <v>0.253</v>
      </c>
    </row>
    <row r="38" spans="1:23" x14ac:dyDescent="0.2">
      <c r="A38" s="37">
        <v>270</v>
      </c>
      <c r="B38" s="21" t="s">
        <v>200</v>
      </c>
      <c r="C38" s="52" t="s">
        <v>201</v>
      </c>
      <c r="D38" s="42">
        <v>82.143600000000006</v>
      </c>
      <c r="E38" s="37">
        <v>4.3499999999999996</v>
      </c>
      <c r="F38" s="43">
        <v>0.21230199999999999</v>
      </c>
      <c r="G38" s="43">
        <f>H38/101.877</f>
        <v>0.80630171677611251</v>
      </c>
      <c r="H38" s="53">
        <v>82.143600000000006</v>
      </c>
      <c r="I38" s="45">
        <f>101.0171/8.314</f>
        <v>12.150240558094779</v>
      </c>
      <c r="J38" s="37">
        <v>17.420000000000002</v>
      </c>
      <c r="M38" s="37">
        <v>-4.5999999999999996</v>
      </c>
      <c r="N38" s="37">
        <v>106.85899999999999</v>
      </c>
      <c r="P38" s="38"/>
      <c r="Q38" s="38"/>
      <c r="R38" s="38"/>
      <c r="S38" s="40">
        <v>0.27200000000000002</v>
      </c>
    </row>
    <row r="39" spans="1:23" x14ac:dyDescent="0.2">
      <c r="A39" s="37">
        <v>303</v>
      </c>
      <c r="B39" s="21" t="s">
        <v>202</v>
      </c>
      <c r="C39" s="21" t="s">
        <v>203</v>
      </c>
      <c r="D39" s="37">
        <v>425.4</v>
      </c>
      <c r="E39" s="37">
        <v>4.33</v>
      </c>
      <c r="F39" s="43">
        <v>0.193</v>
      </c>
      <c r="G39" s="37">
        <v>0.65</v>
      </c>
      <c r="H39" s="37">
        <v>54</v>
      </c>
      <c r="I39" s="37">
        <v>9.56</v>
      </c>
      <c r="J39" s="37">
        <v>15.6</v>
      </c>
      <c r="K39" s="37">
        <v>0</v>
      </c>
      <c r="L39" s="37">
        <v>0.7</v>
      </c>
      <c r="M39" s="37">
        <v>109.24</v>
      </c>
      <c r="N39" s="37">
        <v>149.72999999999999</v>
      </c>
      <c r="O39" s="38">
        <v>-1.6870000000000001</v>
      </c>
      <c r="P39" s="38">
        <v>0.34189999999999998</v>
      </c>
      <c r="Q39" s="38">
        <v>-2.34E-4</v>
      </c>
      <c r="R39" s="38">
        <v>6.3349999999999995E-8</v>
      </c>
      <c r="S39" s="48">
        <v>0.27</v>
      </c>
    </row>
    <row r="40" spans="1:23" x14ac:dyDescent="0.2">
      <c r="A40" s="37">
        <v>309</v>
      </c>
      <c r="B40" s="21" t="s">
        <v>204</v>
      </c>
      <c r="C40" s="21" t="s">
        <v>205</v>
      </c>
      <c r="D40" s="37">
        <v>484</v>
      </c>
      <c r="E40" s="37">
        <v>3.85</v>
      </c>
      <c r="F40" s="43">
        <v>0.158</v>
      </c>
      <c r="G40" s="37">
        <v>0.68</v>
      </c>
      <c r="H40" s="37">
        <v>68</v>
      </c>
      <c r="I40" s="37">
        <v>12.78</v>
      </c>
      <c r="J40" s="37">
        <v>15.3</v>
      </c>
      <c r="K40" s="37">
        <v>0</v>
      </c>
      <c r="L40" s="37">
        <v>0.7</v>
      </c>
      <c r="M40" s="37">
        <v>75.7</v>
      </c>
      <c r="N40" s="37">
        <v>145.9</v>
      </c>
      <c r="O40" s="38">
        <v>-3.4119999999999999</v>
      </c>
      <c r="P40" s="38">
        <v>0.45850000000000002</v>
      </c>
      <c r="Q40" s="38">
        <v>-3.3369999999999998E-4</v>
      </c>
      <c r="R40" s="38">
        <v>9.9999999999999995E-8</v>
      </c>
      <c r="S40" s="48">
        <v>0.26400000000000001</v>
      </c>
    </row>
    <row r="41" spans="1:23" x14ac:dyDescent="0.2">
      <c r="A41" s="37">
        <v>401</v>
      </c>
      <c r="B41" s="21" t="s">
        <v>206</v>
      </c>
      <c r="C41" s="21" t="s">
        <v>207</v>
      </c>
      <c r="D41" s="37">
        <v>308.3</v>
      </c>
      <c r="E41" s="37">
        <v>6.1390000000000002</v>
      </c>
      <c r="F41" s="43">
        <v>0.187</v>
      </c>
      <c r="G41" s="37">
        <v>0.5</v>
      </c>
      <c r="H41" s="37">
        <v>28</v>
      </c>
      <c r="I41" s="37">
        <v>5.32</v>
      </c>
      <c r="J41" s="37">
        <v>18.68</v>
      </c>
      <c r="K41" s="37">
        <v>0.4</v>
      </c>
      <c r="L41" s="37">
        <v>0.4</v>
      </c>
      <c r="M41" s="37">
        <v>226.73099999999999</v>
      </c>
      <c r="N41" s="37">
        <v>209.2</v>
      </c>
      <c r="O41" s="38">
        <v>26.82</v>
      </c>
      <c r="P41" s="38">
        <v>7.578E-2</v>
      </c>
      <c r="Q41" s="38">
        <v>-5.007E-5</v>
      </c>
      <c r="R41" s="38">
        <v>1.412E-8</v>
      </c>
      <c r="S41" s="48">
        <v>0.27100000000000002</v>
      </c>
    </row>
    <row r="42" spans="1:23" x14ac:dyDescent="0.2">
      <c r="A42" s="37">
        <v>501</v>
      </c>
      <c r="B42" s="21" t="s">
        <v>208</v>
      </c>
      <c r="C42" s="21" t="s">
        <v>209</v>
      </c>
      <c r="D42" s="37">
        <v>562.20000000000005</v>
      </c>
      <c r="E42" s="37">
        <v>4.8979999999999997</v>
      </c>
      <c r="F42" s="43">
        <v>0.21099999999999999</v>
      </c>
      <c r="G42" s="37">
        <v>0.87</v>
      </c>
      <c r="H42" s="37">
        <v>78</v>
      </c>
      <c r="I42" s="37">
        <v>9.82</v>
      </c>
      <c r="J42" s="37">
        <v>18.7</v>
      </c>
      <c r="K42" s="37">
        <v>0.63</v>
      </c>
      <c r="L42" s="37">
        <v>2.2400000000000002</v>
      </c>
      <c r="M42" s="37">
        <v>82.88</v>
      </c>
      <c r="N42" s="37">
        <v>129.75</v>
      </c>
      <c r="O42" s="38">
        <v>-33.92</v>
      </c>
      <c r="P42" s="38">
        <v>0.47389999999999999</v>
      </c>
      <c r="Q42" s="38">
        <v>-3.0170000000000002E-4</v>
      </c>
      <c r="R42" s="38">
        <v>7.1299999999999997E-8</v>
      </c>
      <c r="S42" s="48">
        <v>0.27100000000000002</v>
      </c>
      <c r="T42" s="31">
        <v>278.67999999999995</v>
      </c>
      <c r="U42" s="31">
        <v>9.8369999999999997</v>
      </c>
      <c r="V42" s="31">
        <v>353.25</v>
      </c>
      <c r="W42" s="31">
        <v>30.765000000000001</v>
      </c>
    </row>
    <row r="43" spans="1:23" x14ac:dyDescent="0.2">
      <c r="A43" s="37">
        <v>502</v>
      </c>
      <c r="B43" s="21" t="s">
        <v>210</v>
      </c>
      <c r="C43" s="21" t="s">
        <v>211</v>
      </c>
      <c r="D43" s="37">
        <v>591.79999999999995</v>
      </c>
      <c r="E43" s="37">
        <v>4.109</v>
      </c>
      <c r="F43" s="43">
        <v>0.26400000000000001</v>
      </c>
      <c r="G43" s="37">
        <v>0.86</v>
      </c>
      <c r="H43" s="37">
        <v>92</v>
      </c>
      <c r="I43" s="37">
        <v>12.49</v>
      </c>
      <c r="J43" s="37">
        <v>18.3</v>
      </c>
      <c r="K43" s="37">
        <v>0.56999999999999995</v>
      </c>
      <c r="L43" s="37">
        <v>2.23</v>
      </c>
      <c r="M43" s="37">
        <v>50.17</v>
      </c>
      <c r="N43" s="37">
        <v>122.29</v>
      </c>
      <c r="O43" s="38">
        <v>-24.35</v>
      </c>
      <c r="P43" s="38">
        <v>0.51249999999999996</v>
      </c>
      <c r="Q43" s="38">
        <v>-2.765E-4</v>
      </c>
      <c r="R43" s="38">
        <v>4.9110000000000001E-8</v>
      </c>
      <c r="S43" s="48">
        <v>0.26400000000000001</v>
      </c>
    </row>
    <row r="44" spans="1:23" x14ac:dyDescent="0.2">
      <c r="A44" s="37">
        <v>504</v>
      </c>
      <c r="B44" s="21" t="s">
        <v>212</v>
      </c>
      <c r="C44" s="21" t="s">
        <v>213</v>
      </c>
      <c r="D44" s="37">
        <v>617.20000000000005</v>
      </c>
      <c r="E44" s="37">
        <v>3.609</v>
      </c>
      <c r="F44" s="43">
        <v>0.30399999999999999</v>
      </c>
      <c r="G44" s="37">
        <v>0.86</v>
      </c>
      <c r="H44" s="37">
        <v>106</v>
      </c>
      <c r="I44" s="37">
        <v>15.44</v>
      </c>
      <c r="J44" s="37">
        <v>18</v>
      </c>
      <c r="K44" s="37">
        <v>0.23</v>
      </c>
      <c r="L44" s="37">
        <v>1.83</v>
      </c>
      <c r="M44" s="37">
        <v>29.92</v>
      </c>
      <c r="N44" s="37">
        <v>130.72999999999999</v>
      </c>
      <c r="O44" s="38">
        <v>-43.1</v>
      </c>
      <c r="P44" s="38">
        <v>0.70720000000000005</v>
      </c>
      <c r="Q44" s="38">
        <v>-4.8109999999999998E-4</v>
      </c>
      <c r="R44" s="38">
        <v>1.3010000000000001E-7</v>
      </c>
      <c r="S44" s="48">
        <v>0.26300000000000001</v>
      </c>
    </row>
    <row r="45" spans="1:23" x14ac:dyDescent="0.2">
      <c r="A45" s="37">
        <v>505</v>
      </c>
      <c r="B45" s="21" t="s">
        <v>214</v>
      </c>
      <c r="C45" s="21" t="s">
        <v>215</v>
      </c>
      <c r="D45" s="37">
        <v>630.4</v>
      </c>
      <c r="E45" s="37">
        <v>3.734</v>
      </c>
      <c r="F45" s="43">
        <v>0.313</v>
      </c>
      <c r="G45" s="37">
        <v>0.88</v>
      </c>
      <c r="H45" s="37">
        <v>106</v>
      </c>
      <c r="I45" s="37">
        <v>16.03</v>
      </c>
      <c r="J45" s="37">
        <v>18.399999999999999</v>
      </c>
      <c r="K45" s="37">
        <v>0.1</v>
      </c>
      <c r="L45" s="37">
        <v>1.8</v>
      </c>
      <c r="M45" s="37">
        <v>19</v>
      </c>
      <c r="N45" s="37">
        <v>122.22</v>
      </c>
      <c r="O45" s="38">
        <v>-15.85</v>
      </c>
      <c r="P45" s="38">
        <v>0.59619999999999995</v>
      </c>
      <c r="Q45" s="38">
        <v>-3.4430000000000002E-4</v>
      </c>
      <c r="R45" s="38">
        <v>7.5279999999999996E-8</v>
      </c>
      <c r="S45" s="48">
        <v>0.26300000000000001</v>
      </c>
    </row>
    <row r="46" spans="1:23" x14ac:dyDescent="0.2">
      <c r="A46" s="37">
        <v>506</v>
      </c>
      <c r="B46" s="21" t="s">
        <v>216</v>
      </c>
      <c r="C46" s="21" t="s">
        <v>217</v>
      </c>
      <c r="D46" s="37">
        <v>617.1</v>
      </c>
      <c r="E46" s="37">
        <v>3.5409999999999999</v>
      </c>
      <c r="F46" s="43">
        <v>0.32600000000000001</v>
      </c>
      <c r="G46" s="37">
        <v>0.86</v>
      </c>
      <c r="H46" s="37">
        <v>106</v>
      </c>
      <c r="I46" s="37">
        <v>15.35</v>
      </c>
      <c r="J46" s="37">
        <v>18.100000000000001</v>
      </c>
      <c r="K46" s="37">
        <v>0.19</v>
      </c>
      <c r="L46" s="37">
        <v>1.84</v>
      </c>
      <c r="M46" s="37">
        <v>17.239999999999998</v>
      </c>
      <c r="N46" s="37">
        <v>119</v>
      </c>
      <c r="O46" s="38">
        <v>-29.17</v>
      </c>
      <c r="P46" s="38">
        <v>0.62970000000000004</v>
      </c>
      <c r="Q46" s="38">
        <v>-3.747E-4</v>
      </c>
      <c r="R46" s="38">
        <v>8.4779999999999996E-8</v>
      </c>
      <c r="S46" s="48">
        <v>0.25900000000000001</v>
      </c>
    </row>
    <row r="47" spans="1:23" x14ac:dyDescent="0.2">
      <c r="A47" s="37">
        <v>507</v>
      </c>
      <c r="B47" s="21" t="s">
        <v>218</v>
      </c>
      <c r="C47" s="21" t="s">
        <v>219</v>
      </c>
      <c r="D47" s="37">
        <v>616.29999999999995</v>
      </c>
      <c r="E47" s="37">
        <v>3.5110000000000001</v>
      </c>
      <c r="F47" s="43">
        <v>0.32600000000000001</v>
      </c>
      <c r="G47" s="37">
        <v>0.86</v>
      </c>
      <c r="H47" s="37">
        <v>106</v>
      </c>
      <c r="I47" s="37">
        <v>15.26</v>
      </c>
      <c r="J47" s="37">
        <v>17.899999999999999</v>
      </c>
      <c r="K47" s="37">
        <v>0.27</v>
      </c>
      <c r="L47" s="37">
        <v>1.87</v>
      </c>
      <c r="M47" s="37">
        <v>17.95</v>
      </c>
      <c r="N47" s="37">
        <v>121.26</v>
      </c>
      <c r="O47" s="38">
        <f>-2.509+1</f>
        <v>-1.5089999999999999</v>
      </c>
      <c r="P47" s="38">
        <v>0.60419999999999996</v>
      </c>
      <c r="Q47" s="38">
        <v>-3.3740000000000002E-4</v>
      </c>
      <c r="R47" s="38">
        <v>6.8200000000000002E-8</v>
      </c>
      <c r="S47" s="48">
        <v>0.26</v>
      </c>
    </row>
    <row r="48" spans="1:23" x14ac:dyDescent="0.2">
      <c r="A48" s="37">
        <v>510</v>
      </c>
      <c r="B48" s="21" t="s">
        <v>220</v>
      </c>
      <c r="C48" s="21" t="s">
        <v>221</v>
      </c>
      <c r="D48" s="37">
        <v>631.20000000000005</v>
      </c>
      <c r="E48" s="37">
        <v>3.2090000000000001</v>
      </c>
      <c r="F48" s="43">
        <v>0.33800000000000002</v>
      </c>
      <c r="G48" s="37">
        <v>0.86</v>
      </c>
      <c r="H48" s="37">
        <v>121</v>
      </c>
      <c r="I48" s="37">
        <v>18.25</v>
      </c>
      <c r="J48" s="37">
        <v>17.399999999999999</v>
      </c>
      <c r="K48" s="37">
        <v>0.2</v>
      </c>
      <c r="L48" s="37">
        <v>2.57</v>
      </c>
      <c r="M48" s="37">
        <v>3.93</v>
      </c>
      <c r="N48" s="37">
        <v>137.15</v>
      </c>
      <c r="O48" s="38">
        <v>-33.936</v>
      </c>
      <c r="P48" s="38">
        <v>0.78420000000000001</v>
      </c>
      <c r="Q48" s="38">
        <v>-5.0869999999999995E-4</v>
      </c>
      <c r="R48" s="38">
        <v>1.2910000000000001E-7</v>
      </c>
      <c r="S48" s="48">
        <v>0.26200000000000001</v>
      </c>
    </row>
    <row r="49" spans="1:21" x14ac:dyDescent="0.2">
      <c r="A49" s="37">
        <v>558</v>
      </c>
      <c r="B49" s="21" t="s">
        <v>222</v>
      </c>
      <c r="C49" s="21" t="s">
        <v>100</v>
      </c>
      <c r="D49" s="37">
        <v>789.3</v>
      </c>
      <c r="E49" s="37">
        <v>3.847</v>
      </c>
      <c r="F49" s="43">
        <v>0.36599999999999999</v>
      </c>
      <c r="G49" s="37">
        <v>0.99</v>
      </c>
      <c r="H49" s="37">
        <v>154</v>
      </c>
      <c r="I49" s="37">
        <v>19.52</v>
      </c>
      <c r="J49" s="37">
        <v>19.3</v>
      </c>
      <c r="K49" s="37">
        <v>0.5</v>
      </c>
      <c r="L49" s="37">
        <v>4</v>
      </c>
      <c r="M49" s="37">
        <v>182.42</v>
      </c>
      <c r="N49" s="37">
        <v>281.08</v>
      </c>
      <c r="O49" s="38">
        <v>-97.07</v>
      </c>
      <c r="P49" s="38">
        <v>1.1060000000000001</v>
      </c>
      <c r="Q49" s="38">
        <v>-8.855E-4</v>
      </c>
      <c r="R49" s="38">
        <v>2.79E-7</v>
      </c>
      <c r="S49" s="48">
        <v>0.29399999999999998</v>
      </c>
      <c r="T49" s="31">
        <v>342.34999999999997</v>
      </c>
      <c r="U49" s="31">
        <v>18.579999999999998</v>
      </c>
    </row>
    <row r="50" spans="1:21" x14ac:dyDescent="0.2">
      <c r="A50" s="37">
        <v>563</v>
      </c>
      <c r="B50" s="21" t="s">
        <v>223</v>
      </c>
      <c r="C50" s="21" t="s">
        <v>224</v>
      </c>
      <c r="D50" s="37">
        <v>768</v>
      </c>
      <c r="E50" s="37">
        <v>2.92</v>
      </c>
      <c r="F50" s="43">
        <v>0.46100000000000002</v>
      </c>
      <c r="G50" s="37">
        <v>1</v>
      </c>
      <c r="H50" s="37">
        <v>168</v>
      </c>
      <c r="I50" s="37">
        <v>21.87</v>
      </c>
      <c r="J50" s="37">
        <v>19.600000000000001</v>
      </c>
      <c r="K50" s="37">
        <v>0.5</v>
      </c>
      <c r="L50" s="37">
        <v>4</v>
      </c>
      <c r="M50" s="37">
        <v>157.19999999999999</v>
      </c>
      <c r="N50" s="37">
        <v>282</v>
      </c>
      <c r="P50" s="38"/>
      <c r="Q50" s="38"/>
      <c r="R50" s="38"/>
      <c r="S50" s="48">
        <v>0.25</v>
      </c>
    </row>
    <row r="51" spans="1:21" x14ac:dyDescent="0.2">
      <c r="A51" s="37">
        <v>601</v>
      </c>
      <c r="B51" s="21" t="s">
        <v>225</v>
      </c>
      <c r="C51" s="21" t="s">
        <v>226</v>
      </c>
      <c r="D51" s="37">
        <v>636</v>
      </c>
      <c r="E51" s="37">
        <v>3.84</v>
      </c>
      <c r="F51" s="43">
        <v>0.297097</v>
      </c>
      <c r="G51" s="45">
        <f>H51/115.667</f>
        <v>0.90081094867161771</v>
      </c>
      <c r="H51" s="53">
        <v>104.19410000000001</v>
      </c>
      <c r="I51" s="45">
        <f>122.1182/8.314</f>
        <v>14.688260764974741</v>
      </c>
      <c r="J51" s="37">
        <v>19.02</v>
      </c>
      <c r="M51" s="37">
        <v>147.36000000000001</v>
      </c>
      <c r="N51" s="37">
        <v>213.80199999999999</v>
      </c>
      <c r="P51" s="38"/>
      <c r="Q51" s="38"/>
      <c r="R51" s="38"/>
      <c r="S51" s="48">
        <v>0.25600000000000001</v>
      </c>
    </row>
    <row r="52" spans="1:21" x14ac:dyDescent="0.2">
      <c r="A52" s="37">
        <v>701</v>
      </c>
      <c r="B52" s="21" t="s">
        <v>227</v>
      </c>
      <c r="C52" s="21" t="s">
        <v>102</v>
      </c>
      <c r="D52" s="37">
        <v>748.4</v>
      </c>
      <c r="E52" s="37">
        <v>4.0510000000000002</v>
      </c>
      <c r="F52" s="43">
        <v>0.30199999999999999</v>
      </c>
      <c r="G52" s="37">
        <v>0.98</v>
      </c>
      <c r="H52" s="37">
        <v>128</v>
      </c>
      <c r="I52" s="37">
        <v>16.03</v>
      </c>
      <c r="J52" s="37">
        <v>19.5</v>
      </c>
      <c r="K52" s="37">
        <v>0.86</v>
      </c>
      <c r="L52" s="37">
        <v>6.87</v>
      </c>
      <c r="M52" s="37">
        <v>150.959</v>
      </c>
      <c r="N52" s="37">
        <v>223.59299999999999</v>
      </c>
      <c r="O52" s="38">
        <v>-68.8</v>
      </c>
      <c r="P52" s="38">
        <v>0.84989999999999999</v>
      </c>
      <c r="Q52" s="38">
        <v>-6.5059999999999998E-4</v>
      </c>
      <c r="R52" s="38">
        <v>1.9810000000000001E-7</v>
      </c>
      <c r="S52" s="48">
        <v>0.26900000000000002</v>
      </c>
      <c r="T52" s="31">
        <v>353.34999999999997</v>
      </c>
      <c r="U52" s="31">
        <v>18.8</v>
      </c>
    </row>
    <row r="53" spans="1:21" x14ac:dyDescent="0.2">
      <c r="A53" s="37">
        <v>702</v>
      </c>
      <c r="B53" s="21" t="s">
        <v>228</v>
      </c>
      <c r="C53" s="21" t="s">
        <v>229</v>
      </c>
      <c r="D53" s="37">
        <v>772</v>
      </c>
      <c r="E53" s="37">
        <v>3.65</v>
      </c>
      <c r="F53" s="43">
        <v>0.29199999999999998</v>
      </c>
      <c r="G53" s="37">
        <v>1.02</v>
      </c>
      <c r="H53" s="37">
        <v>142</v>
      </c>
      <c r="I53" s="37">
        <v>19.079999999999998</v>
      </c>
      <c r="J53" s="37">
        <v>20.100000000000001</v>
      </c>
      <c r="K53" s="37">
        <v>0.77</v>
      </c>
      <c r="L53" s="37">
        <v>6.13</v>
      </c>
      <c r="M53" s="37">
        <v>116.9</v>
      </c>
      <c r="N53" s="37">
        <v>217.9</v>
      </c>
      <c r="O53" s="38">
        <v>-64.819999999999993</v>
      </c>
      <c r="P53" s="38">
        <v>0.93869999999999998</v>
      </c>
      <c r="Q53" s="38">
        <v>-6.9419999999999996E-4</v>
      </c>
      <c r="R53" s="38">
        <v>2.0160000000000001E-7</v>
      </c>
      <c r="S53" s="48">
        <v>0.29699999999999999</v>
      </c>
    </row>
    <row r="54" spans="1:21" x14ac:dyDescent="0.2">
      <c r="A54" s="37">
        <v>706</v>
      </c>
      <c r="B54" s="21" t="s">
        <v>230</v>
      </c>
      <c r="C54" s="21" t="s">
        <v>231</v>
      </c>
      <c r="D54" s="37">
        <v>720.2</v>
      </c>
      <c r="E54" s="37">
        <v>3.3</v>
      </c>
      <c r="F54" s="43">
        <v>0.28599999999999998</v>
      </c>
      <c r="G54" s="37">
        <v>0.97</v>
      </c>
      <c r="H54" s="37">
        <v>132</v>
      </c>
      <c r="I54" s="37">
        <v>18.63</v>
      </c>
      <c r="J54" s="37">
        <v>19.3</v>
      </c>
      <c r="K54" s="37">
        <v>0.6</v>
      </c>
      <c r="L54" s="37">
        <v>4.82</v>
      </c>
      <c r="M54" s="37">
        <v>24.2</v>
      </c>
      <c r="N54" s="37">
        <v>167.1</v>
      </c>
      <c r="P54" s="38"/>
      <c r="Q54" s="38"/>
      <c r="R54" s="38"/>
      <c r="S54" s="48">
        <v>0.24299999999999999</v>
      </c>
    </row>
    <row r="55" spans="1:21" x14ac:dyDescent="0.2">
      <c r="A55" s="37">
        <v>803</v>
      </c>
      <c r="B55" s="21" t="s">
        <v>232</v>
      </c>
      <c r="C55" s="21" t="s">
        <v>233</v>
      </c>
      <c r="D55" s="37">
        <v>687</v>
      </c>
      <c r="E55" s="37">
        <v>3.82</v>
      </c>
      <c r="F55" s="43">
        <v>0.33376600000000001</v>
      </c>
      <c r="G55" s="45">
        <f>H55/116.856</f>
        <v>0.99404224002190744</v>
      </c>
      <c r="H55" s="53">
        <v>116.1598</v>
      </c>
      <c r="I55" s="45">
        <f>122.8243/8.314</f>
        <v>14.77318980033678</v>
      </c>
      <c r="J55" s="37">
        <v>20.309999999999999</v>
      </c>
      <c r="M55" s="37">
        <v>163.28</v>
      </c>
      <c r="N55" s="37">
        <v>233.97</v>
      </c>
      <c r="P55" s="38"/>
      <c r="Q55" s="38"/>
      <c r="R55" s="38"/>
      <c r="S55" s="48">
        <v>0.246</v>
      </c>
    </row>
    <row r="56" spans="1:21" x14ac:dyDescent="0.2">
      <c r="A56" s="37">
        <v>805</v>
      </c>
      <c r="B56" s="21" t="s">
        <v>234</v>
      </c>
      <c r="C56" s="21" t="s">
        <v>235</v>
      </c>
      <c r="D56" s="37">
        <v>869</v>
      </c>
      <c r="E56" s="37">
        <v>2.9</v>
      </c>
      <c r="F56" s="43">
        <v>0.47070000000000001</v>
      </c>
      <c r="G56" s="45">
        <f>H56/167</f>
        <v>1.067065868263473</v>
      </c>
      <c r="H56" s="37">
        <v>178.2</v>
      </c>
      <c r="I56" s="45">
        <f>186.58/8.314</f>
        <v>22.441664662015878</v>
      </c>
      <c r="J56" s="37">
        <v>20.05</v>
      </c>
      <c r="K56" s="37">
        <v>0</v>
      </c>
      <c r="L56" s="37">
        <v>0</v>
      </c>
      <c r="M56" s="37">
        <v>206.9</v>
      </c>
      <c r="N56" s="37">
        <v>308.10000000000002</v>
      </c>
      <c r="P56" s="38"/>
      <c r="Q56" s="38"/>
      <c r="R56" s="38"/>
      <c r="S56" s="48"/>
      <c r="T56" s="31">
        <v>372.34999999999997</v>
      </c>
      <c r="U56" s="31">
        <v>16.46</v>
      </c>
    </row>
    <row r="57" spans="1:21" x14ac:dyDescent="0.2">
      <c r="A57" s="37">
        <v>899</v>
      </c>
      <c r="B57" s="21" t="s">
        <v>236</v>
      </c>
      <c r="C57" s="21" t="s">
        <v>237</v>
      </c>
      <c r="D57" s="37">
        <v>309.60000000000002</v>
      </c>
      <c r="E57" s="37">
        <v>7.2450000000000001</v>
      </c>
      <c r="F57" s="43">
        <v>0.14199999999999999</v>
      </c>
      <c r="G57" s="37">
        <v>1.22</v>
      </c>
      <c r="H57" s="37">
        <v>44</v>
      </c>
      <c r="I57" s="37">
        <v>4.633</v>
      </c>
      <c r="J57" s="37">
        <v>20.309999999999999</v>
      </c>
      <c r="K57" s="37">
        <v>0</v>
      </c>
      <c r="L57" s="37">
        <v>0</v>
      </c>
      <c r="M57" s="37">
        <v>82.05</v>
      </c>
      <c r="N57" s="37">
        <v>103.63800000000001</v>
      </c>
      <c r="O57" s="38">
        <v>21.62</v>
      </c>
      <c r="P57" s="38">
        <v>7.281E-2</v>
      </c>
      <c r="Q57" s="38">
        <v>-5.7779999999999999E-5</v>
      </c>
      <c r="R57" s="38">
        <v>1.8299999999999998E-8</v>
      </c>
      <c r="S57" s="48">
        <v>0.27400000000000002</v>
      </c>
    </row>
    <row r="58" spans="1:21" x14ac:dyDescent="0.2">
      <c r="A58" s="37">
        <v>901</v>
      </c>
      <c r="B58" s="21" t="s">
        <v>238</v>
      </c>
      <c r="C58" s="21" t="s">
        <v>239</v>
      </c>
      <c r="D58" s="37">
        <v>154.6</v>
      </c>
      <c r="E58" s="37">
        <v>5.0430000000000001</v>
      </c>
      <c r="F58" s="43">
        <v>2.1999999999999999E-2</v>
      </c>
      <c r="G58" s="37">
        <v>0.97</v>
      </c>
      <c r="H58" s="37">
        <v>32</v>
      </c>
      <c r="I58" s="37">
        <v>3.5289999999999999</v>
      </c>
      <c r="J58" s="37">
        <v>8.1999999999999993</v>
      </c>
      <c r="K58" s="37">
        <v>0</v>
      </c>
      <c r="L58" s="37">
        <v>0</v>
      </c>
      <c r="M58" s="37">
        <v>0</v>
      </c>
      <c r="N58" s="37">
        <v>0</v>
      </c>
      <c r="O58" s="38">
        <v>28.11</v>
      </c>
      <c r="P58" s="38">
        <v>-3.6799999999999999E-6</v>
      </c>
      <c r="Q58" s="38">
        <v>1.7459999999999999E-5</v>
      </c>
      <c r="R58" s="38">
        <v>-1.0649999999999999E-8</v>
      </c>
      <c r="S58" s="48">
        <v>0.28799999999999998</v>
      </c>
    </row>
    <row r="59" spans="1:21" x14ac:dyDescent="0.2">
      <c r="A59" s="37">
        <v>902</v>
      </c>
      <c r="B59" s="21" t="s">
        <v>240</v>
      </c>
      <c r="C59" s="21" t="s">
        <v>241</v>
      </c>
      <c r="D59" s="37">
        <v>33.299999999999997</v>
      </c>
      <c r="E59" s="37">
        <v>1.2969999999999999</v>
      </c>
      <c r="F59" s="43">
        <v>-0.215</v>
      </c>
      <c r="G59" s="37">
        <v>0.2</v>
      </c>
      <c r="H59" s="37">
        <v>2</v>
      </c>
      <c r="I59" s="37">
        <v>3.5070000000000001</v>
      </c>
      <c r="J59" s="37">
        <v>2</v>
      </c>
      <c r="K59" s="37">
        <v>0</v>
      </c>
      <c r="L59" s="37">
        <v>0</v>
      </c>
      <c r="M59" s="37">
        <v>0</v>
      </c>
      <c r="N59" s="37">
        <v>0</v>
      </c>
      <c r="O59" s="38">
        <v>27.14</v>
      </c>
      <c r="P59" s="38">
        <v>9.2739999999999993E-3</v>
      </c>
      <c r="Q59" s="38">
        <v>-1.381E-5</v>
      </c>
      <c r="R59" s="38">
        <v>7.645E-9</v>
      </c>
      <c r="S59" s="48">
        <v>0.3</v>
      </c>
    </row>
    <row r="60" spans="1:21" x14ac:dyDescent="0.2">
      <c r="A60" s="37">
        <v>905</v>
      </c>
      <c r="B60" s="21" t="s">
        <v>242</v>
      </c>
      <c r="C60" s="21" t="s">
        <v>243</v>
      </c>
      <c r="D60" s="37">
        <v>126.1</v>
      </c>
      <c r="E60" s="37">
        <v>3.3940000000000001</v>
      </c>
      <c r="F60" s="43">
        <v>0.04</v>
      </c>
      <c r="G60" s="37">
        <v>0.88</v>
      </c>
      <c r="H60" s="37">
        <v>28</v>
      </c>
      <c r="I60" s="37">
        <v>3.5</v>
      </c>
      <c r="J60" s="37">
        <v>5.3</v>
      </c>
      <c r="K60" s="37">
        <v>0</v>
      </c>
      <c r="L60" s="37">
        <v>0</v>
      </c>
      <c r="M60" s="37">
        <v>0</v>
      </c>
      <c r="N60" s="37">
        <v>0</v>
      </c>
      <c r="O60" s="38">
        <v>31.15</v>
      </c>
      <c r="P60" s="38">
        <v>-1.357E-2</v>
      </c>
      <c r="Q60" s="38">
        <v>2.6800000000000001E-5</v>
      </c>
      <c r="R60" s="38">
        <v>-1.1679999999999999E-8</v>
      </c>
      <c r="S60" s="48">
        <v>0.29199999999999998</v>
      </c>
    </row>
    <row r="61" spans="1:21" x14ac:dyDescent="0.2">
      <c r="A61" s="37">
        <v>908</v>
      </c>
      <c r="B61" s="21" t="s">
        <v>244</v>
      </c>
      <c r="C61" s="21" t="s">
        <v>245</v>
      </c>
      <c r="D61" s="37">
        <v>132.9</v>
      </c>
      <c r="E61" s="37">
        <v>3.4990000000000001</v>
      </c>
      <c r="F61" s="43">
        <v>6.6000000000000003E-2</v>
      </c>
      <c r="G61" s="37">
        <v>0.88</v>
      </c>
      <c r="H61" s="37">
        <v>28</v>
      </c>
      <c r="I61" s="37">
        <v>3.5049999999999999</v>
      </c>
      <c r="J61" s="37">
        <v>6.3</v>
      </c>
      <c r="K61" s="37">
        <v>0</v>
      </c>
      <c r="L61" s="37">
        <v>0</v>
      </c>
      <c r="M61" s="37">
        <v>-110.53</v>
      </c>
      <c r="N61" s="37">
        <v>-137.16</v>
      </c>
      <c r="O61" s="38">
        <v>30.87</v>
      </c>
      <c r="P61" s="38">
        <v>-1.285E-2</v>
      </c>
      <c r="Q61" s="38">
        <v>2.7889999999999999E-5</v>
      </c>
      <c r="R61" s="38">
        <v>-1.2720000000000001E-8</v>
      </c>
      <c r="S61" s="48">
        <v>0.29499999999999998</v>
      </c>
    </row>
    <row r="62" spans="1:21" x14ac:dyDescent="0.2">
      <c r="A62" s="37">
        <v>909</v>
      </c>
      <c r="B62" s="21" t="s">
        <v>246</v>
      </c>
      <c r="C62" s="21" t="s">
        <v>247</v>
      </c>
      <c r="D62" s="37">
        <v>304.2</v>
      </c>
      <c r="E62" s="37">
        <v>7.3819999999999997</v>
      </c>
      <c r="F62" s="43">
        <v>0.22800000000000001</v>
      </c>
      <c r="G62" s="37">
        <v>1.18</v>
      </c>
      <c r="H62" s="37">
        <v>44</v>
      </c>
      <c r="I62" s="37">
        <v>4.4560000000000004</v>
      </c>
      <c r="J62" s="37">
        <v>14.6</v>
      </c>
      <c r="K62" s="37">
        <v>1.87</v>
      </c>
      <c r="L62" s="37">
        <v>0</v>
      </c>
      <c r="M62" s="37">
        <v>-393.51</v>
      </c>
      <c r="N62" s="37">
        <v>-394.38</v>
      </c>
      <c r="O62" s="38">
        <v>19.8</v>
      </c>
      <c r="P62" s="38">
        <v>7.3440000000000005E-2</v>
      </c>
      <c r="Q62" s="38">
        <v>-5.6020000000000002E-5</v>
      </c>
      <c r="R62" s="38">
        <v>1.7150000000000001E-8</v>
      </c>
      <c r="S62" s="48">
        <v>0.27400000000000002</v>
      </c>
      <c r="U62" s="31">
        <f>204.932*H62/1000</f>
        <v>9.0170080000000006</v>
      </c>
    </row>
    <row r="63" spans="1:21" x14ac:dyDescent="0.2">
      <c r="A63" s="37">
        <v>910</v>
      </c>
      <c r="B63" s="21" t="s">
        <v>248</v>
      </c>
      <c r="C63" s="21" t="s">
        <v>249</v>
      </c>
      <c r="D63" s="37">
        <v>430.8</v>
      </c>
      <c r="E63" s="37">
        <v>7.8840000000000003</v>
      </c>
      <c r="F63" s="43">
        <v>0.245</v>
      </c>
      <c r="G63" s="37">
        <v>1.46</v>
      </c>
      <c r="H63" s="37">
        <v>64</v>
      </c>
      <c r="I63" s="37">
        <v>4.7960000000000003</v>
      </c>
      <c r="J63" s="37">
        <v>12.3</v>
      </c>
      <c r="K63" s="37">
        <v>3.16</v>
      </c>
      <c r="L63" s="37">
        <v>3.16</v>
      </c>
      <c r="M63" s="37">
        <v>-296.81</v>
      </c>
      <c r="N63" s="37">
        <v>-300.14</v>
      </c>
      <c r="O63" s="38">
        <v>23.85</v>
      </c>
      <c r="P63" s="38">
        <v>6.6989999999999994E-2</v>
      </c>
      <c r="Q63" s="38">
        <v>-4.9610000000000001E-5</v>
      </c>
      <c r="R63" s="38">
        <v>1.328E-8</v>
      </c>
      <c r="S63" s="48">
        <v>0.26900000000000002</v>
      </c>
    </row>
    <row r="64" spans="1:21" x14ac:dyDescent="0.2">
      <c r="A64" s="37">
        <v>911</v>
      </c>
      <c r="B64" s="21" t="s">
        <v>250</v>
      </c>
      <c r="C64" s="21" t="s">
        <v>251</v>
      </c>
      <c r="D64" s="37">
        <v>490.9</v>
      </c>
      <c r="E64" s="37">
        <v>8.2070000000000007</v>
      </c>
      <c r="F64" s="43">
        <v>0.42199999999999999</v>
      </c>
      <c r="G64" s="37">
        <v>1.9</v>
      </c>
      <c r="H64" s="37">
        <v>80</v>
      </c>
      <c r="I64" s="37">
        <v>6.1109999999999998</v>
      </c>
      <c r="J64" s="37">
        <v>31.1</v>
      </c>
      <c r="K64" s="37">
        <v>0</v>
      </c>
      <c r="L64" s="37">
        <v>0</v>
      </c>
      <c r="O64" s="38">
        <v>19.21</v>
      </c>
      <c r="P64" s="38">
        <v>0.13739999999999999</v>
      </c>
      <c r="Q64" s="38">
        <v>-1.176E-4</v>
      </c>
      <c r="R64" s="38">
        <v>3.7E-8</v>
      </c>
      <c r="S64" s="48">
        <v>0.25600000000000001</v>
      </c>
    </row>
    <row r="65" spans="1:23" x14ac:dyDescent="0.2">
      <c r="A65" s="37">
        <v>912</v>
      </c>
      <c r="B65" s="21" t="s">
        <v>252</v>
      </c>
      <c r="C65" s="21" t="s">
        <v>253</v>
      </c>
      <c r="D65" s="37">
        <v>180.2</v>
      </c>
      <c r="E65" s="37">
        <v>6.4850000000000003</v>
      </c>
      <c r="F65" s="43">
        <v>0.58499999999999996</v>
      </c>
      <c r="G65" s="37">
        <v>1.28</v>
      </c>
      <c r="H65" s="37">
        <v>30</v>
      </c>
      <c r="I65" s="37">
        <v>3.5880000000000001</v>
      </c>
      <c r="J65" s="37">
        <v>23.12</v>
      </c>
      <c r="K65" s="37">
        <v>0</v>
      </c>
      <c r="L65" s="37">
        <v>0</v>
      </c>
      <c r="M65" s="37">
        <v>90.25</v>
      </c>
      <c r="N65" s="37">
        <v>86.58</v>
      </c>
      <c r="O65" s="38">
        <v>29.35</v>
      </c>
      <c r="P65" s="38">
        <v>-9.3780000000000003E-4</v>
      </c>
      <c r="Q65" s="38">
        <v>9.747E-6</v>
      </c>
      <c r="R65" s="38">
        <v>-4.1869999999999997E-9</v>
      </c>
      <c r="S65" s="48">
        <v>0.25</v>
      </c>
    </row>
    <row r="66" spans="1:23" x14ac:dyDescent="0.2">
      <c r="A66" s="37">
        <v>913</v>
      </c>
      <c r="B66" s="21" t="s">
        <v>254</v>
      </c>
      <c r="C66" s="21" t="s">
        <v>255</v>
      </c>
      <c r="D66" s="37">
        <v>5.2</v>
      </c>
      <c r="E66" s="37">
        <v>0.22800000000000001</v>
      </c>
      <c r="F66" s="43">
        <v>0</v>
      </c>
      <c r="G66" s="37">
        <v>0.12</v>
      </c>
      <c r="H66" s="37">
        <v>4</v>
      </c>
      <c r="I66" s="37">
        <v>2.5009999999999999</v>
      </c>
      <c r="J66" s="37">
        <v>1.22</v>
      </c>
      <c r="K66" s="37">
        <v>0</v>
      </c>
      <c r="L66" s="37">
        <v>0</v>
      </c>
      <c r="M66" s="37">
        <v>0</v>
      </c>
      <c r="N66" s="37">
        <v>0</v>
      </c>
      <c r="O66" s="38">
        <v>20.8</v>
      </c>
      <c r="P66" s="38">
        <v>0</v>
      </c>
      <c r="Q66" s="38">
        <v>0</v>
      </c>
      <c r="R66" s="38">
        <v>0</v>
      </c>
      <c r="S66" s="48">
        <v>0.30199999999999999</v>
      </c>
    </row>
    <row r="67" spans="1:23" x14ac:dyDescent="0.2">
      <c r="A67" s="37">
        <v>914</v>
      </c>
      <c r="B67" s="21" t="s">
        <v>256</v>
      </c>
      <c r="C67" s="21" t="s">
        <v>257</v>
      </c>
      <c r="D67" s="37">
        <v>150.9</v>
      </c>
      <c r="E67" s="37">
        <v>4.8979999999999997</v>
      </c>
      <c r="F67" s="43">
        <v>-4.0000000000000001E-3</v>
      </c>
      <c r="G67" s="37">
        <v>0.7</v>
      </c>
      <c r="H67" s="37">
        <v>40</v>
      </c>
      <c r="I67" s="37">
        <v>2.4990000000000001</v>
      </c>
      <c r="J67" s="37">
        <v>10.8</v>
      </c>
      <c r="K67" s="37">
        <v>0</v>
      </c>
      <c r="L67" s="37">
        <v>0</v>
      </c>
      <c r="M67" s="37">
        <v>0</v>
      </c>
      <c r="N67" s="37">
        <v>0</v>
      </c>
      <c r="O67" s="38">
        <v>20.8</v>
      </c>
      <c r="P67" s="38">
        <v>0</v>
      </c>
      <c r="Q67" s="38">
        <v>0</v>
      </c>
      <c r="R67" s="38">
        <v>0</v>
      </c>
      <c r="S67" s="48">
        <v>0.29099999999999998</v>
      </c>
    </row>
    <row r="68" spans="1:23" x14ac:dyDescent="0.2">
      <c r="A68" s="37">
        <v>917</v>
      </c>
      <c r="B68" s="21" t="s">
        <v>258</v>
      </c>
      <c r="C68" s="21" t="s">
        <v>259</v>
      </c>
      <c r="D68" s="37">
        <v>144.12</v>
      </c>
      <c r="E68" s="37">
        <v>5.1723999999999997</v>
      </c>
      <c r="F68" s="43">
        <v>5.2999999999999999E-2</v>
      </c>
      <c r="G68" s="37">
        <v>1.5029999999999999</v>
      </c>
      <c r="H68" s="37">
        <v>38</v>
      </c>
      <c r="I68" s="37">
        <v>3.766</v>
      </c>
      <c r="J68" s="54">
        <v>15.21</v>
      </c>
      <c r="K68" s="37">
        <v>0</v>
      </c>
      <c r="L68" s="54">
        <v>0</v>
      </c>
      <c r="M68" s="37">
        <v>0</v>
      </c>
      <c r="N68" s="37">
        <v>0</v>
      </c>
      <c r="P68" s="38"/>
      <c r="Q68" s="38"/>
      <c r="R68" s="38"/>
      <c r="S68" s="40">
        <v>0.28699999999999998</v>
      </c>
    </row>
    <row r="69" spans="1:23" x14ac:dyDescent="0.2">
      <c r="A69" s="37">
        <v>918</v>
      </c>
      <c r="B69" s="21" t="s">
        <v>260</v>
      </c>
      <c r="C69" s="21" t="s">
        <v>261</v>
      </c>
      <c r="D69" s="37">
        <v>417.2</v>
      </c>
      <c r="E69" s="37">
        <v>7.7110000000000003</v>
      </c>
      <c r="F69" s="43">
        <v>6.9000000000000006E-2</v>
      </c>
      <c r="G69" s="37">
        <v>1.56</v>
      </c>
      <c r="H69" s="37">
        <v>71</v>
      </c>
      <c r="I69" s="37">
        <v>4.0880000000000001</v>
      </c>
      <c r="J69" s="37">
        <v>20.100000000000001</v>
      </c>
      <c r="K69" s="37">
        <v>0</v>
      </c>
      <c r="L69" s="37">
        <v>0</v>
      </c>
      <c r="M69" s="37">
        <v>0</v>
      </c>
      <c r="N69" s="37">
        <v>0</v>
      </c>
      <c r="O69" s="38">
        <v>26.93</v>
      </c>
      <c r="P69" s="38">
        <v>3.3840000000000002E-2</v>
      </c>
      <c r="Q69" s="38">
        <v>-3.8689999999999997E-5</v>
      </c>
      <c r="R69" s="38">
        <v>1.5469999999999999E-8</v>
      </c>
      <c r="S69" s="48">
        <v>0.27500000000000002</v>
      </c>
    </row>
    <row r="70" spans="1:23" x14ac:dyDescent="0.2">
      <c r="A70" s="37">
        <v>919</v>
      </c>
      <c r="B70" s="21" t="s">
        <v>262</v>
      </c>
      <c r="C70" s="21" t="s">
        <v>263</v>
      </c>
      <c r="D70" s="37">
        <v>44.4</v>
      </c>
      <c r="E70" s="37">
        <v>2.653</v>
      </c>
      <c r="F70" s="43">
        <v>-4.1000000000000002E-2</v>
      </c>
      <c r="G70" s="37">
        <v>1.2</v>
      </c>
      <c r="H70" s="37">
        <v>20</v>
      </c>
      <c r="I70" s="37">
        <v>2.5019999999999998</v>
      </c>
      <c r="J70" s="37">
        <v>9.44</v>
      </c>
      <c r="K70" s="37">
        <v>0</v>
      </c>
      <c r="L70" s="37">
        <v>0</v>
      </c>
      <c r="M70" s="37">
        <v>0</v>
      </c>
      <c r="N70" s="37">
        <v>0</v>
      </c>
      <c r="O70" s="38">
        <v>20.8</v>
      </c>
      <c r="P70" s="38">
        <v>0</v>
      </c>
      <c r="Q70" s="38">
        <v>0</v>
      </c>
      <c r="R70" s="38">
        <v>0</v>
      </c>
      <c r="S70" s="48">
        <v>0.3</v>
      </c>
    </row>
    <row r="71" spans="1:23" x14ac:dyDescent="0.2">
      <c r="A71" s="37">
        <v>920</v>
      </c>
      <c r="B71" s="21" t="s">
        <v>264</v>
      </c>
      <c r="C71" s="21" t="s">
        <v>265</v>
      </c>
      <c r="D71" s="37">
        <v>209.4</v>
      </c>
      <c r="E71" s="37">
        <v>5.5019999999999998</v>
      </c>
      <c r="F71" s="43">
        <v>1E-3</v>
      </c>
      <c r="G71" s="37">
        <v>1.29</v>
      </c>
      <c r="H71" s="37">
        <v>84</v>
      </c>
      <c r="I71" s="37">
        <v>2.5019999999999998</v>
      </c>
      <c r="J71" s="37">
        <v>13.1</v>
      </c>
      <c r="K71" s="37">
        <v>0</v>
      </c>
      <c r="L71" s="37">
        <v>0</v>
      </c>
      <c r="M71" s="37">
        <v>0</v>
      </c>
      <c r="N71" s="37">
        <v>0</v>
      </c>
      <c r="O71" s="38">
        <v>20.8</v>
      </c>
      <c r="P71" s="38">
        <v>0</v>
      </c>
      <c r="Q71" s="38">
        <v>0</v>
      </c>
      <c r="R71" s="38">
        <v>0</v>
      </c>
      <c r="S71" s="48">
        <v>0.28799999999999998</v>
      </c>
    </row>
    <row r="72" spans="1:23" x14ac:dyDescent="0.2">
      <c r="A72" s="37">
        <v>922</v>
      </c>
      <c r="B72" s="21" t="s">
        <v>266</v>
      </c>
      <c r="C72" s="21" t="s">
        <v>267</v>
      </c>
      <c r="D72" s="37">
        <v>584.20000000000005</v>
      </c>
      <c r="E72" s="37">
        <v>10.335000000000001</v>
      </c>
      <c r="F72" s="43">
        <v>0.11899999999999999</v>
      </c>
      <c r="G72" s="37">
        <v>3.1</v>
      </c>
      <c r="H72" s="37">
        <v>160</v>
      </c>
      <c r="I72" s="37">
        <v>4.3630000000000004</v>
      </c>
      <c r="J72" s="37">
        <v>23.6</v>
      </c>
      <c r="K72" s="37">
        <v>0</v>
      </c>
      <c r="L72" s="37">
        <v>0</v>
      </c>
      <c r="M72" s="37">
        <v>0</v>
      </c>
      <c r="N72" s="37">
        <v>0</v>
      </c>
      <c r="O72" s="38">
        <v>33.86</v>
      </c>
      <c r="P72" s="38">
        <v>1.125E-2</v>
      </c>
      <c r="Q72" s="38">
        <v>-1.1919999999999999E-5</v>
      </c>
      <c r="R72" s="38">
        <v>4.5340000000000003E-9</v>
      </c>
      <c r="S72" s="48">
        <v>0.28699999999999998</v>
      </c>
    </row>
    <row r="73" spans="1:23" x14ac:dyDescent="0.2">
      <c r="A73" s="37">
        <v>959</v>
      </c>
      <c r="B73" s="21" t="s">
        <v>268</v>
      </c>
      <c r="C73" s="21" t="s">
        <v>269</v>
      </c>
      <c r="D73" s="37">
        <v>289.7</v>
      </c>
      <c r="E73" s="37">
        <v>5.84</v>
      </c>
      <c r="F73" s="43">
        <v>1.2E-2</v>
      </c>
      <c r="G73" s="37">
        <v>2.95</v>
      </c>
      <c r="H73" s="37">
        <v>131</v>
      </c>
      <c r="I73" s="37">
        <v>2.5019999999999998</v>
      </c>
      <c r="J73" s="37">
        <v>15.91</v>
      </c>
      <c r="K73" s="37">
        <v>0</v>
      </c>
      <c r="L73" s="37">
        <v>0</v>
      </c>
      <c r="M73" s="37">
        <v>0</v>
      </c>
      <c r="N73" s="37">
        <v>0</v>
      </c>
      <c r="O73" s="38">
        <v>20.8</v>
      </c>
      <c r="P73" s="38">
        <v>0</v>
      </c>
      <c r="Q73" s="38">
        <v>0</v>
      </c>
      <c r="R73" s="38">
        <v>0</v>
      </c>
      <c r="S73" s="48">
        <v>0.28599999999999998</v>
      </c>
    </row>
    <row r="74" spans="1:23" x14ac:dyDescent="0.2">
      <c r="A74" s="37">
        <v>1001</v>
      </c>
      <c r="B74" s="21" t="s">
        <v>270</v>
      </c>
      <c r="C74" s="21" t="s">
        <v>271</v>
      </c>
      <c r="D74" s="37">
        <v>408</v>
      </c>
      <c r="E74" s="37">
        <v>6.59</v>
      </c>
      <c r="F74" s="43">
        <v>0.28184599999999999</v>
      </c>
      <c r="G74" s="37">
        <v>0.91300000000000003</v>
      </c>
      <c r="H74" s="37">
        <v>30</v>
      </c>
      <c r="I74" s="37">
        <v>4.2549999999999999</v>
      </c>
      <c r="J74" s="37">
        <v>23.82</v>
      </c>
      <c r="M74" s="37">
        <v>-117.152</v>
      </c>
      <c r="N74" s="37">
        <v>-112.968</v>
      </c>
      <c r="P74" s="38"/>
      <c r="Q74" s="38"/>
      <c r="R74" s="38"/>
      <c r="S74" s="40">
        <v>0.223</v>
      </c>
    </row>
    <row r="75" spans="1:23" x14ac:dyDescent="0.2">
      <c r="A75" s="37">
        <v>1002</v>
      </c>
      <c r="B75" s="21" t="s">
        <v>272</v>
      </c>
      <c r="C75" s="21" t="s">
        <v>273</v>
      </c>
      <c r="D75" s="42">
        <v>461</v>
      </c>
      <c r="E75" s="43">
        <v>5.55</v>
      </c>
      <c r="F75" s="43">
        <v>0.29070000000000001</v>
      </c>
      <c r="G75" s="45">
        <v>0.78</v>
      </c>
      <c r="H75" s="42">
        <v>44.05</v>
      </c>
      <c r="I75" s="45">
        <v>6.64</v>
      </c>
      <c r="J75" s="45">
        <v>19.902547917289386</v>
      </c>
      <c r="K75" s="45">
        <v>0</v>
      </c>
      <c r="L75" s="45">
        <v>6.5</v>
      </c>
      <c r="M75" s="37">
        <v>-166.02099999999999</v>
      </c>
      <c r="N75" s="37">
        <v>-133.30199999999999</v>
      </c>
      <c r="P75" s="38"/>
      <c r="Q75" s="38"/>
      <c r="R75" s="38"/>
      <c r="S75" s="48">
        <v>0.221</v>
      </c>
    </row>
    <row r="76" spans="1:23" x14ac:dyDescent="0.2">
      <c r="A76" s="37">
        <v>1041</v>
      </c>
      <c r="B76" s="55" t="s">
        <v>274</v>
      </c>
      <c r="C76" s="31" t="str">
        <f>B76</f>
        <v>Benzaldehyde</v>
      </c>
      <c r="D76" s="56">
        <v>695</v>
      </c>
      <c r="E76" s="57">
        <v>4.6500000000000004</v>
      </c>
      <c r="F76" s="48">
        <v>0.31269999999999998</v>
      </c>
      <c r="G76" s="57">
        <v>1.05</v>
      </c>
      <c r="H76" s="45">
        <f>1.05*101.1</f>
        <v>106.155</v>
      </c>
      <c r="I76" s="45">
        <f>111.45/8.314</f>
        <v>13.405099831609334</v>
      </c>
      <c r="J76" s="57">
        <v>21.6</v>
      </c>
      <c r="K76" s="57">
        <v>0</v>
      </c>
      <c r="L76" s="57">
        <v>8.8000000000000007</v>
      </c>
      <c r="M76" s="57">
        <v>-36.799999999999997</v>
      </c>
      <c r="N76" s="57">
        <v>-22.39</v>
      </c>
      <c r="O76" s="58"/>
      <c r="P76" s="38"/>
      <c r="Q76" s="38"/>
      <c r="R76" s="38"/>
      <c r="S76" s="40"/>
    </row>
    <row r="77" spans="1:23" x14ac:dyDescent="0.2">
      <c r="A77" s="37">
        <v>1051</v>
      </c>
      <c r="B77" s="21" t="s">
        <v>275</v>
      </c>
      <c r="C77" s="21" t="s">
        <v>276</v>
      </c>
      <c r="D77" s="37">
        <v>508.2</v>
      </c>
      <c r="E77" s="37">
        <v>4.7009999999999996</v>
      </c>
      <c r="F77" s="43">
        <v>0.30599999999999999</v>
      </c>
      <c r="G77" s="37">
        <v>0.79</v>
      </c>
      <c r="H77" s="37">
        <v>58</v>
      </c>
      <c r="I77" s="37">
        <v>8.9600000000000009</v>
      </c>
      <c r="J77" s="37">
        <v>19.600000000000001</v>
      </c>
      <c r="K77" s="37">
        <v>0</v>
      </c>
      <c r="L77" s="37">
        <v>11.14</v>
      </c>
      <c r="M77" s="37">
        <v>-215.7</v>
      </c>
      <c r="N77" s="37">
        <v>-151.19999999999999</v>
      </c>
      <c r="O77" s="38">
        <v>6.3010000000000002</v>
      </c>
      <c r="P77" s="38">
        <v>0.2606</v>
      </c>
      <c r="Q77" s="38">
        <v>-1.2530000000000001E-4</v>
      </c>
      <c r="R77" s="38">
        <v>2.0380000000000001E-8</v>
      </c>
      <c r="S77" s="48">
        <v>0.23300000000000001</v>
      </c>
      <c r="T77" s="59">
        <v>178.15</v>
      </c>
      <c r="U77" s="59">
        <v>5.69</v>
      </c>
      <c r="V77" s="59">
        <v>329.15</v>
      </c>
      <c r="W77" s="59">
        <v>30.2</v>
      </c>
    </row>
    <row r="78" spans="1:23" x14ac:dyDescent="0.2">
      <c r="A78" s="37">
        <v>1052</v>
      </c>
      <c r="B78" s="21" t="s">
        <v>277</v>
      </c>
      <c r="C78" s="21" t="s">
        <v>278</v>
      </c>
      <c r="D78" s="37">
        <v>535.6</v>
      </c>
      <c r="E78" s="37">
        <v>4.0999999999999996</v>
      </c>
      <c r="F78" s="43">
        <v>0.32900000000000001</v>
      </c>
      <c r="G78" s="37">
        <v>0.8</v>
      </c>
      <c r="H78" s="37">
        <v>72</v>
      </c>
      <c r="I78" s="37">
        <v>12.56</v>
      </c>
      <c r="J78" s="37">
        <v>18.899999999999999</v>
      </c>
      <c r="K78" s="37">
        <v>0</v>
      </c>
      <c r="L78" s="37">
        <v>9.6999999999999993</v>
      </c>
      <c r="M78" s="37">
        <v>-239</v>
      </c>
      <c r="N78" s="37">
        <v>-151.9</v>
      </c>
      <c r="O78" s="38">
        <v>10.94</v>
      </c>
      <c r="P78" s="38">
        <v>0.35589999999999999</v>
      </c>
      <c r="Q78" s="38">
        <v>-1.9000000000000001E-4</v>
      </c>
      <c r="R78" s="38">
        <v>3.92E-8</v>
      </c>
      <c r="S78" s="48">
        <v>0.249</v>
      </c>
    </row>
    <row r="79" spans="1:23" x14ac:dyDescent="0.2">
      <c r="A79" s="37">
        <v>1101</v>
      </c>
      <c r="B79" s="21" t="s">
        <v>279</v>
      </c>
      <c r="C79" s="21" t="s">
        <v>32</v>
      </c>
      <c r="D79" s="37">
        <v>512.6</v>
      </c>
      <c r="E79" s="37">
        <v>8.0960000000000001</v>
      </c>
      <c r="F79" s="43">
        <v>0.56599999999999995</v>
      </c>
      <c r="G79" s="37">
        <v>0.79</v>
      </c>
      <c r="H79" s="37">
        <v>32</v>
      </c>
      <c r="I79" s="37">
        <v>5.28</v>
      </c>
      <c r="J79" s="37">
        <v>29.6</v>
      </c>
      <c r="K79" s="37">
        <v>17.43</v>
      </c>
      <c r="L79" s="37">
        <v>14.49</v>
      </c>
      <c r="M79" s="37">
        <v>-200.94</v>
      </c>
      <c r="N79" s="37">
        <v>-162.24</v>
      </c>
      <c r="O79" s="38">
        <v>21.15</v>
      </c>
      <c r="P79" s="38">
        <v>7.0919999999999997E-2</v>
      </c>
      <c r="Q79" s="38">
        <v>2.5870000000000001E-5</v>
      </c>
      <c r="R79" s="38">
        <v>-2.852E-8</v>
      </c>
      <c r="S79" s="48">
        <v>0.224</v>
      </c>
    </row>
    <row r="80" spans="1:23" x14ac:dyDescent="0.2">
      <c r="A80" s="37">
        <v>1102</v>
      </c>
      <c r="B80" s="21" t="s">
        <v>280</v>
      </c>
      <c r="C80" s="21" t="s">
        <v>38</v>
      </c>
      <c r="D80" s="37">
        <v>516.4</v>
      </c>
      <c r="E80" s="37">
        <v>6.3840000000000003</v>
      </c>
      <c r="F80" s="43">
        <v>0.63700000000000001</v>
      </c>
      <c r="G80" s="37">
        <v>0.79</v>
      </c>
      <c r="H80" s="37">
        <v>46</v>
      </c>
      <c r="I80" s="37">
        <v>7.88</v>
      </c>
      <c r="J80" s="37">
        <v>26.1</v>
      </c>
      <c r="K80" s="37">
        <v>12.58</v>
      </c>
      <c r="L80" s="37">
        <v>13.29</v>
      </c>
      <c r="M80" s="37">
        <v>-234.95</v>
      </c>
      <c r="N80" s="37">
        <v>-167.73</v>
      </c>
      <c r="O80" s="38">
        <v>9.0139999999999993</v>
      </c>
      <c r="P80" s="38">
        <v>0.21410000000000001</v>
      </c>
      <c r="Q80" s="38">
        <v>-8.3900000000000006E-5</v>
      </c>
      <c r="R80" s="38">
        <v>1.3729999999999999E-9</v>
      </c>
      <c r="S80" s="48">
        <v>0.248</v>
      </c>
      <c r="T80" s="31">
        <v>158.54999999999998</v>
      </c>
      <c r="U80" s="31">
        <v>5.0209999999999999</v>
      </c>
      <c r="V80" s="31">
        <v>351.65</v>
      </c>
      <c r="W80" s="31">
        <v>38.58</v>
      </c>
    </row>
    <row r="81" spans="1:21" x14ac:dyDescent="0.2">
      <c r="A81" s="37">
        <v>1103</v>
      </c>
      <c r="B81" s="21" t="s">
        <v>281</v>
      </c>
      <c r="C81" s="21" t="s">
        <v>30</v>
      </c>
      <c r="D81" s="37">
        <v>536.70000000000005</v>
      </c>
      <c r="E81" s="37">
        <v>5.17</v>
      </c>
      <c r="F81" s="43">
        <v>0.628</v>
      </c>
      <c r="G81" s="37">
        <v>0.8</v>
      </c>
      <c r="H81" s="37">
        <v>60</v>
      </c>
      <c r="I81" s="37">
        <v>10.5</v>
      </c>
      <c r="J81" s="37">
        <v>24.5</v>
      </c>
      <c r="K81" s="37">
        <v>11.97</v>
      </c>
      <c r="L81" s="37">
        <v>10.35</v>
      </c>
      <c r="M81" s="37">
        <v>-255.2</v>
      </c>
      <c r="N81" s="37">
        <v>-161.79499999999999</v>
      </c>
      <c r="O81" s="38">
        <v>2.4700000000000002</v>
      </c>
      <c r="P81" s="38">
        <v>0.33250000000000002</v>
      </c>
      <c r="Q81" s="38">
        <v>-1.8550000000000001E-4</v>
      </c>
      <c r="R81" s="38">
        <v>4.2960000000000002E-8</v>
      </c>
      <c r="S81" s="48">
        <v>0.253</v>
      </c>
    </row>
    <row r="82" spans="1:21" x14ac:dyDescent="0.2">
      <c r="A82" s="37">
        <v>1104</v>
      </c>
      <c r="B82" s="21" t="s">
        <v>282</v>
      </c>
      <c r="C82" s="21" t="s">
        <v>283</v>
      </c>
      <c r="D82" s="37">
        <v>508.3</v>
      </c>
      <c r="E82" s="37">
        <v>4.7640000000000002</v>
      </c>
      <c r="F82" s="43">
        <v>0.66900000000000004</v>
      </c>
      <c r="G82" s="37">
        <v>0.78</v>
      </c>
      <c r="H82" s="37">
        <v>60</v>
      </c>
      <c r="I82" s="37">
        <v>10.69</v>
      </c>
      <c r="J82" s="37">
        <v>23.4</v>
      </c>
      <c r="K82" s="37">
        <v>9.23</v>
      </c>
      <c r="L82" s="37">
        <v>11.86</v>
      </c>
      <c r="M82" s="37">
        <v>-272.29500000000002</v>
      </c>
      <c r="N82" s="37">
        <v>-173.38499999999999</v>
      </c>
      <c r="O82" s="38">
        <v>32.43</v>
      </c>
      <c r="P82" s="38">
        <v>0.1885</v>
      </c>
      <c r="Q82" s="38">
        <v>6.4060000000000007E-5</v>
      </c>
      <c r="R82" s="38">
        <v>-9.2609999999999993E-8</v>
      </c>
      <c r="S82" s="48">
        <v>0.248</v>
      </c>
    </row>
    <row r="83" spans="1:21" x14ac:dyDescent="0.2">
      <c r="A83" s="37">
        <v>1105</v>
      </c>
      <c r="B83" s="21" t="s">
        <v>284</v>
      </c>
      <c r="C83" s="21" t="s">
        <v>285</v>
      </c>
      <c r="D83" s="37">
        <v>562.9</v>
      </c>
      <c r="E83" s="37">
        <v>4.4119999999999999</v>
      </c>
      <c r="F83" s="43">
        <v>0.59399999999999997</v>
      </c>
      <c r="G83" s="37">
        <v>0.81</v>
      </c>
      <c r="H83" s="37">
        <v>74</v>
      </c>
      <c r="I83" s="37">
        <v>13.13</v>
      </c>
      <c r="J83" s="37">
        <v>23.4</v>
      </c>
      <c r="K83" s="37">
        <v>8.44</v>
      </c>
      <c r="L83" s="37">
        <v>11.01</v>
      </c>
      <c r="M83" s="37">
        <v>-274.60000000000002</v>
      </c>
      <c r="N83" s="37">
        <v>-150.666</v>
      </c>
      <c r="O83" s="38">
        <v>3.266</v>
      </c>
      <c r="P83" s="38">
        <v>0.41799999999999998</v>
      </c>
      <c r="Q83" s="38">
        <v>-2.242E-4</v>
      </c>
      <c r="R83" s="38">
        <v>4.6849999999999999E-8</v>
      </c>
      <c r="S83" s="48">
        <v>0.25900000000000001</v>
      </c>
    </row>
    <row r="84" spans="1:21" x14ac:dyDescent="0.2">
      <c r="A84" s="37">
        <v>1107</v>
      </c>
      <c r="B84" s="21" t="s">
        <v>286</v>
      </c>
      <c r="C84" s="21" t="s">
        <v>287</v>
      </c>
      <c r="D84" s="37">
        <v>547.70000000000005</v>
      </c>
      <c r="E84" s="37">
        <v>4.2949999999999999</v>
      </c>
      <c r="F84" s="43">
        <v>0.58899999999999997</v>
      </c>
      <c r="G84" s="37">
        <v>0.8</v>
      </c>
      <c r="H84" s="37">
        <v>74</v>
      </c>
      <c r="I84" s="37">
        <v>13.03</v>
      </c>
      <c r="J84" s="37">
        <v>22.9</v>
      </c>
      <c r="K84" s="37">
        <v>3.99</v>
      </c>
      <c r="L84" s="37">
        <v>3.99</v>
      </c>
      <c r="M84" s="37">
        <v>-283.2</v>
      </c>
      <c r="N84" s="37">
        <v>-154.9</v>
      </c>
      <c r="O84" s="38">
        <v>-7.7080000000000002</v>
      </c>
      <c r="P84" s="38">
        <v>0.46889999999999998</v>
      </c>
      <c r="Q84" s="38">
        <v>-2.8840000000000002E-4</v>
      </c>
      <c r="R84" s="38">
        <v>7.2310000000000004E-8</v>
      </c>
      <c r="S84" s="48">
        <v>0.25700000000000001</v>
      </c>
    </row>
    <row r="85" spans="1:21" x14ac:dyDescent="0.2">
      <c r="A85" s="37">
        <v>1114</v>
      </c>
      <c r="B85" s="21" t="s">
        <v>288</v>
      </c>
      <c r="C85" s="21" t="s">
        <v>289</v>
      </c>
      <c r="D85" s="37">
        <v>610.29999999999995</v>
      </c>
      <c r="E85" s="37">
        <v>3.4169999999999998</v>
      </c>
      <c r="F85" s="43">
        <v>0.57635499999999995</v>
      </c>
      <c r="G85" s="45">
        <f>H85/125.2</f>
        <v>0.81609265175718848</v>
      </c>
      <c r="H85" s="53">
        <v>102.1748</v>
      </c>
      <c r="I85" s="45">
        <f>153.0418/8.314</f>
        <v>18.407721914842433</v>
      </c>
      <c r="J85" s="37">
        <v>21.83</v>
      </c>
      <c r="K85" s="45">
        <v>6.33</v>
      </c>
      <c r="L85" s="45">
        <v>10.18</v>
      </c>
      <c r="M85" s="37">
        <v>-316.5</v>
      </c>
      <c r="N85" s="37">
        <v>-135.56200000000001</v>
      </c>
      <c r="P85" s="38"/>
      <c r="Q85" s="38"/>
      <c r="R85" s="38"/>
      <c r="S85" s="48">
        <v>0.26100000000000001</v>
      </c>
    </row>
    <row r="86" spans="1:21" x14ac:dyDescent="0.2">
      <c r="A86" s="37">
        <v>1132</v>
      </c>
      <c r="B86" s="60" t="s">
        <v>290</v>
      </c>
      <c r="C86" s="21" t="s">
        <v>291</v>
      </c>
      <c r="D86" s="42">
        <v>652.5</v>
      </c>
      <c r="E86" s="43">
        <v>2.86</v>
      </c>
      <c r="F86" s="43">
        <v>0.59409999999999996</v>
      </c>
      <c r="G86" s="45">
        <v>0.82</v>
      </c>
      <c r="H86" s="42">
        <v>130.22999999999999</v>
      </c>
      <c r="I86" s="45">
        <v>23.84</v>
      </c>
      <c r="J86" s="45">
        <v>20.863924846490413</v>
      </c>
      <c r="K86" s="45">
        <v>4.22</v>
      </c>
      <c r="L86" s="45">
        <v>9.35</v>
      </c>
      <c r="M86" s="37">
        <v>-356.9</v>
      </c>
      <c r="N86" s="37">
        <v>-115.5</v>
      </c>
      <c r="P86" s="38"/>
      <c r="Q86" s="38"/>
      <c r="R86" s="38"/>
      <c r="S86" s="40">
        <v>0.254</v>
      </c>
    </row>
    <row r="87" spans="1:21" x14ac:dyDescent="0.2">
      <c r="A87" s="37">
        <v>1140</v>
      </c>
      <c r="B87" s="21" t="s">
        <v>292</v>
      </c>
      <c r="C87" s="21" t="s">
        <v>292</v>
      </c>
      <c r="D87" s="37">
        <v>679</v>
      </c>
      <c r="E87" s="37">
        <v>1.925</v>
      </c>
      <c r="F87" s="43">
        <v>0.66639999999999999</v>
      </c>
      <c r="G87" s="37">
        <v>0.83</v>
      </c>
      <c r="H87" s="37">
        <v>186.34</v>
      </c>
      <c r="I87" s="37">
        <v>34.71</v>
      </c>
      <c r="J87" s="45">
        <v>20.270734826345098</v>
      </c>
      <c r="K87" s="45">
        <v>3.5278891092306193</v>
      </c>
      <c r="L87" s="45">
        <v>7.8165315571815857</v>
      </c>
      <c r="M87" s="37">
        <v>-436.5</v>
      </c>
      <c r="N87" s="37">
        <v>-80.819999999999993</v>
      </c>
      <c r="O87" s="58"/>
      <c r="P87" s="38"/>
      <c r="Q87" s="38"/>
      <c r="R87" s="38"/>
      <c r="S87" s="40">
        <v>0.25700000000000001</v>
      </c>
    </row>
    <row r="88" spans="1:21" x14ac:dyDescent="0.2">
      <c r="A88" s="37">
        <v>1172</v>
      </c>
      <c r="B88" s="55" t="s">
        <v>293</v>
      </c>
      <c r="C88" s="31" t="str">
        <f>B88</f>
        <v>2,4DiMethylPhenol</v>
      </c>
      <c r="D88" s="37">
        <v>707.65</v>
      </c>
      <c r="E88" s="37">
        <v>4.4000000000000004</v>
      </c>
      <c r="F88" s="37">
        <v>0.51359999999999995</v>
      </c>
      <c r="G88" s="57">
        <f>120.4/H88</f>
        <v>0.98559266535690904</v>
      </c>
      <c r="H88" s="48">
        <v>122.16</v>
      </c>
      <c r="I88" s="45">
        <f>155.93/8.314</f>
        <v>18.755111859514074</v>
      </c>
      <c r="J88" s="57">
        <v>22.46</v>
      </c>
      <c r="K88" s="57">
        <v>21.6</v>
      </c>
      <c r="L88" s="57">
        <v>4.5999999999999996</v>
      </c>
      <c r="M88" s="57">
        <v>-162.88</v>
      </c>
      <c r="N88" s="57">
        <v>-42.554000000000002</v>
      </c>
      <c r="O88" s="58"/>
      <c r="P88" s="38"/>
      <c r="Q88" s="38"/>
      <c r="R88" s="38"/>
      <c r="S88" s="40"/>
    </row>
    <row r="89" spans="1:21" x14ac:dyDescent="0.2">
      <c r="A89" s="37">
        <v>1181</v>
      </c>
      <c r="B89" s="21" t="s">
        <v>294</v>
      </c>
      <c r="C89" s="21" t="s">
        <v>295</v>
      </c>
      <c r="D89" s="42">
        <v>694.25</v>
      </c>
      <c r="E89" s="43">
        <v>6.13</v>
      </c>
      <c r="F89" s="43">
        <v>0.442</v>
      </c>
      <c r="G89" s="45">
        <v>1.06</v>
      </c>
      <c r="H89" s="42">
        <v>94.11</v>
      </c>
      <c r="I89" s="45">
        <v>12.6</v>
      </c>
      <c r="J89" s="45">
        <v>24.629881663249986</v>
      </c>
      <c r="K89" s="45">
        <v>25.14</v>
      </c>
      <c r="L89" s="45">
        <v>5.35</v>
      </c>
      <c r="M89" s="37">
        <v>-96.399299999999997</v>
      </c>
      <c r="N89" s="37">
        <v>-32.898800000000001</v>
      </c>
      <c r="P89" s="38"/>
      <c r="Q89" s="38"/>
      <c r="R89" s="38"/>
      <c r="S89" s="48">
        <v>0.24299999999999999</v>
      </c>
      <c r="T89" s="31">
        <v>314.04999999999995</v>
      </c>
      <c r="U89" s="31">
        <v>11.43</v>
      </c>
    </row>
    <row r="90" spans="1:21" x14ac:dyDescent="0.2">
      <c r="A90" s="37">
        <v>1183</v>
      </c>
      <c r="B90" s="21" t="s">
        <v>296</v>
      </c>
      <c r="C90" s="21" t="s">
        <v>296</v>
      </c>
      <c r="D90" s="37">
        <v>705.75</v>
      </c>
      <c r="E90" s="37">
        <v>4.5599999999999996</v>
      </c>
      <c r="F90" s="43">
        <v>0.45</v>
      </c>
      <c r="G90" s="37">
        <v>1.03</v>
      </c>
      <c r="H90" s="37">
        <v>108.14</v>
      </c>
      <c r="I90" s="37">
        <v>14</v>
      </c>
      <c r="J90" s="45">
        <v>23.89123943205961</v>
      </c>
      <c r="K90" s="45">
        <v>27.15</v>
      </c>
      <c r="L90" s="45">
        <v>2.17</v>
      </c>
      <c r="M90" s="37">
        <v>-132.30000000000001</v>
      </c>
      <c r="N90" s="37">
        <v>-40.19</v>
      </c>
      <c r="O90" s="58"/>
      <c r="P90" s="38"/>
      <c r="Q90" s="38"/>
      <c r="R90" s="38"/>
      <c r="S90" s="40">
        <v>0.24199999999999999</v>
      </c>
    </row>
    <row r="91" spans="1:21" x14ac:dyDescent="0.2">
      <c r="A91" s="37">
        <v>1201</v>
      </c>
      <c r="B91" s="21" t="s">
        <v>297</v>
      </c>
      <c r="C91" s="21" t="s">
        <v>298</v>
      </c>
      <c r="D91" s="42">
        <v>645</v>
      </c>
      <c r="E91" s="43">
        <v>7.7</v>
      </c>
      <c r="F91" s="43">
        <v>0.48680000000000001</v>
      </c>
      <c r="G91" s="45">
        <v>1.1101412985154713</v>
      </c>
      <c r="H91" s="42">
        <v>62.07</v>
      </c>
      <c r="I91" s="45">
        <v>9.3456819821987018</v>
      </c>
      <c r="J91" s="45">
        <v>33.709557006878633</v>
      </c>
      <c r="K91" s="45">
        <v>5.0999999999999996</v>
      </c>
      <c r="L91" s="45">
        <v>5.0999999999999996</v>
      </c>
      <c r="M91" s="37">
        <v>-392.87799999999999</v>
      </c>
      <c r="N91" s="37">
        <v>-304.47000000000003</v>
      </c>
      <c r="P91" s="38"/>
      <c r="Q91" s="38"/>
      <c r="R91" s="38"/>
      <c r="S91" s="48">
        <v>0.26200000000000001</v>
      </c>
    </row>
    <row r="92" spans="1:21" x14ac:dyDescent="0.2">
      <c r="A92" s="37">
        <v>1211</v>
      </c>
      <c r="B92" s="21" t="s">
        <v>299</v>
      </c>
      <c r="C92" s="50" t="s">
        <v>300</v>
      </c>
      <c r="D92" s="31">
        <v>626</v>
      </c>
      <c r="E92" s="31">
        <v>6.1</v>
      </c>
      <c r="F92" s="61">
        <v>1.1065</v>
      </c>
      <c r="G92" s="31">
        <v>1.03</v>
      </c>
      <c r="H92" s="31">
        <v>76.09</v>
      </c>
      <c r="I92" s="31">
        <v>12.28</v>
      </c>
      <c r="J92" s="45">
        <v>29.516317209299672</v>
      </c>
      <c r="K92" s="45">
        <v>12.8257332461995</v>
      </c>
      <c r="L92" s="45">
        <v>10.662356554069488</v>
      </c>
      <c r="M92" s="31">
        <v>-421.5</v>
      </c>
      <c r="N92" s="31">
        <v>-304</v>
      </c>
      <c r="O92" s="58"/>
    </row>
    <row r="93" spans="1:21" x14ac:dyDescent="0.2">
      <c r="A93" s="37">
        <v>1212</v>
      </c>
      <c r="B93" s="21" t="s">
        <v>301</v>
      </c>
      <c r="C93" s="50" t="s">
        <v>302</v>
      </c>
      <c r="D93" s="31">
        <v>658</v>
      </c>
      <c r="E93" s="31">
        <v>5.92</v>
      </c>
      <c r="F93" s="61">
        <v>0.7399</v>
      </c>
      <c r="G93" s="31">
        <v>1.05</v>
      </c>
      <c r="H93" s="31">
        <v>76.09</v>
      </c>
      <c r="I93" s="31">
        <v>12.12</v>
      </c>
      <c r="J93" s="45">
        <v>30.784516562713797</v>
      </c>
      <c r="K93" s="45">
        <v>12.94965625243071</v>
      </c>
      <c r="L93" s="45">
        <v>10.765376884550832</v>
      </c>
      <c r="M93" s="31">
        <v>-392.1</v>
      </c>
      <c r="N93" s="31">
        <v>-277</v>
      </c>
      <c r="O93" s="58"/>
    </row>
    <row r="94" spans="1:21" x14ac:dyDescent="0.2">
      <c r="A94" s="37">
        <v>1220</v>
      </c>
      <c r="B94" s="21" t="s">
        <v>303</v>
      </c>
      <c r="C94" s="50" t="s">
        <v>304</v>
      </c>
      <c r="D94" s="31">
        <v>625</v>
      </c>
      <c r="E94" s="31">
        <v>5</v>
      </c>
      <c r="F94" s="61">
        <v>1.1659999999999999</v>
      </c>
      <c r="G94" s="31">
        <v>1</v>
      </c>
      <c r="H94" s="31">
        <v>90.12</v>
      </c>
      <c r="I94" s="31">
        <v>15.23</v>
      </c>
      <c r="J94" s="45">
        <v>27.245831270122775</v>
      </c>
      <c r="K94" s="45">
        <v>11.612261071402623</v>
      </c>
      <c r="L94" s="45">
        <v>9.6535664328527826</v>
      </c>
      <c r="M94" s="31">
        <v>-444.76</v>
      </c>
      <c r="N94" s="31">
        <v>-293</v>
      </c>
      <c r="O94" s="58"/>
    </row>
    <row r="95" spans="1:21" x14ac:dyDescent="0.2">
      <c r="A95" s="37">
        <v>1221</v>
      </c>
      <c r="B95" s="21" t="s">
        <v>305</v>
      </c>
      <c r="C95" s="50" t="s">
        <v>306</v>
      </c>
      <c r="D95" s="31">
        <v>643.15</v>
      </c>
      <c r="E95" s="31">
        <v>5.01</v>
      </c>
      <c r="F95" s="61">
        <v>1.1525000000000001</v>
      </c>
      <c r="G95" s="31">
        <v>1</v>
      </c>
      <c r="H95" s="31">
        <v>90.12</v>
      </c>
      <c r="I95" s="31">
        <v>15.25</v>
      </c>
      <c r="J95" s="45">
        <v>27.470834381212377</v>
      </c>
      <c r="K95" s="45">
        <v>11.612261071402623</v>
      </c>
      <c r="L95" s="45">
        <v>9.6535664328527826</v>
      </c>
      <c r="M95" s="31">
        <v>-434.6</v>
      </c>
      <c r="N95" s="31">
        <v>-290.3</v>
      </c>
      <c r="O95" s="58"/>
    </row>
    <row r="96" spans="1:21" x14ac:dyDescent="0.2">
      <c r="A96" s="37">
        <v>1238</v>
      </c>
      <c r="B96" s="21" t="s">
        <v>307</v>
      </c>
      <c r="C96" s="50" t="s">
        <v>308</v>
      </c>
      <c r="D96" s="31">
        <v>611</v>
      </c>
      <c r="E96" s="31">
        <v>5.13</v>
      </c>
      <c r="F96" s="61">
        <v>1.1054999999999999</v>
      </c>
      <c r="G96" s="31">
        <v>0.99</v>
      </c>
      <c r="H96" s="31">
        <v>90.12</v>
      </c>
      <c r="I96" s="31">
        <v>15.47</v>
      </c>
      <c r="J96" s="45">
        <v>25.957177088427777</v>
      </c>
      <c r="K96" s="45">
        <v>11.554053882447867</v>
      </c>
      <c r="L96" s="45">
        <v>9.6051773239626854</v>
      </c>
      <c r="M96" s="31">
        <v>-462</v>
      </c>
      <c r="N96" s="31">
        <v>-339</v>
      </c>
      <c r="O96" s="58"/>
    </row>
    <row r="97" spans="1:23" x14ac:dyDescent="0.2">
      <c r="A97" s="37">
        <v>1241</v>
      </c>
      <c r="B97" s="21" t="s">
        <v>309</v>
      </c>
      <c r="C97" s="50" t="s">
        <v>310</v>
      </c>
      <c r="D97" s="31">
        <v>667</v>
      </c>
      <c r="E97" s="31">
        <v>4.88</v>
      </c>
      <c r="F97" s="61">
        <v>1.177</v>
      </c>
      <c r="G97" s="31">
        <v>1.01</v>
      </c>
      <c r="H97" s="31">
        <v>90.12</v>
      </c>
      <c r="I97" s="31">
        <v>14.88</v>
      </c>
      <c r="J97" s="45">
        <v>28.861762704311737</v>
      </c>
      <c r="K97" s="45">
        <v>11.670177944758036</v>
      </c>
      <c r="L97" s="45">
        <v>9.7017141950398145</v>
      </c>
      <c r="M97" s="31">
        <v>-426.7</v>
      </c>
      <c r="N97" s="31">
        <v>-278</v>
      </c>
      <c r="O97" s="58"/>
    </row>
    <row r="98" spans="1:23" x14ac:dyDescent="0.2">
      <c r="A98" s="37">
        <v>1252</v>
      </c>
      <c r="B98" s="21" t="s">
        <v>311</v>
      </c>
      <c r="C98" s="21" t="s">
        <v>312</v>
      </c>
      <c r="D98" s="37">
        <v>592.70000000000005</v>
      </c>
      <c r="E98" s="37">
        <v>5.7859999999999996</v>
      </c>
      <c r="F98" s="43">
        <v>0.46200000000000002</v>
      </c>
      <c r="G98" s="37">
        <v>1.04</v>
      </c>
      <c r="H98" s="37">
        <v>60</v>
      </c>
      <c r="I98" s="37">
        <v>15.01</v>
      </c>
      <c r="J98" s="37">
        <v>19</v>
      </c>
      <c r="K98" s="37">
        <v>24.03</v>
      </c>
      <c r="L98" s="37">
        <v>0.75</v>
      </c>
      <c r="M98" s="37">
        <v>-434.42500000000001</v>
      </c>
      <c r="N98" s="37">
        <v>-376.685</v>
      </c>
      <c r="O98" s="38">
        <v>4.84</v>
      </c>
      <c r="P98" s="38">
        <v>0.25490000000000002</v>
      </c>
      <c r="Q98" s="38">
        <v>-1.7530000000000001E-4</v>
      </c>
      <c r="R98" s="38">
        <v>4.9490000000000002E-8</v>
      </c>
      <c r="S98" s="48">
        <v>0.2</v>
      </c>
      <c r="T98" s="31">
        <v>289.75</v>
      </c>
      <c r="U98" s="59">
        <v>12.09</v>
      </c>
      <c r="V98" s="59">
        <v>391.35</v>
      </c>
      <c r="W98" s="59">
        <v>23.7</v>
      </c>
    </row>
    <row r="99" spans="1:23" x14ac:dyDescent="0.2">
      <c r="A99" s="37">
        <v>1256</v>
      </c>
      <c r="B99" s="21" t="s">
        <v>313</v>
      </c>
      <c r="C99" s="21" t="s">
        <v>314</v>
      </c>
      <c r="D99" s="37">
        <v>615.70000000000005</v>
      </c>
      <c r="E99" s="37">
        <v>4.0640000000000001</v>
      </c>
      <c r="F99" s="43">
        <v>0.68090899999999999</v>
      </c>
      <c r="G99" s="45">
        <f>H99/92.588</f>
        <v>0.95158227848101262</v>
      </c>
      <c r="H99" s="53">
        <v>88.105099999999993</v>
      </c>
      <c r="I99" s="45">
        <f>115.2807/8.314</f>
        <v>13.865852778445994</v>
      </c>
      <c r="J99" s="37">
        <v>20.18</v>
      </c>
      <c r="M99" s="37">
        <v>-475</v>
      </c>
      <c r="N99" s="37">
        <v>-355</v>
      </c>
      <c r="P99" s="38"/>
      <c r="Q99" s="38"/>
      <c r="R99" s="38"/>
      <c r="S99" s="48">
        <v>0.23200000000000001</v>
      </c>
    </row>
    <row r="100" spans="1:23" x14ac:dyDescent="0.2">
      <c r="A100" s="37">
        <v>1281</v>
      </c>
      <c r="B100" s="21" t="s">
        <v>315</v>
      </c>
      <c r="C100" s="21" t="s">
        <v>316</v>
      </c>
      <c r="D100" s="37">
        <v>751</v>
      </c>
      <c r="E100" s="37">
        <v>4.47</v>
      </c>
      <c r="F100" s="43">
        <v>0.60279400000000005</v>
      </c>
      <c r="G100" s="45">
        <f>H100/112.442</f>
        <v>1.0860826025862222</v>
      </c>
      <c r="H100" s="53">
        <v>122.12130000000001</v>
      </c>
      <c r="I100" s="45">
        <f>103.4222/8.314</f>
        <v>12.439523694972337</v>
      </c>
      <c r="J100" s="37">
        <v>24.59</v>
      </c>
      <c r="M100" s="37">
        <v>-294.10000000000002</v>
      </c>
      <c r="N100" s="37">
        <v>-210.41300000000001</v>
      </c>
      <c r="P100" s="38"/>
      <c r="Q100" s="38"/>
      <c r="R100" s="38"/>
      <c r="S100" s="48">
        <v>0.246</v>
      </c>
      <c r="T100" s="31">
        <v>395.52</v>
      </c>
      <c r="U100" s="31">
        <v>18.07</v>
      </c>
    </row>
    <row r="101" spans="1:23" x14ac:dyDescent="0.2">
      <c r="A101" s="37">
        <v>1284</v>
      </c>
      <c r="B101" s="55" t="s">
        <v>317</v>
      </c>
      <c r="C101" s="31" t="str">
        <f>B101</f>
        <v>SalicylicAcid</v>
      </c>
      <c r="D101" s="56">
        <v>739</v>
      </c>
      <c r="E101" s="57">
        <v>5.18</v>
      </c>
      <c r="F101" s="37">
        <v>0.85119999999999996</v>
      </c>
      <c r="G101" s="57">
        <f>138.12/119.6</f>
        <v>1.1548494983277593</v>
      </c>
      <c r="H101" s="48">
        <v>138.12</v>
      </c>
      <c r="I101" s="45">
        <f>123.96/8.314</f>
        <v>14.909790714457541</v>
      </c>
      <c r="J101" s="57">
        <v>24.21</v>
      </c>
      <c r="K101" s="57">
        <v>41.1</v>
      </c>
      <c r="L101" s="57">
        <v>0</v>
      </c>
      <c r="M101" s="57">
        <v>-395.4</v>
      </c>
      <c r="N101" s="57">
        <v>0.40600000000000003</v>
      </c>
      <c r="O101" s="58"/>
      <c r="P101" s="38"/>
      <c r="Q101" s="38"/>
      <c r="R101" s="38"/>
      <c r="S101" s="40"/>
      <c r="T101" s="31">
        <v>431.75</v>
      </c>
      <c r="U101" s="31">
        <v>19.59</v>
      </c>
    </row>
    <row r="102" spans="1:23" x14ac:dyDescent="0.2">
      <c r="A102" s="37">
        <v>1289</v>
      </c>
      <c r="B102" s="21" t="s">
        <v>318</v>
      </c>
      <c r="C102" s="21" t="s">
        <v>319</v>
      </c>
      <c r="D102" s="37">
        <v>1113</v>
      </c>
      <c r="E102" s="37">
        <v>3.95</v>
      </c>
      <c r="F102" s="43">
        <v>1.0590999999999999</v>
      </c>
      <c r="G102" s="45">
        <f>H102/117.016</f>
        <v>1.4197272167908661</v>
      </c>
      <c r="H102" s="53">
        <v>166.13079999999999</v>
      </c>
      <c r="I102" s="45">
        <f>124.7258/8.314</f>
        <v>15.001900408948762</v>
      </c>
      <c r="J102" s="41">
        <v>30.62</v>
      </c>
      <c r="M102" s="37">
        <v>-663.33100000000002</v>
      </c>
      <c r="N102" s="37">
        <v>-597.17899999999997</v>
      </c>
      <c r="P102" s="38"/>
      <c r="Q102" s="38"/>
      <c r="R102" s="38"/>
      <c r="S102" s="48">
        <v>0.18099999999999999</v>
      </c>
      <c r="T102" s="31">
        <v>700</v>
      </c>
      <c r="U102" s="31" t="s">
        <v>320</v>
      </c>
    </row>
    <row r="103" spans="1:23" x14ac:dyDescent="0.2">
      <c r="A103" s="37">
        <v>1312</v>
      </c>
      <c r="B103" s="21" t="s">
        <v>321</v>
      </c>
      <c r="C103" s="21" t="s">
        <v>322</v>
      </c>
      <c r="D103" s="37">
        <v>506.55</v>
      </c>
      <c r="E103" s="37">
        <v>4.75</v>
      </c>
      <c r="F103" s="43">
        <v>0.33125500000000002</v>
      </c>
      <c r="G103" s="45">
        <f>H103/79.823</f>
        <v>0.92803452638963724</v>
      </c>
      <c r="H103" s="53">
        <v>74.078500000000005</v>
      </c>
      <c r="I103" s="45">
        <f>84.8912/8.314</f>
        <v>10.210632667789271</v>
      </c>
      <c r="J103" s="41">
        <v>19.350000000000001</v>
      </c>
      <c r="M103" s="37">
        <v>-408.8</v>
      </c>
      <c r="N103" s="37">
        <v>-321.5</v>
      </c>
      <c r="P103" s="38"/>
      <c r="Q103" s="38"/>
      <c r="R103" s="38"/>
      <c r="S103" s="48">
        <v>0.25700000000000001</v>
      </c>
    </row>
    <row r="104" spans="1:23" x14ac:dyDescent="0.2">
      <c r="A104" s="37">
        <v>1313</v>
      </c>
      <c r="B104" s="21" t="s">
        <v>323</v>
      </c>
      <c r="C104" s="52" t="s">
        <v>324</v>
      </c>
      <c r="D104" s="37">
        <v>523.29999999999995</v>
      </c>
      <c r="E104" s="37">
        <v>3.88</v>
      </c>
      <c r="F104" s="43">
        <v>0.36640899999999998</v>
      </c>
      <c r="G104" s="45">
        <f>H104/98.594</f>
        <v>0.89361523013570809</v>
      </c>
      <c r="H104" s="53">
        <v>88.105099999999993</v>
      </c>
      <c r="I104" s="45">
        <f>113.6008/8.314</f>
        <v>13.663796006735627</v>
      </c>
      <c r="J104" s="41">
        <v>18.350000000000001</v>
      </c>
      <c r="M104" s="37">
        <v>-444.5</v>
      </c>
      <c r="N104" s="37">
        <v>-327.39999999999998</v>
      </c>
      <c r="P104" s="38"/>
      <c r="Q104" s="38"/>
      <c r="R104" s="38"/>
      <c r="S104" s="48">
        <v>0.255</v>
      </c>
    </row>
    <row r="105" spans="1:23" s="35" customFormat="1" x14ac:dyDescent="0.2">
      <c r="A105" s="37">
        <v>1321</v>
      </c>
      <c r="B105" s="21" t="s">
        <v>325</v>
      </c>
      <c r="C105" s="21" t="s">
        <v>325</v>
      </c>
      <c r="D105" s="42">
        <v>519.1</v>
      </c>
      <c r="E105" s="43">
        <v>3.96</v>
      </c>
      <c r="F105" s="43">
        <v>0.3513</v>
      </c>
      <c r="G105" s="45">
        <v>0.92619688004303391</v>
      </c>
      <c r="H105" s="42">
        <v>86.09</v>
      </c>
      <c r="I105" s="45">
        <v>11.919653596343517</v>
      </c>
      <c r="J105" s="45">
        <v>18.593438907313516</v>
      </c>
      <c r="K105" s="45">
        <v>0</v>
      </c>
      <c r="L105" s="45">
        <v>7.5</v>
      </c>
      <c r="M105" s="37">
        <v>-315.7</v>
      </c>
      <c r="N105" s="37">
        <v>-228.7</v>
      </c>
      <c r="O105" s="38"/>
      <c r="P105" s="38"/>
      <c r="Q105" s="38"/>
      <c r="R105" s="38"/>
      <c r="S105" s="40">
        <v>0.248</v>
      </c>
    </row>
    <row r="106" spans="1:23" x14ac:dyDescent="0.2">
      <c r="A106" s="37">
        <v>1381</v>
      </c>
      <c r="B106" s="21" t="s">
        <v>326</v>
      </c>
      <c r="C106" s="21" t="s">
        <v>327</v>
      </c>
      <c r="D106" s="37">
        <v>772</v>
      </c>
      <c r="E106" s="37">
        <v>2.78</v>
      </c>
      <c r="F106" s="43">
        <v>0.63708600000000004</v>
      </c>
      <c r="G106" s="45">
        <f>H106/180.564</f>
        <v>1.0975831284198401</v>
      </c>
      <c r="H106" s="53">
        <v>198.184</v>
      </c>
      <c r="I106" s="45">
        <f>168.0709/8.314</f>
        <v>20.215407745970651</v>
      </c>
      <c r="J106" s="41">
        <v>17.71</v>
      </c>
      <c r="M106" s="37">
        <v>-643.58299999999997</v>
      </c>
      <c r="N106" s="37">
        <v>-473.64600000000002</v>
      </c>
      <c r="P106" s="38"/>
      <c r="Q106" s="38"/>
      <c r="R106" s="38"/>
      <c r="S106" s="48">
        <v>0.22900000000000001</v>
      </c>
      <c r="T106" s="31">
        <v>413.8</v>
      </c>
      <c r="U106" s="31">
        <v>31.63</v>
      </c>
    </row>
    <row r="107" spans="1:23" x14ac:dyDescent="0.2">
      <c r="A107" s="62">
        <v>1401</v>
      </c>
      <c r="B107" s="55" t="s">
        <v>328</v>
      </c>
      <c r="C107" s="63" t="s">
        <v>329</v>
      </c>
      <c r="D107" s="56">
        <v>400.1</v>
      </c>
      <c r="E107" s="57">
        <v>5.37</v>
      </c>
      <c r="F107" s="64">
        <v>0.20019999999999999</v>
      </c>
      <c r="G107" s="57">
        <f>H107/70.23</f>
        <v>0.6559874697422754</v>
      </c>
      <c r="H107" s="48">
        <v>46.07</v>
      </c>
      <c r="I107" s="65">
        <f>65.73/8.314</f>
        <v>7.9059417849410636</v>
      </c>
      <c r="J107" s="57">
        <v>15.12</v>
      </c>
      <c r="K107" s="57">
        <v>0</v>
      </c>
      <c r="L107" s="57">
        <v>9</v>
      </c>
      <c r="M107" s="35">
        <v>-184.1</v>
      </c>
      <c r="N107" s="66">
        <v>-112.8</v>
      </c>
      <c r="O107" s="58"/>
      <c r="P107" s="38"/>
      <c r="Q107" s="38"/>
      <c r="R107" s="38"/>
      <c r="S107" s="40"/>
    </row>
    <row r="108" spans="1:23" x14ac:dyDescent="0.2">
      <c r="A108" s="37">
        <v>1402</v>
      </c>
      <c r="B108" s="21" t="s">
        <v>330</v>
      </c>
      <c r="C108" s="21" t="s">
        <v>331</v>
      </c>
      <c r="D108" s="37">
        <v>466.7</v>
      </c>
      <c r="E108" s="37">
        <v>3.59</v>
      </c>
      <c r="F108" s="43">
        <v>0.28100000000000003</v>
      </c>
      <c r="G108" s="37">
        <v>0.71</v>
      </c>
      <c r="H108" s="37">
        <v>74</v>
      </c>
      <c r="I108" s="37">
        <v>13.53</v>
      </c>
      <c r="J108" s="37">
        <v>15.4</v>
      </c>
      <c r="K108" s="37">
        <v>0</v>
      </c>
      <c r="L108" s="37">
        <v>6.61</v>
      </c>
      <c r="M108" s="37">
        <v>-252</v>
      </c>
      <c r="N108" s="37">
        <v>-122</v>
      </c>
      <c r="O108" s="38">
        <v>21.42</v>
      </c>
      <c r="P108" s="38">
        <v>0.33589999999999998</v>
      </c>
      <c r="Q108" s="38">
        <v>-1.0349999999999999E-4</v>
      </c>
      <c r="R108" s="38">
        <v>-9.3570000000000007E-9</v>
      </c>
      <c r="S108" s="48">
        <v>0.26200000000000001</v>
      </c>
    </row>
    <row r="109" spans="1:23" x14ac:dyDescent="0.2">
      <c r="A109" s="37">
        <v>1403</v>
      </c>
      <c r="B109" s="21" t="s">
        <v>332</v>
      </c>
      <c r="C109" s="21" t="s">
        <v>333</v>
      </c>
      <c r="D109" s="37">
        <v>500.05</v>
      </c>
      <c r="E109" s="37">
        <v>2.88</v>
      </c>
      <c r="F109" s="43">
        <v>0.33868300000000001</v>
      </c>
      <c r="G109" s="45">
        <f>H109/141.775</f>
        <v>0.720682771997884</v>
      </c>
      <c r="H109" s="53">
        <v>102.1748</v>
      </c>
      <c r="I109" s="45">
        <f>156.6278/8.314</f>
        <v>18.839042578782777</v>
      </c>
      <c r="J109" s="37">
        <v>14.45</v>
      </c>
      <c r="M109" s="37">
        <v>-318.82100000000003</v>
      </c>
      <c r="N109" s="37">
        <v>-121.88</v>
      </c>
      <c r="P109" s="38"/>
      <c r="Q109" s="38"/>
      <c r="R109" s="38"/>
      <c r="S109" s="48">
        <v>0.26700000000000002</v>
      </c>
    </row>
    <row r="110" spans="1:23" x14ac:dyDescent="0.2">
      <c r="A110" s="37">
        <v>1405</v>
      </c>
      <c r="B110" s="50" t="s">
        <v>334</v>
      </c>
      <c r="C110" s="21" t="s">
        <v>335</v>
      </c>
      <c r="D110" s="42">
        <v>497.1</v>
      </c>
      <c r="E110" s="43">
        <v>3.43</v>
      </c>
      <c r="F110" s="43">
        <v>0.2661</v>
      </c>
      <c r="G110" s="45">
        <v>0.74</v>
      </c>
      <c r="H110" s="42">
        <v>88.15</v>
      </c>
      <c r="I110" s="45">
        <v>15.37</v>
      </c>
      <c r="J110" s="45">
        <v>15.075208443003367</v>
      </c>
      <c r="K110" s="45">
        <v>0</v>
      </c>
      <c r="L110" s="45">
        <v>7.4</v>
      </c>
      <c r="M110" s="37">
        <v>-289</v>
      </c>
      <c r="N110" s="37">
        <v>-125.4</v>
      </c>
      <c r="P110" s="38"/>
      <c r="Q110" s="38"/>
      <c r="R110" s="38"/>
      <c r="S110" s="48">
        <v>0.27300000000000002</v>
      </c>
    </row>
    <row r="111" spans="1:23" x14ac:dyDescent="0.2">
      <c r="A111" s="37">
        <v>1444</v>
      </c>
      <c r="B111" s="21" t="s">
        <v>336</v>
      </c>
      <c r="C111" s="21" t="s">
        <v>337</v>
      </c>
      <c r="D111" s="37">
        <v>469</v>
      </c>
      <c r="E111" s="37">
        <v>7.1</v>
      </c>
      <c r="F111" s="43">
        <v>0.2</v>
      </c>
      <c r="G111" s="37">
        <v>0.89</v>
      </c>
      <c r="H111" s="37">
        <v>44</v>
      </c>
      <c r="I111" s="37">
        <v>5.8</v>
      </c>
      <c r="J111" s="37">
        <v>21.7</v>
      </c>
      <c r="K111" s="37">
        <v>1.17</v>
      </c>
      <c r="L111" s="37">
        <v>9.3800000000000008</v>
      </c>
      <c r="M111" s="37">
        <v>-52.63</v>
      </c>
      <c r="N111" s="37">
        <v>-13.23</v>
      </c>
      <c r="O111" s="38">
        <v>-7.5190000000000001</v>
      </c>
      <c r="P111" s="38">
        <v>0.22220000000000001</v>
      </c>
      <c r="Q111" s="38">
        <v>-1.2559999999999999E-4</v>
      </c>
      <c r="R111" s="38">
        <v>2.592E-8</v>
      </c>
      <c r="S111" s="48">
        <v>0.25800000000000001</v>
      </c>
    </row>
    <row r="112" spans="1:23" s="35" customFormat="1" x14ac:dyDescent="0.2">
      <c r="A112" s="40">
        <v>1478</v>
      </c>
      <c r="B112" s="63" t="s">
        <v>338</v>
      </c>
      <c r="C112" s="63" t="s">
        <v>338</v>
      </c>
      <c r="D112" s="56">
        <v>490</v>
      </c>
      <c r="E112" s="67">
        <v>5.5</v>
      </c>
      <c r="F112" s="67">
        <v>0.20150000000000001</v>
      </c>
      <c r="G112" s="57">
        <f>H112/73.11</f>
        <v>0.93111749418684175</v>
      </c>
      <c r="H112" s="56">
        <v>68.073999999999998</v>
      </c>
      <c r="I112" s="57">
        <f>65.29/8.314</f>
        <v>7.8530190040894885</v>
      </c>
      <c r="J112" s="68">
        <v>18.52</v>
      </c>
      <c r="K112" s="57">
        <v>0</v>
      </c>
      <c r="L112" s="57">
        <v>10.43</v>
      </c>
      <c r="M112" s="57">
        <v>-34.799999999999997</v>
      </c>
      <c r="N112" s="40">
        <v>0.82250000000000001</v>
      </c>
      <c r="O112" s="69"/>
      <c r="P112" s="69"/>
      <c r="Q112" s="69"/>
      <c r="R112" s="69"/>
      <c r="S112" s="40"/>
    </row>
    <row r="113" spans="1:20" x14ac:dyDescent="0.2">
      <c r="A113" s="37">
        <v>1479</v>
      </c>
      <c r="B113" s="21" t="s">
        <v>339</v>
      </c>
      <c r="C113" s="21" t="s">
        <v>340</v>
      </c>
      <c r="D113" s="37">
        <v>501.1</v>
      </c>
      <c r="E113" s="37">
        <v>5.19</v>
      </c>
      <c r="F113" s="43">
        <v>0.217</v>
      </c>
      <c r="G113" s="37">
        <v>0.88</v>
      </c>
      <c r="H113" s="37">
        <v>72</v>
      </c>
      <c r="I113" s="37">
        <v>16.850000000000001</v>
      </c>
      <c r="J113" s="37">
        <v>19</v>
      </c>
      <c r="K113" s="37">
        <v>0</v>
      </c>
      <c r="L113" s="37">
        <v>10.43</v>
      </c>
      <c r="M113" s="37">
        <v>-184.18</v>
      </c>
      <c r="N113" s="37">
        <v>-79.69</v>
      </c>
      <c r="O113" s="38">
        <v>19.100000000000001</v>
      </c>
      <c r="P113" s="38">
        <v>0.51619999999999999</v>
      </c>
      <c r="Q113" s="38">
        <v>-4.1320000000000001E-4</v>
      </c>
      <c r="R113" s="38">
        <v>1.4539999999999999E-7</v>
      </c>
      <c r="S113" s="48">
        <v>0.25900000000000001</v>
      </c>
    </row>
    <row r="114" spans="1:20" x14ac:dyDescent="0.2">
      <c r="A114" s="37">
        <v>1501</v>
      </c>
      <c r="B114" s="21" t="s">
        <v>341</v>
      </c>
      <c r="C114" s="21" t="s">
        <v>342</v>
      </c>
      <c r="D114" s="37">
        <v>556.4</v>
      </c>
      <c r="E114" s="37">
        <v>4.5</v>
      </c>
      <c r="F114" s="43">
        <v>0.19400000000000001</v>
      </c>
      <c r="G114" s="37">
        <v>1.58</v>
      </c>
      <c r="H114" s="37">
        <v>153.6</v>
      </c>
      <c r="I114" s="37">
        <v>10.1</v>
      </c>
      <c r="J114" s="37">
        <v>17.5</v>
      </c>
      <c r="K114" s="37">
        <v>1.25</v>
      </c>
      <c r="L114" s="37">
        <v>0.64</v>
      </c>
      <c r="M114" s="37">
        <v>-95.813599999999994</v>
      </c>
      <c r="N114" s="37">
        <v>-60.626100000000001</v>
      </c>
      <c r="O114" s="38">
        <v>40.72</v>
      </c>
      <c r="P114" s="38">
        <v>0.2049</v>
      </c>
      <c r="Q114" s="38">
        <v>-2.2699999999999999E-4</v>
      </c>
      <c r="R114" s="38">
        <v>8.8430000000000005E-8</v>
      </c>
      <c r="S114" s="48">
        <v>0.27200000000000002</v>
      </c>
    </row>
    <row r="115" spans="1:20" x14ac:dyDescent="0.2">
      <c r="A115" s="37">
        <v>1502</v>
      </c>
      <c r="B115" s="21" t="s">
        <v>343</v>
      </c>
      <c r="C115" s="21" t="s">
        <v>344</v>
      </c>
      <c r="D115" s="37">
        <v>416.3</v>
      </c>
      <c r="E115" s="37">
        <v>6.59</v>
      </c>
      <c r="F115" s="43">
        <v>0.156</v>
      </c>
      <c r="G115" s="37">
        <v>1.01</v>
      </c>
      <c r="H115" s="37">
        <v>50.4</v>
      </c>
      <c r="I115" s="37">
        <v>4.9000000000000004</v>
      </c>
      <c r="J115" s="37">
        <v>19.7</v>
      </c>
      <c r="K115" s="37">
        <v>3.42</v>
      </c>
      <c r="L115" s="37">
        <v>1.1399999999999999</v>
      </c>
      <c r="M115" s="37">
        <v>-80.751199999999997</v>
      </c>
      <c r="N115" s="37">
        <v>-62.8855</v>
      </c>
      <c r="O115" s="38">
        <v>13.88</v>
      </c>
      <c r="P115" s="38">
        <v>0.1014</v>
      </c>
      <c r="Q115" s="38">
        <v>-3.8890000000000002E-5</v>
      </c>
      <c r="R115" s="38">
        <v>2.5669999999999999E-9</v>
      </c>
      <c r="S115" s="48">
        <v>0.26800000000000002</v>
      </c>
    </row>
    <row r="116" spans="1:20" x14ac:dyDescent="0.2">
      <c r="A116" s="37">
        <v>1504</v>
      </c>
      <c r="B116" s="21" t="s">
        <v>345</v>
      </c>
      <c r="C116" s="21" t="s">
        <v>346</v>
      </c>
      <c r="D116" s="37">
        <v>420</v>
      </c>
      <c r="E116" s="37">
        <v>5.68</v>
      </c>
      <c r="F116" s="43">
        <v>0.10009999999999999</v>
      </c>
      <c r="G116" s="37">
        <v>0.97</v>
      </c>
      <c r="H116" s="37">
        <v>62.4</v>
      </c>
      <c r="I116" s="37">
        <v>6.46</v>
      </c>
      <c r="J116" s="37">
        <v>17.8</v>
      </c>
      <c r="K116" s="37">
        <v>1.1000000000000001</v>
      </c>
      <c r="L116" s="37">
        <v>2.19</v>
      </c>
      <c r="M116" s="37">
        <v>-112.26</v>
      </c>
      <c r="N116" s="37">
        <v>-59.998600000000003</v>
      </c>
      <c r="P116" s="38"/>
      <c r="Q116" s="38"/>
      <c r="R116" s="38"/>
      <c r="S116" s="48">
        <v>0.28299999999999997</v>
      </c>
    </row>
    <row r="117" spans="1:20" x14ac:dyDescent="0.2">
      <c r="A117" s="37">
        <v>1511</v>
      </c>
      <c r="B117" s="21" t="s">
        <v>347</v>
      </c>
      <c r="C117" s="21" t="s">
        <v>348</v>
      </c>
      <c r="D117" s="37">
        <v>510</v>
      </c>
      <c r="E117" s="37">
        <v>6.08</v>
      </c>
      <c r="F117" s="43">
        <v>0.19862199999999999</v>
      </c>
      <c r="G117" s="45">
        <f>H117/64.428</f>
        <v>1.3182560377475632</v>
      </c>
      <c r="H117" s="42">
        <v>84.932599999999994</v>
      </c>
      <c r="I117" s="37">
        <v>51.241</v>
      </c>
      <c r="J117" s="37">
        <v>20.37</v>
      </c>
      <c r="M117" s="37">
        <v>-95.395200000000003</v>
      </c>
      <c r="N117" s="37">
        <v>-68.868700000000004</v>
      </c>
      <c r="P117" s="38"/>
      <c r="Q117" s="38"/>
      <c r="R117" s="38"/>
      <c r="S117" s="48">
        <v>0.26500000000000001</v>
      </c>
    </row>
    <row r="118" spans="1:20" x14ac:dyDescent="0.2">
      <c r="A118" s="37">
        <v>1521</v>
      </c>
      <c r="B118" s="21" t="s">
        <v>349</v>
      </c>
      <c r="C118" s="21" t="s">
        <v>350</v>
      </c>
      <c r="D118" s="37">
        <v>536.4</v>
      </c>
      <c r="E118" s="37">
        <v>5.4</v>
      </c>
      <c r="F118" s="43">
        <v>0.216</v>
      </c>
      <c r="G118" s="37">
        <v>1.48</v>
      </c>
      <c r="H118" s="37">
        <v>119.2</v>
      </c>
      <c r="I118" s="37">
        <v>7.92</v>
      </c>
      <c r="J118" s="37">
        <v>18.899999999999999</v>
      </c>
      <c r="K118" s="37">
        <v>5.8</v>
      </c>
      <c r="L118" s="37">
        <v>0.12</v>
      </c>
      <c r="M118" s="37">
        <v>-103.345</v>
      </c>
      <c r="N118" s="37">
        <v>-68.533900000000003</v>
      </c>
      <c r="O118" s="38">
        <v>24</v>
      </c>
      <c r="P118" s="38">
        <v>0.1893</v>
      </c>
      <c r="Q118" s="38">
        <v>-1.841E-4</v>
      </c>
      <c r="R118" s="38">
        <v>6.6570000000000006E-8</v>
      </c>
      <c r="S118" s="48">
        <v>0.29299999999999998</v>
      </c>
    </row>
    <row r="119" spans="1:20" x14ac:dyDescent="0.2">
      <c r="A119" s="37">
        <v>1522</v>
      </c>
      <c r="B119" s="21" t="s">
        <v>351</v>
      </c>
      <c r="C119" s="49" t="s">
        <v>352</v>
      </c>
      <c r="D119" s="37">
        <v>523</v>
      </c>
      <c r="E119" s="37">
        <v>5.07</v>
      </c>
      <c r="F119" s="43">
        <v>0.2339</v>
      </c>
      <c r="G119" s="37">
        <v>1.17</v>
      </c>
      <c r="H119" s="37">
        <v>98.96</v>
      </c>
      <c r="I119" s="37">
        <v>9.15</v>
      </c>
      <c r="J119" s="45">
        <v>18.286616483100421</v>
      </c>
      <c r="K119" s="45">
        <v>3.28</v>
      </c>
      <c r="L119" s="45">
        <v>1.56</v>
      </c>
      <c r="M119" s="37">
        <v>-127.8</v>
      </c>
      <c r="N119" s="37">
        <v>-72.59</v>
      </c>
      <c r="P119" s="38"/>
      <c r="Q119" s="38"/>
      <c r="R119" s="38"/>
      <c r="S119" s="70">
        <v>0.28000000000000003</v>
      </c>
      <c r="T119" s="37"/>
    </row>
    <row r="120" spans="1:20" x14ac:dyDescent="0.2">
      <c r="A120" s="37">
        <v>1523</v>
      </c>
      <c r="B120" s="21" t="s">
        <v>353</v>
      </c>
      <c r="C120" s="49" t="s">
        <v>354</v>
      </c>
      <c r="D120" s="37">
        <v>561</v>
      </c>
      <c r="E120" s="37">
        <v>5.37</v>
      </c>
      <c r="F120" s="43">
        <v>0.28660000000000002</v>
      </c>
      <c r="G120" s="37">
        <v>1.25</v>
      </c>
      <c r="H120" s="37">
        <v>98.96</v>
      </c>
      <c r="I120" s="37">
        <v>9.3000000000000007</v>
      </c>
      <c r="J120" s="45">
        <v>20.250279998064226</v>
      </c>
      <c r="K120" s="45">
        <v>2.42</v>
      </c>
      <c r="L120" s="45">
        <v>1.34</v>
      </c>
      <c r="M120" s="37">
        <v>-129.80000000000001</v>
      </c>
      <c r="N120" s="37">
        <v>-73.930000000000007</v>
      </c>
      <c r="P120" s="38"/>
      <c r="Q120" s="38"/>
      <c r="R120" s="38"/>
      <c r="S120" s="70">
        <v>0.253</v>
      </c>
      <c r="T120" s="37"/>
    </row>
    <row r="121" spans="1:20" s="35" customFormat="1" x14ac:dyDescent="0.2">
      <c r="A121" s="40">
        <v>1541</v>
      </c>
      <c r="B121" s="63" t="s">
        <v>355</v>
      </c>
      <c r="C121" s="71" t="s">
        <v>356</v>
      </c>
      <c r="D121" s="56">
        <v>571</v>
      </c>
      <c r="E121" s="67">
        <v>4.63</v>
      </c>
      <c r="F121" s="67">
        <v>0.24560000000000001</v>
      </c>
      <c r="G121" s="57">
        <v>1.46</v>
      </c>
      <c r="H121" s="56">
        <v>131.38999999999999</v>
      </c>
      <c r="I121" s="57">
        <v>9.64</v>
      </c>
      <c r="J121" s="57">
        <v>18.797987190122242</v>
      </c>
      <c r="K121" s="57">
        <v>2.0699999999999998</v>
      </c>
      <c r="L121" s="57">
        <v>0.21</v>
      </c>
      <c r="M121" s="57"/>
      <c r="N121" s="40"/>
      <c r="O121" s="69"/>
      <c r="P121" s="69"/>
      <c r="Q121" s="69"/>
      <c r="R121" s="69"/>
      <c r="S121" s="40"/>
    </row>
    <row r="122" spans="1:20" x14ac:dyDescent="0.2">
      <c r="A122" s="37">
        <v>1551</v>
      </c>
      <c r="B122" s="21" t="s">
        <v>357</v>
      </c>
      <c r="C122" s="21" t="s">
        <v>358</v>
      </c>
      <c r="D122" s="37">
        <v>632.4</v>
      </c>
      <c r="E122" s="37">
        <v>4.46</v>
      </c>
      <c r="F122" s="43">
        <v>0.249</v>
      </c>
      <c r="G122" s="37">
        <v>1.1000000000000001</v>
      </c>
      <c r="H122" s="37">
        <v>112.4</v>
      </c>
      <c r="I122" s="37">
        <v>11.73</v>
      </c>
      <c r="J122" s="37">
        <v>19.3</v>
      </c>
      <c r="K122" s="37">
        <v>0</v>
      </c>
      <c r="L122" s="37">
        <v>2.5</v>
      </c>
      <c r="M122" s="37">
        <v>51.09</v>
      </c>
      <c r="N122" s="37">
        <v>98.29</v>
      </c>
      <c r="O122" s="38">
        <v>-33.89</v>
      </c>
      <c r="P122" s="38">
        <v>0.56310000000000004</v>
      </c>
      <c r="Q122" s="38">
        <v>-4.5219999999999999E-4</v>
      </c>
      <c r="R122" s="38">
        <v>1.4259999999999999E-7</v>
      </c>
      <c r="S122" s="48">
        <v>0.26500000000000001</v>
      </c>
    </row>
    <row r="123" spans="1:20" x14ac:dyDescent="0.2">
      <c r="A123" s="37">
        <v>1544</v>
      </c>
      <c r="B123" s="31" t="s">
        <v>359</v>
      </c>
      <c r="C123" s="31" t="s">
        <v>359</v>
      </c>
      <c r="D123" s="37">
        <v>514.15</v>
      </c>
      <c r="E123" s="37">
        <v>4.71</v>
      </c>
      <c r="F123" s="37">
        <v>0.14779999999999999</v>
      </c>
      <c r="G123" s="37">
        <v>0.93</v>
      </c>
      <c r="H123" s="37">
        <v>76.53</v>
      </c>
      <c r="I123" s="37">
        <v>9.0299999999999994</v>
      </c>
      <c r="J123" s="45">
        <v>18.347980967943041</v>
      </c>
      <c r="K123" s="45" t="s">
        <v>360</v>
      </c>
      <c r="L123" s="45" t="s">
        <v>360</v>
      </c>
      <c r="M123" s="37">
        <v>-0.63</v>
      </c>
      <c r="N123" s="37">
        <v>43.5</v>
      </c>
      <c r="O123" s="66"/>
      <c r="P123" s="31"/>
      <c r="Q123" s="31"/>
      <c r="R123" s="31"/>
      <c r="S123" s="31"/>
    </row>
    <row r="124" spans="1:20" x14ac:dyDescent="0.2">
      <c r="A124" s="37">
        <v>1591</v>
      </c>
      <c r="B124" s="21" t="s">
        <v>361</v>
      </c>
      <c r="C124" s="50" t="s">
        <v>362</v>
      </c>
      <c r="D124" s="37">
        <v>482</v>
      </c>
      <c r="E124" s="37">
        <v>5.19</v>
      </c>
      <c r="F124" s="43">
        <v>0.27212599999999998</v>
      </c>
      <c r="G124" s="45">
        <f>H124/80.386</f>
        <v>1.2059724330107233</v>
      </c>
      <c r="H124" s="37">
        <v>96.943299999999994</v>
      </c>
      <c r="I124" s="45">
        <f>67.0282/8.314</f>
        <v>8.0620880442626888</v>
      </c>
      <c r="J124" s="37">
        <v>17.28</v>
      </c>
      <c r="M124" s="37">
        <v>2.38</v>
      </c>
      <c r="N124" s="37">
        <v>25.39</v>
      </c>
      <c r="P124" s="38"/>
      <c r="Q124" s="38"/>
      <c r="R124" s="38"/>
      <c r="S124" s="48">
        <v>0.28999999999999998</v>
      </c>
    </row>
    <row r="125" spans="1:20" x14ac:dyDescent="0.2">
      <c r="A125" s="37">
        <v>1601</v>
      </c>
      <c r="B125" s="21" t="s">
        <v>363</v>
      </c>
      <c r="C125" s="21" t="s">
        <v>364</v>
      </c>
      <c r="D125" s="37">
        <v>385</v>
      </c>
      <c r="E125" s="37">
        <v>4.07</v>
      </c>
      <c r="F125" s="43">
        <v>0.17599999999999999</v>
      </c>
      <c r="G125" s="37">
        <v>1.49</v>
      </c>
      <c r="H125" s="37">
        <v>120.8</v>
      </c>
      <c r="I125" s="37">
        <v>8.7100000000000009</v>
      </c>
      <c r="J125" s="37">
        <v>15</v>
      </c>
      <c r="M125" s="37">
        <v>-493.29399999999998</v>
      </c>
      <c r="N125" s="37">
        <v>-453.964</v>
      </c>
      <c r="O125" s="38">
        <v>31.6</v>
      </c>
      <c r="P125" s="38">
        <v>0.1782</v>
      </c>
      <c r="Q125" s="38">
        <v>-1.5090000000000001E-4</v>
      </c>
      <c r="R125" s="38">
        <v>4.3420000000000001E-8</v>
      </c>
      <c r="S125" s="48">
        <v>0.28000000000000003</v>
      </c>
    </row>
    <row r="126" spans="1:20" x14ac:dyDescent="0.2">
      <c r="A126" s="37">
        <v>1602</v>
      </c>
      <c r="B126" s="21" t="s">
        <v>365</v>
      </c>
      <c r="C126" s="21" t="s">
        <v>365</v>
      </c>
      <c r="D126" s="42">
        <v>471.2</v>
      </c>
      <c r="E126" s="43">
        <v>4.3499999999999996</v>
      </c>
      <c r="F126" s="43">
        <v>0.188</v>
      </c>
      <c r="G126" s="45">
        <v>1.4805777107135158</v>
      </c>
      <c r="H126" s="42">
        <v>137.37</v>
      </c>
      <c r="I126" s="45">
        <v>9.3937936011546785</v>
      </c>
      <c r="J126" s="45">
        <v>15.586579150025191</v>
      </c>
      <c r="K126" s="45" t="s">
        <v>360</v>
      </c>
      <c r="L126" s="45" t="s">
        <v>360</v>
      </c>
      <c r="M126" s="37">
        <v>-288.7</v>
      </c>
      <c r="N126" s="37">
        <v>-249.4</v>
      </c>
      <c r="P126" s="38"/>
      <c r="Q126" s="38"/>
      <c r="R126" s="38"/>
      <c r="S126" s="48">
        <v>0.27900000000000003</v>
      </c>
    </row>
    <row r="127" spans="1:20" x14ac:dyDescent="0.2">
      <c r="A127" s="37">
        <v>1604</v>
      </c>
      <c r="B127" s="21" t="s">
        <v>366</v>
      </c>
      <c r="C127" s="21" t="s">
        <v>366</v>
      </c>
      <c r="D127" s="42">
        <v>369.8</v>
      </c>
      <c r="E127" s="43">
        <v>4.97</v>
      </c>
      <c r="F127" s="43">
        <v>0.221</v>
      </c>
      <c r="G127" s="45">
        <v>1.4119529719137818</v>
      </c>
      <c r="H127" s="42">
        <v>86.47</v>
      </c>
      <c r="I127" s="45">
        <v>6.9040173201828239</v>
      </c>
      <c r="J127" s="45">
        <v>17.386604038742011</v>
      </c>
      <c r="K127" s="45" t="s">
        <v>360</v>
      </c>
      <c r="L127" s="45" t="s">
        <v>360</v>
      </c>
      <c r="M127" s="37">
        <v>-482.8</v>
      </c>
      <c r="N127" s="37">
        <v>-450.5</v>
      </c>
      <c r="P127" s="38"/>
      <c r="Q127" s="38"/>
      <c r="R127" s="38"/>
      <c r="S127" s="48">
        <v>0.26800000000000002</v>
      </c>
    </row>
    <row r="128" spans="1:20" x14ac:dyDescent="0.2">
      <c r="A128" s="37">
        <v>1614</v>
      </c>
      <c r="B128" s="21" t="s">
        <v>367</v>
      </c>
      <c r="C128" s="21" t="s">
        <v>367</v>
      </c>
      <c r="D128" s="42">
        <v>351.6</v>
      </c>
      <c r="E128" s="43">
        <v>5.83</v>
      </c>
      <c r="F128" s="43">
        <v>0.2727</v>
      </c>
      <c r="G128" s="45">
        <v>1.21</v>
      </c>
      <c r="H128" s="42">
        <v>52.02</v>
      </c>
      <c r="I128" s="45">
        <v>5.15</v>
      </c>
      <c r="J128" s="45">
        <v>20.659376563681683</v>
      </c>
      <c r="K128" s="45">
        <v>4</v>
      </c>
      <c r="L128" s="45">
        <v>1</v>
      </c>
      <c r="M128" s="37">
        <v>-452.71</v>
      </c>
      <c r="N128" s="37">
        <v>-425.16</v>
      </c>
      <c r="P128" s="38"/>
      <c r="Q128" s="38"/>
      <c r="R128" s="38"/>
      <c r="S128" s="48">
        <v>0.24399999999999999</v>
      </c>
    </row>
    <row r="129" spans="1:19" x14ac:dyDescent="0.2">
      <c r="A129" s="66">
        <v>1617</v>
      </c>
      <c r="B129" s="50" t="s">
        <v>368</v>
      </c>
      <c r="C129" s="50" t="s">
        <v>368</v>
      </c>
      <c r="D129" s="42">
        <v>375.8</v>
      </c>
      <c r="E129" s="43">
        <v>4.2699999999999996</v>
      </c>
      <c r="F129" s="43">
        <v>0.22</v>
      </c>
      <c r="G129" s="45">
        <v>0.81660428717250766</v>
      </c>
      <c r="H129" s="42">
        <v>48</v>
      </c>
      <c r="I129" s="45">
        <v>7.118715419773876</v>
      </c>
      <c r="J129" s="45">
        <v>17.57</v>
      </c>
      <c r="K129" s="57">
        <v>2</v>
      </c>
      <c r="L129" s="57">
        <v>0.2</v>
      </c>
      <c r="M129" s="37">
        <v>-264.39999999999998</v>
      </c>
      <c r="N129" s="37">
        <v>-212.3</v>
      </c>
      <c r="P129" s="38"/>
      <c r="Q129" s="38"/>
      <c r="R129" s="38"/>
      <c r="S129" s="40">
        <v>0.26400000000000001</v>
      </c>
    </row>
    <row r="130" spans="1:19" x14ac:dyDescent="0.2">
      <c r="A130" s="37">
        <v>1629</v>
      </c>
      <c r="B130" s="21" t="s">
        <v>369</v>
      </c>
      <c r="C130" s="21" t="s">
        <v>369</v>
      </c>
      <c r="D130" s="42">
        <v>303.2</v>
      </c>
      <c r="E130" s="43">
        <v>4.43</v>
      </c>
      <c r="F130" s="43">
        <v>0.13619999999999999</v>
      </c>
      <c r="G130" s="45">
        <v>1.1399999999999999</v>
      </c>
      <c r="H130" s="42">
        <v>64.03</v>
      </c>
      <c r="I130" s="45">
        <v>7.69</v>
      </c>
      <c r="J130" s="45">
        <v>15.729762947991302</v>
      </c>
      <c r="K130" s="45"/>
      <c r="L130" s="45"/>
      <c r="M130" s="37">
        <v>-345</v>
      </c>
      <c r="N130" s="37">
        <v>-313.08999999999997</v>
      </c>
      <c r="P130" s="38"/>
      <c r="Q130" s="38"/>
      <c r="R130" s="38"/>
      <c r="S130" s="48">
        <v>0.27300000000000002</v>
      </c>
    </row>
    <row r="131" spans="1:19" x14ac:dyDescent="0.2">
      <c r="A131" s="37">
        <v>1646</v>
      </c>
      <c r="B131" s="21" t="s">
        <v>370</v>
      </c>
      <c r="C131" s="21" t="s">
        <v>370</v>
      </c>
      <c r="D131" s="42">
        <v>342</v>
      </c>
      <c r="E131" s="43">
        <v>3.44</v>
      </c>
      <c r="F131" s="43">
        <v>0.25869999999999999</v>
      </c>
      <c r="G131" s="45">
        <v>1.49</v>
      </c>
      <c r="H131" s="42">
        <v>120.02</v>
      </c>
      <c r="I131" s="45">
        <v>11.35</v>
      </c>
      <c r="J131" s="45">
        <v>14.666111877385909</v>
      </c>
      <c r="K131" s="45">
        <v>14.5</v>
      </c>
      <c r="L131" s="45">
        <v>0</v>
      </c>
      <c r="M131" s="37">
        <v>-1104.5999999999999</v>
      </c>
      <c r="N131" s="37">
        <v>-1029.3</v>
      </c>
      <c r="P131" s="38"/>
      <c r="Q131" s="38"/>
      <c r="R131" s="38"/>
      <c r="S131" s="48">
        <v>0.27100000000000002</v>
      </c>
    </row>
    <row r="132" spans="1:19" x14ac:dyDescent="0.2">
      <c r="A132" s="37">
        <v>1699</v>
      </c>
      <c r="B132" s="21" t="s">
        <v>371</v>
      </c>
      <c r="C132" s="21" t="s">
        <v>371</v>
      </c>
      <c r="D132" s="42">
        <v>368</v>
      </c>
      <c r="E132" s="43">
        <v>2.9</v>
      </c>
      <c r="F132" s="43">
        <v>0.20430000000000001</v>
      </c>
      <c r="G132" s="45">
        <v>1.54</v>
      </c>
      <c r="H132" s="42">
        <v>150.02000000000001</v>
      </c>
      <c r="I132" s="45">
        <v>14.65</v>
      </c>
      <c r="J132" s="45">
        <v>13.35700286741004</v>
      </c>
      <c r="K132" s="45"/>
      <c r="L132" s="45"/>
      <c r="M132" s="37">
        <v>-1080</v>
      </c>
      <c r="N132" s="37">
        <v>-1038.08</v>
      </c>
      <c r="P132" s="38"/>
      <c r="Q132" s="38"/>
      <c r="R132" s="38"/>
      <c r="S132" s="48">
        <v>0.254</v>
      </c>
    </row>
    <row r="133" spans="1:19" x14ac:dyDescent="0.2">
      <c r="A133" s="37">
        <v>1701</v>
      </c>
      <c r="B133" s="21" t="s">
        <v>372</v>
      </c>
      <c r="C133" s="21" t="s">
        <v>373</v>
      </c>
      <c r="D133" s="42">
        <v>430.05</v>
      </c>
      <c r="E133" s="43">
        <v>7.46</v>
      </c>
      <c r="F133" s="43">
        <v>0.28139999999999998</v>
      </c>
      <c r="G133" s="45">
        <v>0.69</v>
      </c>
      <c r="H133" s="42">
        <v>31.06</v>
      </c>
      <c r="I133" s="45">
        <v>6.37</v>
      </c>
      <c r="J133" s="45">
        <v>23.113955957386441</v>
      </c>
      <c r="K133" s="45">
        <v>1</v>
      </c>
      <c r="L133" s="45">
        <v>8</v>
      </c>
      <c r="M133" s="37">
        <v>-23</v>
      </c>
      <c r="N133" s="37">
        <v>32.091299999999997</v>
      </c>
      <c r="P133" s="38"/>
      <c r="Q133" s="38"/>
      <c r="R133" s="38"/>
      <c r="S133" s="48">
        <v>0.32100000000000001</v>
      </c>
    </row>
    <row r="134" spans="1:19" x14ac:dyDescent="0.2">
      <c r="A134" s="37">
        <v>1704</v>
      </c>
      <c r="B134" s="21" t="s">
        <v>374</v>
      </c>
      <c r="C134" s="21" t="s">
        <v>375</v>
      </c>
      <c r="D134" s="42">
        <v>456.15</v>
      </c>
      <c r="E134" s="43">
        <v>5.62</v>
      </c>
      <c r="F134" s="43">
        <v>0.2848</v>
      </c>
      <c r="G134" s="45">
        <v>0.69</v>
      </c>
      <c r="H134" s="42">
        <v>45.08</v>
      </c>
      <c r="I134" s="45">
        <v>8.74</v>
      </c>
      <c r="J134" s="45">
        <v>19.493451351671926</v>
      </c>
      <c r="K134" s="45">
        <v>1</v>
      </c>
      <c r="L134" s="45">
        <v>8</v>
      </c>
      <c r="M134" s="37">
        <v>-48.6599</v>
      </c>
      <c r="N134" s="37">
        <v>37.279400000000003</v>
      </c>
      <c r="P134" s="38"/>
      <c r="Q134" s="38"/>
      <c r="R134" s="38"/>
      <c r="S134" s="48">
        <v>0.307</v>
      </c>
    </row>
    <row r="135" spans="1:19" x14ac:dyDescent="0.2">
      <c r="A135" s="37">
        <v>1706</v>
      </c>
      <c r="B135" s="21" t="s">
        <v>90</v>
      </c>
      <c r="C135" s="21" t="s">
        <v>90</v>
      </c>
      <c r="D135" s="42">
        <v>535.15</v>
      </c>
      <c r="E135" s="43">
        <v>3.04</v>
      </c>
      <c r="F135" s="43">
        <v>0.31619999999999998</v>
      </c>
      <c r="G135" s="45">
        <v>0.72</v>
      </c>
      <c r="H135" s="42">
        <v>101.19</v>
      </c>
      <c r="I135" s="45">
        <v>19.36</v>
      </c>
      <c r="J135" s="45">
        <v>15.177482584407732</v>
      </c>
      <c r="K135" s="45">
        <v>0</v>
      </c>
      <c r="L135" s="45">
        <v>7.7</v>
      </c>
      <c r="M135" s="37">
        <v>-99.6</v>
      </c>
      <c r="N135" s="37">
        <v>114.1</v>
      </c>
      <c r="P135" s="38"/>
      <c r="Q135" s="38"/>
      <c r="R135" s="38"/>
      <c r="S135" s="48">
        <v>0.26600000000000001</v>
      </c>
    </row>
    <row r="136" spans="1:19" x14ac:dyDescent="0.2">
      <c r="A136" s="37">
        <v>1717</v>
      </c>
      <c r="B136" s="21" t="s">
        <v>376</v>
      </c>
      <c r="C136" s="21" t="s">
        <v>376</v>
      </c>
      <c r="D136" s="42">
        <v>653</v>
      </c>
      <c r="E136" s="43">
        <v>14.5</v>
      </c>
      <c r="F136" s="43">
        <v>0.32800000000000001</v>
      </c>
      <c r="G136" s="45">
        <v>1.0036016285624805</v>
      </c>
      <c r="H136" s="42">
        <v>32.049999999999997</v>
      </c>
      <c r="I136" s="45">
        <v>5.47</v>
      </c>
      <c r="J136" s="45">
        <v>36.225500885426001</v>
      </c>
      <c r="K136" s="45">
        <v>2.98</v>
      </c>
      <c r="L136" s="45">
        <v>2.98</v>
      </c>
      <c r="M136" s="37">
        <v>95.4</v>
      </c>
      <c r="N136" s="37">
        <v>159.19999999999999</v>
      </c>
      <c r="P136" s="38"/>
      <c r="Q136" s="38"/>
      <c r="R136" s="38"/>
      <c r="S136" s="48">
        <v>0.26</v>
      </c>
    </row>
    <row r="137" spans="1:19" x14ac:dyDescent="0.2">
      <c r="A137" s="37">
        <v>1722</v>
      </c>
      <c r="B137" s="21" t="s">
        <v>377</v>
      </c>
      <c r="C137" s="21" t="s">
        <v>378</v>
      </c>
      <c r="D137" s="42">
        <v>675</v>
      </c>
      <c r="E137" s="43">
        <v>3.88</v>
      </c>
      <c r="F137" s="43">
        <v>1.1649</v>
      </c>
      <c r="G137" s="45">
        <v>1.03</v>
      </c>
      <c r="H137" s="42">
        <v>119.16</v>
      </c>
      <c r="I137" s="45">
        <v>19.64</v>
      </c>
      <c r="J137" s="45">
        <v>28.145843714481185</v>
      </c>
      <c r="K137" s="45">
        <v>8</v>
      </c>
      <c r="L137" s="45">
        <v>20</v>
      </c>
      <c r="M137" s="37">
        <v>-380</v>
      </c>
      <c r="N137" s="37">
        <v>-169</v>
      </c>
      <c r="P137" s="38"/>
      <c r="Q137" s="38"/>
      <c r="R137" s="38"/>
      <c r="S137" s="48">
        <v>0.254</v>
      </c>
    </row>
    <row r="138" spans="1:19" x14ac:dyDescent="0.2">
      <c r="A138" s="37">
        <v>1723</v>
      </c>
      <c r="B138" s="72" t="s">
        <v>379</v>
      </c>
      <c r="C138" s="71" t="s">
        <v>380</v>
      </c>
      <c r="D138" s="37">
        <v>678.2</v>
      </c>
      <c r="E138" s="37">
        <v>7.1239999999999997</v>
      </c>
      <c r="F138" s="43">
        <v>0.446737</v>
      </c>
      <c r="G138" s="45">
        <v>1.0129867330016584</v>
      </c>
      <c r="H138" s="45">
        <v>61.083100000000002</v>
      </c>
      <c r="I138" s="45">
        <f>85.76/8.314</f>
        <v>10.315131104161656</v>
      </c>
      <c r="J138" s="37">
        <v>31.83</v>
      </c>
      <c r="K138" s="45">
        <v>12.58</v>
      </c>
      <c r="L138" s="37">
        <v>22.5</v>
      </c>
      <c r="M138" s="37">
        <v>-206.7</v>
      </c>
      <c r="N138" s="37">
        <v>-103.3</v>
      </c>
      <c r="O138" s="58">
        <f>I138*8.314</f>
        <v>85.76</v>
      </c>
      <c r="P138" s="38">
        <v>0</v>
      </c>
      <c r="Q138" s="38">
        <v>0</v>
      </c>
      <c r="R138" s="38">
        <v>0</v>
      </c>
      <c r="S138" s="40">
        <v>0.28399999999999997</v>
      </c>
    </row>
    <row r="139" spans="1:19" x14ac:dyDescent="0.2">
      <c r="A139" s="37">
        <v>1771</v>
      </c>
      <c r="B139" s="21" t="s">
        <v>381</v>
      </c>
      <c r="C139" s="21" t="s">
        <v>382</v>
      </c>
      <c r="D139" s="37">
        <v>456.8</v>
      </c>
      <c r="E139" s="37">
        <v>5.32</v>
      </c>
      <c r="F139" s="43">
        <v>0.40699999999999997</v>
      </c>
      <c r="G139" s="37">
        <v>0.68</v>
      </c>
      <c r="H139" s="37">
        <v>27</v>
      </c>
      <c r="I139" s="37">
        <v>4.33</v>
      </c>
      <c r="J139" s="37">
        <v>24.8</v>
      </c>
      <c r="K139" s="37">
        <v>3</v>
      </c>
      <c r="L139" s="37">
        <v>3</v>
      </c>
      <c r="M139" s="37">
        <v>135.13999999999999</v>
      </c>
      <c r="N139" s="37">
        <v>124.73</v>
      </c>
      <c r="O139" s="38">
        <v>21.86</v>
      </c>
      <c r="P139" s="38">
        <v>6.062E-2</v>
      </c>
      <c r="Q139" s="38">
        <v>-4.9610000000000001E-5</v>
      </c>
      <c r="R139" s="38">
        <v>1.815E-8</v>
      </c>
      <c r="S139" s="48">
        <v>0.19700000000000001</v>
      </c>
    </row>
    <row r="140" spans="1:19" x14ac:dyDescent="0.2">
      <c r="A140" s="37">
        <v>1772</v>
      </c>
      <c r="B140" s="21" t="s">
        <v>383</v>
      </c>
      <c r="C140" s="21" t="s">
        <v>384</v>
      </c>
      <c r="D140" s="37">
        <v>545.5</v>
      </c>
      <c r="E140" s="37">
        <v>4.8330000000000002</v>
      </c>
      <c r="F140" s="43">
        <v>0.35299999999999998</v>
      </c>
      <c r="G140" s="37">
        <v>0.78</v>
      </c>
      <c r="H140" s="37">
        <v>41.05</v>
      </c>
      <c r="I140" s="37">
        <v>6.28</v>
      </c>
      <c r="J140" s="37">
        <v>24.1</v>
      </c>
      <c r="K140" s="37">
        <v>3.49</v>
      </c>
      <c r="L140" s="37">
        <v>8.98</v>
      </c>
      <c r="M140" s="37">
        <v>74.040000000000006</v>
      </c>
      <c r="N140" s="37">
        <v>91.867999999999995</v>
      </c>
      <c r="O140" s="38">
        <v>20.48</v>
      </c>
      <c r="P140" s="38">
        <v>0.1196</v>
      </c>
      <c r="Q140" s="38">
        <v>-4.4919999999999997E-5</v>
      </c>
      <c r="R140" s="38">
        <v>3.2029999999999998E-9</v>
      </c>
      <c r="S140" s="48">
        <v>0.184</v>
      </c>
    </row>
    <row r="141" spans="1:19" x14ac:dyDescent="0.2">
      <c r="A141" s="37">
        <v>1791</v>
      </c>
      <c r="B141" s="21" t="s">
        <v>385</v>
      </c>
      <c r="C141" s="21" t="s">
        <v>385</v>
      </c>
      <c r="D141" s="42">
        <v>620</v>
      </c>
      <c r="E141" s="43">
        <v>5.63</v>
      </c>
      <c r="F141" s="43">
        <v>0.23860000000000001</v>
      </c>
      <c r="G141" s="45">
        <v>0.98</v>
      </c>
      <c r="H141" s="42">
        <v>79.099999999999994</v>
      </c>
      <c r="I141" s="45">
        <v>9.4</v>
      </c>
      <c r="J141" s="45">
        <v>21.559389008040093</v>
      </c>
      <c r="K141" s="45">
        <v>1.61</v>
      </c>
      <c r="L141" s="45">
        <v>14.93</v>
      </c>
      <c r="M141" s="37">
        <v>140.19999999999999</v>
      </c>
      <c r="N141" s="37">
        <v>190.2</v>
      </c>
      <c r="P141" s="38"/>
      <c r="Q141" s="38"/>
      <c r="R141" s="38"/>
      <c r="S141" s="48">
        <v>0.27700000000000002</v>
      </c>
    </row>
    <row r="142" spans="1:19" x14ac:dyDescent="0.2">
      <c r="A142" s="37">
        <v>1792</v>
      </c>
      <c r="B142" s="21" t="s">
        <v>386</v>
      </c>
      <c r="C142" s="21" t="s">
        <v>386</v>
      </c>
      <c r="D142" s="37">
        <v>699</v>
      </c>
      <c r="E142" s="37">
        <v>5.31</v>
      </c>
      <c r="F142" s="43">
        <v>0.3775</v>
      </c>
      <c r="G142" s="45">
        <f>H142/91.63</f>
        <v>1.0163701844374113</v>
      </c>
      <c r="H142" s="37">
        <v>93.13</v>
      </c>
      <c r="I142" s="37">
        <f>110.82/8.314</f>
        <v>13.329324031753668</v>
      </c>
      <c r="J142" s="37">
        <v>24.12</v>
      </c>
      <c r="K142" s="37">
        <v>6.51</v>
      </c>
      <c r="L142" s="37">
        <v>6.34</v>
      </c>
      <c r="M142" s="37">
        <v>87.1</v>
      </c>
      <c r="N142" s="37">
        <v>166.8</v>
      </c>
      <c r="P142" s="38"/>
      <c r="Q142" s="38"/>
      <c r="R142" s="38"/>
      <c r="S142" s="48"/>
    </row>
    <row r="143" spans="1:19" x14ac:dyDescent="0.2">
      <c r="A143" s="37">
        <v>1801</v>
      </c>
      <c r="B143" s="21" t="s">
        <v>387</v>
      </c>
      <c r="C143" s="52" t="s">
        <v>388</v>
      </c>
      <c r="D143" s="37">
        <v>469.95</v>
      </c>
      <c r="E143" s="37">
        <v>7.23</v>
      </c>
      <c r="F143" s="43">
        <v>0.15817400000000001</v>
      </c>
      <c r="G143" s="45">
        <f>H143/54.206</f>
        <v>0.88749400435376158</v>
      </c>
      <c r="H143" s="53">
        <v>48.107500000000002</v>
      </c>
      <c r="I143" s="45">
        <f>48.17/8.314</f>
        <v>5.7938417127736352</v>
      </c>
      <c r="J143" s="37">
        <v>20.27</v>
      </c>
      <c r="M143" s="37">
        <v>-22.6</v>
      </c>
      <c r="N143" s="37">
        <v>-9.5</v>
      </c>
      <c r="P143" s="38"/>
      <c r="Q143" s="38"/>
      <c r="R143" s="38"/>
      <c r="S143" s="40">
        <v>0.26800000000000002</v>
      </c>
    </row>
    <row r="144" spans="1:19" x14ac:dyDescent="0.2">
      <c r="A144" s="37">
        <v>1802</v>
      </c>
      <c r="B144" s="21" t="s">
        <v>389</v>
      </c>
      <c r="C144" s="52" t="s">
        <v>390</v>
      </c>
      <c r="D144" s="37">
        <v>499.15</v>
      </c>
      <c r="E144" s="37">
        <v>5.49</v>
      </c>
      <c r="F144" s="43">
        <v>0.187751</v>
      </c>
      <c r="G144" s="45">
        <f>H144/74.613</f>
        <v>0.83275032501038693</v>
      </c>
      <c r="H144" s="53">
        <v>62.134</v>
      </c>
      <c r="I144" s="45">
        <f>72.982/8.314</f>
        <v>8.7782054366129412</v>
      </c>
      <c r="J144" s="37">
        <v>18.25</v>
      </c>
      <c r="M144" s="37">
        <v>-46</v>
      </c>
      <c r="N144" s="37">
        <v>-4.5</v>
      </c>
      <c r="P144" s="38"/>
      <c r="Q144" s="38"/>
      <c r="R144" s="38"/>
      <c r="S144" s="40">
        <v>0.27400000000000002</v>
      </c>
    </row>
    <row r="145" spans="1:23" x14ac:dyDescent="0.2">
      <c r="A145" s="37">
        <v>1820</v>
      </c>
      <c r="B145" s="21" t="s">
        <v>391</v>
      </c>
      <c r="C145" s="52" t="s">
        <v>392</v>
      </c>
      <c r="D145" s="37">
        <v>503.04</v>
      </c>
      <c r="E145" s="37">
        <v>5.53</v>
      </c>
      <c r="F145" s="43">
        <v>0.19425600000000001</v>
      </c>
      <c r="G145" s="45">
        <f>H145/73.737</f>
        <v>0.84264344901474164</v>
      </c>
      <c r="H145" s="53">
        <v>62.134</v>
      </c>
      <c r="I145" s="45">
        <f>73.9995/8.314</f>
        <v>8.900589367332211</v>
      </c>
      <c r="J145" s="37">
        <v>18.53</v>
      </c>
      <c r="M145" s="37">
        <v>-37.200000000000003</v>
      </c>
      <c r="N145" s="37">
        <v>7.4</v>
      </c>
      <c r="P145" s="38"/>
      <c r="Q145" s="38"/>
      <c r="R145" s="38"/>
      <c r="S145" s="40">
        <v>0.26600000000000001</v>
      </c>
    </row>
    <row r="146" spans="1:23" x14ac:dyDescent="0.2">
      <c r="A146" s="37">
        <v>1856</v>
      </c>
      <c r="B146" s="55" t="s">
        <v>393</v>
      </c>
      <c r="C146" s="31" t="str">
        <f>B146</f>
        <v>ChloroBenzaldehyde</v>
      </c>
      <c r="D146" s="56">
        <v>697</v>
      </c>
      <c r="E146" s="57">
        <v>4.0599999999999996</v>
      </c>
      <c r="F146" s="48">
        <v>0.41589999999999999</v>
      </c>
      <c r="G146" s="57">
        <f>H146/116.44</f>
        <v>1.2072311920302301</v>
      </c>
      <c r="H146" s="48">
        <v>140.57</v>
      </c>
      <c r="I146" s="45">
        <f>121.2/8.314</f>
        <v>14.577820543661295</v>
      </c>
      <c r="J146" s="57">
        <v>20.34</v>
      </c>
      <c r="K146" s="57">
        <v>0</v>
      </c>
      <c r="L146" s="57">
        <f>L145*SQRT(H145/H146)</f>
        <v>0</v>
      </c>
      <c r="M146" s="57">
        <v>-103.2</v>
      </c>
      <c r="N146" s="57">
        <v>-40.799999999999997</v>
      </c>
      <c r="O146" s="58"/>
      <c r="P146" s="38"/>
      <c r="Q146" s="38"/>
      <c r="R146" s="38"/>
      <c r="S146" s="40"/>
    </row>
    <row r="147" spans="1:23" x14ac:dyDescent="0.2">
      <c r="A147" s="37">
        <v>1877</v>
      </c>
      <c r="B147" s="21" t="s">
        <v>394</v>
      </c>
      <c r="C147" s="52" t="s">
        <v>395</v>
      </c>
      <c r="D147" s="37">
        <v>705</v>
      </c>
      <c r="E147" s="37">
        <v>9.0500000000000007</v>
      </c>
      <c r="F147" s="73" t="s">
        <v>396</v>
      </c>
      <c r="G147" s="45">
        <f>H147/48.826</f>
        <v>1.2299860729938967</v>
      </c>
      <c r="H147" s="53">
        <v>60.055300000000003</v>
      </c>
      <c r="I147" s="45">
        <f>66.3849/8.314</f>
        <v>7.9847125330767383</v>
      </c>
      <c r="J147" s="73" t="s">
        <v>396</v>
      </c>
      <c r="M147" s="37">
        <v>245.81</v>
      </c>
      <c r="N147" s="37">
        <v>-152.71600000000001</v>
      </c>
      <c r="P147" s="38"/>
      <c r="Q147" s="38"/>
      <c r="R147" s="38"/>
      <c r="S147" s="40">
        <v>0.33700000000000002</v>
      </c>
    </row>
    <row r="148" spans="1:23" x14ac:dyDescent="0.2">
      <c r="A148" s="37">
        <v>1886</v>
      </c>
      <c r="B148" s="21" t="s">
        <v>397</v>
      </c>
      <c r="C148" s="21" t="s">
        <v>397</v>
      </c>
      <c r="D148" s="42">
        <v>719</v>
      </c>
      <c r="E148" s="43">
        <v>4.4000000000000004</v>
      </c>
      <c r="F148" s="43">
        <v>0.44919999999999999</v>
      </c>
      <c r="G148" s="45">
        <v>1.1985105140186916</v>
      </c>
      <c r="H148" s="42">
        <v>123.111</v>
      </c>
      <c r="I148" s="45">
        <v>15.467885494346884</v>
      </c>
      <c r="J148" s="45">
        <v>22.61</v>
      </c>
      <c r="K148" s="45">
        <v>0.98</v>
      </c>
      <c r="L148" s="45">
        <v>3.29</v>
      </c>
      <c r="M148" s="37">
        <v>12.5</v>
      </c>
      <c r="N148" s="37">
        <v>143</v>
      </c>
      <c r="P148" s="38"/>
      <c r="Q148" s="38"/>
      <c r="R148" s="38"/>
      <c r="S148" s="48">
        <v>0.25700000000000001</v>
      </c>
    </row>
    <row r="149" spans="1:23" x14ac:dyDescent="0.2">
      <c r="A149" s="37">
        <v>1889</v>
      </c>
      <c r="B149" s="55" t="s">
        <v>398</v>
      </c>
      <c r="C149" s="31" t="str">
        <f>B149</f>
        <v>Furfural</v>
      </c>
      <c r="D149" s="37">
        <v>570</v>
      </c>
      <c r="E149" s="37">
        <v>5.6</v>
      </c>
      <c r="F149" s="37">
        <v>0.37</v>
      </c>
      <c r="G149" s="57">
        <v>1.17</v>
      </c>
      <c r="H149" s="37">
        <v>96.1</v>
      </c>
      <c r="I149" s="45">
        <f>98.6/8.314</f>
        <v>11.859514072648544</v>
      </c>
      <c r="J149" s="57">
        <v>23.62</v>
      </c>
      <c r="K149" s="57">
        <v>0</v>
      </c>
      <c r="L149" s="57">
        <v>4.4007289387677364</v>
      </c>
      <c r="M149" s="57">
        <v>-151</v>
      </c>
      <c r="N149" s="57">
        <v>-102.8</v>
      </c>
      <c r="O149" s="58"/>
      <c r="P149" s="38"/>
      <c r="Q149" s="38"/>
      <c r="R149" s="38"/>
      <c r="S149" s="40"/>
    </row>
    <row r="150" spans="1:23" x14ac:dyDescent="0.2">
      <c r="A150" s="37">
        <v>1901</v>
      </c>
      <c r="B150" s="21" t="s">
        <v>399</v>
      </c>
      <c r="C150" s="52" t="s">
        <v>400</v>
      </c>
      <c r="D150" s="37">
        <v>924</v>
      </c>
      <c r="E150" s="37">
        <v>6.4</v>
      </c>
      <c r="F150" s="73" t="s">
        <v>396</v>
      </c>
      <c r="G150" s="45">
        <f>H150/53.637</f>
        <v>1.8285605086041352</v>
      </c>
      <c r="H150" s="53">
        <v>98.078500000000005</v>
      </c>
      <c r="I150" s="45">
        <f>84.3491/8.314</f>
        <v>10.145429396199184</v>
      </c>
      <c r="J150" s="41">
        <v>28.41</v>
      </c>
      <c r="M150" s="37">
        <v>-740.56799999999998</v>
      </c>
      <c r="N150" s="37">
        <v>-653.46900000000005</v>
      </c>
      <c r="P150" s="38"/>
      <c r="Q150" s="38"/>
      <c r="R150" s="38"/>
      <c r="S150" s="40">
        <v>0.14699999999999999</v>
      </c>
    </row>
    <row r="151" spans="1:23" x14ac:dyDescent="0.2">
      <c r="A151" s="37">
        <v>1902</v>
      </c>
      <c r="B151" s="21" t="s">
        <v>401</v>
      </c>
      <c r="C151" s="52" t="s">
        <v>402</v>
      </c>
      <c r="D151" s="37">
        <f>1030</f>
        <v>1030</v>
      </c>
      <c r="E151" s="37">
        <v>5.07</v>
      </c>
      <c r="F151" s="73" t="s">
        <v>396</v>
      </c>
      <c r="G151" s="45">
        <f>H151/52.783</f>
        <v>1.8565674554307257</v>
      </c>
      <c r="H151" s="53">
        <v>97.995199999999997</v>
      </c>
      <c r="I151" s="41" t="s">
        <v>396</v>
      </c>
      <c r="J151" s="41">
        <v>37.03</v>
      </c>
      <c r="M151" s="37">
        <v>-1250.22</v>
      </c>
      <c r="N151" s="37">
        <v>-1106.42</v>
      </c>
      <c r="P151" s="38"/>
      <c r="Q151" s="38"/>
      <c r="R151" s="38"/>
      <c r="S151" s="40">
        <v>0.20100000000000001</v>
      </c>
    </row>
    <row r="152" spans="1:23" x14ac:dyDescent="0.2">
      <c r="A152" s="37">
        <v>1903</v>
      </c>
      <c r="B152" s="21" t="s">
        <v>403</v>
      </c>
      <c r="C152" s="52" t="s">
        <v>404</v>
      </c>
      <c r="D152" s="37">
        <v>520</v>
      </c>
      <c r="E152" s="37">
        <v>6.891</v>
      </c>
      <c r="F152" s="43">
        <v>0.71440599999999999</v>
      </c>
      <c r="G152" s="45">
        <f>H152/41.734</f>
        <v>1.5098672545167009</v>
      </c>
      <c r="H152" s="53">
        <v>63.012799999999999</v>
      </c>
      <c r="I152" s="45">
        <f>53.9807/8.314</f>
        <v>6.4927471734423863</v>
      </c>
      <c r="J152" s="41">
        <v>29.61</v>
      </c>
      <c r="M152" s="37">
        <v>-133.863</v>
      </c>
      <c r="N152" s="37">
        <v>-73.445899999999995</v>
      </c>
      <c r="P152" s="38"/>
      <c r="Q152" s="38"/>
      <c r="R152" s="38"/>
      <c r="S152" s="40">
        <v>0.23100000000000001</v>
      </c>
    </row>
    <row r="153" spans="1:23" x14ac:dyDescent="0.2">
      <c r="A153" s="37">
        <v>1904</v>
      </c>
      <c r="B153" s="21" t="s">
        <v>405</v>
      </c>
      <c r="C153" s="21" t="s">
        <v>406</v>
      </c>
      <c r="D153" s="37">
        <v>324.60000000000002</v>
      </c>
      <c r="E153" s="37">
        <v>8.1999999999999993</v>
      </c>
      <c r="F153" s="43">
        <v>0.12</v>
      </c>
      <c r="G153" s="37">
        <v>1.19</v>
      </c>
      <c r="H153" s="37">
        <v>36.5</v>
      </c>
      <c r="I153" s="37">
        <v>3.5510000000000002</v>
      </c>
      <c r="J153" s="37">
        <v>22</v>
      </c>
      <c r="K153" s="37">
        <v>22</v>
      </c>
      <c r="L153" s="37">
        <v>0</v>
      </c>
      <c r="M153" s="37">
        <v>-92.307400000000001</v>
      </c>
      <c r="N153" s="37">
        <v>-95.2864</v>
      </c>
      <c r="O153" s="38">
        <v>30.67</v>
      </c>
      <c r="P153" s="38">
        <v>-7.2009999999999999E-3</v>
      </c>
      <c r="Q153" s="38">
        <v>1.2459999999999999E-5</v>
      </c>
      <c r="R153" s="38">
        <v>-3.8980000000000004E-9</v>
      </c>
      <c r="S153" s="48">
        <v>0.249</v>
      </c>
    </row>
    <row r="154" spans="1:23" x14ac:dyDescent="0.2">
      <c r="A154" s="37">
        <v>1911</v>
      </c>
      <c r="B154" s="21" t="s">
        <v>407</v>
      </c>
      <c r="C154" s="21" t="s">
        <v>408</v>
      </c>
      <c r="D154" s="37">
        <v>406.6</v>
      </c>
      <c r="E154" s="37">
        <v>11.27</v>
      </c>
      <c r="F154" s="43">
        <v>0.252</v>
      </c>
      <c r="G154" s="37">
        <v>0.68</v>
      </c>
      <c r="H154" s="37">
        <v>17</v>
      </c>
      <c r="I154" s="37">
        <v>4.29</v>
      </c>
      <c r="J154" s="37">
        <v>29.2</v>
      </c>
      <c r="K154" s="37">
        <v>2.11</v>
      </c>
      <c r="L154" s="37">
        <v>8.44</v>
      </c>
      <c r="M154" s="37">
        <v>-45.94</v>
      </c>
      <c r="N154" s="37">
        <v>-16.401299999999999</v>
      </c>
      <c r="O154" s="38">
        <v>27.31</v>
      </c>
      <c r="P154" s="38">
        <v>2.383E-2</v>
      </c>
      <c r="Q154" s="38">
        <v>1.7070000000000001E-5</v>
      </c>
      <c r="R154" s="38">
        <v>-1.185E-8</v>
      </c>
      <c r="S154" s="48">
        <v>0.24199999999999999</v>
      </c>
    </row>
    <row r="155" spans="1:23" x14ac:dyDescent="0.2">
      <c r="A155" s="37">
        <v>1921</v>
      </c>
      <c r="B155" s="21" t="s">
        <v>409</v>
      </c>
      <c r="C155" s="21" t="s">
        <v>410</v>
      </c>
      <c r="D155" s="37">
        <v>647.29999999999995</v>
      </c>
      <c r="E155" s="37">
        <v>22.12</v>
      </c>
      <c r="F155" s="43">
        <v>0.34399999999999997</v>
      </c>
      <c r="G155" s="37">
        <v>1</v>
      </c>
      <c r="H155" s="37">
        <v>18</v>
      </c>
      <c r="I155" s="37">
        <v>4.04</v>
      </c>
      <c r="J155" s="37">
        <v>47.9</v>
      </c>
      <c r="K155" s="37">
        <v>50.13</v>
      </c>
      <c r="L155" s="37">
        <v>15.06</v>
      </c>
      <c r="M155" s="37">
        <v>-241.83500000000001</v>
      </c>
      <c r="N155" s="37">
        <v>-228.614</v>
      </c>
      <c r="O155" s="38">
        <v>32.24</v>
      </c>
      <c r="P155" s="38">
        <v>1.9239999999999999E-3</v>
      </c>
      <c r="Q155" s="38">
        <v>1.0550000000000001E-5</v>
      </c>
      <c r="R155" s="38">
        <v>-3.596E-9</v>
      </c>
      <c r="S155" s="48">
        <v>0.23300000000000001</v>
      </c>
      <c r="T155" s="31">
        <v>273.14999999999998</v>
      </c>
      <c r="U155" s="31">
        <v>6.0095000000000001</v>
      </c>
      <c r="V155" s="31">
        <v>373.15</v>
      </c>
      <c r="W155" s="31">
        <v>40.655999999999999</v>
      </c>
    </row>
    <row r="156" spans="1:23" x14ac:dyDescent="0.2">
      <c r="A156" s="37">
        <v>1922</v>
      </c>
      <c r="B156" s="21" t="s">
        <v>411</v>
      </c>
      <c r="C156" s="21" t="s">
        <v>412</v>
      </c>
      <c r="D156" s="37">
        <v>373.5</v>
      </c>
      <c r="E156" s="37">
        <v>8.9369999999999994</v>
      </c>
      <c r="F156" s="43">
        <v>8.1000000000000003E-2</v>
      </c>
      <c r="G156" s="37">
        <v>0.95</v>
      </c>
      <c r="H156" s="37">
        <v>34</v>
      </c>
      <c r="I156" s="37">
        <v>4.1150000000000002</v>
      </c>
      <c r="J156" s="37">
        <v>18</v>
      </c>
      <c r="K156" s="37">
        <v>3.19</v>
      </c>
      <c r="L156" s="37">
        <v>3.19</v>
      </c>
      <c r="M156" s="37">
        <v>-20.63</v>
      </c>
      <c r="N156" s="37">
        <v>-33.283999999999999</v>
      </c>
      <c r="O156" s="38">
        <v>31.94</v>
      </c>
      <c r="P156" s="38">
        <v>1.436E-3</v>
      </c>
      <c r="Q156" s="38">
        <v>2.4320000000000001E-5</v>
      </c>
      <c r="R156" s="38">
        <v>-1.1760000000000001E-8</v>
      </c>
      <c r="S156" s="48">
        <v>0.28299999999999997</v>
      </c>
    </row>
    <row r="157" spans="1:23" x14ac:dyDescent="0.2">
      <c r="A157" s="37">
        <v>1938</v>
      </c>
      <c r="B157" s="21" t="s">
        <v>413</v>
      </c>
      <c r="C157" s="50" t="s">
        <v>414</v>
      </c>
      <c r="D157" s="37">
        <v>552</v>
      </c>
      <c r="E157" s="37">
        <v>7.8</v>
      </c>
      <c r="F157" s="43">
        <v>0.115</v>
      </c>
      <c r="G157" s="37">
        <v>1.26</v>
      </c>
      <c r="H157" s="37">
        <v>76</v>
      </c>
      <c r="I157" s="37">
        <v>4.109</v>
      </c>
      <c r="J157" s="37">
        <v>20.399999999999999</v>
      </c>
      <c r="K157" s="37">
        <v>0.59</v>
      </c>
      <c r="L157" s="37">
        <v>0.33</v>
      </c>
      <c r="M157" s="37">
        <v>116.943</v>
      </c>
      <c r="N157" s="37">
        <v>66.906300000000002</v>
      </c>
      <c r="O157" s="38">
        <v>27.44</v>
      </c>
      <c r="P157" s="38">
        <v>8.1269999999999995E-2</v>
      </c>
      <c r="Q157" s="38">
        <v>-7.6660000000000001E-5</v>
      </c>
      <c r="R157" s="38">
        <v>2.6729999999999998E-8</v>
      </c>
      <c r="S157" s="48">
        <v>0.29299999999999998</v>
      </c>
    </row>
    <row r="158" spans="1:23" x14ac:dyDescent="0.2">
      <c r="A158" s="37">
        <v>1998</v>
      </c>
      <c r="B158" s="21" t="s">
        <v>415</v>
      </c>
      <c r="C158" s="21" t="s">
        <v>415</v>
      </c>
      <c r="D158" s="42">
        <v>819.15</v>
      </c>
      <c r="E158" s="43">
        <v>11.654</v>
      </c>
      <c r="F158" s="43">
        <v>0.1115</v>
      </c>
      <c r="G158" s="45">
        <f>H158/63.84</f>
        <v>3.975563909774436</v>
      </c>
      <c r="H158" s="42">
        <v>253.8</v>
      </c>
      <c r="I158" s="45">
        <f>36.9/8.314</f>
        <v>4.4382968486889585</v>
      </c>
      <c r="J158" s="45">
        <f>12.483*SQRT(4.184)</f>
        <v>25.53376214301371</v>
      </c>
      <c r="K158" s="45"/>
      <c r="L158" s="45"/>
      <c r="M158" s="37">
        <v>62.420999999999999</v>
      </c>
      <c r="N158" s="37">
        <v>19.378</v>
      </c>
      <c r="O158" s="69"/>
      <c r="P158" s="69"/>
      <c r="Q158" s="69"/>
      <c r="R158" s="69"/>
      <c r="S158" s="48">
        <v>0.26500000000000001</v>
      </c>
    </row>
    <row r="159" spans="1:23" x14ac:dyDescent="0.2">
      <c r="A159" s="37">
        <v>2391</v>
      </c>
      <c r="B159" s="21" t="s">
        <v>416</v>
      </c>
      <c r="C159" s="21" t="s">
        <v>416</v>
      </c>
      <c r="D159" s="37">
        <v>548</v>
      </c>
      <c r="E159" s="37">
        <v>4.5</v>
      </c>
      <c r="F159" s="43">
        <v>0.3846</v>
      </c>
      <c r="G159" s="45">
        <f>H159/84.724</f>
        <v>1.0631922477692271</v>
      </c>
      <c r="H159" s="45">
        <v>90.0779</v>
      </c>
      <c r="I159" s="45">
        <f>99.84/8.314</f>
        <v>12.008660091412077</v>
      </c>
      <c r="J159" s="45">
        <v>41.400572440486854</v>
      </c>
      <c r="K159" s="45">
        <v>0</v>
      </c>
      <c r="L159" s="45">
        <v>11.14</v>
      </c>
      <c r="M159" s="37">
        <v>-570.1</v>
      </c>
      <c r="N159" s="37">
        <v>-452.4</v>
      </c>
      <c r="O159" s="58"/>
      <c r="P159" s="38"/>
      <c r="Q159" s="38"/>
      <c r="R159" s="38"/>
      <c r="S159" s="40">
        <v>0.25800000000000001</v>
      </c>
    </row>
    <row r="160" spans="1:23" x14ac:dyDescent="0.2">
      <c r="A160" s="37">
        <v>2650</v>
      </c>
      <c r="B160" s="21" t="s">
        <v>417</v>
      </c>
      <c r="C160" s="21" t="s">
        <v>418</v>
      </c>
      <c r="D160" s="37">
        <v>374.2</v>
      </c>
      <c r="E160" s="37">
        <v>4.0599999999999996</v>
      </c>
      <c r="F160" s="43">
        <v>0.32700000000000001</v>
      </c>
      <c r="G160" s="37">
        <v>1.37</v>
      </c>
      <c r="H160" s="37">
        <v>102</v>
      </c>
      <c r="I160" s="37">
        <v>10.199999999999999</v>
      </c>
      <c r="J160" s="37">
        <v>16.600000000000001</v>
      </c>
      <c r="M160" s="37">
        <v>-895.79</v>
      </c>
      <c r="N160" s="37">
        <v>-826.9</v>
      </c>
      <c r="P160" s="38"/>
      <c r="Q160" s="38"/>
      <c r="R160" s="38"/>
      <c r="S160" s="48">
        <v>0.25900000000000001</v>
      </c>
    </row>
    <row r="161" spans="1:21" x14ac:dyDescent="0.2">
      <c r="A161" s="37">
        <v>2655</v>
      </c>
      <c r="B161" s="21" t="s">
        <v>419</v>
      </c>
      <c r="C161" s="21" t="s">
        <v>419</v>
      </c>
      <c r="D161" s="42">
        <v>487.2</v>
      </c>
      <c r="E161" s="43">
        <v>3.37</v>
      </c>
      <c r="F161" s="43">
        <v>0.252</v>
      </c>
      <c r="G161" s="45">
        <v>1.5643262648188345</v>
      </c>
      <c r="H161" s="42">
        <v>187.38</v>
      </c>
      <c r="I161" s="45">
        <v>15.289</v>
      </c>
      <c r="J161" s="45">
        <v>14.727476362228527</v>
      </c>
      <c r="K161" s="45" t="s">
        <v>360</v>
      </c>
      <c r="L161" s="45" t="s">
        <v>360</v>
      </c>
      <c r="M161" s="37">
        <v>-694.96</v>
      </c>
      <c r="N161" s="37">
        <v>-680.8</v>
      </c>
      <c r="P161" s="38"/>
      <c r="Q161" s="38"/>
      <c r="R161" s="38"/>
      <c r="S161" s="48">
        <v>0.25600000000000001</v>
      </c>
    </row>
    <row r="162" spans="1:21" x14ac:dyDescent="0.2">
      <c r="A162" s="37">
        <v>6872</v>
      </c>
      <c r="B162" s="72" t="s">
        <v>420</v>
      </c>
      <c r="C162" s="71" t="s">
        <v>421</v>
      </c>
      <c r="D162" s="37">
        <v>748</v>
      </c>
      <c r="E162" s="37">
        <v>3.27</v>
      </c>
      <c r="F162" s="43">
        <v>1.0728</v>
      </c>
      <c r="G162" s="45">
        <f>H162/145</f>
        <v>1.146206896551724</v>
      </c>
      <c r="H162" s="45">
        <v>166.2</v>
      </c>
      <c r="I162" s="45">
        <f>186.67/8.314</f>
        <v>22.45248977628097</v>
      </c>
      <c r="J162" s="37">
        <v>24.96</v>
      </c>
      <c r="K162" s="37">
        <v>20</v>
      </c>
      <c r="L162" s="37">
        <v>10</v>
      </c>
      <c r="M162" s="37">
        <v>-404</v>
      </c>
      <c r="N162" s="37">
        <v>-253</v>
      </c>
      <c r="O162" s="58"/>
      <c r="P162" s="38"/>
      <c r="Q162" s="38"/>
      <c r="R162" s="38"/>
      <c r="S162" s="40">
        <v>0.246</v>
      </c>
      <c r="T162" s="31">
        <v>350.65</v>
      </c>
      <c r="U162" s="31">
        <v>18.7</v>
      </c>
    </row>
    <row r="163" spans="1:21" x14ac:dyDescent="0.2">
      <c r="A163" s="48" t="s">
        <v>320</v>
      </c>
      <c r="B163" s="63" t="s">
        <v>422</v>
      </c>
      <c r="C163" s="63" t="s">
        <v>422</v>
      </c>
      <c r="D163" s="56">
        <v>367.85</v>
      </c>
      <c r="E163" s="67">
        <v>3.3809999999999998</v>
      </c>
      <c r="F163" s="67">
        <v>0.152</v>
      </c>
      <c r="G163" s="57">
        <v>1.2</v>
      </c>
      <c r="H163" s="56">
        <f>19*4+3*12+2.0416</f>
        <v>114.0416</v>
      </c>
      <c r="I163" s="57">
        <f>96.985/8.314</f>
        <v>11.665263411113784</v>
      </c>
      <c r="J163" s="57">
        <v>28.517851374485225</v>
      </c>
      <c r="K163" s="57">
        <v>2</v>
      </c>
      <c r="L163" s="57">
        <v>0.2</v>
      </c>
      <c r="M163" s="57" t="s">
        <v>396</v>
      </c>
      <c r="N163" s="40" t="s">
        <v>396</v>
      </c>
      <c r="O163" s="69"/>
      <c r="P163" s="69"/>
      <c r="Q163" s="69"/>
      <c r="R163" s="69"/>
      <c r="S163" s="57" t="s">
        <v>396</v>
      </c>
    </row>
    <row r="164" spans="1:21" x14ac:dyDescent="0.2">
      <c r="A164" s="48" t="s">
        <v>320</v>
      </c>
      <c r="B164" s="63" t="s">
        <v>423</v>
      </c>
      <c r="C164" s="63" t="s">
        <v>423</v>
      </c>
      <c r="D164" s="56">
        <v>347.2</v>
      </c>
      <c r="E164" s="67">
        <v>4.5199999999999996</v>
      </c>
      <c r="F164" s="67">
        <v>0.23799999999999999</v>
      </c>
      <c r="G164" s="57">
        <v>1.1499999999999999</v>
      </c>
      <c r="H164" s="56">
        <v>82.025000000000006</v>
      </c>
      <c r="I164" s="57">
        <v>8.32</v>
      </c>
      <c r="J164" s="57">
        <v>34.06314805579327</v>
      </c>
      <c r="K164" s="57">
        <v>2</v>
      </c>
      <c r="L164" s="57">
        <v>0.2</v>
      </c>
      <c r="M164" s="57" t="s">
        <v>396</v>
      </c>
      <c r="N164" s="73" t="s">
        <v>396</v>
      </c>
      <c r="O164" s="69"/>
      <c r="P164" s="69"/>
      <c r="Q164" s="69"/>
      <c r="R164" s="69"/>
      <c r="S164" s="57" t="s">
        <v>396</v>
      </c>
    </row>
    <row r="165" spans="1:21" x14ac:dyDescent="0.2">
      <c r="A165" s="37" t="s">
        <v>320</v>
      </c>
      <c r="B165" s="63" t="s">
        <v>424</v>
      </c>
      <c r="C165" s="63" t="s">
        <v>424</v>
      </c>
      <c r="D165" s="56">
        <v>757.44972108855643</v>
      </c>
      <c r="E165" s="67">
        <v>3.1674659015277209</v>
      </c>
      <c r="F165" s="67">
        <v>0.873</v>
      </c>
      <c r="G165" s="57">
        <v>0.95905624238203024</v>
      </c>
      <c r="H165" s="56">
        <v>165.23579999999998</v>
      </c>
      <c r="I165" s="65">
        <v>24.670421945826316</v>
      </c>
      <c r="J165" s="57">
        <v>21.486834319648842</v>
      </c>
      <c r="K165" s="57">
        <v>7.7</v>
      </c>
      <c r="L165" s="57">
        <v>12.6</v>
      </c>
      <c r="M165" s="40">
        <v>-131.25200000000001</v>
      </c>
      <c r="N165" s="66">
        <v>86.484999999999999</v>
      </c>
      <c r="O165" s="58"/>
      <c r="P165" s="38"/>
      <c r="Q165" s="38"/>
      <c r="R165" s="38"/>
      <c r="S165" s="40"/>
      <c r="T165" s="31">
        <v>313</v>
      </c>
      <c r="U165" s="31">
        <v>25</v>
      </c>
    </row>
    <row r="166" spans="1:21" x14ac:dyDescent="0.2">
      <c r="A166" s="21">
        <v>1060</v>
      </c>
      <c r="B166" s="31" t="s">
        <v>425</v>
      </c>
      <c r="C166" s="31" t="s">
        <v>425</v>
      </c>
      <c r="D166" s="37">
        <v>563.95000000000005</v>
      </c>
      <c r="E166" s="37">
        <v>3.891</v>
      </c>
      <c r="F166" s="37">
        <v>0.34329999999999999</v>
      </c>
      <c r="G166" s="37">
        <v>0.8</v>
      </c>
      <c r="H166" s="42">
        <v>86.13</v>
      </c>
      <c r="I166" s="37">
        <v>14.51</v>
      </c>
      <c r="J166" s="45">
        <v>18.286616483100421</v>
      </c>
      <c r="K166" s="45">
        <v>0</v>
      </c>
      <c r="L166" s="45">
        <v>8.09</v>
      </c>
      <c r="M166" s="37">
        <v>-259.2</v>
      </c>
      <c r="N166" s="37">
        <v>-138.4</v>
      </c>
      <c r="O166" s="66"/>
      <c r="P166" s="31"/>
      <c r="Q166" s="31"/>
      <c r="R166" s="31"/>
      <c r="S166" s="31"/>
    </row>
    <row r="167" spans="1:21" x14ac:dyDescent="0.2">
      <c r="A167" s="21">
        <v>1316</v>
      </c>
      <c r="B167" s="31" t="s">
        <v>426</v>
      </c>
      <c r="C167" s="31" t="s">
        <v>426</v>
      </c>
      <c r="D167" s="37">
        <v>561.15</v>
      </c>
      <c r="E167" s="37">
        <v>3.14</v>
      </c>
      <c r="F167" s="37">
        <v>0.45500000000000002</v>
      </c>
      <c r="G167" s="37">
        <v>0.87</v>
      </c>
      <c r="H167" s="42">
        <v>116.16</v>
      </c>
      <c r="I167" s="37">
        <v>18.77</v>
      </c>
      <c r="J167" s="45">
        <v>17.038871957967171</v>
      </c>
      <c r="K167" s="45">
        <v>0</v>
      </c>
      <c r="L167" s="45">
        <v>8</v>
      </c>
      <c r="M167" s="37">
        <v>-493</v>
      </c>
      <c r="N167" s="37">
        <v>-322.2</v>
      </c>
      <c r="O167" s="66"/>
      <c r="P167" s="31"/>
      <c r="Q167" s="31"/>
      <c r="R167" s="31"/>
      <c r="S167" s="31"/>
    </row>
    <row r="168" spans="1:21" x14ac:dyDescent="0.2">
      <c r="A168" s="21">
        <v>1357</v>
      </c>
      <c r="B168" s="31" t="s">
        <v>427</v>
      </c>
      <c r="C168" s="31" t="s">
        <v>427</v>
      </c>
      <c r="D168" s="37">
        <v>605.15</v>
      </c>
      <c r="E168" s="37">
        <v>2.8</v>
      </c>
      <c r="F168" s="37">
        <v>0.48959999999999998</v>
      </c>
      <c r="G168" s="37">
        <v>0.87</v>
      </c>
      <c r="H168" s="42">
        <v>130.19</v>
      </c>
      <c r="I168" s="37">
        <v>21.12</v>
      </c>
      <c r="J168" s="45">
        <v>17.611607149831613</v>
      </c>
      <c r="K168" s="45">
        <v>0</v>
      </c>
      <c r="L168" s="45">
        <v>8</v>
      </c>
      <c r="M168" s="37">
        <v>-505.5</v>
      </c>
      <c r="N168" s="37">
        <v>-303.5</v>
      </c>
      <c r="O168" s="66"/>
      <c r="P168" s="31"/>
      <c r="Q168" s="31"/>
      <c r="R168" s="31"/>
      <c r="S168" s="31"/>
    </row>
    <row r="169" spans="1:21" x14ac:dyDescent="0.2">
      <c r="A169" s="21">
        <v>1297</v>
      </c>
      <c r="B169" s="31" t="s">
        <v>428</v>
      </c>
      <c r="C169" s="31" t="s">
        <v>428</v>
      </c>
      <c r="D169" s="37">
        <v>791</v>
      </c>
      <c r="E169" s="37">
        <v>4.72</v>
      </c>
      <c r="F169" s="37">
        <v>0.70250000000000001</v>
      </c>
      <c r="G169" s="37">
        <v>1.22</v>
      </c>
      <c r="H169" s="42">
        <v>148.12</v>
      </c>
      <c r="I169" s="37">
        <v>12.92</v>
      </c>
      <c r="J169" s="45">
        <v>21.763937290848826</v>
      </c>
      <c r="K169" s="45">
        <v>1</v>
      </c>
      <c r="L169" s="45">
        <v>8</v>
      </c>
      <c r="M169" s="37">
        <v>-393</v>
      </c>
      <c r="N169" s="37">
        <v>-307</v>
      </c>
      <c r="O169" s="66"/>
      <c r="P169" s="31"/>
      <c r="Q169" s="31"/>
      <c r="R169" s="31"/>
      <c r="S169" s="31"/>
    </row>
    <row r="170" spans="1:21" x14ac:dyDescent="0.2">
      <c r="A170" s="21">
        <v>1291</v>
      </c>
      <c r="B170" s="31" t="s">
        <v>429</v>
      </c>
      <c r="C170" s="31" t="s">
        <v>429</v>
      </c>
      <c r="D170" s="37">
        <v>569.15</v>
      </c>
      <c r="E170" s="37">
        <v>4.28</v>
      </c>
      <c r="F170" s="37">
        <v>0.90800000000000003</v>
      </c>
      <c r="G170" s="37">
        <v>1.08</v>
      </c>
      <c r="H170" s="42">
        <v>102.09</v>
      </c>
      <c r="I170" s="37">
        <v>11.97</v>
      </c>
      <c r="J170" s="45">
        <v>22.009395230219297</v>
      </c>
      <c r="K170" s="45">
        <v>0</v>
      </c>
      <c r="L170" s="45">
        <v>8</v>
      </c>
      <c r="M170" s="37">
        <v>-573.5</v>
      </c>
      <c r="N170" s="37">
        <v>-476.7</v>
      </c>
      <c r="O170" s="66"/>
      <c r="P170" s="31"/>
      <c r="Q170" s="31"/>
      <c r="R170" s="31"/>
      <c r="S170" s="31"/>
    </row>
    <row r="171" spans="1:21" x14ac:dyDescent="0.2">
      <c r="A171" s="21">
        <v>1298</v>
      </c>
      <c r="B171" s="31" t="s">
        <v>430</v>
      </c>
      <c r="C171" s="31" t="s">
        <v>430</v>
      </c>
      <c r="D171" s="37">
        <v>721</v>
      </c>
      <c r="E171" s="37">
        <v>7.28</v>
      </c>
      <c r="F171" s="37">
        <v>0.54630000000000001</v>
      </c>
      <c r="G171" s="37">
        <v>1.32</v>
      </c>
      <c r="H171" s="42">
        <v>98.06</v>
      </c>
      <c r="I171" s="37">
        <v>13.35</v>
      </c>
      <c r="J171" s="45">
        <v>25.875357775304288</v>
      </c>
      <c r="K171" s="45">
        <v>0</v>
      </c>
      <c r="L171" s="45">
        <v>8</v>
      </c>
      <c r="M171" s="37">
        <v>-416.7</v>
      </c>
      <c r="N171" s="37">
        <v>-355</v>
      </c>
      <c r="O171" s="66"/>
      <c r="P171" s="31"/>
      <c r="Q171" s="31"/>
      <c r="R171" s="31"/>
      <c r="S171" s="31"/>
    </row>
    <row r="172" spans="1:21" x14ac:dyDescent="0.2">
      <c r="A172" s="21">
        <v>544</v>
      </c>
      <c r="B172" s="31" t="s">
        <v>431</v>
      </c>
      <c r="C172" s="31" t="s">
        <v>431</v>
      </c>
      <c r="D172" s="37">
        <v>675</v>
      </c>
      <c r="E172" s="37">
        <v>2.36</v>
      </c>
      <c r="F172" s="37">
        <v>0.39</v>
      </c>
      <c r="G172" s="37">
        <v>0.85</v>
      </c>
      <c r="H172" s="42">
        <v>162.28</v>
      </c>
      <c r="I172" s="37">
        <v>26.31</v>
      </c>
      <c r="J172" s="45">
        <v>16.936597816562806</v>
      </c>
      <c r="K172" s="45">
        <v>0.2</v>
      </c>
      <c r="L172" s="45">
        <v>2</v>
      </c>
      <c r="M172" s="37">
        <v>-77.599999999999994</v>
      </c>
      <c r="N172" s="37">
        <v>147.80000000000001</v>
      </c>
      <c r="O172" s="66"/>
      <c r="P172" s="31"/>
      <c r="Q172" s="31"/>
      <c r="R172" s="31"/>
      <c r="S172" s="31"/>
    </row>
    <row r="173" spans="1:21" x14ac:dyDescent="0.2">
      <c r="A173" s="21">
        <v>2696</v>
      </c>
      <c r="B173" s="31" t="s">
        <v>432</v>
      </c>
      <c r="C173" s="31" t="s">
        <v>432</v>
      </c>
      <c r="D173" s="37">
        <v>327.8</v>
      </c>
      <c r="E173" s="37">
        <v>5.2389999999999999</v>
      </c>
      <c r="F173" s="37">
        <v>0.18890000000000001</v>
      </c>
      <c r="G173" s="37">
        <v>0.87</v>
      </c>
      <c r="H173" s="42">
        <v>46.04</v>
      </c>
      <c r="I173" s="37">
        <v>6.06</v>
      </c>
      <c r="J173" s="45">
        <v>17.713881291235978</v>
      </c>
      <c r="K173" s="45" t="s">
        <v>360</v>
      </c>
      <c r="L173" s="45" t="s">
        <v>360</v>
      </c>
      <c r="M173" s="37">
        <v>-138.80000000000001</v>
      </c>
      <c r="N173" s="37">
        <v>-125.07</v>
      </c>
      <c r="O173" s="66"/>
      <c r="P173" s="31"/>
      <c r="Q173" s="31"/>
      <c r="R173" s="31"/>
      <c r="S173" s="31"/>
    </row>
    <row r="174" spans="1:21" x14ac:dyDescent="0.2">
      <c r="A174" s="21">
        <v>1760</v>
      </c>
      <c r="B174" s="31" t="s">
        <v>433</v>
      </c>
      <c r="C174" s="31" t="s">
        <v>433</v>
      </c>
      <c r="D174" s="37">
        <v>588</v>
      </c>
      <c r="E174" s="37">
        <v>5.867</v>
      </c>
      <c r="F174" s="37">
        <v>0.34770000000000001</v>
      </c>
      <c r="G174" s="37">
        <v>1.1299999999999999</v>
      </c>
      <c r="H174" s="42">
        <v>61.04</v>
      </c>
      <c r="I174" s="37">
        <v>6.88</v>
      </c>
      <c r="J174" s="45">
        <v>25.75262880561905</v>
      </c>
      <c r="K174" s="45">
        <v>4.07</v>
      </c>
      <c r="L174" s="45">
        <v>4.01</v>
      </c>
      <c r="M174" s="37">
        <v>-74.8</v>
      </c>
      <c r="N174" s="37">
        <v>-6.95</v>
      </c>
      <c r="O174" s="66"/>
      <c r="P174" s="31"/>
      <c r="Q174" s="31"/>
      <c r="R174" s="31"/>
      <c r="S174" s="31"/>
    </row>
    <row r="175" spans="1:21" x14ac:dyDescent="0.2">
      <c r="A175" s="21">
        <v>1761</v>
      </c>
      <c r="B175" s="31" t="s">
        <v>434</v>
      </c>
      <c r="C175" s="31" t="s">
        <v>434</v>
      </c>
      <c r="D175" s="37">
        <v>557.15</v>
      </c>
      <c r="E175" s="37">
        <v>5.16</v>
      </c>
      <c r="F175" s="37">
        <v>0.36809999999999998</v>
      </c>
      <c r="G175" s="37">
        <v>1.04</v>
      </c>
      <c r="H175" s="42">
        <v>75.069999999999993</v>
      </c>
      <c r="I175" s="37">
        <v>9.51</v>
      </c>
      <c r="J175" s="45">
        <v>22.9912269877012</v>
      </c>
      <c r="K175" s="45">
        <v>1.19</v>
      </c>
      <c r="L175" s="45">
        <v>4.72</v>
      </c>
      <c r="M175" s="37">
        <v>-102.2</v>
      </c>
      <c r="N175" s="37">
        <v>-4.8899999999999997</v>
      </c>
      <c r="O175" s="66"/>
      <c r="P175" s="31"/>
      <c r="Q175" s="31"/>
      <c r="R175" s="31"/>
      <c r="S175" s="31"/>
    </row>
    <row r="176" spans="1:21" x14ac:dyDescent="0.2">
      <c r="A176" s="21">
        <v>1762</v>
      </c>
      <c r="B176" s="31" t="s">
        <v>435</v>
      </c>
      <c r="C176" s="31" t="s">
        <v>435</v>
      </c>
      <c r="D176" s="37">
        <v>605</v>
      </c>
      <c r="E176" s="37">
        <v>4.3499999999999996</v>
      </c>
      <c r="F176" s="37">
        <v>0.41220000000000001</v>
      </c>
      <c r="G176" s="37">
        <v>1</v>
      </c>
      <c r="H176" s="42">
        <v>89.09</v>
      </c>
      <c r="I176" s="37">
        <v>12.28</v>
      </c>
      <c r="J176" s="45">
        <v>21.293476240388745</v>
      </c>
      <c r="K176" s="45">
        <v>0.28000000000000003</v>
      </c>
      <c r="L176" s="45">
        <v>5.83</v>
      </c>
      <c r="M176" s="37">
        <v>-124</v>
      </c>
      <c r="N176" s="37">
        <v>0.34</v>
      </c>
      <c r="O176" s="66"/>
      <c r="P176" s="31"/>
      <c r="Q176" s="31"/>
      <c r="R176" s="31"/>
      <c r="S176" s="31"/>
    </row>
    <row r="177" spans="1:23" x14ac:dyDescent="0.2">
      <c r="A177" s="21">
        <v>1763</v>
      </c>
      <c r="B177" s="31" t="s">
        <v>436</v>
      </c>
      <c r="C177" s="31" t="s">
        <v>436</v>
      </c>
      <c r="D177" s="37">
        <v>595</v>
      </c>
      <c r="E177" s="37">
        <v>4.45</v>
      </c>
      <c r="F177" s="37">
        <v>0.37609999999999999</v>
      </c>
      <c r="G177" s="37">
        <v>0.98</v>
      </c>
      <c r="H177" s="42">
        <v>89.09</v>
      </c>
      <c r="I177" s="37">
        <v>12.39</v>
      </c>
      <c r="J177" s="45">
        <v>20.475283109153828</v>
      </c>
      <c r="K177" s="45">
        <v>0.55000000000000004</v>
      </c>
      <c r="L177" s="45">
        <v>3.43</v>
      </c>
      <c r="M177" s="37">
        <v>-139</v>
      </c>
      <c r="N177" s="37">
        <v>-12.8</v>
      </c>
      <c r="O177" s="66"/>
      <c r="P177" s="31"/>
      <c r="Q177" s="31"/>
      <c r="R177" s="31"/>
      <c r="S177" s="31"/>
    </row>
    <row r="178" spans="1:23" x14ac:dyDescent="0.2">
      <c r="A178" s="21">
        <v>1211</v>
      </c>
      <c r="B178" s="31" t="s">
        <v>299</v>
      </c>
      <c r="C178" s="31" t="s">
        <v>299</v>
      </c>
      <c r="D178" s="37">
        <v>624.15</v>
      </c>
      <c r="E178" s="37">
        <v>6.09</v>
      </c>
      <c r="F178" s="37">
        <v>1.1065</v>
      </c>
      <c r="G178" s="37">
        <v>1.03</v>
      </c>
      <c r="H178" s="42">
        <v>76.09</v>
      </c>
      <c r="I178" s="37">
        <v>12.28</v>
      </c>
      <c r="J178" s="45">
        <v>29.516317209299672</v>
      </c>
      <c r="K178" s="45" t="s">
        <v>360</v>
      </c>
      <c r="L178" s="45" t="s">
        <v>360</v>
      </c>
      <c r="M178" s="37">
        <v>-421.5</v>
      </c>
      <c r="N178" s="37">
        <v>-304</v>
      </c>
      <c r="O178" s="66"/>
      <c r="P178" s="31"/>
      <c r="Q178" s="31"/>
      <c r="R178" s="31"/>
      <c r="S178" s="31"/>
    </row>
    <row r="179" spans="1:23" x14ac:dyDescent="0.2">
      <c r="A179" s="21">
        <v>1212</v>
      </c>
      <c r="B179" s="31" t="s">
        <v>301</v>
      </c>
      <c r="C179" s="31" t="s">
        <v>301</v>
      </c>
      <c r="D179" s="37">
        <v>658</v>
      </c>
      <c r="E179" s="37">
        <v>5.92</v>
      </c>
      <c r="F179" s="37">
        <v>0.7399</v>
      </c>
      <c r="G179" s="37">
        <v>1.05</v>
      </c>
      <c r="H179" s="42">
        <v>76.09</v>
      </c>
      <c r="I179" s="37">
        <v>12.12</v>
      </c>
      <c r="J179" s="45">
        <v>30.784516562713797</v>
      </c>
      <c r="K179" s="45" t="s">
        <v>360</v>
      </c>
      <c r="L179" s="45" t="s">
        <v>360</v>
      </c>
      <c r="M179" s="37">
        <v>-392.1</v>
      </c>
      <c r="N179" s="37">
        <v>-277</v>
      </c>
      <c r="O179" s="66"/>
      <c r="P179" s="31"/>
      <c r="Q179" s="31"/>
      <c r="R179" s="31"/>
      <c r="S179" s="31"/>
    </row>
    <row r="180" spans="1:23" x14ac:dyDescent="0.2">
      <c r="A180" s="21">
        <v>1790</v>
      </c>
      <c r="B180" s="31" t="s">
        <v>437</v>
      </c>
      <c r="C180" s="31" t="s">
        <v>437</v>
      </c>
      <c r="D180" s="31">
        <v>699.15</v>
      </c>
      <c r="E180" s="31">
        <v>4.2149999999999999</v>
      </c>
      <c r="F180" s="31">
        <v>0.35239999999999999</v>
      </c>
      <c r="G180" s="45">
        <v>1</v>
      </c>
      <c r="H180" s="31">
        <v>103.12</v>
      </c>
      <c r="I180" s="31">
        <v>13.12</v>
      </c>
      <c r="J180" s="45">
        <v>21.804846947410571</v>
      </c>
      <c r="K180" s="74">
        <v>0.15</v>
      </c>
      <c r="L180" s="74">
        <v>7.41</v>
      </c>
      <c r="M180" s="31">
        <v>218.82</v>
      </c>
      <c r="N180" s="31">
        <v>260.87</v>
      </c>
      <c r="O180" s="66"/>
      <c r="P180" s="31"/>
      <c r="Q180" s="31"/>
      <c r="R180" s="31"/>
      <c r="S180" s="31"/>
    </row>
    <row r="181" spans="1:23" s="35" customFormat="1" x14ac:dyDescent="0.2">
      <c r="A181" s="75">
        <v>2930</v>
      </c>
      <c r="B181" s="55" t="s">
        <v>438</v>
      </c>
      <c r="C181" s="55" t="s">
        <v>439</v>
      </c>
      <c r="D181" s="56">
        <v>1735</v>
      </c>
      <c r="E181" s="57">
        <v>161</v>
      </c>
      <c r="F181" s="48">
        <v>-0.16439999999999999</v>
      </c>
      <c r="G181" s="57">
        <f>1/0.074086</f>
        <v>13.497826849877169</v>
      </c>
      <c r="H181" s="48">
        <v>201</v>
      </c>
      <c r="I181" s="65">
        <v>2.5</v>
      </c>
      <c r="J181" s="57">
        <v>65.069999999999993</v>
      </c>
      <c r="K181" s="57">
        <v>0</v>
      </c>
      <c r="L181" s="57">
        <v>0</v>
      </c>
      <c r="M181" s="35">
        <v>0</v>
      </c>
      <c r="N181" s="66">
        <v>0</v>
      </c>
    </row>
    <row r="182" spans="1:23" s="35" customFormat="1" x14ac:dyDescent="0.2">
      <c r="A182" s="75">
        <v>1277</v>
      </c>
      <c r="B182" s="55" t="s">
        <v>440</v>
      </c>
      <c r="C182" s="55" t="s">
        <v>441</v>
      </c>
      <c r="D182" s="56">
        <v>615</v>
      </c>
      <c r="E182" s="57">
        <v>5.66</v>
      </c>
      <c r="F182" s="48">
        <v>0.53832400000000002</v>
      </c>
      <c r="G182" s="57">
        <v>1.0454930578728219</v>
      </c>
      <c r="H182" s="56">
        <v>72.062700000000007</v>
      </c>
      <c r="I182" s="65">
        <v>9.4540910632386108</v>
      </c>
      <c r="J182" s="57">
        <v>18.43</v>
      </c>
      <c r="K182" s="57">
        <v>24</v>
      </c>
      <c r="L182" s="57">
        <v>0.75</v>
      </c>
      <c r="M182" s="35">
        <v>-355.91</v>
      </c>
      <c r="N182" s="66">
        <v>-306</v>
      </c>
      <c r="O182" s="76">
        <v>10.364743959944384</v>
      </c>
      <c r="P182" s="77">
        <v>0.2764574146675523</v>
      </c>
      <c r="Q182" s="35">
        <v>-1.7160571896327378E-4</v>
      </c>
      <c r="R182" s="35">
        <v>4.0198753541332932E-8</v>
      </c>
      <c r="S182" s="76">
        <v>0.23024734457111226</v>
      </c>
      <c r="T182" s="35">
        <v>286.14999999999998</v>
      </c>
      <c r="U182" s="35">
        <v>11.13</v>
      </c>
      <c r="V182" s="35">
        <v>414.15</v>
      </c>
    </row>
    <row r="183" spans="1:23" x14ac:dyDescent="0.2">
      <c r="A183" s="21">
        <v>1003</v>
      </c>
      <c r="B183" s="63" t="s">
        <v>442</v>
      </c>
      <c r="C183" s="63" t="s">
        <v>443</v>
      </c>
      <c r="D183" s="56">
        <v>504.4</v>
      </c>
      <c r="E183" s="67">
        <v>4.92</v>
      </c>
      <c r="F183" s="67">
        <v>0.25600000000000001</v>
      </c>
      <c r="G183" s="57">
        <f>H183/73.04</f>
        <v>0.79518072289156616</v>
      </c>
      <c r="H183" s="56">
        <v>58.08</v>
      </c>
      <c r="I183" s="65">
        <f>80.61/8.314</f>
        <v>9.6956940101034395</v>
      </c>
      <c r="J183" s="37">
        <v>19.32</v>
      </c>
      <c r="K183" s="57">
        <v>0</v>
      </c>
      <c r="L183" s="57">
        <v>5.6607374080374742</v>
      </c>
      <c r="M183" s="41">
        <v>-186.3</v>
      </c>
      <c r="N183" s="41">
        <v>-124.6</v>
      </c>
      <c r="O183" s="58"/>
      <c r="P183" s="38"/>
      <c r="Q183" s="38"/>
      <c r="R183" s="38"/>
      <c r="S183" s="40"/>
    </row>
    <row r="184" spans="1:23" x14ac:dyDescent="0.2">
      <c r="A184" s="21">
        <v>900</v>
      </c>
      <c r="B184" s="63" t="s">
        <v>444</v>
      </c>
      <c r="C184" s="63" t="s">
        <v>445</v>
      </c>
      <c r="D184" s="56">
        <v>431.15</v>
      </c>
      <c r="E184" s="67">
        <v>10.132999999999999</v>
      </c>
      <c r="F184" s="67">
        <v>0.85108799999999996</v>
      </c>
      <c r="G184" s="57">
        <v>1.4475787420156698</v>
      </c>
      <c r="H184" s="56">
        <v>46.005499999999998</v>
      </c>
      <c r="I184" s="65">
        <v>4.4473418330526826</v>
      </c>
      <c r="J184" s="37">
        <v>33.5</v>
      </c>
      <c r="K184" s="57"/>
      <c r="L184" s="57"/>
      <c r="M184" s="73">
        <v>33.18</v>
      </c>
      <c r="N184" s="41">
        <v>51.328000000000003</v>
      </c>
      <c r="O184" s="78">
        <f>I184*8.314</f>
        <v>36.975200000000001</v>
      </c>
      <c r="P184" s="38"/>
      <c r="Q184" s="38"/>
      <c r="R184" s="38"/>
      <c r="S184" s="40">
        <v>0.23300000000000001</v>
      </c>
      <c r="T184" s="31">
        <v>261.89999999999998</v>
      </c>
      <c r="U184" s="31">
        <v>14.7</v>
      </c>
      <c r="V184" s="31">
        <v>294.14999999999998</v>
      </c>
    </row>
    <row r="185" spans="1:23" x14ac:dyDescent="0.2">
      <c r="A185" s="21"/>
      <c r="B185" s="63"/>
      <c r="C185" s="63"/>
      <c r="D185" s="56"/>
      <c r="E185" s="67"/>
      <c r="F185" s="67"/>
      <c r="G185" s="57"/>
      <c r="H185" s="56"/>
      <c r="I185" s="65"/>
      <c r="K185" s="57"/>
      <c r="L185" s="57"/>
      <c r="M185" s="73"/>
      <c r="N185" s="41"/>
      <c r="O185" s="78"/>
      <c r="P185" s="38"/>
      <c r="Q185" s="38"/>
      <c r="R185" s="38"/>
      <c r="S185" s="40"/>
    </row>
    <row r="186" spans="1:23" s="80" customFormat="1" ht="15" x14ac:dyDescent="0.2">
      <c r="A186" s="79" t="s">
        <v>446</v>
      </c>
      <c r="C186" s="81"/>
      <c r="D186" s="82" t="s">
        <v>113</v>
      </c>
      <c r="E186" s="83" t="s">
        <v>114</v>
      </c>
      <c r="F186" s="83" t="s">
        <v>42</v>
      </c>
      <c r="G186" s="84" t="s">
        <v>115</v>
      </c>
      <c r="H186" s="82" t="s">
        <v>116</v>
      </c>
      <c r="I186" s="85" t="s">
        <v>117</v>
      </c>
      <c r="J186" s="86" t="s">
        <v>118</v>
      </c>
      <c r="K186" s="86" t="s">
        <v>119</v>
      </c>
      <c r="L186" s="86" t="s">
        <v>120</v>
      </c>
      <c r="M186" s="87" t="s">
        <v>121</v>
      </c>
      <c r="N186" s="87" t="s">
        <v>122</v>
      </c>
      <c r="O186" s="88" t="s">
        <v>123</v>
      </c>
      <c r="P186" s="88" t="s">
        <v>124</v>
      </c>
      <c r="Q186" s="88" t="s">
        <v>125</v>
      </c>
      <c r="R186" s="88" t="s">
        <v>126</v>
      </c>
      <c r="S186" s="80" t="s">
        <v>127</v>
      </c>
      <c r="T186" s="89" t="s">
        <v>447</v>
      </c>
      <c r="U186" s="89" t="s">
        <v>448</v>
      </c>
      <c r="V186" s="89" t="s">
        <v>449</v>
      </c>
      <c r="W186" s="89" t="s">
        <v>450</v>
      </c>
    </row>
    <row r="187" spans="1:23" s="91" customFormat="1" x14ac:dyDescent="0.2">
      <c r="A187" s="90" t="s">
        <v>451</v>
      </c>
      <c r="C187" s="92"/>
      <c r="D187" s="93"/>
      <c r="E187" s="94"/>
      <c r="F187" s="94"/>
      <c r="G187" s="95"/>
      <c r="H187" s="93"/>
      <c r="I187" s="96"/>
      <c r="J187" s="97"/>
      <c r="K187" s="97"/>
      <c r="L187" s="97"/>
      <c r="M187" s="98"/>
      <c r="N187" s="98"/>
      <c r="O187" s="99"/>
      <c r="P187" s="99"/>
      <c r="Q187" s="99"/>
      <c r="R187" s="99"/>
      <c r="T187" s="100"/>
      <c r="U187" s="100"/>
      <c r="V187" s="100"/>
      <c r="W187" s="100"/>
    </row>
    <row r="188" spans="1:23" s="40" customFormat="1" x14ac:dyDescent="0.2">
      <c r="B188" s="50" t="s">
        <v>276</v>
      </c>
      <c r="C188" s="50" t="s">
        <v>452</v>
      </c>
      <c r="O188" s="69">
        <v>135.6</v>
      </c>
      <c r="P188" s="69">
        <v>-0.17699999999999999</v>
      </c>
      <c r="Q188" s="69">
        <v>2.8370000000000001E-4</v>
      </c>
      <c r="R188" s="69">
        <v>6.8899999999999999E-7</v>
      </c>
    </row>
    <row r="189" spans="1:23" s="40" customFormat="1" x14ac:dyDescent="0.2">
      <c r="B189" s="50" t="s">
        <v>453</v>
      </c>
      <c r="C189" s="50" t="s">
        <v>454</v>
      </c>
      <c r="O189" s="69">
        <v>188.1</v>
      </c>
      <c r="P189" s="69">
        <v>0.8377</v>
      </c>
      <c r="Q189" s="69">
        <v>1.6019999999999999E-3</v>
      </c>
      <c r="R189" s="69"/>
    </row>
    <row r="190" spans="1:23" s="40" customFormat="1" x14ac:dyDescent="0.2">
      <c r="B190" s="50" t="s">
        <v>386</v>
      </c>
      <c r="C190" s="50" t="s">
        <v>455</v>
      </c>
      <c r="O190" s="69">
        <v>131.5</v>
      </c>
      <c r="P190" s="69">
        <v>0.2414</v>
      </c>
      <c r="Q190" s="69">
        <v>-1.314E-4</v>
      </c>
      <c r="R190" s="69"/>
    </row>
    <row r="191" spans="1:23" s="40" customFormat="1" x14ac:dyDescent="0.2">
      <c r="B191" s="50" t="s">
        <v>209</v>
      </c>
      <c r="C191" s="50" t="s">
        <v>456</v>
      </c>
      <c r="O191" s="69">
        <v>-6.2110000000000003</v>
      </c>
      <c r="P191" s="69">
        <v>0.56499999999999995</v>
      </c>
      <c r="Q191" s="69">
        <v>-3.1409999999999999E-4</v>
      </c>
      <c r="R191" s="69"/>
    </row>
    <row r="192" spans="1:23" s="40" customFormat="1" x14ac:dyDescent="0.2">
      <c r="B192" s="50" t="s">
        <v>457</v>
      </c>
      <c r="C192" s="50" t="s">
        <v>458</v>
      </c>
      <c r="O192" s="69">
        <v>188.8</v>
      </c>
      <c r="P192" s="69">
        <v>-0.73129999999999995</v>
      </c>
      <c r="Q192" s="69">
        <v>1.7110000000000001E-3</v>
      </c>
      <c r="R192" s="69"/>
    </row>
    <row r="193" spans="1:23" s="40" customFormat="1" x14ac:dyDescent="0.2">
      <c r="B193" s="50" t="s">
        <v>459</v>
      </c>
      <c r="C193" s="50" t="s">
        <v>460</v>
      </c>
      <c r="O193" s="69">
        <v>175.9</v>
      </c>
      <c r="P193" s="69">
        <v>-0.40139999999999998</v>
      </c>
      <c r="Q193" s="69">
        <v>8.409E-4</v>
      </c>
      <c r="R193" s="69"/>
    </row>
    <row r="194" spans="1:23" s="40" customFormat="1" x14ac:dyDescent="0.2">
      <c r="B194" s="50" t="s">
        <v>358</v>
      </c>
      <c r="C194" s="50" t="s">
        <v>461</v>
      </c>
      <c r="O194" s="69">
        <v>93.77</v>
      </c>
      <c r="P194" s="69">
        <v>0.2732</v>
      </c>
      <c r="Q194" s="69">
        <v>-2.652E-4</v>
      </c>
      <c r="R194" s="69"/>
    </row>
    <row r="195" spans="1:23" s="40" customFormat="1" x14ac:dyDescent="0.2">
      <c r="B195" s="50" t="s">
        <v>350</v>
      </c>
      <c r="C195" s="50" t="s">
        <v>462</v>
      </c>
      <c r="O195" s="69">
        <v>159.80000000000001</v>
      </c>
      <c r="P195" s="69">
        <v>-0.35659999999999997</v>
      </c>
      <c r="Q195" s="69">
        <v>6.9019999999999997E-4</v>
      </c>
      <c r="R195" s="69"/>
    </row>
    <row r="196" spans="1:23" s="40" customFormat="1" x14ac:dyDescent="0.2">
      <c r="B196" s="50" t="s">
        <v>174</v>
      </c>
      <c r="C196" s="50" t="s">
        <v>463</v>
      </c>
      <c r="O196" s="69">
        <v>-75.23</v>
      </c>
      <c r="P196" s="69">
        <v>1.175</v>
      </c>
      <c r="Q196" s="69">
        <v>-1.3439999999999999E-3</v>
      </c>
      <c r="R196" s="69"/>
    </row>
    <row r="197" spans="1:23" s="40" customFormat="1" x14ac:dyDescent="0.2">
      <c r="B197" s="50" t="s">
        <v>38</v>
      </c>
      <c r="C197" s="50" t="s">
        <v>464</v>
      </c>
      <c r="O197" s="69">
        <v>281.60000000000002</v>
      </c>
      <c r="P197" s="69">
        <v>-1.4350000000000001</v>
      </c>
      <c r="Q197" s="69">
        <v>2.9030000000000002E-3</v>
      </c>
      <c r="R197" s="69"/>
    </row>
    <row r="198" spans="1:23" s="40" customFormat="1" x14ac:dyDescent="0.2">
      <c r="B198" s="50" t="s">
        <v>465</v>
      </c>
      <c r="C198" s="50" t="s">
        <v>466</v>
      </c>
      <c r="O198" s="69">
        <v>174.9</v>
      </c>
      <c r="P198" s="69">
        <v>-0.71840000000000004</v>
      </c>
      <c r="Q198" s="69">
        <v>1.4319999999999999E-3</v>
      </c>
      <c r="R198" s="69"/>
    </row>
    <row r="199" spans="1:23" s="40" customFormat="1" x14ac:dyDescent="0.2">
      <c r="B199" s="50" t="s">
        <v>32</v>
      </c>
      <c r="C199" s="50" t="s">
        <v>467</v>
      </c>
      <c r="O199" s="69">
        <v>111.7</v>
      </c>
      <c r="P199" s="69">
        <v>-0.4264</v>
      </c>
      <c r="Q199" s="69">
        <v>1.09E-3</v>
      </c>
      <c r="R199" s="69"/>
    </row>
    <row r="200" spans="1:23" s="40" customFormat="1" x14ac:dyDescent="0.2">
      <c r="B200" s="50" t="s">
        <v>468</v>
      </c>
      <c r="C200" s="50" t="s">
        <v>469</v>
      </c>
      <c r="M200" s="40">
        <v>-682.96</v>
      </c>
      <c r="N200" s="40">
        <v>-521.04</v>
      </c>
      <c r="O200" s="69"/>
      <c r="P200" s="69"/>
      <c r="Q200" s="69"/>
      <c r="R200" s="69"/>
    </row>
    <row r="201" spans="1:23" s="40" customFormat="1" x14ac:dyDescent="0.2">
      <c r="B201" s="50" t="s">
        <v>470</v>
      </c>
      <c r="C201" s="50" t="s">
        <v>471</v>
      </c>
      <c r="O201" s="69">
        <v>346.3</v>
      </c>
      <c r="P201" s="69">
        <v>-1.7490000000000001</v>
      </c>
      <c r="Q201" s="69">
        <v>3.552E-3</v>
      </c>
      <c r="R201" s="69"/>
    </row>
    <row r="202" spans="1:23" s="40" customFormat="1" x14ac:dyDescent="0.2">
      <c r="B202" s="50" t="s">
        <v>472</v>
      </c>
      <c r="C202" s="50" t="s">
        <v>473</v>
      </c>
      <c r="O202" s="69">
        <v>-24.36</v>
      </c>
      <c r="P202" s="69">
        <v>1.1399999999999999</v>
      </c>
      <c r="Q202" s="69">
        <v>-7.0450000000000005E-4</v>
      </c>
      <c r="R202" s="69"/>
    </row>
    <row r="203" spans="1:23" s="40" customFormat="1" x14ac:dyDescent="0.2">
      <c r="B203" s="50" t="s">
        <v>211</v>
      </c>
      <c r="C203" s="50" t="s">
        <v>474</v>
      </c>
      <c r="O203" s="69">
        <v>125.8</v>
      </c>
      <c r="P203" s="69">
        <v>5.645E-2</v>
      </c>
      <c r="Q203" s="69">
        <v>1.359E-4</v>
      </c>
      <c r="R203" s="69"/>
    </row>
    <row r="204" spans="1:23" s="40" customFormat="1" x14ac:dyDescent="0.2">
      <c r="B204" s="50" t="s">
        <v>475</v>
      </c>
      <c r="C204" s="50" t="s">
        <v>476</v>
      </c>
      <c r="M204" s="40">
        <v>-2161</v>
      </c>
      <c r="N204" s="101">
        <v>17010</v>
      </c>
      <c r="O204" s="69"/>
      <c r="P204" s="69"/>
      <c r="Q204" s="69"/>
      <c r="R204" s="69"/>
    </row>
    <row r="205" spans="1:23" s="40" customFormat="1" x14ac:dyDescent="0.2">
      <c r="B205" s="50" t="s">
        <v>477</v>
      </c>
      <c r="C205" s="50" t="s">
        <v>478</v>
      </c>
      <c r="M205" s="40">
        <v>-285.83</v>
      </c>
      <c r="N205" s="40">
        <v>-237.214</v>
      </c>
      <c r="O205" s="69">
        <v>72.430000000000007</v>
      </c>
      <c r="P205" s="69">
        <v>1.039E-2</v>
      </c>
      <c r="Q205" s="69">
        <v>-1.497E-6</v>
      </c>
      <c r="R205" s="69"/>
    </row>
    <row r="206" spans="1:23" s="102" customFormat="1" ht="15" x14ac:dyDescent="0.2">
      <c r="A206" s="79" t="s">
        <v>479</v>
      </c>
      <c r="C206" s="87"/>
      <c r="D206" s="82" t="s">
        <v>113</v>
      </c>
      <c r="E206" s="83" t="s">
        <v>114</v>
      </c>
      <c r="F206" s="83" t="s">
        <v>42</v>
      </c>
      <c r="G206" s="84" t="s">
        <v>115</v>
      </c>
      <c r="H206" s="82" t="s">
        <v>116</v>
      </c>
      <c r="I206" s="85" t="s">
        <v>117</v>
      </c>
      <c r="J206" s="86" t="s">
        <v>118</v>
      </c>
      <c r="K206" s="86" t="s">
        <v>119</v>
      </c>
      <c r="L206" s="86" t="s">
        <v>120</v>
      </c>
      <c r="M206" s="87" t="str">
        <f>M2</f>
        <v>Hf(kJ/mol)</v>
      </c>
      <c r="N206" s="87" t="str">
        <f>N2</f>
        <v>Gf(kJ/mol)</v>
      </c>
      <c r="O206" s="88" t="s">
        <v>123</v>
      </c>
      <c r="P206" s="88" t="s">
        <v>124</v>
      </c>
      <c r="Q206" s="88" t="s">
        <v>125</v>
      </c>
      <c r="R206" s="88" t="s">
        <v>126</v>
      </c>
      <c r="S206" s="80" t="s">
        <v>127</v>
      </c>
      <c r="T206" s="89" t="s">
        <v>447</v>
      </c>
      <c r="U206" s="89" t="s">
        <v>448</v>
      </c>
      <c r="V206" s="89" t="s">
        <v>449</v>
      </c>
      <c r="W206" s="89" t="s">
        <v>450</v>
      </c>
    </row>
    <row r="207" spans="1:23" s="103" customFormat="1" x14ac:dyDescent="0.2">
      <c r="A207" s="90" t="s">
        <v>480</v>
      </c>
      <c r="C207" s="98"/>
      <c r="D207" s="93"/>
      <c r="E207" s="94"/>
      <c r="F207" s="94"/>
      <c r="G207" s="95"/>
      <c r="H207" s="93"/>
      <c r="I207" s="96"/>
      <c r="J207" s="97"/>
      <c r="K207" s="97"/>
      <c r="L207" s="97"/>
      <c r="M207" s="98"/>
      <c r="N207" s="98"/>
      <c r="O207" s="99"/>
      <c r="P207" s="99"/>
      <c r="Q207" s="99"/>
      <c r="R207" s="99"/>
      <c r="S207" s="91"/>
      <c r="T207" s="100"/>
      <c r="U207" s="100"/>
      <c r="V207" s="100"/>
      <c r="W207" s="100"/>
    </row>
    <row r="208" spans="1:23" x14ac:dyDescent="0.2">
      <c r="A208" s="104"/>
      <c r="B208" s="105" t="s">
        <v>481</v>
      </c>
      <c r="C208" s="105" t="s">
        <v>481</v>
      </c>
      <c r="D208" s="42"/>
      <c r="E208" s="43"/>
      <c r="F208" s="43"/>
      <c r="G208" s="44"/>
      <c r="H208" s="42"/>
      <c r="I208" s="45"/>
      <c r="J208" s="46"/>
      <c r="K208" s="46"/>
      <c r="L208" s="46"/>
      <c r="P208" s="38"/>
      <c r="Q208" s="38"/>
      <c r="R208" s="38"/>
      <c r="S208" s="40"/>
      <c r="T208" s="35">
        <v>489.65</v>
      </c>
      <c r="U208" s="35">
        <v>28.86</v>
      </c>
    </row>
    <row r="209" spans="1:19" x14ac:dyDescent="0.2">
      <c r="A209" s="37">
        <v>1912</v>
      </c>
      <c r="B209" s="106" t="s">
        <v>482</v>
      </c>
      <c r="C209" s="105" t="s">
        <v>483</v>
      </c>
      <c r="D209" s="37">
        <v>2820</v>
      </c>
      <c r="E209" s="42">
        <v>25</v>
      </c>
      <c r="F209" s="57" t="s">
        <v>396</v>
      </c>
      <c r="G209" s="45">
        <f>H209/22.441</f>
        <v>1.7823225346464064</v>
      </c>
      <c r="H209" s="53">
        <v>39.997100000000003</v>
      </c>
      <c r="I209" s="45">
        <f>48.6909/8.314</f>
        <v>5.8564950685590569</v>
      </c>
      <c r="J209" s="57" t="s">
        <v>396</v>
      </c>
      <c r="M209" s="37">
        <v>-425.93</v>
      </c>
      <c r="N209" s="37">
        <v>-379.82</v>
      </c>
      <c r="P209" s="38"/>
      <c r="Q209" s="38"/>
      <c r="R209" s="38"/>
      <c r="S209" s="40" t="s">
        <v>484</v>
      </c>
    </row>
    <row r="210" spans="1:19" x14ac:dyDescent="0.2">
      <c r="A210" s="37">
        <v>1991</v>
      </c>
      <c r="B210" s="105" t="s">
        <v>485</v>
      </c>
      <c r="C210" s="105" t="s">
        <v>486</v>
      </c>
      <c r="D210" s="37">
        <v>8686</v>
      </c>
      <c r="E210" s="37">
        <v>8.5999999999999993E-2</v>
      </c>
      <c r="F210" s="43">
        <v>86</v>
      </c>
      <c r="G210" s="38">
        <v>2</v>
      </c>
      <c r="H210" s="38">
        <v>12</v>
      </c>
      <c r="I210" s="45">
        <f>20.8261/8.314</f>
        <v>2.5049434688477268</v>
      </c>
      <c r="J210" s="38">
        <v>76.88</v>
      </c>
      <c r="M210" s="37">
        <v>0</v>
      </c>
      <c r="N210" s="37">
        <v>0</v>
      </c>
      <c r="O210" s="38">
        <v>-3.9580000000000002</v>
      </c>
      <c r="P210" s="107">
        <v>5.586E-2</v>
      </c>
      <c r="Q210" s="107">
        <v>-4.5479999999999998E-5</v>
      </c>
      <c r="R210" s="107">
        <v>1.517E-8</v>
      </c>
      <c r="S210" s="40">
        <v>7.3999999999999996E-2</v>
      </c>
    </row>
    <row r="211" spans="1:19" x14ac:dyDescent="0.2">
      <c r="A211" s="37">
        <v>2970</v>
      </c>
      <c r="B211" s="105" t="s">
        <v>487</v>
      </c>
      <c r="C211" s="105" t="s">
        <v>488</v>
      </c>
      <c r="D211" s="57" t="s">
        <v>396</v>
      </c>
      <c r="E211" s="57" t="s">
        <v>396</v>
      </c>
      <c r="F211" s="57" t="s">
        <v>396</v>
      </c>
      <c r="G211" s="57" t="s">
        <v>396</v>
      </c>
      <c r="H211" s="45">
        <v>100.0869</v>
      </c>
      <c r="I211" s="57" t="s">
        <v>396</v>
      </c>
      <c r="J211" s="57" t="s">
        <v>396</v>
      </c>
      <c r="M211" s="37">
        <v>-1206.92</v>
      </c>
      <c r="N211" s="37">
        <v>-1128.79</v>
      </c>
      <c r="P211" s="38"/>
      <c r="Q211" s="38"/>
      <c r="R211" s="38"/>
      <c r="S211" s="57" t="s">
        <v>396</v>
      </c>
    </row>
    <row r="212" spans="1:19" x14ac:dyDescent="0.2">
      <c r="A212" s="37">
        <v>1995</v>
      </c>
      <c r="B212" s="105" t="s">
        <v>489</v>
      </c>
      <c r="C212" s="105" t="s">
        <v>490</v>
      </c>
      <c r="D212" s="37">
        <v>6020</v>
      </c>
      <c r="E212" s="41" t="s">
        <v>396</v>
      </c>
      <c r="F212" s="73" t="s">
        <v>396</v>
      </c>
      <c r="G212" s="108" t="s">
        <v>396</v>
      </c>
      <c r="H212" s="45">
        <v>56.077399999999997</v>
      </c>
      <c r="I212" s="45">
        <f>32.4726/8.314</f>
        <v>3.9057733942747173</v>
      </c>
      <c r="J212" s="38">
        <v>29.6</v>
      </c>
      <c r="M212" s="37">
        <v>-635.09</v>
      </c>
      <c r="N212" s="37">
        <v>-604.03</v>
      </c>
      <c r="P212" s="38"/>
      <c r="Q212" s="38"/>
      <c r="R212" s="38"/>
      <c r="S212" s="57" t="s">
        <v>396</v>
      </c>
    </row>
    <row r="213" spans="1:19" x14ac:dyDescent="0.2">
      <c r="A213" s="37">
        <v>4881</v>
      </c>
      <c r="B213" s="105" t="s">
        <v>491</v>
      </c>
      <c r="C213" s="105" t="s">
        <v>492</v>
      </c>
      <c r="D213" s="37">
        <v>755</v>
      </c>
      <c r="E213" s="37">
        <v>4.82</v>
      </c>
      <c r="F213" s="43">
        <v>2.3866999999999998</v>
      </c>
      <c r="G213" s="38">
        <f>H213/167</f>
        <v>1.0788023952095809</v>
      </c>
      <c r="H213" s="38">
        <v>180.16</v>
      </c>
      <c r="I213" s="41"/>
      <c r="J213" s="41"/>
      <c r="M213" s="37">
        <v>-1273.3</v>
      </c>
      <c r="N213" s="37">
        <v>-908.4</v>
      </c>
      <c r="P213" s="38"/>
      <c r="Q213" s="38"/>
      <c r="R213" s="38"/>
      <c r="S213" s="40"/>
    </row>
    <row r="214" spans="1:19" x14ac:dyDescent="0.2">
      <c r="A214" s="37">
        <v>5880</v>
      </c>
      <c r="B214" s="105" t="s">
        <v>493</v>
      </c>
      <c r="C214" s="105" t="s">
        <v>494</v>
      </c>
      <c r="D214" s="41"/>
      <c r="E214" s="41"/>
      <c r="F214" s="73"/>
      <c r="G214" s="41"/>
      <c r="H214" s="41"/>
      <c r="I214" s="41"/>
      <c r="J214" s="41"/>
      <c r="M214" s="41">
        <v>-682.96</v>
      </c>
      <c r="N214" s="37">
        <v>-521.04</v>
      </c>
      <c r="P214" s="38"/>
      <c r="Q214" s="38"/>
      <c r="R214" s="38"/>
      <c r="S214" s="40"/>
    </row>
    <row r="215" spans="1:19" x14ac:dyDescent="0.2">
      <c r="A215" s="37" t="s">
        <v>320</v>
      </c>
      <c r="B215" s="105" t="s">
        <v>495</v>
      </c>
      <c r="C215" s="105" t="s">
        <v>496</v>
      </c>
      <c r="D215" s="41"/>
      <c r="F215" s="43"/>
      <c r="H215" s="37">
        <v>34000</v>
      </c>
      <c r="P215" s="38"/>
      <c r="Q215" s="38"/>
      <c r="R215" s="38"/>
      <c r="S215" s="40"/>
    </row>
    <row r="216" spans="1:19" s="35" customFormat="1" x14ac:dyDescent="0.2">
      <c r="A216" s="40" t="s">
        <v>320</v>
      </c>
      <c r="B216" s="109" t="s">
        <v>497</v>
      </c>
      <c r="C216" s="110" t="s">
        <v>498</v>
      </c>
      <c r="D216" s="56"/>
      <c r="E216" s="57"/>
      <c r="F216" s="67"/>
      <c r="G216" s="57">
        <v>1.1499999999999999</v>
      </c>
      <c r="H216" s="48">
        <v>10000</v>
      </c>
      <c r="I216" s="65"/>
      <c r="J216" s="57">
        <v>39.477818582084801</v>
      </c>
      <c r="K216" s="57">
        <v>0.5</v>
      </c>
      <c r="L216" s="57">
        <v>5</v>
      </c>
      <c r="M216" s="57"/>
      <c r="O216" s="69"/>
      <c r="P216" s="69"/>
      <c r="Q216" s="69"/>
      <c r="R216" s="69"/>
      <c r="S216" s="40"/>
    </row>
    <row r="217" spans="1:19" x14ac:dyDescent="0.2">
      <c r="A217" s="37"/>
      <c r="B217" s="37"/>
      <c r="F217" s="43"/>
      <c r="P217" s="38"/>
      <c r="Q217" s="38"/>
      <c r="R217" s="38"/>
      <c r="S217" s="40"/>
    </row>
    <row r="218" spans="1:19" x14ac:dyDescent="0.2">
      <c r="A218" s="21" t="s">
        <v>499</v>
      </c>
      <c r="B218" s="37"/>
      <c r="C218" s="37"/>
      <c r="F218" s="43"/>
      <c r="P218" s="38"/>
      <c r="Q218" s="38"/>
      <c r="R218" s="38"/>
      <c r="S218" s="40"/>
    </row>
    <row r="219" spans="1:19" x14ac:dyDescent="0.2">
      <c r="A219" s="37"/>
      <c r="B219" s="37"/>
      <c r="C219" s="37"/>
      <c r="F219" s="43"/>
      <c r="P219" s="38"/>
      <c r="Q219" s="38"/>
      <c r="R219" s="38"/>
      <c r="S219" s="40"/>
    </row>
    <row r="220" spans="1:19" x14ac:dyDescent="0.2">
      <c r="A220" s="37"/>
      <c r="B220" s="37"/>
      <c r="C220" s="37"/>
      <c r="F220" s="43"/>
      <c r="P220" s="38"/>
      <c r="Q220" s="38"/>
      <c r="R220" s="38"/>
      <c r="S220" s="40"/>
    </row>
    <row r="221" spans="1:19" s="40" customFormat="1" x14ac:dyDescent="0.2">
      <c r="A221" s="50"/>
      <c r="C221" s="50"/>
      <c r="O221" s="69"/>
      <c r="P221" s="69"/>
      <c r="Q221" s="69"/>
      <c r="R221" s="69"/>
    </row>
    <row r="222" spans="1:19" s="40" customFormat="1" x14ac:dyDescent="0.2">
      <c r="B222" s="50"/>
      <c r="C222" s="50"/>
      <c r="O222" s="69"/>
      <c r="P222" s="69"/>
      <c r="Q222" s="69"/>
      <c r="R222" s="69"/>
    </row>
    <row r="223" spans="1:19" s="40" customFormat="1" x14ac:dyDescent="0.2">
      <c r="B223" s="50"/>
      <c r="C223" s="50"/>
      <c r="O223" s="69"/>
      <c r="P223" s="69"/>
      <c r="Q223" s="69"/>
      <c r="R223" s="69"/>
    </row>
    <row r="224" spans="1:19" s="40" customFormat="1" x14ac:dyDescent="0.2">
      <c r="B224" s="50"/>
      <c r="C224" s="50"/>
      <c r="O224" s="69"/>
      <c r="P224" s="69"/>
      <c r="Q224" s="69"/>
      <c r="R224" s="69"/>
    </row>
    <row r="225" spans="1:19" s="40" customFormat="1" x14ac:dyDescent="0.2">
      <c r="B225" s="50"/>
      <c r="C225" s="50"/>
      <c r="O225" s="69"/>
      <c r="P225" s="69"/>
      <c r="Q225" s="69"/>
      <c r="R225" s="69"/>
    </row>
    <row r="226" spans="1:19" s="40" customFormat="1" x14ac:dyDescent="0.2">
      <c r="B226" s="50"/>
      <c r="C226" s="50"/>
      <c r="O226" s="69"/>
      <c r="P226" s="69"/>
      <c r="Q226" s="69"/>
      <c r="R226" s="69"/>
    </row>
    <row r="227" spans="1:19" s="40" customFormat="1" x14ac:dyDescent="0.2">
      <c r="B227" s="50"/>
      <c r="C227" s="50"/>
      <c r="O227" s="69"/>
      <c r="P227" s="69"/>
      <c r="Q227" s="69"/>
      <c r="R227" s="69"/>
    </row>
    <row r="228" spans="1:19" s="40" customFormat="1" x14ac:dyDescent="0.2">
      <c r="B228" s="50"/>
      <c r="C228" s="50"/>
      <c r="O228" s="69"/>
      <c r="P228" s="69"/>
      <c r="Q228" s="69"/>
      <c r="R228" s="69"/>
    </row>
    <row r="229" spans="1:19" s="40" customFormat="1" x14ac:dyDescent="0.2">
      <c r="B229" s="50"/>
      <c r="C229" s="50"/>
      <c r="O229" s="69"/>
      <c r="P229" s="69"/>
      <c r="Q229" s="69"/>
      <c r="R229" s="69"/>
    </row>
    <row r="230" spans="1:19" s="40" customFormat="1" x14ac:dyDescent="0.2">
      <c r="B230" s="50"/>
      <c r="C230" s="50"/>
      <c r="O230" s="69"/>
      <c r="P230" s="69"/>
      <c r="Q230" s="69"/>
      <c r="R230" s="69"/>
    </row>
    <row r="231" spans="1:19" s="40" customFormat="1" x14ac:dyDescent="0.2">
      <c r="B231" s="50"/>
      <c r="C231" s="50"/>
      <c r="O231" s="69"/>
      <c r="P231" s="69"/>
      <c r="Q231" s="69"/>
      <c r="R231" s="69"/>
    </row>
    <row r="232" spans="1:19" s="40" customFormat="1" x14ac:dyDescent="0.2">
      <c r="B232" s="50"/>
      <c r="C232" s="50"/>
      <c r="O232" s="69"/>
      <c r="P232" s="69"/>
      <c r="Q232" s="69"/>
      <c r="R232" s="69"/>
    </row>
    <row r="233" spans="1:19" s="40" customFormat="1" x14ac:dyDescent="0.2">
      <c r="B233" s="50"/>
      <c r="C233" s="50"/>
      <c r="O233" s="69"/>
      <c r="P233" s="69"/>
      <c r="Q233" s="69"/>
      <c r="R233" s="69"/>
    </row>
    <row r="234" spans="1:19" s="40" customFormat="1" x14ac:dyDescent="0.2">
      <c r="B234" s="50"/>
      <c r="C234" s="50"/>
      <c r="O234" s="69"/>
      <c r="P234" s="69"/>
      <c r="Q234" s="69"/>
      <c r="R234" s="69"/>
    </row>
    <row r="235" spans="1:19" s="40" customFormat="1" x14ac:dyDescent="0.2">
      <c r="B235" s="50"/>
      <c r="C235" s="50"/>
      <c r="O235" s="69"/>
      <c r="P235" s="69"/>
      <c r="Q235" s="69"/>
      <c r="R235" s="69"/>
    </row>
    <row r="236" spans="1:19" s="40" customFormat="1" x14ac:dyDescent="0.2">
      <c r="B236" s="50"/>
      <c r="C236" s="50"/>
      <c r="O236" s="69"/>
      <c r="P236" s="69"/>
      <c r="Q236" s="69"/>
      <c r="R236" s="69"/>
    </row>
    <row r="237" spans="1:19" s="40" customFormat="1" x14ac:dyDescent="0.2">
      <c r="B237" s="50"/>
      <c r="C237" s="50"/>
      <c r="O237" s="69"/>
      <c r="P237" s="69"/>
      <c r="Q237" s="69"/>
      <c r="R237" s="69"/>
    </row>
    <row r="238" spans="1:19" s="40" customFormat="1" x14ac:dyDescent="0.2">
      <c r="B238" s="50"/>
      <c r="C238" s="50"/>
      <c r="N238" s="101"/>
      <c r="O238" s="69"/>
      <c r="P238" s="69"/>
      <c r="Q238" s="69"/>
      <c r="R238" s="69"/>
    </row>
    <row r="239" spans="1:19" s="40" customFormat="1" x14ac:dyDescent="0.2">
      <c r="B239" s="50"/>
      <c r="C239" s="50"/>
      <c r="O239" s="69"/>
      <c r="P239" s="69"/>
      <c r="Q239" s="69"/>
      <c r="R239" s="69"/>
    </row>
    <row r="240" spans="1:19" x14ac:dyDescent="0.2">
      <c r="A240" s="37"/>
      <c r="B240" s="37"/>
      <c r="C240" s="37"/>
      <c r="F240" s="43"/>
      <c r="P240" s="38"/>
      <c r="Q240" s="38"/>
      <c r="R240" s="38"/>
      <c r="S240" s="40"/>
    </row>
    <row r="241" spans="1:19" x14ac:dyDescent="0.2">
      <c r="B241" s="37"/>
      <c r="F241" s="43"/>
      <c r="P241" s="38"/>
      <c r="Q241" s="38"/>
      <c r="R241" s="38"/>
      <c r="S241" s="40"/>
    </row>
    <row r="242" spans="1:19" x14ac:dyDescent="0.2">
      <c r="A242" s="37"/>
      <c r="B242" s="37"/>
      <c r="C242" s="37"/>
      <c r="F242" s="43"/>
      <c r="P242" s="38"/>
      <c r="Q242" s="38"/>
      <c r="R242" s="38"/>
      <c r="S242" s="40"/>
    </row>
    <row r="243" spans="1:19" x14ac:dyDescent="0.2">
      <c r="A243" s="37"/>
      <c r="B243" s="37"/>
      <c r="C243" s="37"/>
      <c r="F243" s="43"/>
      <c r="P243" s="38"/>
      <c r="Q243" s="38"/>
      <c r="R243" s="38"/>
      <c r="S243" s="40"/>
    </row>
    <row r="244" spans="1:19" x14ac:dyDescent="0.2">
      <c r="A244" s="37"/>
      <c r="B244" s="37"/>
      <c r="C244" s="37"/>
      <c r="F244" s="43"/>
      <c r="P244" s="38"/>
      <c r="Q244" s="38"/>
      <c r="R244" s="38"/>
      <c r="S244" s="40"/>
    </row>
    <row r="245" spans="1:19" x14ac:dyDescent="0.2">
      <c r="A245" s="37"/>
      <c r="B245" s="37"/>
      <c r="C245" s="37"/>
      <c r="F245" s="43"/>
      <c r="P245" s="38"/>
      <c r="Q245" s="38"/>
      <c r="R245" s="38"/>
      <c r="S245" s="40"/>
    </row>
    <row r="246" spans="1:19" x14ac:dyDescent="0.2">
      <c r="A246" s="37"/>
      <c r="B246" s="37"/>
      <c r="C246" s="37"/>
      <c r="F246" s="43"/>
      <c r="P246" s="38"/>
      <c r="Q246" s="38"/>
      <c r="R246" s="38"/>
      <c r="S246" s="40"/>
    </row>
    <row r="247" spans="1:19" x14ac:dyDescent="0.2">
      <c r="A247" s="37"/>
      <c r="B247" s="37"/>
      <c r="C247" s="37"/>
      <c r="F247" s="43"/>
      <c r="P247" s="38"/>
      <c r="Q247" s="38"/>
      <c r="R247" s="38"/>
      <c r="S247" s="40"/>
    </row>
    <row r="248" spans="1:19" x14ac:dyDescent="0.2">
      <c r="A248" s="37"/>
      <c r="B248" s="37"/>
      <c r="C248" s="37"/>
      <c r="F248" s="43"/>
      <c r="P248" s="38"/>
      <c r="Q248" s="38"/>
      <c r="R248" s="38"/>
      <c r="S248" s="40"/>
    </row>
    <row r="249" spans="1:19" x14ac:dyDescent="0.2">
      <c r="A249" s="37"/>
      <c r="B249" s="37"/>
      <c r="C249" s="37"/>
      <c r="F249" s="43"/>
      <c r="P249" s="38"/>
      <c r="Q249" s="38"/>
      <c r="R249" s="38"/>
      <c r="S249" s="40"/>
    </row>
    <row r="250" spans="1:19" x14ac:dyDescent="0.2">
      <c r="A250" s="37"/>
      <c r="B250" s="37"/>
      <c r="C250" s="37"/>
      <c r="F250" s="43"/>
      <c r="P250" s="38"/>
      <c r="Q250" s="38"/>
      <c r="R250" s="38"/>
      <c r="S250" s="40"/>
    </row>
    <row r="251" spans="1:19" x14ac:dyDescent="0.2">
      <c r="A251" s="37"/>
      <c r="B251" s="37"/>
      <c r="C251" s="37"/>
      <c r="F251" s="43"/>
      <c r="P251" s="38"/>
      <c r="Q251" s="38"/>
      <c r="R251" s="38"/>
      <c r="S251" s="40"/>
    </row>
    <row r="252" spans="1:19" x14ac:dyDescent="0.2">
      <c r="A252" s="37"/>
      <c r="B252" s="37"/>
      <c r="C252" s="37"/>
      <c r="F252" s="43"/>
      <c r="P252" s="38"/>
      <c r="Q252" s="38"/>
      <c r="R252" s="38"/>
      <c r="S252" s="40"/>
    </row>
    <row r="253" spans="1:19" x14ac:dyDescent="0.2">
      <c r="F253" s="43"/>
    </row>
    <row r="254" spans="1:19" x14ac:dyDescent="0.2">
      <c r="F254" s="43"/>
    </row>
    <row r="255" spans="1:19" x14ac:dyDescent="0.2">
      <c r="F255" s="43"/>
    </row>
    <row r="256" spans="1:19" x14ac:dyDescent="0.2">
      <c r="F256" s="43"/>
    </row>
    <row r="257" spans="6:6" x14ac:dyDescent="0.2">
      <c r="F257" s="43"/>
    </row>
    <row r="258" spans="6:6" x14ac:dyDescent="0.2">
      <c r="F258" s="43"/>
    </row>
  </sheetData>
  <sheetProtection selectLockedCells="1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17" sqref="K17"/>
    </sheetView>
  </sheetViews>
  <sheetFormatPr defaultRowHeight="12.75" x14ac:dyDescent="0.2"/>
  <cols>
    <col min="1" max="1" width="17.7109375" style="32" customWidth="1"/>
    <col min="2" max="16384" width="9.140625" style="32"/>
  </cols>
  <sheetData>
    <row r="1" spans="1:11" ht="14.25" x14ac:dyDescent="0.2">
      <c r="B1" s="32" t="s">
        <v>36</v>
      </c>
      <c r="C1" s="32" t="s">
        <v>35</v>
      </c>
      <c r="D1" s="32" t="s">
        <v>34</v>
      </c>
      <c r="E1" s="32" t="s">
        <v>48</v>
      </c>
      <c r="F1" s="32" t="s">
        <v>49</v>
      </c>
      <c r="G1" s="32" t="s">
        <v>50</v>
      </c>
      <c r="H1" s="32" t="s">
        <v>51</v>
      </c>
    </row>
    <row r="2" spans="1:11" ht="14.25" x14ac:dyDescent="0.2">
      <c r="A2" s="32" t="s">
        <v>52</v>
      </c>
      <c r="B2" s="32">
        <v>8.0809700000000007</v>
      </c>
      <c r="C2" s="32">
        <v>1582.271</v>
      </c>
      <c r="D2" s="32">
        <v>239.726</v>
      </c>
      <c r="E2" s="32">
        <v>15</v>
      </c>
      <c r="F2" s="32">
        <v>84</v>
      </c>
      <c r="G2" s="32">
        <v>3</v>
      </c>
      <c r="H2" s="32">
        <f>10^(B2-C2/($K$2+D2))</f>
        <v>2651.4190628565943</v>
      </c>
      <c r="J2" s="33" t="s">
        <v>53</v>
      </c>
      <c r="K2" s="34">
        <v>100</v>
      </c>
    </row>
    <row r="3" spans="1:11" x14ac:dyDescent="0.2">
      <c r="A3" s="32" t="s">
        <v>54</v>
      </c>
      <c r="B3" s="32">
        <v>8.1121999999999996</v>
      </c>
      <c r="C3" s="32">
        <v>1592.864</v>
      </c>
      <c r="D3" s="32">
        <v>226.184</v>
      </c>
      <c r="E3" s="32">
        <v>20</v>
      </c>
      <c r="F3" s="32">
        <v>93</v>
      </c>
      <c r="G3" s="32">
        <v>3</v>
      </c>
      <c r="H3" s="32">
        <f t="shared" ref="H3:H59" si="0">10^(B3-C3/($K$2+D3))</f>
        <v>1693.8320477388859</v>
      </c>
    </row>
    <row r="4" spans="1:11" x14ac:dyDescent="0.2">
      <c r="A4" s="32" t="s">
        <v>55</v>
      </c>
      <c r="B4" s="32">
        <v>7.7441599999999999</v>
      </c>
      <c r="C4" s="32">
        <v>1437.6859999999999</v>
      </c>
      <c r="D4" s="32">
        <v>198.46299999999999</v>
      </c>
      <c r="E4" s="32">
        <v>60</v>
      </c>
      <c r="F4" s="32">
        <v>106</v>
      </c>
      <c r="H4" s="32">
        <f t="shared" si="0"/>
        <v>845.65732098738306</v>
      </c>
    </row>
    <row r="5" spans="1:11" x14ac:dyDescent="0.2">
      <c r="A5" s="32" t="s">
        <v>55</v>
      </c>
      <c r="B5" s="32">
        <v>8.3789499999999997</v>
      </c>
      <c r="C5" s="32">
        <v>1788.02</v>
      </c>
      <c r="D5" s="32">
        <v>227.43799999999999</v>
      </c>
      <c r="E5" s="32">
        <v>-15</v>
      </c>
      <c r="F5" s="32">
        <v>98</v>
      </c>
      <c r="G5" s="32">
        <v>3</v>
      </c>
      <c r="H5" s="32">
        <f t="shared" si="0"/>
        <v>828.53942223513832</v>
      </c>
    </row>
    <row r="6" spans="1:11" x14ac:dyDescent="0.2">
      <c r="A6" s="32" t="s">
        <v>56</v>
      </c>
      <c r="B6" s="32">
        <v>8.8782899999999998</v>
      </c>
      <c r="C6" s="32">
        <v>2010.33</v>
      </c>
      <c r="D6" s="32">
        <v>252.636</v>
      </c>
      <c r="E6" s="32">
        <v>-26</v>
      </c>
      <c r="F6" s="32">
        <v>83</v>
      </c>
      <c r="G6" s="32">
        <v>3</v>
      </c>
      <c r="H6" s="32">
        <f t="shared" si="0"/>
        <v>1504.6159198222281</v>
      </c>
    </row>
    <row r="7" spans="1:11" x14ac:dyDescent="0.2">
      <c r="A7" s="32" t="s">
        <v>57</v>
      </c>
      <c r="B7" s="32">
        <v>7.8102799999999997</v>
      </c>
      <c r="C7" s="32">
        <v>1522.56</v>
      </c>
      <c r="D7" s="32">
        <v>191.95</v>
      </c>
      <c r="E7" s="32">
        <v>30</v>
      </c>
      <c r="F7" s="32">
        <v>70</v>
      </c>
      <c r="G7" s="32">
        <v>2</v>
      </c>
      <c r="H7" s="32">
        <f t="shared" si="0"/>
        <v>393.6773433640052</v>
      </c>
    </row>
    <row r="8" spans="1:11" x14ac:dyDescent="0.2">
      <c r="A8" s="32" t="s">
        <v>57</v>
      </c>
      <c r="B8" s="32">
        <v>7.7532800000000002</v>
      </c>
      <c r="C8" s="32">
        <v>1506.07</v>
      </c>
      <c r="D8" s="32">
        <v>191.59299999999999</v>
      </c>
      <c r="E8" s="32">
        <v>70</v>
      </c>
      <c r="F8" s="32">
        <v>120</v>
      </c>
      <c r="G8" s="32">
        <v>2</v>
      </c>
      <c r="H8" s="32">
        <f t="shared" si="0"/>
        <v>387.5314059419162</v>
      </c>
    </row>
    <row r="9" spans="1:11" x14ac:dyDescent="0.2">
      <c r="A9" s="32" t="s">
        <v>57</v>
      </c>
      <c r="B9" s="32">
        <v>7.3636600000000003</v>
      </c>
      <c r="C9" s="32">
        <v>1305.1980000000001</v>
      </c>
      <c r="D9" s="32">
        <v>173.42699999999999</v>
      </c>
      <c r="E9" s="32">
        <v>89</v>
      </c>
      <c r="F9" s="32">
        <v>126</v>
      </c>
      <c r="G9" s="32">
        <v>3</v>
      </c>
      <c r="H9" s="32">
        <f t="shared" si="0"/>
        <v>389.20745972143936</v>
      </c>
    </row>
    <row r="10" spans="1:11" x14ac:dyDescent="0.2">
      <c r="A10" s="32" t="s">
        <v>58</v>
      </c>
      <c r="B10" s="32">
        <v>7.2013100000000003</v>
      </c>
      <c r="C10" s="32">
        <v>1157</v>
      </c>
      <c r="D10" s="32">
        <v>168.279</v>
      </c>
      <c r="E10" s="32">
        <v>72</v>
      </c>
      <c r="F10" s="32">
        <v>107</v>
      </c>
      <c r="G10" s="32">
        <v>3</v>
      </c>
      <c r="H10" s="32">
        <f t="shared" si="0"/>
        <v>773.8120852135537</v>
      </c>
    </row>
    <row r="11" spans="1:11" x14ac:dyDescent="0.2">
      <c r="A11" s="32" t="s">
        <v>59</v>
      </c>
      <c r="B11" s="32">
        <v>8.3660456950000004</v>
      </c>
      <c r="C11" s="32">
        <v>2170.2402579999998</v>
      </c>
      <c r="D11" s="32">
        <v>205.92142960000001</v>
      </c>
      <c r="E11" s="32">
        <v>55</v>
      </c>
      <c r="F11" s="32">
        <v>150</v>
      </c>
      <c r="G11" s="32">
        <v>1</v>
      </c>
      <c r="H11" s="32">
        <f t="shared" si="0"/>
        <v>18.704053835256889</v>
      </c>
    </row>
    <row r="12" spans="1:11" x14ac:dyDescent="0.2">
      <c r="A12" s="32" t="s">
        <v>60</v>
      </c>
      <c r="B12" s="32">
        <v>7.2516208420000003</v>
      </c>
      <c r="C12" s="32">
        <v>1448.565085</v>
      </c>
      <c r="D12" s="32">
        <v>134.11820169999999</v>
      </c>
      <c r="E12" s="32">
        <v>80</v>
      </c>
      <c r="F12" s="32">
        <v>200</v>
      </c>
      <c r="G12" s="32">
        <v>1</v>
      </c>
      <c r="H12" s="32">
        <f t="shared" si="0"/>
        <v>11.5957060484191</v>
      </c>
    </row>
    <row r="13" spans="1:11" x14ac:dyDescent="0.2">
      <c r="A13" s="32" t="s">
        <v>61</v>
      </c>
      <c r="B13" s="32">
        <v>6.6437999999999997</v>
      </c>
      <c r="C13" s="32">
        <v>395.74</v>
      </c>
      <c r="D13" s="32">
        <v>266.68099999999998</v>
      </c>
      <c r="E13" s="32">
        <v>-182</v>
      </c>
      <c r="F13" s="32">
        <v>-158</v>
      </c>
      <c r="G13" s="32">
        <v>5</v>
      </c>
      <c r="H13" s="32">
        <f t="shared" si="0"/>
        <v>366903.01429659879</v>
      </c>
    </row>
    <row r="14" spans="1:11" x14ac:dyDescent="0.2">
      <c r="A14" s="32" t="s">
        <v>62</v>
      </c>
      <c r="B14" s="32">
        <v>6.8291500000000003</v>
      </c>
      <c r="C14" s="32">
        <v>663.72</v>
      </c>
      <c r="D14" s="32">
        <v>256.68099999999998</v>
      </c>
      <c r="E14" s="32">
        <v>-143</v>
      </c>
      <c r="F14" s="32">
        <v>-84</v>
      </c>
      <c r="G14" s="32">
        <v>5</v>
      </c>
      <c r="H14" s="32">
        <f t="shared" si="0"/>
        <v>92966.736217223326</v>
      </c>
    </row>
    <row r="15" spans="1:11" x14ac:dyDescent="0.2">
      <c r="A15" s="32" t="s">
        <v>63</v>
      </c>
      <c r="B15" s="32">
        <v>6.8033799999999998</v>
      </c>
      <c r="C15" s="32">
        <v>804</v>
      </c>
      <c r="D15" s="32">
        <v>247.04</v>
      </c>
      <c r="E15" s="32">
        <v>-108</v>
      </c>
      <c r="F15" s="32">
        <v>-35.65</v>
      </c>
      <c r="G15" s="32">
        <v>5</v>
      </c>
      <c r="H15" s="32">
        <f t="shared" si="0"/>
        <v>30665.085296687128</v>
      </c>
    </row>
    <row r="16" spans="1:11" x14ac:dyDescent="0.2">
      <c r="A16" s="32" t="s">
        <v>64</v>
      </c>
      <c r="B16" s="32">
        <v>6.80776</v>
      </c>
      <c r="C16" s="32">
        <v>935.77</v>
      </c>
      <c r="D16" s="32">
        <v>238.78899999999999</v>
      </c>
      <c r="E16" s="32">
        <v>-78</v>
      </c>
      <c r="F16" s="32">
        <v>19</v>
      </c>
      <c r="G16" s="32">
        <v>5</v>
      </c>
      <c r="H16" s="32">
        <f t="shared" si="0"/>
        <v>11108.548981604479</v>
      </c>
    </row>
    <row r="17" spans="1:8" x14ac:dyDescent="0.2">
      <c r="A17" s="32" t="s">
        <v>65</v>
      </c>
      <c r="B17" s="32">
        <v>6.8529600000000004</v>
      </c>
      <c r="C17" s="32">
        <v>1064.8399999999999</v>
      </c>
      <c r="D17" s="32">
        <v>232.012</v>
      </c>
      <c r="E17" s="32">
        <v>-50</v>
      </c>
      <c r="F17" s="32">
        <v>58</v>
      </c>
      <c r="G17" s="32">
        <v>5</v>
      </c>
      <c r="H17" s="32">
        <f t="shared" si="0"/>
        <v>4423.0976397274344</v>
      </c>
    </row>
    <row r="18" spans="1:8" x14ac:dyDescent="0.2">
      <c r="A18" s="32" t="s">
        <v>65</v>
      </c>
      <c r="B18" s="32">
        <v>6.8763199999999998</v>
      </c>
      <c r="C18" s="32">
        <v>1075.78</v>
      </c>
      <c r="D18" s="32">
        <v>233.20500000000001</v>
      </c>
      <c r="E18" s="32">
        <v>-50</v>
      </c>
      <c r="F18" s="32">
        <v>58</v>
      </c>
      <c r="G18" s="32">
        <v>3</v>
      </c>
      <c r="H18" s="32">
        <f t="shared" si="0"/>
        <v>4443.6208467241167</v>
      </c>
    </row>
    <row r="19" spans="1:8" x14ac:dyDescent="0.2">
      <c r="A19" s="32" t="s">
        <v>66</v>
      </c>
      <c r="B19" s="32">
        <v>6.87601</v>
      </c>
      <c r="C19" s="32">
        <v>1171.17</v>
      </c>
      <c r="D19" s="32">
        <v>224.40799999999999</v>
      </c>
      <c r="E19" s="32">
        <v>-25</v>
      </c>
      <c r="F19" s="32">
        <v>92</v>
      </c>
      <c r="G19" s="32">
        <v>5</v>
      </c>
      <c r="H19" s="32">
        <f t="shared" si="0"/>
        <v>1844.3100186230292</v>
      </c>
    </row>
    <row r="20" spans="1:8" x14ac:dyDescent="0.2">
      <c r="A20" s="32" t="s">
        <v>67</v>
      </c>
      <c r="B20" s="32">
        <v>6.9105800000000004</v>
      </c>
      <c r="C20" s="32">
        <v>1189.6400000000001</v>
      </c>
      <c r="D20" s="32">
        <v>226.28</v>
      </c>
      <c r="E20" s="32">
        <v>-30</v>
      </c>
      <c r="F20" s="32">
        <v>170</v>
      </c>
      <c r="G20" s="32">
        <v>3</v>
      </c>
      <c r="H20" s="32">
        <f t="shared" si="0"/>
        <v>1838.6926525034335</v>
      </c>
    </row>
    <row r="21" spans="1:8" x14ac:dyDescent="0.2">
      <c r="A21" s="32" t="s">
        <v>68</v>
      </c>
      <c r="B21" s="32">
        <v>6.8967700000000001</v>
      </c>
      <c r="C21" s="32">
        <v>1264.9000000000001</v>
      </c>
      <c r="D21" s="32">
        <v>216.54400000000001</v>
      </c>
      <c r="E21" s="32">
        <v>-2</v>
      </c>
      <c r="F21" s="32">
        <v>123</v>
      </c>
      <c r="G21" s="32">
        <v>5</v>
      </c>
      <c r="H21" s="32">
        <f t="shared" si="0"/>
        <v>795.79468674301359</v>
      </c>
    </row>
    <row r="22" spans="1:8" x14ac:dyDescent="0.2">
      <c r="A22" s="32" t="s">
        <v>69</v>
      </c>
      <c r="B22" s="32">
        <v>6.8938600000000001</v>
      </c>
      <c r="C22" s="32">
        <v>1264.3699999999999</v>
      </c>
      <c r="D22" s="32">
        <v>216.64</v>
      </c>
      <c r="E22" s="32">
        <v>-3</v>
      </c>
      <c r="F22" s="32">
        <v>127</v>
      </c>
      <c r="G22" s="32">
        <v>3</v>
      </c>
      <c r="H22" s="32">
        <f t="shared" si="0"/>
        <v>795.74949541159128</v>
      </c>
    </row>
    <row r="23" spans="1:8" x14ac:dyDescent="0.2">
      <c r="A23" s="32" t="s">
        <v>70</v>
      </c>
      <c r="B23" s="32">
        <v>6.9186800000000002</v>
      </c>
      <c r="C23" s="32">
        <v>1351.99</v>
      </c>
      <c r="D23" s="32">
        <v>209.155</v>
      </c>
      <c r="E23" s="32">
        <v>19</v>
      </c>
      <c r="F23" s="32">
        <v>152</v>
      </c>
      <c r="G23" s="32">
        <v>5</v>
      </c>
      <c r="H23" s="32">
        <f t="shared" si="0"/>
        <v>351.15713519064639</v>
      </c>
    </row>
    <row r="24" spans="1:8" x14ac:dyDescent="0.2">
      <c r="A24" s="32" t="s">
        <v>71</v>
      </c>
      <c r="B24" s="32">
        <v>6.93893</v>
      </c>
      <c r="C24" s="32">
        <v>1431.82</v>
      </c>
      <c r="D24" s="32">
        <v>202.11</v>
      </c>
      <c r="E24" s="32">
        <v>39</v>
      </c>
      <c r="F24" s="32">
        <v>178</v>
      </c>
      <c r="G24" s="32">
        <v>5</v>
      </c>
      <c r="H24" s="32">
        <f t="shared" si="0"/>
        <v>158.31805419641751</v>
      </c>
    </row>
    <row r="25" spans="1:8" x14ac:dyDescent="0.2">
      <c r="A25" s="32" t="s">
        <v>72</v>
      </c>
      <c r="B25" s="32">
        <v>6.9436299999999997</v>
      </c>
      <c r="C25" s="32">
        <v>1495.17</v>
      </c>
      <c r="D25" s="32">
        <v>193.858</v>
      </c>
      <c r="E25" s="32">
        <v>58</v>
      </c>
      <c r="F25" s="32">
        <v>203</v>
      </c>
      <c r="G25" s="32">
        <v>5</v>
      </c>
      <c r="H25" s="32">
        <f t="shared" si="0"/>
        <v>71.706785138795865</v>
      </c>
    </row>
    <row r="26" spans="1:8" x14ac:dyDescent="0.2">
      <c r="A26" s="32" t="s">
        <v>73</v>
      </c>
      <c r="B26" s="32">
        <v>7.44</v>
      </c>
      <c r="C26" s="32">
        <v>1843.12</v>
      </c>
      <c r="D26" s="32">
        <v>230.22</v>
      </c>
      <c r="E26" s="32">
        <v>17</v>
      </c>
      <c r="F26" s="32">
        <v>174</v>
      </c>
      <c r="G26" s="32">
        <v>3</v>
      </c>
      <c r="H26" s="32">
        <f t="shared" si="0"/>
        <v>72.195291267741766</v>
      </c>
    </row>
    <row r="27" spans="1:8" x14ac:dyDescent="0.2">
      <c r="A27" s="32" t="s">
        <v>74</v>
      </c>
      <c r="B27" s="32">
        <v>7.2647533769999999</v>
      </c>
      <c r="C27" s="32">
        <v>1434.1483390000001</v>
      </c>
      <c r="D27" s="32">
        <v>246.72069250000001</v>
      </c>
      <c r="E27" s="32">
        <v>6.7</v>
      </c>
      <c r="F27" s="32">
        <v>80.7</v>
      </c>
      <c r="G27" s="32">
        <v>1</v>
      </c>
      <c r="H27" s="32">
        <f t="shared" si="0"/>
        <v>1344.1001649532534</v>
      </c>
    </row>
    <row r="28" spans="1:8" x14ac:dyDescent="0.2">
      <c r="A28" s="32" t="s">
        <v>74</v>
      </c>
      <c r="B28" s="32">
        <v>6.8514600000000003</v>
      </c>
      <c r="C28" s="32">
        <v>1206.47</v>
      </c>
      <c r="D28" s="32">
        <v>223.136</v>
      </c>
      <c r="E28" s="32">
        <v>7</v>
      </c>
      <c r="F28" s="32">
        <v>81</v>
      </c>
      <c r="G28" s="32">
        <v>3</v>
      </c>
      <c r="H28" s="32">
        <f t="shared" si="0"/>
        <v>1311.6888172611525</v>
      </c>
    </row>
    <row r="29" spans="1:8" x14ac:dyDescent="0.2">
      <c r="A29" s="32" t="s">
        <v>75</v>
      </c>
      <c r="B29" s="32">
        <v>7.1161000000000003</v>
      </c>
      <c r="C29" s="32">
        <v>1444.59</v>
      </c>
      <c r="D29" s="32">
        <v>240.184</v>
      </c>
      <c r="E29" s="32">
        <v>-3</v>
      </c>
      <c r="F29" s="32">
        <v>100</v>
      </c>
      <c r="G29" s="32">
        <v>1</v>
      </c>
      <c r="H29" s="32">
        <f t="shared" si="0"/>
        <v>740.63458139153613</v>
      </c>
    </row>
    <row r="30" spans="1:8" x14ac:dyDescent="0.2">
      <c r="A30" s="32" t="s">
        <v>76</v>
      </c>
      <c r="B30" s="32">
        <v>8.1121999999999996</v>
      </c>
      <c r="C30" s="32">
        <v>1592.864</v>
      </c>
      <c r="D30" s="32">
        <v>226.184</v>
      </c>
      <c r="E30" s="32">
        <v>20</v>
      </c>
      <c r="F30" s="32">
        <v>93</v>
      </c>
      <c r="H30" s="32">
        <f t="shared" si="0"/>
        <v>1693.8320477388859</v>
      </c>
    </row>
    <row r="31" spans="1:8" x14ac:dyDescent="0.2">
      <c r="A31" s="32" t="s">
        <v>77</v>
      </c>
      <c r="B31" s="32">
        <v>6.9508700000000001</v>
      </c>
      <c r="C31" s="32">
        <v>1342.31</v>
      </c>
      <c r="D31" s="32">
        <v>219.18700000000001</v>
      </c>
      <c r="E31" s="32">
        <v>-27</v>
      </c>
      <c r="F31" s="32">
        <v>111</v>
      </c>
      <c r="G31" s="32">
        <v>3</v>
      </c>
      <c r="H31" s="32">
        <f t="shared" si="0"/>
        <v>556.50221561834019</v>
      </c>
    </row>
    <row r="32" spans="1:8" x14ac:dyDescent="0.2">
      <c r="A32" s="32" t="s">
        <v>78</v>
      </c>
      <c r="B32" s="32">
        <v>6.8798700000000004</v>
      </c>
      <c r="C32" s="32">
        <v>1196.76</v>
      </c>
      <c r="D32" s="32">
        <v>219.161</v>
      </c>
      <c r="E32" s="32">
        <v>8</v>
      </c>
      <c r="F32" s="32">
        <v>80</v>
      </c>
      <c r="G32" s="32">
        <v>3</v>
      </c>
      <c r="H32" s="32">
        <f t="shared" si="0"/>
        <v>1349.4715681643252</v>
      </c>
    </row>
    <row r="33" spans="1:8" x14ac:dyDescent="0.2">
      <c r="A33" s="32" t="s">
        <v>79</v>
      </c>
      <c r="B33" s="32">
        <v>7.0090899999999996</v>
      </c>
      <c r="C33" s="32">
        <v>1462.2660000000001</v>
      </c>
      <c r="D33" s="32">
        <v>215.11</v>
      </c>
      <c r="E33" s="32">
        <v>29</v>
      </c>
      <c r="F33" s="32">
        <v>166</v>
      </c>
      <c r="G33" s="32">
        <v>3</v>
      </c>
      <c r="H33" s="32">
        <f t="shared" si="0"/>
        <v>233.66636586935078</v>
      </c>
    </row>
    <row r="34" spans="1:8" x14ac:dyDescent="0.2">
      <c r="A34" s="32" t="s">
        <v>80</v>
      </c>
      <c r="B34" s="32">
        <v>7.0015400000000003</v>
      </c>
      <c r="C34" s="32">
        <v>1476.393</v>
      </c>
      <c r="D34" s="32">
        <v>213.87200000000001</v>
      </c>
      <c r="E34" s="32">
        <v>63</v>
      </c>
      <c r="F34" s="32">
        <v>145</v>
      </c>
      <c r="G34" s="32">
        <v>3</v>
      </c>
      <c r="H34" s="32">
        <f t="shared" si="0"/>
        <v>198.48787851060771</v>
      </c>
    </row>
    <row r="35" spans="1:8" x14ac:dyDescent="0.2">
      <c r="A35" s="32" t="s">
        <v>81</v>
      </c>
      <c r="B35" s="32">
        <v>6.9905299999999997</v>
      </c>
      <c r="C35" s="32">
        <v>1453.43</v>
      </c>
      <c r="D35" s="32">
        <v>215.31</v>
      </c>
      <c r="E35" s="32">
        <v>27</v>
      </c>
      <c r="F35" s="32">
        <v>166</v>
      </c>
      <c r="G35" s="32">
        <v>3</v>
      </c>
      <c r="H35" s="32">
        <f t="shared" si="0"/>
        <v>240.437867786476</v>
      </c>
    </row>
    <row r="36" spans="1:8" x14ac:dyDescent="0.2">
      <c r="A36" s="32" t="s">
        <v>82</v>
      </c>
      <c r="B36" s="32">
        <v>7.6313000000000004</v>
      </c>
      <c r="C36" s="32">
        <v>1566.69</v>
      </c>
      <c r="D36" s="32">
        <v>273.41899999999998</v>
      </c>
      <c r="E36" s="32">
        <v>57</v>
      </c>
      <c r="F36" s="32">
        <v>205</v>
      </c>
      <c r="G36" s="32">
        <v>3</v>
      </c>
      <c r="H36" s="32">
        <f t="shared" si="0"/>
        <v>2727.5432918797906</v>
      </c>
    </row>
    <row r="37" spans="1:8" x14ac:dyDescent="0.2">
      <c r="A37" s="32" t="s">
        <v>82</v>
      </c>
      <c r="B37" s="32">
        <v>7.11714</v>
      </c>
      <c r="C37" s="32">
        <v>1210.595</v>
      </c>
      <c r="D37" s="32">
        <v>229.66399999999999</v>
      </c>
      <c r="E37" s="32">
        <v>-13</v>
      </c>
      <c r="F37" s="32">
        <v>55</v>
      </c>
      <c r="G37" s="32">
        <v>3</v>
      </c>
      <c r="H37" s="32">
        <f t="shared" si="0"/>
        <v>2785.6806463931457</v>
      </c>
    </row>
    <row r="38" spans="1:8" x14ac:dyDescent="0.2">
      <c r="A38" s="32" t="s">
        <v>83</v>
      </c>
      <c r="B38" s="32">
        <v>7.06691</v>
      </c>
      <c r="C38" s="32">
        <v>1204.95</v>
      </c>
      <c r="D38" s="32">
        <v>235.35</v>
      </c>
      <c r="E38" s="32">
        <v>-65</v>
      </c>
      <c r="F38" s="32">
        <v>53</v>
      </c>
      <c r="G38" s="32">
        <v>3</v>
      </c>
      <c r="H38" s="32">
        <f t="shared" si="0"/>
        <v>2977.1336097084577</v>
      </c>
    </row>
    <row r="39" spans="1:8" x14ac:dyDescent="0.2">
      <c r="A39" s="32" t="s">
        <v>84</v>
      </c>
      <c r="B39" s="32">
        <v>7.1017900000000003</v>
      </c>
      <c r="C39" s="32">
        <v>1244.95</v>
      </c>
      <c r="D39" s="32">
        <v>217.881</v>
      </c>
      <c r="E39" s="32">
        <v>16</v>
      </c>
      <c r="F39" s="32">
        <v>76</v>
      </c>
      <c r="G39" s="32">
        <v>3</v>
      </c>
      <c r="H39" s="32">
        <f t="shared" si="0"/>
        <v>1532.4535551644617</v>
      </c>
    </row>
    <row r="40" spans="1:8" x14ac:dyDescent="0.2">
      <c r="A40" s="32" t="s">
        <v>85</v>
      </c>
      <c r="B40" s="32">
        <v>7.4315499999999997</v>
      </c>
      <c r="C40" s="32">
        <v>1554.6790000000001</v>
      </c>
      <c r="D40" s="32">
        <v>240.33699999999999</v>
      </c>
      <c r="E40" s="32">
        <v>20</v>
      </c>
      <c r="F40" s="32">
        <v>105</v>
      </c>
      <c r="G40" s="32">
        <v>3</v>
      </c>
      <c r="H40" s="32">
        <f t="shared" si="0"/>
        <v>730.28512893869708</v>
      </c>
    </row>
    <row r="41" spans="1:8" x14ac:dyDescent="0.2">
      <c r="A41" s="32" t="s">
        <v>86</v>
      </c>
      <c r="B41" s="32">
        <v>7.2806621079999996</v>
      </c>
      <c r="C41" s="32">
        <v>1434.201069</v>
      </c>
      <c r="D41" s="32">
        <v>246.49904570000001</v>
      </c>
      <c r="E41" s="32">
        <v>-6.5</v>
      </c>
      <c r="F41" s="32">
        <v>80</v>
      </c>
      <c r="G41" s="32">
        <v>1</v>
      </c>
      <c r="H41" s="32">
        <f t="shared" si="0"/>
        <v>1385.2950556564058</v>
      </c>
    </row>
    <row r="42" spans="1:8" x14ac:dyDescent="0.2">
      <c r="A42" s="32" t="s">
        <v>86</v>
      </c>
      <c r="B42" s="32">
        <v>7.0635599999999998</v>
      </c>
      <c r="C42" s="32">
        <v>1261.3389999999999</v>
      </c>
      <c r="D42" s="32">
        <v>221.96899999999999</v>
      </c>
      <c r="E42" s="32">
        <v>43</v>
      </c>
      <c r="F42" s="32">
        <v>88</v>
      </c>
      <c r="G42" s="32">
        <v>3</v>
      </c>
      <c r="H42" s="32">
        <f t="shared" si="0"/>
        <v>1399.5260236515453</v>
      </c>
    </row>
    <row r="43" spans="1:8" x14ac:dyDescent="0.2">
      <c r="A43" s="32" t="s">
        <v>87</v>
      </c>
      <c r="B43" s="32">
        <v>7.2306400000000002</v>
      </c>
      <c r="C43" s="32">
        <v>1477.021</v>
      </c>
      <c r="D43" s="32">
        <v>237.517</v>
      </c>
      <c r="E43" s="32">
        <v>36</v>
      </c>
      <c r="F43" s="32">
        <v>102</v>
      </c>
      <c r="G43" s="32">
        <v>3</v>
      </c>
      <c r="H43" s="32">
        <f t="shared" si="0"/>
        <v>715.32253865820257</v>
      </c>
    </row>
    <row r="44" spans="1:8" x14ac:dyDescent="0.2">
      <c r="A44" s="32" t="s">
        <v>88</v>
      </c>
      <c r="B44" s="32">
        <v>8.0713100000000004</v>
      </c>
      <c r="C44" s="32">
        <v>1730.63</v>
      </c>
      <c r="D44" s="32">
        <v>233.42599999999999</v>
      </c>
      <c r="E44" s="32">
        <v>1</v>
      </c>
      <c r="F44" s="32">
        <v>100</v>
      </c>
      <c r="G44" s="32">
        <v>3</v>
      </c>
      <c r="H44" s="32">
        <f t="shared" si="0"/>
        <v>760.0863691649314</v>
      </c>
    </row>
    <row r="45" spans="1:8" x14ac:dyDescent="0.2">
      <c r="A45" s="32" t="s">
        <v>89</v>
      </c>
      <c r="B45" s="32">
        <v>7.3398599999999998</v>
      </c>
      <c r="C45" s="32">
        <v>1482.29</v>
      </c>
      <c r="D45" s="32">
        <v>250.523</v>
      </c>
      <c r="E45" s="32">
        <v>-27</v>
      </c>
      <c r="F45" s="32">
        <v>82</v>
      </c>
      <c r="G45" s="32">
        <v>3</v>
      </c>
      <c r="H45" s="32">
        <f t="shared" si="0"/>
        <v>1291.4117770030521</v>
      </c>
    </row>
    <row r="46" spans="1:8" x14ac:dyDescent="0.2">
      <c r="A46" s="32" t="s">
        <v>90</v>
      </c>
      <c r="B46" s="32">
        <v>5.8587899999999999</v>
      </c>
      <c r="C46" s="32">
        <v>695.66600000000005</v>
      </c>
      <c r="D46" s="32">
        <v>144.83199999999999</v>
      </c>
      <c r="E46" s="32">
        <v>50</v>
      </c>
      <c r="F46" s="32">
        <v>95</v>
      </c>
      <c r="G46" s="32">
        <v>3</v>
      </c>
      <c r="H46" s="32">
        <f t="shared" si="0"/>
        <v>1040.8509650416881</v>
      </c>
    </row>
    <row r="47" spans="1:8" x14ac:dyDescent="0.2">
      <c r="A47" s="32" t="s">
        <v>91</v>
      </c>
      <c r="B47" s="32">
        <v>8.0210000000000008</v>
      </c>
      <c r="C47" s="32">
        <v>1936.01</v>
      </c>
      <c r="D47" s="32">
        <v>258.45100000000002</v>
      </c>
      <c r="E47" s="32">
        <v>18</v>
      </c>
      <c r="F47" s="32">
        <v>118</v>
      </c>
      <c r="G47" s="32">
        <v>3</v>
      </c>
      <c r="H47" s="32">
        <f t="shared" si="0"/>
        <v>416.8261411488707</v>
      </c>
    </row>
    <row r="48" spans="1:8" x14ac:dyDescent="0.2">
      <c r="A48" s="32" t="s">
        <v>91</v>
      </c>
      <c r="B48" s="32">
        <v>8.2673500000000004</v>
      </c>
      <c r="C48" s="32">
        <v>2258.2220000000002</v>
      </c>
      <c r="D48" s="32">
        <v>300.97000000000003</v>
      </c>
      <c r="E48" s="32">
        <v>118</v>
      </c>
      <c r="F48" s="32">
        <v>227</v>
      </c>
      <c r="G48" s="32">
        <v>3</v>
      </c>
      <c r="H48" s="32">
        <f t="shared" si="0"/>
        <v>431.96877197813632</v>
      </c>
    </row>
    <row r="49" spans="1:8" x14ac:dyDescent="0.2">
      <c r="A49" s="32" t="s">
        <v>92</v>
      </c>
      <c r="B49" s="32">
        <v>6.95465</v>
      </c>
      <c r="C49" s="32">
        <v>1170.9659999999999</v>
      </c>
      <c r="D49" s="32">
        <v>226.232</v>
      </c>
      <c r="E49" s="32">
        <v>-10</v>
      </c>
      <c r="F49" s="32">
        <v>60</v>
      </c>
      <c r="G49" s="32">
        <v>3</v>
      </c>
      <c r="H49" s="32">
        <f t="shared" si="0"/>
        <v>2318.9113696590925</v>
      </c>
    </row>
    <row r="50" spans="1:8" x14ac:dyDescent="0.2">
      <c r="A50" s="32" t="s">
        <v>93</v>
      </c>
      <c r="B50" s="32">
        <v>7.0803000000000003</v>
      </c>
      <c r="C50" s="32">
        <v>1138.9100000000001</v>
      </c>
      <c r="D50" s="32">
        <v>231.45</v>
      </c>
      <c r="E50" s="32">
        <v>-44</v>
      </c>
      <c r="F50" s="32">
        <v>59</v>
      </c>
      <c r="G50" s="32">
        <v>3</v>
      </c>
      <c r="H50" s="32">
        <f t="shared" si="0"/>
        <v>4407.1292269277874</v>
      </c>
    </row>
    <row r="51" spans="1:8" x14ac:dyDescent="0.2">
      <c r="A51" s="32" t="s">
        <v>94</v>
      </c>
      <c r="B51" s="32">
        <v>7.40916</v>
      </c>
      <c r="C51" s="32">
        <v>1325.9380000000001</v>
      </c>
      <c r="D51" s="32">
        <v>252.61600000000001</v>
      </c>
      <c r="E51" s="32">
        <v>-40</v>
      </c>
      <c r="F51" s="32">
        <v>40</v>
      </c>
      <c r="G51" s="32">
        <v>3</v>
      </c>
      <c r="H51" s="32">
        <f t="shared" si="0"/>
        <v>4455.2408531239671</v>
      </c>
    </row>
    <row r="52" spans="1:8" x14ac:dyDescent="0.2">
      <c r="A52" s="32" t="s">
        <v>95</v>
      </c>
      <c r="B52" s="32">
        <v>6.8409300000000002</v>
      </c>
      <c r="C52" s="32">
        <v>1177.9100000000001</v>
      </c>
      <c r="D52" s="32">
        <v>220.57599999999999</v>
      </c>
      <c r="E52" s="32">
        <v>-20</v>
      </c>
      <c r="F52" s="32">
        <v>77</v>
      </c>
      <c r="G52" s="32">
        <v>3</v>
      </c>
      <c r="H52" s="32">
        <f t="shared" si="0"/>
        <v>1467.4897916758689</v>
      </c>
    </row>
    <row r="53" spans="1:8" x14ac:dyDescent="0.2">
      <c r="A53" s="32" t="s">
        <v>95</v>
      </c>
      <c r="B53" s="32">
        <v>6.8979999999999997</v>
      </c>
      <c r="C53" s="32">
        <v>1221.7809999999999</v>
      </c>
      <c r="D53" s="32">
        <v>227.41099999999997</v>
      </c>
      <c r="E53" s="32">
        <v>-5</v>
      </c>
      <c r="F53" s="32">
        <v>52.7</v>
      </c>
      <c r="G53" s="32">
        <v>6</v>
      </c>
      <c r="H53" s="32">
        <f t="shared" si="0"/>
        <v>1466.7527021950225</v>
      </c>
    </row>
    <row r="54" spans="1:8" x14ac:dyDescent="0.2">
      <c r="A54" s="32" t="s">
        <v>96</v>
      </c>
      <c r="B54" s="32">
        <v>7.0252999999999997</v>
      </c>
      <c r="C54" s="32">
        <v>1271.2539999999999</v>
      </c>
      <c r="D54" s="32">
        <v>222.92699999999999</v>
      </c>
      <c r="E54" s="32">
        <v>-31</v>
      </c>
      <c r="F54" s="32">
        <v>99</v>
      </c>
      <c r="G54" s="32">
        <v>3</v>
      </c>
      <c r="H54" s="32">
        <f t="shared" si="0"/>
        <v>1226.4204752057842</v>
      </c>
    </row>
    <row r="55" spans="1:8" x14ac:dyDescent="0.2">
      <c r="A55" s="32" t="s">
        <v>97</v>
      </c>
      <c r="B55" s="32">
        <v>7.4602700000000004</v>
      </c>
      <c r="C55" s="32">
        <v>1521.789</v>
      </c>
      <c r="D55" s="32">
        <v>248.48</v>
      </c>
      <c r="E55" s="32">
        <v>-31</v>
      </c>
      <c r="F55" s="32">
        <v>99</v>
      </c>
      <c r="H55" s="32">
        <f t="shared" si="0"/>
        <v>1239.7566886783093</v>
      </c>
    </row>
    <row r="56" spans="1:8" x14ac:dyDescent="0.2">
      <c r="A56" s="32" t="s">
        <v>98</v>
      </c>
      <c r="B56" s="32">
        <v>7.5971560179999997</v>
      </c>
      <c r="C56" s="32">
        <v>1961.4684749999999</v>
      </c>
      <c r="D56" s="32">
        <v>236.51136679999999</v>
      </c>
      <c r="E56" s="32">
        <v>22</v>
      </c>
      <c r="F56" s="32">
        <v>180</v>
      </c>
      <c r="G56" s="32">
        <v>1</v>
      </c>
      <c r="H56" s="32">
        <f t="shared" si="0"/>
        <v>58.657462230477684</v>
      </c>
    </row>
    <row r="57" spans="1:8" x14ac:dyDescent="0.2">
      <c r="A57" s="32" t="s">
        <v>99</v>
      </c>
      <c r="B57" s="32">
        <v>7.1945839759999997</v>
      </c>
      <c r="C57" s="32">
        <v>1446.5090740000001</v>
      </c>
      <c r="D57" s="32">
        <v>220.79478399999999</v>
      </c>
      <c r="E57" s="32">
        <v>1.5</v>
      </c>
      <c r="F57" s="32">
        <v>94</v>
      </c>
      <c r="G57" s="32">
        <v>1</v>
      </c>
      <c r="H57" s="32">
        <f t="shared" si="0"/>
        <v>484.66591080299509</v>
      </c>
    </row>
    <row r="58" spans="1:8" x14ac:dyDescent="0.2">
      <c r="A58" s="32" t="s">
        <v>100</v>
      </c>
      <c r="B58" s="32">
        <v>13.535399999999999</v>
      </c>
      <c r="C58" s="32">
        <v>4993.37</v>
      </c>
      <c r="D58" s="32">
        <v>296.072</v>
      </c>
      <c r="E58" s="32">
        <v>20</v>
      </c>
      <c r="F58" s="32">
        <v>40</v>
      </c>
      <c r="G58" s="32" t="s">
        <v>101</v>
      </c>
      <c r="H58" s="32">
        <f t="shared" si="0"/>
        <v>8.4756306193518185</v>
      </c>
    </row>
    <row r="59" spans="1:8" x14ac:dyDescent="0.2">
      <c r="A59" s="32" t="s">
        <v>102</v>
      </c>
      <c r="B59" s="32">
        <v>8.6223299999999998</v>
      </c>
      <c r="C59" s="32">
        <v>2165.7199999999998</v>
      </c>
      <c r="D59" s="32">
        <v>198.28399999999999</v>
      </c>
      <c r="E59" s="32">
        <v>20</v>
      </c>
      <c r="F59" s="32">
        <v>40</v>
      </c>
      <c r="G59" s="32" t="s">
        <v>103</v>
      </c>
      <c r="H59" s="32">
        <f t="shared" si="0"/>
        <v>23.000258488950369</v>
      </c>
    </row>
    <row r="61" spans="1:8" x14ac:dyDescent="0.2">
      <c r="A61" s="32" t="s">
        <v>50</v>
      </c>
    </row>
    <row r="62" spans="1:8" x14ac:dyDescent="0.2">
      <c r="A62" s="32" t="s">
        <v>104</v>
      </c>
    </row>
    <row r="63" spans="1:8" x14ac:dyDescent="0.2">
      <c r="A63" s="32" t="s">
        <v>105</v>
      </c>
    </row>
    <row r="64" spans="1:8" x14ac:dyDescent="0.2">
      <c r="A64" s="32" t="s">
        <v>106</v>
      </c>
    </row>
    <row r="65" spans="1:1" x14ac:dyDescent="0.2">
      <c r="A65" s="32" t="s">
        <v>107</v>
      </c>
    </row>
    <row r="66" spans="1:1" x14ac:dyDescent="0.2">
      <c r="A66" s="32" t="s">
        <v>108</v>
      </c>
    </row>
  </sheetData>
  <sheetProtection sheet="1" objects="1" scenarios="1"/>
  <conditionalFormatting sqref="H2:H59">
    <cfRule type="expression" dxfId="1" priority="1" stopIfTrue="1">
      <formula>E2&gt;$K$2</formula>
    </cfRule>
    <cfRule type="expression" dxfId="0" priority="2" stopIfTrue="1">
      <formula>F2&lt;$K$2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F37" sqref="F37"/>
    </sheetView>
  </sheetViews>
  <sheetFormatPr defaultRowHeight="15" x14ac:dyDescent="0.25"/>
  <cols>
    <col min="1" max="1" width="12.85546875" bestFit="1" customWidth="1"/>
    <col min="2" max="2" width="17.140625" bestFit="1" customWidth="1"/>
    <col min="3" max="4" width="15.5703125" bestFit="1" customWidth="1"/>
    <col min="6" max="10" width="15.5703125" bestFit="1" customWidth="1"/>
    <col min="12" max="12" width="16.85546875" bestFit="1" customWidth="1"/>
    <col min="13" max="13" width="15.5703125" bestFit="1" customWidth="1"/>
  </cols>
  <sheetData>
    <row r="1" spans="1:16" ht="21" thickBot="1" x14ac:dyDescent="0.4">
      <c r="A1" s="120" t="s">
        <v>47</v>
      </c>
      <c r="B1" s="120"/>
      <c r="C1" s="120"/>
      <c r="D1" s="120"/>
      <c r="E1" s="120"/>
      <c r="F1" s="113" t="s">
        <v>509</v>
      </c>
      <c r="G1" s="4"/>
      <c r="H1" s="4"/>
      <c r="L1" t="str">
        <f>L11</f>
        <v>propanol</v>
      </c>
      <c r="M1" s="38">
        <v>2.4700000000000002</v>
      </c>
      <c r="N1" s="38">
        <v>0.33250000000000002</v>
      </c>
      <c r="O1" s="38">
        <v>-1.8550000000000001E-4</v>
      </c>
      <c r="P1" s="38">
        <v>4.2960000000000002E-8</v>
      </c>
    </row>
    <row r="2" spans="1:16" ht="16.5" thickTop="1" thickBot="1" x14ac:dyDescent="0.3">
      <c r="A2" s="4"/>
      <c r="B2" s="4"/>
      <c r="C2" s="4"/>
      <c r="D2" s="4"/>
      <c r="E2" s="4"/>
      <c r="F2">
        <v>8.31447</v>
      </c>
      <c r="K2" s="4"/>
      <c r="L2" s="4" t="s">
        <v>32</v>
      </c>
      <c r="M2" s="26">
        <v>21.15</v>
      </c>
      <c r="N2" s="26">
        <v>7.0919999999999997E-2</v>
      </c>
      <c r="O2" s="26">
        <v>2.5870000000000001E-5</v>
      </c>
      <c r="P2" s="26">
        <v>-2.852E-8</v>
      </c>
    </row>
    <row r="3" spans="1:16" ht="16.5" thickBot="1" x14ac:dyDescent="0.3">
      <c r="A3" s="29" t="s">
        <v>45</v>
      </c>
      <c r="B3" s="28" t="s">
        <v>24</v>
      </c>
      <c r="C3" s="28" t="s">
        <v>41</v>
      </c>
      <c r="D3" s="28" t="s">
        <v>40</v>
      </c>
      <c r="E3" s="28" t="s">
        <v>113</v>
      </c>
      <c r="F3" s="28" t="s">
        <v>42</v>
      </c>
      <c r="G3" s="28" t="s">
        <v>36</v>
      </c>
      <c r="H3" s="28" t="s">
        <v>35</v>
      </c>
      <c r="I3" s="27" t="s">
        <v>34</v>
      </c>
      <c r="L3" s="11" t="s">
        <v>37</v>
      </c>
      <c r="M3" s="11" t="s">
        <v>36</v>
      </c>
      <c r="N3" s="11" t="s">
        <v>35</v>
      </c>
      <c r="O3" s="11" t="s">
        <v>34</v>
      </c>
      <c r="P3" s="11" t="s">
        <v>33</v>
      </c>
    </row>
    <row r="4" spans="1:16" x14ac:dyDescent="0.25">
      <c r="A4" s="25" t="s">
        <v>32</v>
      </c>
      <c r="B4" s="7">
        <v>0.5</v>
      </c>
      <c r="C4">
        <f>$F$2*LN(0.1/$C$35)*(D4*$B$35/(D4-$B$35))</f>
        <v>47879.431991618396</v>
      </c>
      <c r="D4">
        <v>337.84999999999997</v>
      </c>
      <c r="E4" s="37">
        <v>512.6</v>
      </c>
      <c r="F4" s="43">
        <v>0.56599999999999995</v>
      </c>
      <c r="G4">
        <v>8.0809700000000007</v>
      </c>
      <c r="H4">
        <v>1582.271</v>
      </c>
      <c r="I4">
        <v>239.726</v>
      </c>
      <c r="K4" s="2" t="s">
        <v>39</v>
      </c>
      <c r="L4" s="4" t="str">
        <f>A4</f>
        <v>Methanol</v>
      </c>
      <c r="M4" s="38">
        <v>21.15</v>
      </c>
      <c r="N4" s="38">
        <v>7.0919999999999997E-2</v>
      </c>
      <c r="O4" s="38">
        <v>2.5870000000000001E-5</v>
      </c>
      <c r="P4" s="38">
        <v>-2.852E-8</v>
      </c>
    </row>
    <row r="5" spans="1:16" x14ac:dyDescent="0.25">
      <c r="A5" s="25" t="s">
        <v>38</v>
      </c>
      <c r="B5" s="7">
        <v>0.5</v>
      </c>
      <c r="C5">
        <f>$F$2*LN(0.1/$C$35)*(D5*$B$35/(D5-$B$35))</f>
        <v>31897.3843948459</v>
      </c>
      <c r="D5">
        <f>78.5+273.15</f>
        <v>351.65</v>
      </c>
      <c r="E5" s="37">
        <v>516.4</v>
      </c>
      <c r="F5" s="43">
        <v>0.63700000000000001</v>
      </c>
      <c r="G5">
        <v>8.1121999999999996</v>
      </c>
      <c r="H5">
        <v>1592.864</v>
      </c>
      <c r="I5">
        <v>226.184</v>
      </c>
      <c r="K5" s="4"/>
      <c r="L5" s="4" t="str">
        <f>A5</f>
        <v>Ethanol</v>
      </c>
      <c r="M5" s="26">
        <v>9.0139999999999993</v>
      </c>
      <c r="N5" s="26">
        <v>0.21410000000000001</v>
      </c>
      <c r="O5" s="26">
        <v>-8.3900000000000006E-5</v>
      </c>
      <c r="P5" s="26">
        <v>1.3729999999999999E-9</v>
      </c>
    </row>
    <row r="6" spans="1:16" x14ac:dyDescent="0.25">
      <c r="A6" s="21"/>
      <c r="M6" s="26"/>
      <c r="N6" s="26"/>
      <c r="O6" s="26"/>
      <c r="P6" s="26"/>
    </row>
    <row r="7" spans="1:16" x14ac:dyDescent="0.25">
      <c r="A7" s="25"/>
      <c r="B7" s="7"/>
      <c r="C7" s="22"/>
      <c r="E7" s="24"/>
      <c r="F7" s="23"/>
      <c r="K7" s="4"/>
      <c r="L7" s="11" t="s">
        <v>37</v>
      </c>
      <c r="M7" s="11" t="s">
        <v>36</v>
      </c>
      <c r="N7" s="11" t="s">
        <v>35</v>
      </c>
      <c r="O7" s="11" t="s">
        <v>34</v>
      </c>
      <c r="P7" s="11" t="s">
        <v>33</v>
      </c>
    </row>
    <row r="8" spans="1:16" x14ac:dyDescent="0.25">
      <c r="A8" s="21" t="s">
        <v>30</v>
      </c>
      <c r="B8">
        <v>0.45</v>
      </c>
      <c r="D8">
        <f>97.04+273.15</f>
        <v>370.19</v>
      </c>
      <c r="E8" s="37">
        <v>536.70000000000005</v>
      </c>
      <c r="F8" s="43">
        <v>0.628</v>
      </c>
      <c r="G8">
        <v>7.7441599999999999</v>
      </c>
      <c r="H8">
        <v>1437.6859999999999</v>
      </c>
      <c r="I8">
        <v>198.46299999999999</v>
      </c>
      <c r="K8" s="2" t="s">
        <v>31</v>
      </c>
      <c r="L8" s="4" t="str">
        <f>L4</f>
        <v>Methanol</v>
      </c>
      <c r="M8" s="69">
        <v>111.7</v>
      </c>
      <c r="N8" s="69">
        <v>-0.4264</v>
      </c>
      <c r="O8" s="69">
        <v>1.09E-3</v>
      </c>
      <c r="P8" s="4"/>
    </row>
    <row r="9" spans="1:16" x14ac:dyDescent="0.25">
      <c r="G9" s="4"/>
      <c r="K9" s="4"/>
      <c r="L9" s="4" t="str">
        <f>L5</f>
        <v>Ethanol</v>
      </c>
      <c r="M9" s="20">
        <v>281.60000000000002</v>
      </c>
      <c r="N9" s="20">
        <v>-1.4350000000000001</v>
      </c>
      <c r="O9" s="20">
        <v>2.9030000000000002E-3</v>
      </c>
      <c r="P9" s="4"/>
    </row>
    <row r="10" spans="1:16" x14ac:dyDescent="0.25">
      <c r="E10" s="4"/>
      <c r="I10" s="4"/>
      <c r="J10" s="38"/>
      <c r="K10" s="38"/>
      <c r="L10" s="38"/>
      <c r="M10" s="38"/>
      <c r="N10" s="4"/>
      <c r="P10" s="4"/>
    </row>
    <row r="11" spans="1:16" x14ac:dyDescent="0.25">
      <c r="D11" s="4"/>
      <c r="E11" s="10"/>
      <c r="F11" s="10"/>
      <c r="G11" s="19"/>
      <c r="H11" s="19"/>
      <c r="L11" t="s">
        <v>510</v>
      </c>
      <c r="M11" s="69">
        <v>346.3</v>
      </c>
      <c r="N11" s="69">
        <v>-1.7490000000000001</v>
      </c>
      <c r="O11" s="69">
        <v>3.552E-3</v>
      </c>
      <c r="P11" s="4"/>
    </row>
    <row r="12" spans="1:16" x14ac:dyDescent="0.25">
      <c r="A12" s="4"/>
      <c r="B12" s="11" t="s">
        <v>14</v>
      </c>
      <c r="C12" s="11" t="s">
        <v>13</v>
      </c>
      <c r="D12" s="11" t="s">
        <v>29</v>
      </c>
      <c r="G12" s="10"/>
      <c r="O12" s="4"/>
      <c r="P12" s="4"/>
    </row>
    <row r="13" spans="1:16" x14ac:dyDescent="0.25">
      <c r="A13" s="17" t="s">
        <v>28</v>
      </c>
      <c r="B13" s="17">
        <f>25+273.15</f>
        <v>298.14999999999998</v>
      </c>
      <c r="C13" s="17">
        <v>0.1</v>
      </c>
      <c r="D13" s="18" t="s">
        <v>27</v>
      </c>
      <c r="G13" s="10"/>
      <c r="O13" s="4"/>
      <c r="P13" s="4"/>
    </row>
    <row r="14" spans="1:16" x14ac:dyDescent="0.25">
      <c r="G14" s="10"/>
      <c r="O14" s="4"/>
      <c r="P14" s="4"/>
    </row>
    <row r="15" spans="1:16" ht="20.25" thickBot="1" x14ac:dyDescent="0.35">
      <c r="A15" s="4"/>
      <c r="B15" s="15" t="s">
        <v>26</v>
      </c>
      <c r="C15" s="10"/>
      <c r="D15" s="10"/>
      <c r="E15" s="10"/>
      <c r="F15" s="10"/>
      <c r="G15" s="4"/>
      <c r="O15" s="4"/>
      <c r="P15" s="4"/>
    </row>
    <row r="16" spans="1:16" ht="15.75" thickTop="1" x14ac:dyDescent="0.25">
      <c r="A16" s="11" t="s">
        <v>15</v>
      </c>
      <c r="B16" s="14" t="s">
        <v>14</v>
      </c>
      <c r="C16" s="14" t="s">
        <v>13</v>
      </c>
      <c r="D16" s="14" t="s">
        <v>25</v>
      </c>
      <c r="E16" s="14" t="s">
        <v>11</v>
      </c>
      <c r="F16" s="14" t="s">
        <v>24</v>
      </c>
      <c r="G16" s="4"/>
      <c r="O16" s="4"/>
      <c r="P16" s="4"/>
    </row>
    <row r="17" spans="1:16" x14ac:dyDescent="0.25">
      <c r="A17" s="4" t="str">
        <f>A4</f>
        <v>Methanol</v>
      </c>
      <c r="B17" s="10">
        <f>70+273.15</f>
        <v>343.15</v>
      </c>
      <c r="C17" s="10">
        <v>0.1</v>
      </c>
      <c r="D17" s="10">
        <v>43</v>
      </c>
      <c r="E17" s="10">
        <f>M8*($B$17-$B$13)+N8*($B$17^2-$B$13^2)/2+O8/3*($B$17^3-$B$13^3)</f>
        <v>3925.2905111250011</v>
      </c>
      <c r="F17" s="10">
        <f>B4</f>
        <v>0.5</v>
      </c>
      <c r="O17" s="4"/>
      <c r="P17" s="4"/>
    </row>
    <row r="18" spans="1:16" x14ac:dyDescent="0.25">
      <c r="A18" s="4" t="str">
        <f>A5</f>
        <v>Ethanol</v>
      </c>
      <c r="B18" s="4"/>
      <c r="C18" s="4"/>
      <c r="D18" s="4"/>
      <c r="E18" s="10">
        <f>M9*($B$17-$B$13)+N9*($B$17^2-$B$13^2)/2+O9/3*($B$17^3-$B$13^3)</f>
        <v>5419.4942595375032</v>
      </c>
      <c r="F18" s="10">
        <f>B5</f>
        <v>0.5</v>
      </c>
      <c r="G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N19" s="4"/>
      <c r="O19" s="4"/>
      <c r="P19" s="4"/>
    </row>
    <row r="20" spans="1:16" x14ac:dyDescent="0.25">
      <c r="N20" s="4"/>
      <c r="O20" s="4"/>
      <c r="P20" s="4"/>
    </row>
    <row r="21" spans="1:16" x14ac:dyDescent="0.25">
      <c r="J21" s="4"/>
      <c r="O21" s="4"/>
      <c r="P21" s="4"/>
    </row>
    <row r="22" spans="1:16" ht="20.25" thickBot="1" x14ac:dyDescent="0.35">
      <c r="A22" s="4"/>
      <c r="B22" s="15" t="s">
        <v>23</v>
      </c>
      <c r="C22" s="4"/>
      <c r="D22" s="4"/>
      <c r="E22" s="4"/>
      <c r="F22" s="4"/>
      <c r="G22" s="4"/>
      <c r="H22" s="4"/>
      <c r="I22" s="4"/>
      <c r="J22" s="4"/>
      <c r="O22" s="4"/>
      <c r="P22" s="4"/>
    </row>
    <row r="23" spans="1:16" ht="15.75" thickTop="1" x14ac:dyDescent="0.25">
      <c r="A23" s="11" t="s">
        <v>15</v>
      </c>
      <c r="B23" s="14" t="s">
        <v>14</v>
      </c>
      <c r="C23" s="14" t="s">
        <v>13</v>
      </c>
      <c r="D23" s="14" t="s">
        <v>12</v>
      </c>
      <c r="E23" s="13" t="s">
        <v>22</v>
      </c>
      <c r="F23" s="12" t="s">
        <v>11</v>
      </c>
      <c r="G23" s="11" t="s">
        <v>21</v>
      </c>
      <c r="H23" s="11" t="s">
        <v>9</v>
      </c>
      <c r="I23" s="11" t="s">
        <v>8</v>
      </c>
      <c r="J23" s="11" t="s">
        <v>501</v>
      </c>
      <c r="K23" s="4"/>
      <c r="L23" s="4"/>
      <c r="M23" s="4"/>
      <c r="N23" s="4"/>
      <c r="O23" s="4"/>
      <c r="P23" s="4"/>
    </row>
    <row r="24" spans="1:16" x14ac:dyDescent="0.25">
      <c r="A24" s="4" t="str">
        <f>$A$4</f>
        <v>Methanol</v>
      </c>
      <c r="B24" s="10">
        <v>313.31048128745545</v>
      </c>
      <c r="C24" s="10">
        <f>200/7600</f>
        <v>2.6315789473684209E-2</v>
      </c>
      <c r="D24" s="10">
        <f>D35</f>
        <v>3.5228697262865809E-2</v>
      </c>
      <c r="E24" s="9">
        <f>1-E35</f>
        <v>7.2579005280717257E-2</v>
      </c>
      <c r="F24" s="6">
        <f>M8*(D4-$B$13)+N8/2*(D4^2-$B$13^2)+O8/3*(D4^3-$B$13^3)+P8/4*(D4^4-$B$13^4)+C4+M4*($B$24-D4)+N4/2*($B$24^2-D4^2)+O4/3*($B$24^3-D4^3)+P4/4*($B$24^4-D4^4)</f>
        <v>50183.645049566425</v>
      </c>
      <c r="G24" s="4">
        <f>F17*H24/($E$24*(H24-1)+1)</f>
        <v>0.65328628264531508</v>
      </c>
      <c r="H24" s="4">
        <f>D24/$C$24</f>
        <v>1.3386904959889008</v>
      </c>
      <c r="I24" s="4">
        <f>G24*$C$24</f>
        <v>1.7191744280139868E-2</v>
      </c>
      <c r="J24" s="4">
        <f>E24*D17</f>
        <v>3.1208972270708419</v>
      </c>
      <c r="K24" s="17" t="s">
        <v>20</v>
      </c>
      <c r="L24" s="121" t="s">
        <v>19</v>
      </c>
      <c r="M24" s="121"/>
      <c r="N24" s="4"/>
      <c r="O24" s="4"/>
      <c r="P24" s="4"/>
    </row>
    <row r="25" spans="1:16" x14ac:dyDescent="0.25">
      <c r="A25" s="4" t="str">
        <f>$A$5</f>
        <v>Ethanol</v>
      </c>
      <c r="B25" s="4"/>
      <c r="C25" s="4"/>
      <c r="D25" s="10">
        <f>D36</f>
        <v>1.7820539103467977E-2</v>
      </c>
      <c r="E25" s="4"/>
      <c r="F25" s="6">
        <f>M9*(D5-$B$13)+N9/2*(D5^2-$B$13^2)+O9/3*(D5^3-$B$13^3)+P9/4*(D5^4-$B$13^4)+C5+M5*($B$24-D5)+N5/2*($B$24^2-D5^2)+O5/3*($B$24^3-D5^3)+P5/4*($B$24^4-D5^4)</f>
        <v>35730.50371715099</v>
      </c>
      <c r="G25" s="4">
        <f>F18*H25/($E$24*(H25-1)+1)</f>
        <v>0.34671371735468653</v>
      </c>
      <c r="H25" s="4">
        <f>D25/$C$24</f>
        <v>0.67718048593178315</v>
      </c>
      <c r="I25" s="4">
        <f>G25*$C$24</f>
        <v>9.1240451935443827E-3</v>
      </c>
      <c r="J25" s="4"/>
      <c r="K25" s="16" t="s">
        <v>18</v>
      </c>
      <c r="L25" s="4">
        <f>(F17*E17+F18*E18)-(G24*F24+G25*F25)*E24-(G35*F35+G36*F36)*E35</f>
        <v>-1.2732925824820995E-11</v>
      </c>
      <c r="N25" s="4"/>
      <c r="O25" s="4"/>
      <c r="P25" s="4"/>
    </row>
    <row r="26" spans="1:16" x14ac:dyDescent="0.25">
      <c r="A26" s="4"/>
      <c r="B26" s="4"/>
      <c r="C26" s="4"/>
      <c r="D26" s="10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/>
      <c r="B27" s="4"/>
      <c r="C27" s="4"/>
      <c r="D27" s="10"/>
      <c r="E27" s="4"/>
      <c r="F27" s="6"/>
      <c r="G27" s="4"/>
      <c r="H27" s="4"/>
      <c r="I27" s="4"/>
      <c r="J27" s="4"/>
      <c r="K27" s="17" t="s">
        <v>507</v>
      </c>
      <c r="L27" s="4">
        <f>E17*F17+E18*F18</f>
        <v>4672.3923853312517</v>
      </c>
      <c r="M27" s="4">
        <f>L27-L28-L29</f>
        <v>-1.2732925824820995E-11</v>
      </c>
      <c r="N27" s="4"/>
      <c r="O27" s="4"/>
      <c r="P27" s="4"/>
    </row>
    <row r="28" spans="1:16" x14ac:dyDescent="0.25">
      <c r="A28" s="4"/>
      <c r="B28" s="4"/>
      <c r="C28" s="4"/>
      <c r="D28" s="10"/>
      <c r="E28" s="4"/>
      <c r="F28" s="6"/>
      <c r="G28" s="4"/>
      <c r="H28" s="4"/>
      <c r="I28" s="4"/>
      <c r="J28" s="4"/>
      <c r="K28" s="17" t="s">
        <v>505</v>
      </c>
      <c r="L28" s="4">
        <f>(G24*F24+G25*F25)*E24</f>
        <v>3278.578214495521</v>
      </c>
      <c r="M28" s="4"/>
      <c r="N28" s="4"/>
      <c r="O28" s="4"/>
      <c r="P28" s="4"/>
    </row>
    <row r="29" spans="1:16" x14ac:dyDescent="0.25">
      <c r="A29" s="4"/>
      <c r="B29" s="4"/>
      <c r="C29" s="4"/>
      <c r="D29" s="10"/>
      <c r="E29" s="4"/>
      <c r="F29" s="6"/>
      <c r="G29" s="4"/>
      <c r="H29" s="4"/>
      <c r="I29" s="4"/>
      <c r="J29" s="4"/>
      <c r="K29" s="111" t="s">
        <v>506</v>
      </c>
      <c r="L29">
        <f>(F35*G35+F36*G36)*E35</f>
        <v>1393.8141708357434</v>
      </c>
      <c r="M29" s="4"/>
      <c r="N29" s="4"/>
      <c r="O29" s="4"/>
      <c r="P29" s="4"/>
    </row>
    <row r="30" spans="1:16" x14ac:dyDescent="0.25">
      <c r="A30" s="3" t="s">
        <v>2</v>
      </c>
      <c r="B30" s="4"/>
      <c r="C30" s="4"/>
      <c r="D30" s="10"/>
      <c r="E30" s="4"/>
      <c r="F30" s="6"/>
      <c r="G30" s="2">
        <f>SUM(G24:G25)</f>
        <v>1.0000000000000016</v>
      </c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4"/>
      <c r="C31" s="4"/>
      <c r="D31" s="10"/>
      <c r="E31" s="4"/>
      <c r="F31" s="6"/>
      <c r="G31" s="4"/>
      <c r="H31" s="4"/>
      <c r="I31" s="4"/>
      <c r="J31" s="4"/>
      <c r="K31" s="121" t="s">
        <v>17</v>
      </c>
      <c r="L31" s="121"/>
      <c r="M31" s="4"/>
      <c r="N31" s="4"/>
      <c r="O31" s="4"/>
      <c r="P31" s="4"/>
    </row>
    <row r="32" spans="1:16" x14ac:dyDescent="0.25">
      <c r="A32" s="4"/>
      <c r="B32" s="4"/>
      <c r="C32" s="4"/>
      <c r="D32" s="4"/>
      <c r="E32" s="4"/>
      <c r="F32" s="4"/>
      <c r="G32" s="112" t="s">
        <v>508</v>
      </c>
      <c r="H32" s="4">
        <f>G30-G38</f>
        <v>0</v>
      </c>
      <c r="I32" s="4"/>
      <c r="J32" s="4"/>
      <c r="K32" s="121" t="s">
        <v>1</v>
      </c>
      <c r="L32" s="121"/>
      <c r="M32" s="4"/>
      <c r="N32" s="4"/>
      <c r="O32" s="4"/>
      <c r="P32" s="4"/>
    </row>
    <row r="33" spans="1:16" ht="20.25" thickBot="1" x14ac:dyDescent="0.35">
      <c r="A33" s="4"/>
      <c r="B33" s="15" t="s">
        <v>16</v>
      </c>
      <c r="C33" s="4"/>
      <c r="D33" s="4"/>
      <c r="E33" s="4"/>
      <c r="F33" s="4"/>
      <c r="G33" s="4"/>
      <c r="H33" s="4"/>
      <c r="I33" s="4"/>
      <c r="J33" s="4"/>
      <c r="K33" s="3" t="s">
        <v>2</v>
      </c>
      <c r="L33" s="4">
        <f>E24+E35</f>
        <v>1</v>
      </c>
      <c r="M33" s="4"/>
      <c r="N33" s="4"/>
      <c r="O33" s="4"/>
      <c r="P33" s="4"/>
    </row>
    <row r="34" spans="1:16" ht="16.5" thickTop="1" thickBot="1" x14ac:dyDescent="0.3">
      <c r="A34" s="11" t="s">
        <v>15</v>
      </c>
      <c r="B34" s="14" t="s">
        <v>14</v>
      </c>
      <c r="C34" s="14" t="s">
        <v>13</v>
      </c>
      <c r="D34" s="14" t="s">
        <v>12</v>
      </c>
      <c r="E34" s="13" t="s">
        <v>0</v>
      </c>
      <c r="F34" s="12" t="s">
        <v>11</v>
      </c>
      <c r="G34" s="11" t="s">
        <v>10</v>
      </c>
      <c r="H34" s="11" t="s">
        <v>9</v>
      </c>
      <c r="I34" s="11" t="s">
        <v>8</v>
      </c>
      <c r="J34" s="11" t="s">
        <v>502</v>
      </c>
      <c r="K34" s="4"/>
      <c r="L34" s="4"/>
      <c r="M34" s="4"/>
      <c r="N34" s="4"/>
      <c r="O34" s="4"/>
      <c r="P34" s="4"/>
    </row>
    <row r="35" spans="1:16" ht="15.75" thickBot="1" x14ac:dyDescent="0.3">
      <c r="A35" s="4" t="str">
        <f>$A$4</f>
        <v>Methanol</v>
      </c>
      <c r="B35" s="10">
        <f>B24</f>
        <v>313.31048128745545</v>
      </c>
      <c r="C35" s="10">
        <f>C24</f>
        <v>2.6315789473684209E-2</v>
      </c>
      <c r="D35" s="7">
        <f>10^(G4-H4/(I4+$B$35-273.15))/7600</f>
        <v>3.5228697262865809E-2</v>
      </c>
      <c r="E35" s="9">
        <v>0.92742099471928274</v>
      </c>
      <c r="F35" s="6">
        <f>M8*($B$35-$B$13)+N8/2*($B$35^2-$B$13^2)+O8/3*($B$35^3-$B$13^3)+P8/4*($B$35^4-$B$13^4)</f>
        <v>1261.9716639391099</v>
      </c>
      <c r="G35" s="4">
        <f>F17/(1+E24*(H35-1))</f>
        <v>0.4880039744830843</v>
      </c>
      <c r="H35" s="4">
        <f>H24</f>
        <v>1.3386904959889008</v>
      </c>
      <c r="I35" s="4">
        <f>G35*D35</f>
        <v>1.7191744280139868E-2</v>
      </c>
      <c r="J35" s="4">
        <f>E35*D17</f>
        <v>39.879102772929159</v>
      </c>
      <c r="K35" s="114" t="s">
        <v>7</v>
      </c>
      <c r="L35" s="115"/>
      <c r="M35" s="8" t="s">
        <v>6</v>
      </c>
      <c r="N35" s="4"/>
      <c r="O35" s="4"/>
      <c r="P35" s="4"/>
    </row>
    <row r="36" spans="1:16" x14ac:dyDescent="0.25">
      <c r="A36" s="4" t="str">
        <f>$A$5</f>
        <v>Ethanol</v>
      </c>
      <c r="B36" s="4"/>
      <c r="C36" s="4"/>
      <c r="D36" s="7">
        <f>10^(G5-H5/(I5+$B$35-273.15))/7600</f>
        <v>1.7820539103467977E-2</v>
      </c>
      <c r="E36" s="4"/>
      <c r="F36" s="6">
        <f>M9*($B$35-$B$13)+N9/2*($B$35^2-$B$13^2)+O9/3*($B$35^3-$B$13^3)+P9/4*($B$35^4-$B$13^4)</f>
        <v>1732.5240637003308</v>
      </c>
      <c r="G36" s="4">
        <f>1-G35</f>
        <v>0.5119960255169157</v>
      </c>
      <c r="H36" s="4">
        <f>H25</f>
        <v>0.67718048593178315</v>
      </c>
      <c r="I36" s="4">
        <f>G36*D36</f>
        <v>9.1240451935443844E-3</v>
      </c>
      <c r="J36" s="4"/>
      <c r="K36" s="116" t="s">
        <v>5</v>
      </c>
      <c r="L36" s="117"/>
      <c r="M36" s="5" t="s">
        <v>3</v>
      </c>
      <c r="N36" s="4"/>
      <c r="O36" s="4"/>
      <c r="P36" s="4"/>
    </row>
    <row r="37" spans="1:16" ht="15.75" thickBot="1" x14ac:dyDescent="0.3">
      <c r="A37" s="4"/>
      <c r="B37" s="4"/>
      <c r="C37" s="4"/>
      <c r="D37" s="4"/>
      <c r="E37" s="4"/>
      <c r="F37" s="4"/>
      <c r="G37" s="4"/>
      <c r="H37" s="4"/>
      <c r="I37" s="4"/>
      <c r="K37" s="116" t="s">
        <v>4</v>
      </c>
      <c r="L37" s="117"/>
      <c r="M37" s="1" t="s">
        <v>0</v>
      </c>
      <c r="N37" s="4"/>
      <c r="O37" s="4"/>
      <c r="P37" s="4"/>
    </row>
    <row r="38" spans="1:16" ht="15.75" thickBot="1" x14ac:dyDescent="0.3">
      <c r="A38" s="3" t="s">
        <v>2</v>
      </c>
      <c r="G38" s="2">
        <f>SUM(G35:G36)</f>
        <v>1</v>
      </c>
      <c r="K38" s="118" t="s">
        <v>1</v>
      </c>
      <c r="L38" s="119"/>
    </row>
  </sheetData>
  <mergeCells count="8">
    <mergeCell ref="K35:L35"/>
    <mergeCell ref="K36:L36"/>
    <mergeCell ref="K37:L37"/>
    <mergeCell ref="K38:L38"/>
    <mergeCell ref="A1:E1"/>
    <mergeCell ref="L24:M24"/>
    <mergeCell ref="K31:L31"/>
    <mergeCell ref="K32:L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J36" sqref="J36"/>
    </sheetView>
  </sheetViews>
  <sheetFormatPr defaultRowHeight="15" x14ac:dyDescent="0.25"/>
  <cols>
    <col min="1" max="1" width="12.85546875" bestFit="1" customWidth="1"/>
    <col min="2" max="2" width="17.140625" bestFit="1" customWidth="1"/>
    <col min="3" max="4" width="15.5703125" bestFit="1" customWidth="1"/>
    <col min="6" max="6" width="15.5703125" bestFit="1" customWidth="1"/>
    <col min="9" max="10" width="15.5703125" bestFit="1" customWidth="1"/>
    <col min="11" max="11" width="10.140625" bestFit="1" customWidth="1"/>
    <col min="13" max="13" width="14.28515625" bestFit="1" customWidth="1"/>
  </cols>
  <sheetData>
    <row r="1" spans="1:17" ht="21" thickBot="1" x14ac:dyDescent="0.4">
      <c r="A1" s="120" t="s">
        <v>47</v>
      </c>
      <c r="B1" s="120"/>
      <c r="C1" s="120"/>
      <c r="D1" s="120"/>
      <c r="E1" s="120"/>
      <c r="F1" s="4"/>
      <c r="G1" s="4"/>
      <c r="H1" s="4"/>
      <c r="I1" s="4"/>
      <c r="M1" s="4"/>
      <c r="N1" s="26"/>
      <c r="O1" s="26"/>
      <c r="P1" s="26"/>
      <c r="Q1" s="26"/>
    </row>
    <row r="2" spans="1:17" ht="16.5" thickTop="1" thickBot="1" x14ac:dyDescent="0.3">
      <c r="A2" s="4"/>
      <c r="B2" s="4"/>
      <c r="C2" s="4"/>
      <c r="D2" s="4"/>
      <c r="E2" s="4"/>
      <c r="I2" s="4"/>
      <c r="J2" s="11" t="s">
        <v>37</v>
      </c>
      <c r="K2" s="11" t="s">
        <v>36</v>
      </c>
      <c r="L2" s="11" t="s">
        <v>35</v>
      </c>
      <c r="M2" s="11" t="s">
        <v>34</v>
      </c>
      <c r="N2" s="11" t="s">
        <v>33</v>
      </c>
    </row>
    <row r="3" spans="1:17" ht="16.5" thickBot="1" x14ac:dyDescent="0.3">
      <c r="A3" s="29" t="s">
        <v>45</v>
      </c>
      <c r="B3" s="28" t="s">
        <v>24</v>
      </c>
      <c r="C3" s="28" t="s">
        <v>41</v>
      </c>
      <c r="D3" s="28" t="s">
        <v>40</v>
      </c>
      <c r="E3" s="28" t="s">
        <v>36</v>
      </c>
      <c r="F3" s="28" t="s">
        <v>35</v>
      </c>
      <c r="G3" s="27" t="s">
        <v>34</v>
      </c>
      <c r="I3" s="2" t="s">
        <v>39</v>
      </c>
      <c r="J3" s="4" t="str">
        <f>'VLE Adiabatic_flash__Antoine'!L4</f>
        <v>Methanol</v>
      </c>
      <c r="K3" s="4">
        <f>'VLE Adiabatic_flash__Antoine'!M4</f>
        <v>21.15</v>
      </c>
      <c r="L3" s="4">
        <f>'VLE Adiabatic_flash__Antoine'!N4</f>
        <v>7.0919999999999997E-2</v>
      </c>
      <c r="M3" s="4">
        <f>'VLE Adiabatic_flash__Antoine'!O4</f>
        <v>2.5870000000000001E-5</v>
      </c>
      <c r="N3" s="4">
        <f>'VLE Adiabatic_flash__Antoine'!P4</f>
        <v>-2.852E-8</v>
      </c>
    </row>
    <row r="4" spans="1:17" x14ac:dyDescent="0.25">
      <c r="A4" s="21" t="str">
        <f>'VLE Adiabatic_flash__Antoine'!A4</f>
        <v>Methanol</v>
      </c>
      <c r="B4" s="21">
        <f>'VLE Adiabatic_flash__Antoine'!B4</f>
        <v>0.5</v>
      </c>
      <c r="C4" s="21">
        <f>'VLE Adiabatic_flash__Antoine'!C4</f>
        <v>47879.431991618396</v>
      </c>
      <c r="D4" s="21">
        <f>'VLE Adiabatic_flash__Antoine'!D4</f>
        <v>337.84999999999997</v>
      </c>
      <c r="E4" s="21">
        <f>'VLE Adiabatic_flash__Antoine'!G4</f>
        <v>8.0809700000000007</v>
      </c>
      <c r="F4" s="21">
        <f>'VLE Adiabatic_flash__Antoine'!H4</f>
        <v>1582.271</v>
      </c>
      <c r="G4" s="21">
        <f>'VLE Adiabatic_flash__Antoine'!I4</f>
        <v>239.726</v>
      </c>
      <c r="I4" s="4"/>
      <c r="J4" s="4" t="str">
        <f>'VLE Adiabatic_flash__Antoine'!L5</f>
        <v>Ethanol</v>
      </c>
      <c r="K4" s="4">
        <f>'VLE Adiabatic_flash__Antoine'!M5</f>
        <v>9.0139999999999993</v>
      </c>
      <c r="L4" s="4">
        <f>'VLE Adiabatic_flash__Antoine'!N5</f>
        <v>0.21410000000000001</v>
      </c>
      <c r="M4" s="4">
        <f>'VLE Adiabatic_flash__Antoine'!O5</f>
        <v>-8.3900000000000006E-5</v>
      </c>
      <c r="N4" s="4">
        <f>'VLE Adiabatic_flash__Antoine'!P5</f>
        <v>1.3729999999999999E-9</v>
      </c>
    </row>
    <row r="5" spans="1:17" x14ac:dyDescent="0.25">
      <c r="A5" s="21" t="str">
        <f>'VLE Adiabatic_flash__Antoine'!A5</f>
        <v>Ethanol</v>
      </c>
      <c r="B5">
        <f>'VLE Adiabatic_flash__Antoine'!B5</f>
        <v>0.5</v>
      </c>
      <c r="C5" s="9">
        <f>'VLE Adiabatic_flash__Antoine'!C5</f>
        <v>31897.3843948459</v>
      </c>
      <c r="D5" s="9">
        <f>'VLE Adiabatic_flash__Antoine'!D5</f>
        <v>351.65</v>
      </c>
      <c r="E5" s="9">
        <f>'VLE Adiabatic_flash__Antoine'!G5</f>
        <v>8.1121999999999996</v>
      </c>
      <c r="F5" s="9">
        <f>'VLE Adiabatic_flash__Antoine'!H5</f>
        <v>1592.864</v>
      </c>
      <c r="G5" s="9">
        <f>'VLE Adiabatic_flash__Antoine'!I5</f>
        <v>226.184</v>
      </c>
      <c r="I5" s="26"/>
      <c r="J5" s="26"/>
      <c r="K5" s="26"/>
    </row>
    <row r="6" spans="1:17" x14ac:dyDescent="0.25">
      <c r="A6" s="21"/>
      <c r="C6" s="9"/>
      <c r="D6" s="9"/>
      <c r="E6" s="6"/>
      <c r="I6" s="4"/>
      <c r="J6" s="11" t="s">
        <v>37</v>
      </c>
      <c r="K6" s="11" t="s">
        <v>36</v>
      </c>
      <c r="L6" s="11" t="s">
        <v>35</v>
      </c>
      <c r="M6" s="11" t="s">
        <v>34</v>
      </c>
      <c r="N6" s="11" t="s">
        <v>33</v>
      </c>
    </row>
    <row r="7" spans="1:17" x14ac:dyDescent="0.25">
      <c r="A7" s="25"/>
      <c r="B7" s="7"/>
      <c r="C7" s="22"/>
      <c r="I7" s="2" t="s">
        <v>31</v>
      </c>
      <c r="J7" s="4" t="str">
        <f>'VLE Adiabatic_flash__Antoine'!L8</f>
        <v>Methanol</v>
      </c>
      <c r="K7" s="4">
        <f>'VLE Adiabatic_flash__Antoine'!M8</f>
        <v>111.7</v>
      </c>
      <c r="L7" s="4">
        <f>'VLE Adiabatic_flash__Antoine'!N8</f>
        <v>-0.4264</v>
      </c>
      <c r="M7" s="4">
        <f>'VLE Adiabatic_flash__Antoine'!O8</f>
        <v>1.09E-3</v>
      </c>
      <c r="N7" s="4">
        <f>'VLE Adiabatic_flash__Antoine'!P8</f>
        <v>0</v>
      </c>
    </row>
    <row r="8" spans="1:17" x14ac:dyDescent="0.25">
      <c r="A8" s="21"/>
      <c r="I8" s="4"/>
      <c r="J8" s="4" t="str">
        <f>'VLE Adiabatic_flash__Antoine'!L9</f>
        <v>Ethanol</v>
      </c>
      <c r="K8" s="4">
        <f>'VLE Adiabatic_flash__Antoine'!M9</f>
        <v>281.60000000000002</v>
      </c>
      <c r="L8" s="4">
        <f>'VLE Adiabatic_flash__Antoine'!N9</f>
        <v>-1.4350000000000001</v>
      </c>
      <c r="M8" s="4">
        <f>'VLE Adiabatic_flash__Antoine'!O9</f>
        <v>2.9030000000000002E-3</v>
      </c>
      <c r="N8" s="4">
        <f>'VLE Adiabatic_flash__Antoine'!P9</f>
        <v>0</v>
      </c>
    </row>
    <row r="9" spans="1:17" x14ac:dyDescent="0.25">
      <c r="E9" s="4"/>
      <c r="I9" s="4"/>
      <c r="J9" s="4"/>
      <c r="K9" s="20"/>
      <c r="L9" s="20"/>
      <c r="M9" s="20"/>
      <c r="N9" s="4"/>
      <c r="P9" s="4"/>
    </row>
    <row r="10" spans="1:17" x14ac:dyDescent="0.25">
      <c r="E10" s="4"/>
      <c r="I10" s="4"/>
      <c r="J10" s="4"/>
      <c r="K10" s="20"/>
      <c r="L10" s="20"/>
      <c r="M10" s="20"/>
      <c r="N10" s="4"/>
      <c r="P10" s="4"/>
    </row>
    <row r="11" spans="1:17" x14ac:dyDescent="0.25">
      <c r="D11" s="4"/>
      <c r="E11" s="10"/>
      <c r="F11" s="10"/>
      <c r="G11" s="19"/>
      <c r="H11" s="19"/>
      <c r="I11" s="4"/>
      <c r="M11" s="4"/>
      <c r="N11" s="4"/>
      <c r="O11" s="4"/>
      <c r="P11" s="4"/>
    </row>
    <row r="12" spans="1:17" x14ac:dyDescent="0.25">
      <c r="A12" s="4"/>
      <c r="B12" s="11" t="s">
        <v>14</v>
      </c>
      <c r="C12" s="11" t="s">
        <v>13</v>
      </c>
      <c r="D12" s="11" t="s">
        <v>29</v>
      </c>
      <c r="G12" s="10"/>
      <c r="M12" s="4"/>
      <c r="N12" s="4"/>
      <c r="O12" s="4"/>
      <c r="P12" s="4"/>
    </row>
    <row r="13" spans="1:17" x14ac:dyDescent="0.25">
      <c r="A13" s="17" t="s">
        <v>28</v>
      </c>
      <c r="B13" s="17">
        <f>25+273.15</f>
        <v>298.14999999999998</v>
      </c>
      <c r="C13" s="17">
        <v>0.1</v>
      </c>
      <c r="D13" s="18" t="s">
        <v>500</v>
      </c>
      <c r="G13" s="10"/>
      <c r="M13" s="4"/>
      <c r="N13" s="4"/>
      <c r="O13" s="4"/>
      <c r="P13" s="4"/>
    </row>
    <row r="14" spans="1:17" x14ac:dyDescent="0.25">
      <c r="G14" s="10"/>
      <c r="N14" s="4"/>
      <c r="O14" s="4"/>
      <c r="P14" s="4"/>
    </row>
    <row r="15" spans="1:17" ht="20.25" thickBot="1" x14ac:dyDescent="0.35">
      <c r="A15" s="4"/>
      <c r="B15" s="15" t="s">
        <v>26</v>
      </c>
      <c r="C15" s="10"/>
      <c r="D15" s="10"/>
      <c r="E15" s="10"/>
      <c r="F15" s="10"/>
      <c r="G15" s="4"/>
      <c r="N15" s="4"/>
      <c r="O15" s="4"/>
      <c r="P15" s="4"/>
    </row>
    <row r="16" spans="1:17" ht="15.75" thickTop="1" x14ac:dyDescent="0.25">
      <c r="A16" s="11" t="s">
        <v>15</v>
      </c>
      <c r="B16" s="14" t="s">
        <v>14</v>
      </c>
      <c r="C16" s="14" t="s">
        <v>13</v>
      </c>
      <c r="D16" s="14" t="s">
        <v>25</v>
      </c>
      <c r="E16" s="14" t="s">
        <v>11</v>
      </c>
      <c r="F16" s="14" t="s">
        <v>24</v>
      </c>
      <c r="G16" s="4"/>
      <c r="N16" s="4"/>
      <c r="O16" s="4"/>
      <c r="P16" s="4"/>
    </row>
    <row r="17" spans="1:16" x14ac:dyDescent="0.25">
      <c r="A17" s="4" t="str">
        <f>A4</f>
        <v>Methanol</v>
      </c>
      <c r="B17" s="10">
        <f>'VLE Adiabatic_flash__Antoine'!B17</f>
        <v>343.15</v>
      </c>
      <c r="C17" s="10">
        <f>'VLE Adiabatic_flash__Antoine'!C17</f>
        <v>0.1</v>
      </c>
      <c r="D17" s="10">
        <f>'VLE Adiabatic_flash__Antoine'!D17</f>
        <v>43</v>
      </c>
      <c r="E17" s="10">
        <f>K3*(D4-$B$13)+L3/2*(D4^2-$B$13^2)+M3/3*(D4^3-$B$13^3)+N3/4*(D4^4-$B$13^4)-C4+K7*($B$17-$D$4)+L7*($B$17^2-$D$4^2)/2+M7/3*($B$17^3-$D$4^3)</f>
        <v>-45584.691517033963</v>
      </c>
      <c r="F17" s="10">
        <f>B4</f>
        <v>0.5</v>
      </c>
      <c r="N17" s="4"/>
      <c r="O17" s="4"/>
      <c r="P17" s="4"/>
    </row>
    <row r="18" spans="1:16" x14ac:dyDescent="0.25">
      <c r="A18" s="4" t="str">
        <f>A5</f>
        <v>Ethanol</v>
      </c>
      <c r="B18" s="4"/>
      <c r="C18" s="4"/>
      <c r="D18" s="4"/>
      <c r="E18" s="10">
        <f>K4*(D5-$B$13)+L4/2*(D5^2-$B$13^2)+M4/3*(D5^3-$B$13^3)+N4/4*(D5^4-$B$13^4)-C5+K8*($B$17-$D$4)+L8*($B$17^2-$D$4^2)/2+M8/3*($B$17^3-$D$4^3)</f>
        <v>-27479.284956893258</v>
      </c>
      <c r="F18" s="10">
        <f>B5</f>
        <v>0.5</v>
      </c>
      <c r="G18" s="4"/>
      <c r="M18" s="4"/>
      <c r="N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N19" s="4"/>
      <c r="O19" s="4"/>
      <c r="P19" s="4"/>
    </row>
    <row r="20" spans="1:16" x14ac:dyDescent="0.25">
      <c r="N20" s="4"/>
      <c r="O20" s="4"/>
      <c r="P20" s="4"/>
    </row>
    <row r="21" spans="1:16" x14ac:dyDescent="0.25">
      <c r="J21" s="4"/>
      <c r="O21" s="4"/>
      <c r="P21" s="4"/>
    </row>
    <row r="22" spans="1:16" ht="20.25" thickBot="1" x14ac:dyDescent="0.35">
      <c r="A22" s="4"/>
      <c r="B22" s="15" t="s">
        <v>23</v>
      </c>
      <c r="C22" s="4"/>
      <c r="D22" s="4"/>
      <c r="E22" s="4"/>
      <c r="F22" s="4"/>
      <c r="G22" s="4"/>
      <c r="H22" s="4"/>
      <c r="I22" s="4"/>
      <c r="J22" s="4"/>
      <c r="O22" s="4"/>
      <c r="P22" s="4"/>
    </row>
    <row r="23" spans="1:16" ht="15.75" thickTop="1" x14ac:dyDescent="0.25">
      <c r="A23" s="11" t="s">
        <v>15</v>
      </c>
      <c r="B23" s="14" t="s">
        <v>14</v>
      </c>
      <c r="C23" s="14" t="s">
        <v>13</v>
      </c>
      <c r="D23" s="14" t="s">
        <v>12</v>
      </c>
      <c r="E23" s="13" t="s">
        <v>22</v>
      </c>
      <c r="F23" s="12" t="s">
        <v>11</v>
      </c>
      <c r="G23" s="11" t="s">
        <v>21</v>
      </c>
      <c r="H23" s="11" t="s">
        <v>9</v>
      </c>
      <c r="I23" s="11" t="s">
        <v>8</v>
      </c>
      <c r="J23" s="11" t="s">
        <v>511</v>
      </c>
      <c r="K23" s="4"/>
      <c r="L23" s="4"/>
      <c r="M23" s="4"/>
      <c r="N23" s="4"/>
      <c r="O23" s="4"/>
      <c r="P23" s="4"/>
    </row>
    <row r="24" spans="1:16" x14ac:dyDescent="0.25">
      <c r="A24" s="4" t="str">
        <f>$A$4</f>
        <v>Methanol</v>
      </c>
      <c r="B24" s="10">
        <v>313.3579586222512</v>
      </c>
      <c r="C24" s="10">
        <f>'VLE Adiabatic_flash__Antoine'!C24</f>
        <v>2.6315789473684209E-2</v>
      </c>
      <c r="D24" s="10">
        <f>D35</f>
        <v>3.5306558527617243E-2</v>
      </c>
      <c r="E24" s="9">
        <f>1-E35</f>
        <v>9.3388795453149043E-2</v>
      </c>
      <c r="F24" s="6">
        <f>K3*($B$24-$B$13)+L3/2*($B$24^2-$B$13^2)+M3/3*($B$24^3-$B$13^3)+N3/4*($B$24^4-$B$13^4)</f>
        <v>675.80112453881929</v>
      </c>
      <c r="G24" s="4">
        <f>F17*H24/($E$24*(H24-1)+1)</f>
        <v>0.65008292987092875</v>
      </c>
      <c r="H24" s="4">
        <f>D24/$C$24</f>
        <v>1.3416492240494553</v>
      </c>
      <c r="I24" s="4">
        <f>G24*$C$24</f>
        <v>1.7107445522919176E-2</v>
      </c>
      <c r="J24" s="4">
        <f>E24*D17</f>
        <v>4.0157182044854087</v>
      </c>
      <c r="K24" s="17" t="s">
        <v>20</v>
      </c>
      <c r="L24" s="121" t="s">
        <v>19</v>
      </c>
      <c r="M24" s="121"/>
      <c r="N24" s="4"/>
      <c r="O24" s="4"/>
      <c r="P24" s="4"/>
    </row>
    <row r="25" spans="1:16" x14ac:dyDescent="0.25">
      <c r="A25" s="4" t="str">
        <f>$A$5</f>
        <v>Ethanol</v>
      </c>
      <c r="B25" s="4"/>
      <c r="C25" s="4"/>
      <c r="D25" s="10">
        <f>D36</f>
        <v>1.7864328582721207E-2</v>
      </c>
      <c r="E25" s="4"/>
      <c r="F25" s="6">
        <f>K4*($B$24-$B$13)+L4/2*($B$24^2-$B$13^2)+M4/3*($B$24^3-$B$13^3)+N4/4*($B$24^4-$B$13^4)</f>
        <v>1013.9168266496636</v>
      </c>
      <c r="G25" s="4">
        <f>F18*H25/($E$24*(H25-1)+1)</f>
        <v>0.34991707011889617</v>
      </c>
      <c r="H25" s="4">
        <f>D25/$C$24</f>
        <v>0.67884448614340587</v>
      </c>
      <c r="I25" s="4">
        <f>G25*$C$24</f>
        <v>9.2083439504972667E-3</v>
      </c>
      <c r="J25" s="4"/>
      <c r="K25" s="16" t="s">
        <v>18</v>
      </c>
      <c r="L25" s="4">
        <f>(F17*E17+F18*E18)-(G24*F24+G25*F25)*E24-(G35*F35+G36*F36)*E35</f>
        <v>7.1120302891358733E-7</v>
      </c>
      <c r="N25" s="4"/>
      <c r="O25" s="4"/>
      <c r="P25" s="4"/>
    </row>
    <row r="26" spans="1:16" x14ac:dyDescent="0.25">
      <c r="A26" s="4"/>
      <c r="B26" s="4"/>
      <c r="C26" s="4"/>
      <c r="D26" s="10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/>
      <c r="B27" s="4"/>
      <c r="C27" s="4"/>
      <c r="D27" s="10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4"/>
      <c r="B28" s="4"/>
      <c r="C28" s="4"/>
      <c r="D28" s="10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/>
      <c r="B29" s="4"/>
      <c r="C29" s="4"/>
      <c r="D29" s="10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B30" s="4"/>
      <c r="C30" s="4"/>
      <c r="D30" s="10"/>
      <c r="E30" s="4"/>
      <c r="F30" s="3" t="s">
        <v>2</v>
      </c>
      <c r="G30" s="2">
        <f>SUM(G24:G25)</f>
        <v>0.99999999998982492</v>
      </c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4"/>
      <c r="C31" s="4"/>
      <c r="D31" s="10"/>
      <c r="E31" s="4"/>
      <c r="F31" s="6"/>
      <c r="G31" s="4"/>
      <c r="H31" s="4"/>
      <c r="I31" s="4"/>
      <c r="J31" s="4"/>
      <c r="K31" s="121" t="s">
        <v>17</v>
      </c>
      <c r="L31" s="121"/>
      <c r="M31" s="4"/>
      <c r="N31" s="4"/>
      <c r="O31" s="4"/>
      <c r="P31" s="4"/>
    </row>
    <row r="32" spans="1:16" x14ac:dyDescent="0.25">
      <c r="A32" s="4"/>
      <c r="B32" s="4"/>
      <c r="C32" s="4"/>
      <c r="D32" s="4"/>
      <c r="E32" s="4"/>
      <c r="F32" s="112" t="s">
        <v>508</v>
      </c>
      <c r="G32" s="4">
        <f>G30-G38</f>
        <v>-1.0175082998387097E-11</v>
      </c>
      <c r="H32" s="4"/>
      <c r="I32" s="4"/>
      <c r="J32" s="4"/>
      <c r="K32" s="121" t="s">
        <v>1</v>
      </c>
      <c r="L32" s="121"/>
      <c r="M32" s="4"/>
      <c r="N32" s="4"/>
      <c r="O32" s="4"/>
      <c r="P32" s="4"/>
    </row>
    <row r="33" spans="1:16" ht="20.25" thickBot="1" x14ac:dyDescent="0.35">
      <c r="A33" s="4"/>
      <c r="B33" s="15" t="s">
        <v>16</v>
      </c>
      <c r="C33" s="4"/>
      <c r="D33" s="4"/>
      <c r="E33" s="4"/>
      <c r="F33" s="4"/>
      <c r="G33" s="4"/>
      <c r="H33" s="4"/>
      <c r="I33" s="4"/>
      <c r="J33" s="4"/>
      <c r="K33" s="3" t="s">
        <v>2</v>
      </c>
      <c r="L33" s="2">
        <f>E24+E35</f>
        <v>1</v>
      </c>
      <c r="M33" s="4"/>
      <c r="N33" s="4"/>
      <c r="O33" s="4"/>
      <c r="P33" s="4"/>
    </row>
    <row r="34" spans="1:16" ht="16.5" thickTop="1" thickBot="1" x14ac:dyDescent="0.3">
      <c r="A34" s="11" t="s">
        <v>15</v>
      </c>
      <c r="B34" s="14" t="s">
        <v>14</v>
      </c>
      <c r="C34" s="14" t="s">
        <v>13</v>
      </c>
      <c r="D34" s="14" t="s">
        <v>12</v>
      </c>
      <c r="E34" s="13" t="s">
        <v>0</v>
      </c>
      <c r="F34" s="12" t="s">
        <v>11</v>
      </c>
      <c r="G34" s="11" t="s">
        <v>10</v>
      </c>
      <c r="H34" s="11" t="s">
        <v>9</v>
      </c>
      <c r="I34" s="11" t="s">
        <v>8</v>
      </c>
      <c r="J34" s="11" t="s">
        <v>512</v>
      </c>
      <c r="K34" s="4"/>
      <c r="L34" s="4"/>
      <c r="M34" s="4"/>
      <c r="N34" s="4"/>
      <c r="O34" s="4"/>
      <c r="P34" s="4"/>
    </row>
    <row r="35" spans="1:16" ht="15.75" thickBot="1" x14ac:dyDescent="0.3">
      <c r="A35" s="4" t="str">
        <f>$A$4</f>
        <v>Methanol</v>
      </c>
      <c r="B35" s="10">
        <f>B24</f>
        <v>313.3579586222512</v>
      </c>
      <c r="C35" s="10">
        <f>C24</f>
        <v>2.6315789473684209E-2</v>
      </c>
      <c r="D35" s="7">
        <f>10^(E4-F4/(G4+$B$35-273.15))/7600</f>
        <v>3.5306558527617243E-2</v>
      </c>
      <c r="E35" s="9">
        <v>0.90661120454685096</v>
      </c>
      <c r="F35" s="10">
        <f>K3*(D4-$B$13)+L3/2*(D4^2-$B$13^2)+M3/3*(D4^3-$B$13^3)+N3/4*(D4^4-$B$13^4)-C4+K7*($B$35-D4)+L7/2*($B$35^2-D4^2)+M7/3*($B$35^3-D4^3)+N7/4*($B$35^4-D4^4)</f>
        <v>-48243.969631295025</v>
      </c>
      <c r="G35" s="4">
        <f>F17/(1+E24*(H35-1))</f>
        <v>0.48454016013873213</v>
      </c>
      <c r="H35" s="4">
        <f>H24</f>
        <v>1.3416492240494553</v>
      </c>
      <c r="I35" s="4">
        <f>G35*D35</f>
        <v>1.7107445522919179E-2</v>
      </c>
      <c r="J35" s="4">
        <f>E35*D17</f>
        <v>38.98428179551459</v>
      </c>
      <c r="K35" s="114" t="s">
        <v>7</v>
      </c>
      <c r="L35" s="115"/>
      <c r="M35" s="8" t="s">
        <v>6</v>
      </c>
      <c r="N35" s="4"/>
      <c r="O35" s="4"/>
      <c r="P35" s="4"/>
    </row>
    <row r="36" spans="1:16" x14ac:dyDescent="0.25">
      <c r="A36" s="4" t="str">
        <f>$A$5</f>
        <v>Ethanol</v>
      </c>
      <c r="B36" s="4"/>
      <c r="C36" s="4"/>
      <c r="D36" s="7">
        <f>10^(E5-F5/(G5+$B$35-273.15))/7600</f>
        <v>1.7864328582721207E-2</v>
      </c>
      <c r="E36" s="4"/>
      <c r="F36" s="10">
        <f>K4*(D5-$B$13)+L4/2*(D5^2-$B$13^2)+M4/3*(D5^3-$B$13^3)+N4/4*(D5^4-$B$13^4)-C5+K8*($B$35-D5)+L8/2*($B$35^2-D5^2)+M8/3*($B$35^3-D5^3)+N8/4*($B$35^4-D5^4)</f>
        <v>-32981.732963699862</v>
      </c>
      <c r="G36" s="4">
        <f>1-G35</f>
        <v>0.51545983986126787</v>
      </c>
      <c r="H36" s="4">
        <f>H25</f>
        <v>0.67884448614340587</v>
      </c>
      <c r="I36" s="4">
        <f>G36*D36</f>
        <v>9.2083439504785439E-3</v>
      </c>
      <c r="J36" s="4"/>
      <c r="K36" s="116" t="s">
        <v>5</v>
      </c>
      <c r="L36" s="117"/>
      <c r="M36" s="5" t="s">
        <v>3</v>
      </c>
      <c r="N36" s="4"/>
      <c r="O36" s="4"/>
      <c r="P36" s="4"/>
    </row>
    <row r="37" spans="1:16" ht="15.75" thickBot="1" x14ac:dyDescent="0.3">
      <c r="A37" s="4"/>
      <c r="B37" s="4"/>
      <c r="C37" s="4"/>
      <c r="D37" s="4"/>
      <c r="E37" s="4"/>
      <c r="F37" s="4"/>
      <c r="G37" s="4"/>
      <c r="H37" s="4"/>
      <c r="I37" s="4"/>
      <c r="K37" s="116" t="s">
        <v>4</v>
      </c>
      <c r="L37" s="117"/>
      <c r="M37" s="1" t="s">
        <v>0</v>
      </c>
      <c r="N37" s="4"/>
      <c r="O37" s="4"/>
      <c r="P37" s="4"/>
    </row>
    <row r="38" spans="1:16" ht="15.75" thickBot="1" x14ac:dyDescent="0.3">
      <c r="F38" s="3" t="s">
        <v>2</v>
      </c>
      <c r="G38" s="2">
        <f>SUM(G35:G36)</f>
        <v>1</v>
      </c>
      <c r="K38" s="118" t="s">
        <v>1</v>
      </c>
      <c r="L38" s="119"/>
    </row>
  </sheetData>
  <mergeCells count="8">
    <mergeCell ref="K37:L37"/>
    <mergeCell ref="K38:L38"/>
    <mergeCell ref="A1:E1"/>
    <mergeCell ref="L24:M24"/>
    <mergeCell ref="K31:L31"/>
    <mergeCell ref="K32:L32"/>
    <mergeCell ref="K35:L35"/>
    <mergeCell ref="K36:L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22" workbookViewId="0">
      <selection activeCell="F19" sqref="F19"/>
    </sheetView>
  </sheetViews>
  <sheetFormatPr defaultRowHeight="15" x14ac:dyDescent="0.25"/>
  <cols>
    <col min="1" max="1" width="12.85546875" bestFit="1" customWidth="1"/>
    <col min="2" max="2" width="17.140625" bestFit="1" customWidth="1"/>
    <col min="3" max="4" width="15.5703125" bestFit="1" customWidth="1"/>
    <col min="6" max="6" width="15.5703125" bestFit="1" customWidth="1"/>
    <col min="10" max="10" width="11.5703125" bestFit="1" customWidth="1"/>
    <col min="11" max="11" width="10.140625" bestFit="1" customWidth="1"/>
    <col min="13" max="13" width="14.28515625" bestFit="1" customWidth="1"/>
  </cols>
  <sheetData>
    <row r="1" spans="1:17" ht="21" thickBot="1" x14ac:dyDescent="0.4">
      <c r="A1" s="120" t="s">
        <v>47</v>
      </c>
      <c r="B1" s="120"/>
      <c r="C1" s="120"/>
      <c r="D1" s="120"/>
      <c r="E1" s="120"/>
      <c r="F1" s="4"/>
      <c r="G1" s="4"/>
      <c r="H1" s="4"/>
      <c r="I1" s="4"/>
      <c r="M1" s="4"/>
      <c r="N1" s="26"/>
      <c r="O1" s="26"/>
      <c r="P1" s="26"/>
      <c r="Q1" s="26"/>
    </row>
    <row r="2" spans="1:17" ht="16.5" thickTop="1" thickBot="1" x14ac:dyDescent="0.3">
      <c r="A2" s="4"/>
      <c r="B2" s="4"/>
      <c r="C2" s="4"/>
      <c r="D2" s="4"/>
      <c r="E2" s="4"/>
      <c r="I2" s="4"/>
      <c r="J2" s="11" t="s">
        <v>37</v>
      </c>
      <c r="K2" s="11" t="s">
        <v>36</v>
      </c>
      <c r="L2" s="11" t="s">
        <v>35</v>
      </c>
      <c r="M2" s="11" t="s">
        <v>34</v>
      </c>
      <c r="N2" s="11" t="s">
        <v>33</v>
      </c>
    </row>
    <row r="3" spans="1:17" ht="16.5" thickBot="1" x14ac:dyDescent="0.3">
      <c r="A3" s="29" t="s">
        <v>45</v>
      </c>
      <c r="B3" s="28" t="s">
        <v>24</v>
      </c>
      <c r="C3" s="28" t="s">
        <v>41</v>
      </c>
      <c r="D3" s="28" t="s">
        <v>40</v>
      </c>
      <c r="E3" s="28" t="s">
        <v>36</v>
      </c>
      <c r="F3" s="28" t="s">
        <v>35</v>
      </c>
      <c r="G3" s="27" t="s">
        <v>34</v>
      </c>
      <c r="I3" s="2" t="s">
        <v>39</v>
      </c>
      <c r="J3" s="4" t="str">
        <f>'VLE Adiabatic_flash__Antoine'!L4</f>
        <v>Methanol</v>
      </c>
      <c r="K3" s="4">
        <f>'VLE Adiabatic_flash__Antoine'!M4</f>
        <v>21.15</v>
      </c>
      <c r="L3" s="4">
        <f>'VLE Adiabatic_flash__Antoine'!N4</f>
        <v>7.0919999999999997E-2</v>
      </c>
      <c r="M3" s="4">
        <f>'VLE Adiabatic_flash__Antoine'!O4</f>
        <v>2.5870000000000001E-5</v>
      </c>
      <c r="N3" s="4">
        <f>'VLE Adiabatic_flash__Antoine'!P4</f>
        <v>-2.852E-8</v>
      </c>
    </row>
    <row r="4" spans="1:17" x14ac:dyDescent="0.25">
      <c r="A4" s="21" t="str">
        <f>'VLE Adiabatic_flash__Antoine'!A4</f>
        <v>Methanol</v>
      </c>
      <c r="B4" s="21">
        <f>'VLE Adiabatic_flash__Antoine'!B4</f>
        <v>0.5</v>
      </c>
      <c r="C4" s="21">
        <f>'VLE Adiabatic_flash__Antoine'!C4</f>
        <v>47879.431991618396</v>
      </c>
      <c r="D4" s="21">
        <f>'VLE Adiabatic_flash__Antoine'!D4</f>
        <v>337.84999999999997</v>
      </c>
      <c r="E4" s="21">
        <f>'VLE Adiabatic_flash__Antoine'!G4</f>
        <v>8.0809700000000007</v>
      </c>
      <c r="F4" s="21">
        <f>'VLE Adiabatic_flash__Antoine'!H4</f>
        <v>1582.271</v>
      </c>
      <c r="G4" s="21">
        <f>'VLE Adiabatic_flash__Antoine'!I4</f>
        <v>239.726</v>
      </c>
      <c r="I4" s="4"/>
      <c r="J4" s="4" t="str">
        <f>'VLE Adiabatic_flash__Antoine'!L5</f>
        <v>Ethanol</v>
      </c>
      <c r="K4" s="4">
        <f>'VLE Adiabatic_flash__Antoine'!M5</f>
        <v>9.0139999999999993</v>
      </c>
      <c r="L4" s="4">
        <f>'VLE Adiabatic_flash__Antoine'!N5</f>
        <v>0.21410000000000001</v>
      </c>
      <c r="M4" s="4">
        <f>'VLE Adiabatic_flash__Antoine'!O5</f>
        <v>-8.3900000000000006E-5</v>
      </c>
      <c r="N4" s="4">
        <f>'VLE Adiabatic_flash__Antoine'!P5</f>
        <v>1.3729999999999999E-9</v>
      </c>
    </row>
    <row r="5" spans="1:17" x14ac:dyDescent="0.25">
      <c r="A5" s="21" t="str">
        <f>'VLE Adiabatic_flash__Antoine'!A5</f>
        <v>Ethanol</v>
      </c>
      <c r="B5">
        <f>'VLE Adiabatic_flash__Antoine'!B5</f>
        <v>0.5</v>
      </c>
      <c r="C5" s="9">
        <f>'VLE Adiabatic_flash__Antoine'!C5</f>
        <v>31897.3843948459</v>
      </c>
      <c r="D5" s="9">
        <f>'VLE Adiabatic_flash__Antoine'!D5</f>
        <v>351.65</v>
      </c>
      <c r="E5" s="9">
        <f>'VLE Adiabatic_flash__Antoine'!G5</f>
        <v>8.1121999999999996</v>
      </c>
      <c r="F5" s="9">
        <f>'VLE Adiabatic_flash__Antoine'!H5</f>
        <v>1592.864</v>
      </c>
      <c r="G5" s="9">
        <f>'VLE Adiabatic_flash__Antoine'!I5</f>
        <v>226.184</v>
      </c>
      <c r="I5" s="26"/>
      <c r="J5" s="26"/>
      <c r="K5" s="26"/>
    </row>
    <row r="6" spans="1:17" x14ac:dyDescent="0.25">
      <c r="A6" s="21"/>
      <c r="C6" s="9"/>
      <c r="D6" s="9"/>
      <c r="E6" s="6"/>
      <c r="I6" s="4"/>
      <c r="J6" s="11" t="s">
        <v>37</v>
      </c>
      <c r="K6" s="11" t="s">
        <v>36</v>
      </c>
      <c r="L6" s="11" t="s">
        <v>35</v>
      </c>
      <c r="M6" s="11" t="s">
        <v>34</v>
      </c>
      <c r="N6" s="11" t="s">
        <v>33</v>
      </c>
    </row>
    <row r="7" spans="1:17" x14ac:dyDescent="0.25">
      <c r="A7" s="25"/>
      <c r="B7" s="7"/>
      <c r="C7" s="22"/>
      <c r="I7" s="2" t="s">
        <v>31</v>
      </c>
      <c r="J7" s="4" t="str">
        <f>'VLE Adiabatic_flash__Antoine'!L8</f>
        <v>Methanol</v>
      </c>
      <c r="K7" s="4">
        <f>'VLE Adiabatic_flash__Antoine'!M8</f>
        <v>111.7</v>
      </c>
      <c r="L7" s="4">
        <f>'VLE Adiabatic_flash__Antoine'!N8</f>
        <v>-0.4264</v>
      </c>
      <c r="M7" s="4">
        <f>'VLE Adiabatic_flash__Antoine'!O8</f>
        <v>1.09E-3</v>
      </c>
      <c r="N7" s="4">
        <f>'VLE Adiabatic_flash__Antoine'!P8</f>
        <v>0</v>
      </c>
    </row>
    <row r="8" spans="1:17" x14ac:dyDescent="0.25">
      <c r="A8" s="21"/>
      <c r="I8" s="4"/>
      <c r="J8" s="4" t="str">
        <f>'VLE Adiabatic_flash__Antoine'!L9</f>
        <v>Ethanol</v>
      </c>
      <c r="K8" s="4">
        <f>'VLE Adiabatic_flash__Antoine'!M9</f>
        <v>281.60000000000002</v>
      </c>
      <c r="L8" s="4">
        <f>'VLE Adiabatic_flash__Antoine'!N9</f>
        <v>-1.4350000000000001</v>
      </c>
      <c r="M8" s="4">
        <f>'VLE Adiabatic_flash__Antoine'!O9</f>
        <v>2.9030000000000002E-3</v>
      </c>
      <c r="N8" s="4">
        <f>'VLE Adiabatic_flash__Antoine'!P9</f>
        <v>0</v>
      </c>
    </row>
    <row r="9" spans="1:17" x14ac:dyDescent="0.25">
      <c r="E9" s="4"/>
      <c r="I9" s="4"/>
      <c r="J9" s="4"/>
      <c r="K9" s="20"/>
      <c r="L9" s="20"/>
      <c r="M9" s="20"/>
      <c r="N9" s="4"/>
      <c r="P9" s="4"/>
    </row>
    <row r="10" spans="1:17" x14ac:dyDescent="0.25">
      <c r="E10" s="4"/>
      <c r="I10" s="4"/>
      <c r="J10" s="4"/>
      <c r="K10" s="20"/>
      <c r="L10" s="20"/>
      <c r="M10" s="20"/>
      <c r="N10" s="4"/>
      <c r="P10" s="4"/>
    </row>
    <row r="11" spans="1:17" x14ac:dyDescent="0.25">
      <c r="D11" s="4"/>
      <c r="E11" s="10"/>
      <c r="F11" s="10"/>
      <c r="G11" s="19"/>
      <c r="H11" s="19"/>
      <c r="I11" s="4"/>
      <c r="M11" s="4"/>
      <c r="N11" s="4"/>
      <c r="O11" s="4"/>
      <c r="P11" s="4"/>
    </row>
    <row r="12" spans="1:17" x14ac:dyDescent="0.25">
      <c r="A12" s="4"/>
      <c r="B12" s="11" t="s">
        <v>14</v>
      </c>
      <c r="C12" s="11" t="s">
        <v>13</v>
      </c>
      <c r="D12" s="11" t="s">
        <v>29</v>
      </c>
      <c r="G12" s="10"/>
      <c r="M12" s="4"/>
      <c r="N12" s="4"/>
      <c r="O12" s="4"/>
      <c r="P12" s="4"/>
    </row>
    <row r="13" spans="1:17" x14ac:dyDescent="0.25">
      <c r="A13" s="17" t="s">
        <v>28</v>
      </c>
      <c r="B13" s="17">
        <f>25+273.15</f>
        <v>298.14999999999998</v>
      </c>
      <c r="C13" s="17">
        <v>0.1</v>
      </c>
      <c r="D13" s="18" t="s">
        <v>500</v>
      </c>
      <c r="G13" s="10"/>
      <c r="M13" s="4"/>
      <c r="N13" s="4"/>
      <c r="O13" s="4"/>
      <c r="P13" s="4"/>
    </row>
    <row r="14" spans="1:17" x14ac:dyDescent="0.25">
      <c r="G14" s="10"/>
      <c r="N14" s="4"/>
      <c r="O14" s="4"/>
      <c r="P14" s="4"/>
    </row>
    <row r="15" spans="1:17" ht="20.25" thickBot="1" x14ac:dyDescent="0.35">
      <c r="A15" s="4"/>
      <c r="B15" s="15" t="s">
        <v>26</v>
      </c>
      <c r="C15" s="10"/>
      <c r="D15" s="10"/>
      <c r="E15" s="10"/>
      <c r="F15" s="10"/>
      <c r="G15" s="4"/>
      <c r="N15" s="4"/>
      <c r="O15" s="4"/>
      <c r="P15" s="4"/>
    </row>
    <row r="16" spans="1:17" ht="15.75" thickTop="1" x14ac:dyDescent="0.25">
      <c r="A16" s="11" t="s">
        <v>15</v>
      </c>
      <c r="B16" s="14" t="s">
        <v>14</v>
      </c>
      <c r="C16" s="14" t="s">
        <v>13</v>
      </c>
      <c r="D16" s="14" t="s">
        <v>25</v>
      </c>
      <c r="E16" s="14" t="s">
        <v>11</v>
      </c>
      <c r="F16" s="14" t="s">
        <v>24</v>
      </c>
      <c r="G16" s="4"/>
      <c r="N16" s="4"/>
      <c r="O16" s="4"/>
      <c r="P16" s="4"/>
    </row>
    <row r="17" spans="1:16" x14ac:dyDescent="0.25">
      <c r="A17" s="4" t="str">
        <f>A4</f>
        <v>Methanol</v>
      </c>
      <c r="B17" s="10">
        <f>'VLE Adiabatic_flash__Antoine'!B17</f>
        <v>343.15</v>
      </c>
      <c r="C17" s="10">
        <f>'VLE Adiabatic_flash__Antoine'!C17</f>
        <v>0.1</v>
      </c>
      <c r="D17" s="10">
        <f>'VLE Adiabatic_flash__Antoine'!D17</f>
        <v>43</v>
      </c>
      <c r="E17" s="10">
        <f>K3*($B$17-$B$13)+L3/2*($B$17^2-$B$13^2)+M3/3*($B$17^3-$B$13^3)+N3/4*($B$17^4-$B$13^4)</f>
        <v>2052.4430240355687</v>
      </c>
      <c r="F17" s="10">
        <f>B4</f>
        <v>0.5</v>
      </c>
      <c r="N17" s="4"/>
      <c r="O17" s="4"/>
      <c r="P17" s="4"/>
    </row>
    <row r="18" spans="1:16" x14ac:dyDescent="0.25">
      <c r="A18" s="4" t="str">
        <f>A5</f>
        <v>Ethanol</v>
      </c>
      <c r="B18" s="4"/>
      <c r="C18" s="4"/>
      <c r="D18" s="4"/>
      <c r="E18" s="10">
        <f>K4*($B$17-$B$13)+L4/2*($B$17^2-$B$13^2)+M4/3*($B$17^3-$B$13^3)+N4/4*($B$17^4-$B$13^4)</f>
        <v>3108.1588689131409</v>
      </c>
      <c r="F18" s="10">
        <f>B5</f>
        <v>0.5</v>
      </c>
      <c r="G18" s="4"/>
      <c r="M18" s="4"/>
      <c r="N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N19" s="4"/>
      <c r="O19" s="4"/>
      <c r="P19" s="4"/>
    </row>
    <row r="20" spans="1:16" x14ac:dyDescent="0.25">
      <c r="N20" s="4"/>
      <c r="O20" s="4"/>
      <c r="P20" s="4"/>
    </row>
    <row r="21" spans="1:16" x14ac:dyDescent="0.25">
      <c r="J21" s="4"/>
      <c r="O21" s="4"/>
      <c r="P21" s="4"/>
    </row>
    <row r="22" spans="1:16" ht="20.25" thickBot="1" x14ac:dyDescent="0.35">
      <c r="A22" s="4"/>
      <c r="B22" s="15" t="s">
        <v>23</v>
      </c>
      <c r="C22" s="4"/>
      <c r="D22" s="4"/>
      <c r="E22" s="4"/>
      <c r="F22" s="4"/>
      <c r="G22" s="4"/>
      <c r="H22" s="4"/>
      <c r="I22" s="4"/>
      <c r="J22" s="4"/>
      <c r="O22" s="4"/>
      <c r="P22" s="4"/>
    </row>
    <row r="23" spans="1:16" ht="15.75" thickTop="1" x14ac:dyDescent="0.25">
      <c r="A23" s="11" t="s">
        <v>15</v>
      </c>
      <c r="B23" s="14" t="s">
        <v>14</v>
      </c>
      <c r="C23" s="14" t="s">
        <v>13</v>
      </c>
      <c r="D23" s="14" t="s">
        <v>12</v>
      </c>
      <c r="E23" s="13" t="s">
        <v>22</v>
      </c>
      <c r="F23" s="12" t="s">
        <v>11</v>
      </c>
      <c r="G23" s="11" t="s">
        <v>21</v>
      </c>
      <c r="H23" s="11" t="s">
        <v>9</v>
      </c>
      <c r="I23" s="11" t="s">
        <v>8</v>
      </c>
      <c r="J23" s="4"/>
      <c r="K23" s="4"/>
      <c r="L23" s="4"/>
      <c r="M23" s="4"/>
      <c r="N23" s="4"/>
      <c r="O23" s="4"/>
      <c r="P23" s="4"/>
    </row>
    <row r="24" spans="1:16" x14ac:dyDescent="0.25">
      <c r="A24" s="4" t="str">
        <f>$A$4</f>
        <v>Methanol</v>
      </c>
      <c r="B24" s="10">
        <v>313.62176552487119</v>
      </c>
      <c r="C24" s="10">
        <f>'VLE Adiabatic_flash__Antoine'!C24</f>
        <v>2.6315789473684209E-2</v>
      </c>
      <c r="D24" s="10">
        <f>D35</f>
        <v>3.5741851234383823E-2</v>
      </c>
      <c r="E24" s="9">
        <f>1-E35</f>
        <v>0.20745107472461644</v>
      </c>
      <c r="F24" s="6">
        <f>K3*($B$24-$B$13)+L3/2*($B$24^2-$B$13^2)+M3/3*($B$24^3-$B$13^3)+N3/4*($B$24^4-$B$13^4)</f>
        <v>687.68468636648458</v>
      </c>
      <c r="G24" s="4">
        <f>F17*H24/($E$24*(H24-1)+1)</f>
        <v>0.63212395608160654</v>
      </c>
      <c r="H24" s="4">
        <f>D24/$C$24</f>
        <v>1.3581903469065852</v>
      </c>
      <c r="I24" s="4">
        <f>G24*$C$24</f>
        <v>1.663484094951596E-2</v>
      </c>
      <c r="J24" s="4"/>
      <c r="K24" s="17" t="s">
        <v>20</v>
      </c>
      <c r="L24" s="121" t="s">
        <v>19</v>
      </c>
      <c r="M24" s="121"/>
      <c r="N24" s="4"/>
      <c r="O24" s="4"/>
      <c r="P24" s="4"/>
    </row>
    <row r="25" spans="1:16" x14ac:dyDescent="0.25">
      <c r="A25" s="4" t="str">
        <f>$A$5</f>
        <v>Ethanol</v>
      </c>
      <c r="B25" s="4"/>
      <c r="C25" s="4"/>
      <c r="D25" s="10">
        <f>D36</f>
        <v>1.8109323043742478E-2</v>
      </c>
      <c r="E25" s="4"/>
      <c r="F25" s="6">
        <f>K4*($B$24-$B$13)+L4/2*($B$24^2-$B$13^2)+M4/3*($B$24^3-$B$13^3)+N4/4*($B$24^4-$B$13^4)</f>
        <v>1031.8370004498111</v>
      </c>
      <c r="G25" s="4">
        <f>F18*H25/($E$24*(H25-1)+1)</f>
        <v>0.36787604363932319</v>
      </c>
      <c r="H25" s="4">
        <f>D25/$C$24</f>
        <v>0.68815427566221421</v>
      </c>
      <c r="I25" s="4">
        <f>G25*$C$24</f>
        <v>9.6809485168242934E-3</v>
      </c>
      <c r="J25" s="4"/>
      <c r="K25" s="16" t="s">
        <v>18</v>
      </c>
      <c r="L25" s="4">
        <f>(F17*E17+F18*E18)-(G24*F24+G25*F25)*E24-(G35*F35+G36*F36)*E35</f>
        <v>34159.353629785182</v>
      </c>
      <c r="N25" s="4"/>
      <c r="O25" s="4"/>
      <c r="P25" s="4"/>
    </row>
    <row r="26" spans="1:16" x14ac:dyDescent="0.25">
      <c r="A26" s="4"/>
      <c r="B26" s="4"/>
      <c r="C26" s="4"/>
      <c r="D26" s="10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/>
      <c r="B27" s="4"/>
      <c r="C27" s="4"/>
      <c r="D27" s="10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4"/>
      <c r="B28" s="4"/>
      <c r="C28" s="4"/>
      <c r="D28" s="10"/>
      <c r="E28" s="4"/>
      <c r="F28" s="6"/>
      <c r="G28" s="4"/>
      <c r="H28" s="4"/>
      <c r="I28" s="4"/>
      <c r="J28" s="4"/>
      <c r="K28" s="4" t="s">
        <v>503</v>
      </c>
      <c r="L28" s="4"/>
      <c r="M28" s="4"/>
      <c r="N28" s="4"/>
      <c r="O28" s="4"/>
      <c r="P28" s="4"/>
    </row>
    <row r="29" spans="1:16" x14ac:dyDescent="0.25">
      <c r="A29" s="4"/>
      <c r="B29" s="4"/>
      <c r="C29" s="4"/>
      <c r="D29" s="10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B30" s="4"/>
      <c r="C30" s="4"/>
      <c r="D30" s="10"/>
      <c r="E30" s="4"/>
      <c r="F30" s="3" t="s">
        <v>2</v>
      </c>
      <c r="G30" s="2">
        <f>SUM(G24:G25)</f>
        <v>0.99999999972092968</v>
      </c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4"/>
      <c r="C31" s="4"/>
      <c r="D31" s="10"/>
      <c r="E31" s="4"/>
      <c r="F31" s="6"/>
      <c r="G31" s="4"/>
      <c r="H31" s="4"/>
      <c r="I31" s="4"/>
      <c r="J31" s="4"/>
      <c r="K31" s="121" t="s">
        <v>17</v>
      </c>
      <c r="L31" s="121"/>
      <c r="M31" s="4"/>
      <c r="N31" s="4"/>
      <c r="O31" s="4"/>
      <c r="P31" s="4"/>
    </row>
    <row r="32" spans="1:16" x14ac:dyDescent="0.25">
      <c r="A32" s="4"/>
      <c r="B32" s="4"/>
      <c r="C32" s="4"/>
      <c r="D32" s="4"/>
      <c r="E32" s="4"/>
      <c r="F32" s="112" t="s">
        <v>508</v>
      </c>
      <c r="G32" s="4">
        <f>G30-G38</f>
        <v>-2.7907032240648277E-10</v>
      </c>
      <c r="H32" s="4"/>
      <c r="I32" s="4"/>
      <c r="J32" s="4"/>
      <c r="K32" s="121" t="s">
        <v>1</v>
      </c>
      <c r="L32" s="121"/>
      <c r="M32" s="4"/>
      <c r="N32" s="4"/>
      <c r="O32" s="4"/>
      <c r="P32" s="4"/>
    </row>
    <row r="33" spans="1:16" ht="20.25" thickBot="1" x14ac:dyDescent="0.35">
      <c r="A33" s="4"/>
      <c r="B33" s="15" t="s">
        <v>16</v>
      </c>
      <c r="C33" s="4"/>
      <c r="D33" s="4"/>
      <c r="E33" s="4"/>
      <c r="F33" s="4"/>
      <c r="G33" s="4"/>
      <c r="H33" s="4"/>
      <c r="I33" s="4"/>
      <c r="J33" s="4"/>
      <c r="K33" s="3" t="s">
        <v>2</v>
      </c>
      <c r="L33" s="2">
        <f>E24+E35</f>
        <v>1</v>
      </c>
      <c r="M33" s="4"/>
      <c r="N33" s="4"/>
      <c r="O33" s="4"/>
      <c r="P33" s="4"/>
    </row>
    <row r="34" spans="1:16" ht="16.5" thickTop="1" thickBot="1" x14ac:dyDescent="0.3">
      <c r="A34" s="11" t="s">
        <v>15</v>
      </c>
      <c r="B34" s="14" t="s">
        <v>14</v>
      </c>
      <c r="C34" s="14" t="s">
        <v>13</v>
      </c>
      <c r="D34" s="14" t="s">
        <v>12</v>
      </c>
      <c r="E34" s="13" t="s">
        <v>0</v>
      </c>
      <c r="F34" s="12" t="s">
        <v>11</v>
      </c>
      <c r="G34" s="11" t="s">
        <v>10</v>
      </c>
      <c r="H34" s="11" t="s">
        <v>9</v>
      </c>
      <c r="I34" s="11" t="s">
        <v>8</v>
      </c>
      <c r="J34" s="4"/>
      <c r="K34" s="4"/>
      <c r="L34" s="4"/>
      <c r="M34" s="4"/>
      <c r="N34" s="4"/>
      <c r="O34" s="4"/>
      <c r="P34" s="4"/>
    </row>
    <row r="35" spans="1:16" ht="15.75" thickBot="1" x14ac:dyDescent="0.3">
      <c r="A35" s="4" t="str">
        <f>$A$4</f>
        <v>Methanol</v>
      </c>
      <c r="B35" s="10">
        <f>B24</f>
        <v>313.62176552487119</v>
      </c>
      <c r="C35" s="10">
        <f>C24</f>
        <v>2.6315789473684209E-2</v>
      </c>
      <c r="D35" s="7">
        <f>10^(E4-F4/(G4+$B$35-273.15))/7600</f>
        <v>3.5741851234383823E-2</v>
      </c>
      <c r="E35" s="9">
        <v>0.79254892527538356</v>
      </c>
      <c r="F35" s="10">
        <f>K3*(D4-$B$13)+L3/2*(D4^2-$B$13^2)+M3/3*(D4^3-$B$13^3)+N3/4*(D4^4-$B$13^4)-C4+K7*($B$35-D4)+L7/2*($B$35^2-D4^2)+M7/3*($B$35^3-D4^3)+N7/4*($B$35^4-D4^4)</f>
        <v>-48221.506828836747</v>
      </c>
      <c r="G35" s="4">
        <f>F17/(1+E24*(H35-1))</f>
        <v>0.46541632218291951</v>
      </c>
      <c r="H35" s="4">
        <f>H24</f>
        <v>1.3581903469065852</v>
      </c>
      <c r="I35" s="4">
        <f>G35*D35</f>
        <v>1.663484094951596E-2</v>
      </c>
      <c r="J35" s="4"/>
      <c r="K35" s="114" t="s">
        <v>7</v>
      </c>
      <c r="L35" s="115"/>
      <c r="M35" s="8" t="s">
        <v>6</v>
      </c>
      <c r="N35" s="4"/>
      <c r="O35" s="4"/>
      <c r="P35" s="4"/>
    </row>
    <row r="36" spans="1:16" x14ac:dyDescent="0.25">
      <c r="A36" s="4" t="str">
        <f>$A$5</f>
        <v>Ethanol</v>
      </c>
      <c r="B36" s="4"/>
      <c r="C36" s="4"/>
      <c r="D36" s="7">
        <f>10^(E5-F5/(G5+$B$35-273.15))/7600</f>
        <v>1.8109323043742478E-2</v>
      </c>
      <c r="E36" s="4"/>
      <c r="F36" s="10">
        <f>K4*(D5-$B$13)+L4/2*(D5^2-$B$13^2)+M4/3*(D5^3-$B$13^3)+N4/4*(D5^4-$B$13^4)-C5+K8*($B$35-D5)+L8/2*($B$35^2-D5^2)+M8/3*($B$35^3-D5^3)+N8/4*($B$35^4-D5^4)</f>
        <v>-32950.857799472637</v>
      </c>
      <c r="G36" s="4">
        <f>1-G35</f>
        <v>0.53458367781708049</v>
      </c>
      <c r="H36" s="4">
        <f>H25</f>
        <v>0.68815427566221421</v>
      </c>
      <c r="I36" s="4">
        <f>G36*D36</f>
        <v>9.6809485155014609E-3</v>
      </c>
      <c r="J36" s="4"/>
      <c r="K36" s="116" t="s">
        <v>5</v>
      </c>
      <c r="L36" s="117"/>
      <c r="M36" s="5" t="s">
        <v>3</v>
      </c>
      <c r="N36" s="4"/>
      <c r="O36" s="4"/>
      <c r="P36" s="4"/>
    </row>
    <row r="37" spans="1:16" ht="15.75" thickBot="1" x14ac:dyDescent="0.3">
      <c r="A37" s="4"/>
      <c r="B37" s="4"/>
      <c r="C37" s="4"/>
      <c r="D37" s="4"/>
      <c r="E37" s="4"/>
      <c r="F37" s="4"/>
      <c r="G37" s="4"/>
      <c r="H37" s="4"/>
      <c r="I37" s="4"/>
      <c r="K37" s="116" t="s">
        <v>4</v>
      </c>
      <c r="L37" s="117"/>
      <c r="M37" s="1" t="s">
        <v>0</v>
      </c>
      <c r="N37" s="4"/>
      <c r="O37" s="4"/>
      <c r="P37" s="4"/>
    </row>
    <row r="38" spans="1:16" ht="15.75" thickBot="1" x14ac:dyDescent="0.3">
      <c r="F38" s="3" t="s">
        <v>2</v>
      </c>
      <c r="G38" s="2">
        <f>SUM(G35:G36)</f>
        <v>1</v>
      </c>
      <c r="K38" s="118" t="s">
        <v>1</v>
      </c>
      <c r="L38" s="119"/>
    </row>
  </sheetData>
  <mergeCells count="8">
    <mergeCell ref="K37:L37"/>
    <mergeCell ref="K38:L38"/>
    <mergeCell ref="A1:E1"/>
    <mergeCell ref="L24:M24"/>
    <mergeCell ref="K31:L31"/>
    <mergeCell ref="K32:L32"/>
    <mergeCell ref="K35:L35"/>
    <mergeCell ref="K36:L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17.140625" bestFit="1" customWidth="1"/>
    <col min="3" max="3" width="11.5703125" bestFit="1" customWidth="1"/>
    <col min="4" max="4" width="12.85546875" bestFit="1" customWidth="1"/>
    <col min="5" max="5" width="18.28515625" bestFit="1" customWidth="1"/>
    <col min="6" max="6" width="15.5703125" bestFit="1" customWidth="1"/>
    <col min="7" max="7" width="16.85546875" bestFit="1" customWidth="1"/>
    <col min="8" max="8" width="16.85546875" customWidth="1"/>
    <col min="9" max="9" width="11.5703125" bestFit="1" customWidth="1"/>
    <col min="10" max="11" width="15.5703125" bestFit="1" customWidth="1"/>
    <col min="12" max="12" width="12.85546875" bestFit="1" customWidth="1"/>
    <col min="13" max="13" width="15.5703125" bestFit="1" customWidth="1"/>
  </cols>
  <sheetData>
    <row r="1" spans="1:18" ht="21" thickBot="1" x14ac:dyDescent="0.4">
      <c r="A1" s="120" t="s">
        <v>46</v>
      </c>
      <c r="B1" s="120"/>
      <c r="C1" s="120"/>
      <c r="D1" s="120"/>
      <c r="E1" s="120"/>
      <c r="F1" s="4"/>
      <c r="G1" s="4"/>
      <c r="H1" s="4"/>
      <c r="I1" s="4"/>
      <c r="J1" s="4"/>
      <c r="K1" s="26"/>
      <c r="L1" s="26"/>
      <c r="M1" s="26"/>
      <c r="N1" s="26"/>
      <c r="P1" s="4"/>
      <c r="Q1" s="4"/>
      <c r="R1" s="4"/>
    </row>
    <row r="2" spans="1:18" ht="16.5" thickTop="1" thickBot="1" x14ac:dyDescent="0.3">
      <c r="A2" s="4"/>
      <c r="B2" s="4"/>
      <c r="C2" s="4"/>
      <c r="D2" s="4"/>
      <c r="E2" s="4"/>
      <c r="I2" s="4"/>
      <c r="J2" s="11" t="s">
        <v>37</v>
      </c>
      <c r="K2" s="11" t="s">
        <v>36</v>
      </c>
      <c r="L2" s="11" t="s">
        <v>35</v>
      </c>
      <c r="M2" s="11" t="s">
        <v>34</v>
      </c>
      <c r="N2" s="11" t="s">
        <v>33</v>
      </c>
      <c r="P2" s="4"/>
      <c r="Q2" s="4"/>
      <c r="R2" s="4"/>
    </row>
    <row r="3" spans="1:18" ht="16.5" thickBot="1" x14ac:dyDescent="0.3">
      <c r="A3" s="29" t="s">
        <v>45</v>
      </c>
      <c r="B3" s="28" t="s">
        <v>44</v>
      </c>
      <c r="C3" s="28" t="s">
        <v>43</v>
      </c>
      <c r="D3" s="28" t="s">
        <v>42</v>
      </c>
      <c r="E3" s="27" t="s">
        <v>41</v>
      </c>
      <c r="F3" s="28" t="s">
        <v>40</v>
      </c>
      <c r="G3" s="28" t="s">
        <v>24</v>
      </c>
      <c r="I3" s="2" t="s">
        <v>39</v>
      </c>
      <c r="J3" s="4" t="str">
        <f>'VLE Adiabatic_flash__Antoine'!L4</f>
        <v>Methanol</v>
      </c>
      <c r="K3" s="26">
        <f>'VLE Adiabatic_flash__Antoine'!M4</f>
        <v>21.15</v>
      </c>
      <c r="L3" s="26">
        <f>'VLE Adiabatic_flash__Antoine'!N4</f>
        <v>7.0919999999999997E-2</v>
      </c>
      <c r="M3" s="26">
        <f>'VLE Adiabatic_flash__Antoine'!O4</f>
        <v>2.5870000000000001E-5</v>
      </c>
      <c r="N3" s="26">
        <f>'VLE Adiabatic_flash__Antoine'!P4</f>
        <v>-2.852E-8</v>
      </c>
      <c r="P3" s="4"/>
      <c r="Q3" s="4"/>
      <c r="R3" s="4"/>
    </row>
    <row r="4" spans="1:18" x14ac:dyDescent="0.25">
      <c r="A4" t="s">
        <v>30</v>
      </c>
      <c r="B4">
        <v>536.70000000000005</v>
      </c>
      <c r="C4">
        <v>5.17</v>
      </c>
      <c r="D4">
        <v>0.628</v>
      </c>
      <c r="E4">
        <f>'VLE Adiabatic_flash__Antoine'!C4</f>
        <v>47879.431991618396</v>
      </c>
      <c r="F4">
        <f>'VLE Adiabatic_flash__Antoine'!D4</f>
        <v>337.84999999999997</v>
      </c>
      <c r="G4">
        <f>'VLE Adiabatic_flash__Antoine'!B4</f>
        <v>0.5</v>
      </c>
      <c r="I4" s="4"/>
      <c r="J4" s="4" t="str">
        <f>'VLE Adiabatic_flash__Antoine'!L5</f>
        <v>Ethanol</v>
      </c>
      <c r="K4" s="26">
        <f>'VLE Adiabatic_flash__Antoine'!M5</f>
        <v>9.0139999999999993</v>
      </c>
      <c r="L4" s="26">
        <f>'VLE Adiabatic_flash__Antoine'!N5</f>
        <v>0.21410000000000001</v>
      </c>
      <c r="M4" s="26">
        <f>'VLE Adiabatic_flash__Antoine'!O5</f>
        <v>-8.3900000000000006E-5</v>
      </c>
      <c r="N4" s="26">
        <f>'VLE Adiabatic_flash__Antoine'!P5</f>
        <v>1.3729999999999999E-9</v>
      </c>
      <c r="P4" s="4"/>
      <c r="Q4" s="4"/>
      <c r="R4" s="4"/>
    </row>
    <row r="5" spans="1:18" x14ac:dyDescent="0.25">
      <c r="A5" s="25" t="s">
        <v>38</v>
      </c>
      <c r="B5" s="24">
        <v>516.4</v>
      </c>
      <c r="C5" s="24">
        <v>6.3840000000000003</v>
      </c>
      <c r="D5" s="23">
        <v>0.63700000000000001</v>
      </c>
      <c r="E5">
        <f>'VLE Adiabatic_flash__Antoine'!C5</f>
        <v>31897.3843948459</v>
      </c>
      <c r="F5">
        <f>'VLE Adiabatic_flash__Antoine'!D5</f>
        <v>351.65</v>
      </c>
      <c r="G5">
        <f>'VLE Adiabatic_flash__Antoine'!B5</f>
        <v>0.5</v>
      </c>
      <c r="K5" s="26"/>
      <c r="L5" s="26"/>
      <c r="M5" s="26"/>
      <c r="N5" s="26"/>
      <c r="P5" s="4"/>
      <c r="Q5" s="4"/>
      <c r="R5" s="4"/>
    </row>
    <row r="6" spans="1:18" x14ac:dyDescent="0.25">
      <c r="A6" s="21"/>
      <c r="B6" s="9"/>
      <c r="C6" s="9"/>
      <c r="D6" s="6"/>
      <c r="I6" s="4"/>
      <c r="J6" s="11" t="s">
        <v>37</v>
      </c>
      <c r="K6" s="11" t="s">
        <v>36</v>
      </c>
      <c r="L6" s="11" t="s">
        <v>35</v>
      </c>
      <c r="M6" s="11" t="s">
        <v>34</v>
      </c>
      <c r="N6" s="11" t="s">
        <v>33</v>
      </c>
      <c r="P6" s="4"/>
      <c r="Q6" s="4"/>
      <c r="R6" s="4"/>
    </row>
    <row r="7" spans="1:18" x14ac:dyDescent="0.25">
      <c r="I7" s="2" t="s">
        <v>31</v>
      </c>
      <c r="J7" s="4" t="str">
        <f>J3</f>
        <v>Methanol</v>
      </c>
      <c r="K7" s="20">
        <f>'VLE Adiabatic_flash__Antoine'!M8</f>
        <v>111.7</v>
      </c>
      <c r="L7" s="20">
        <f>'VLE Adiabatic_flash__Antoine'!N8</f>
        <v>-0.4264</v>
      </c>
      <c r="M7" s="20">
        <f>'VLE Adiabatic_flash__Antoine'!O8</f>
        <v>1.09E-3</v>
      </c>
      <c r="N7" s="4"/>
      <c r="P7" s="4"/>
      <c r="Q7" s="4"/>
      <c r="R7" s="4"/>
    </row>
    <row r="8" spans="1:18" x14ac:dyDescent="0.25">
      <c r="A8" s="25" t="s">
        <v>32</v>
      </c>
      <c r="B8" s="24">
        <v>512.6</v>
      </c>
      <c r="C8" s="24">
        <v>8.0960000000000001</v>
      </c>
      <c r="D8" s="23">
        <v>0.56599999999999995</v>
      </c>
      <c r="E8" s="22">
        <v>35270</v>
      </c>
      <c r="F8">
        <f>64.7+273.15</f>
        <v>337.84999999999997</v>
      </c>
      <c r="G8" s="7">
        <v>0</v>
      </c>
      <c r="I8" s="4"/>
      <c r="J8" s="4" t="str">
        <f>J4</f>
        <v>Ethanol</v>
      </c>
      <c r="K8" s="20">
        <f>'VLE Adiabatic_flash__Antoine'!M9</f>
        <v>281.60000000000002</v>
      </c>
      <c r="L8" s="20">
        <f>'VLE Adiabatic_flash__Antoine'!N9</f>
        <v>-1.4350000000000001</v>
      </c>
      <c r="M8" s="20">
        <f>'VLE Adiabatic_flash__Antoine'!O9</f>
        <v>2.9030000000000002E-3</v>
      </c>
      <c r="N8" s="4"/>
      <c r="P8" s="4"/>
      <c r="Q8" s="4"/>
      <c r="R8" s="4"/>
    </row>
    <row r="9" spans="1:18" x14ac:dyDescent="0.25">
      <c r="A9" t="s">
        <v>30</v>
      </c>
      <c r="B9">
        <v>536.70000000000005</v>
      </c>
      <c r="C9">
        <v>5.17</v>
      </c>
      <c r="D9" s="4">
        <v>0.628</v>
      </c>
      <c r="E9" s="4">
        <v>40296</v>
      </c>
      <c r="F9">
        <v>370.19</v>
      </c>
      <c r="G9">
        <v>0.5</v>
      </c>
      <c r="I9" s="4"/>
      <c r="J9" s="4"/>
      <c r="K9" s="20"/>
      <c r="L9" s="20"/>
      <c r="M9" s="20"/>
      <c r="N9" s="4"/>
      <c r="P9" s="4"/>
      <c r="Q9" s="4"/>
      <c r="R9" s="4"/>
    </row>
    <row r="10" spans="1:18" x14ac:dyDescent="0.25">
      <c r="E10" s="4"/>
      <c r="I10" s="4"/>
      <c r="J10" s="4"/>
      <c r="K10" s="20"/>
      <c r="L10" s="20"/>
      <c r="M10" s="20"/>
      <c r="N10" s="4"/>
      <c r="P10" s="4"/>
      <c r="Q10" s="4"/>
      <c r="R10" s="4"/>
    </row>
    <row r="11" spans="1:18" x14ac:dyDescent="0.25">
      <c r="E11" s="10"/>
      <c r="F11" s="10"/>
      <c r="G11" s="19"/>
      <c r="H11" s="19"/>
      <c r="I11" s="4"/>
      <c r="M11" s="4"/>
      <c r="N11" s="4"/>
      <c r="O11" s="4"/>
      <c r="P11" s="4"/>
      <c r="Q11" s="4"/>
      <c r="R11" s="4"/>
    </row>
    <row r="12" spans="1:18" x14ac:dyDescent="0.25">
      <c r="E12" s="10"/>
      <c r="F12" s="10"/>
      <c r="G12" s="10"/>
      <c r="H12" s="10"/>
      <c r="I12" s="30"/>
      <c r="J12" s="30"/>
      <c r="K12" s="30"/>
      <c r="L12" s="30"/>
      <c r="M12" s="30"/>
      <c r="N12" s="4"/>
      <c r="O12" s="4"/>
      <c r="P12" s="4"/>
      <c r="Q12" s="4"/>
      <c r="R12" s="4"/>
    </row>
    <row r="13" spans="1:18" x14ac:dyDescent="0.25">
      <c r="A13" s="4"/>
      <c r="B13" s="11" t="s">
        <v>14</v>
      </c>
      <c r="C13" s="11" t="s">
        <v>13</v>
      </c>
      <c r="D13" s="11" t="s">
        <v>29</v>
      </c>
      <c r="G13" s="10"/>
      <c r="H13" s="10"/>
      <c r="I13" s="30"/>
      <c r="J13" s="122"/>
      <c r="K13" s="122"/>
      <c r="L13" s="122"/>
      <c r="M13" s="30"/>
      <c r="N13" s="4"/>
      <c r="O13" s="4"/>
      <c r="P13" s="4"/>
      <c r="Q13" s="4"/>
      <c r="R13" s="4"/>
    </row>
    <row r="14" spans="1:18" x14ac:dyDescent="0.25">
      <c r="A14" s="17" t="s">
        <v>28</v>
      </c>
      <c r="B14" s="17">
        <v>298</v>
      </c>
      <c r="C14" s="17">
        <v>0.1</v>
      </c>
      <c r="D14" s="18" t="s">
        <v>27</v>
      </c>
      <c r="G14" s="10"/>
      <c r="I14" s="30"/>
      <c r="J14" s="30"/>
      <c r="K14" s="30"/>
      <c r="L14" s="30"/>
      <c r="M14" s="30"/>
      <c r="N14" s="4"/>
      <c r="O14" s="4"/>
      <c r="P14" s="4"/>
      <c r="Q14" s="4"/>
      <c r="R14" s="4"/>
    </row>
    <row r="15" spans="1:18" x14ac:dyDescent="0.25">
      <c r="A15" s="4"/>
      <c r="C15" s="10"/>
      <c r="D15" s="10"/>
      <c r="G15" s="4"/>
      <c r="I15" s="30"/>
      <c r="J15" s="30"/>
      <c r="K15" s="30"/>
      <c r="L15" s="30"/>
      <c r="M15" s="30"/>
      <c r="N15" s="4"/>
      <c r="O15" s="4"/>
      <c r="P15" s="4"/>
      <c r="Q15" s="4"/>
      <c r="R15" s="4"/>
    </row>
    <row r="16" spans="1:18" ht="20.25" thickBot="1" x14ac:dyDescent="0.35">
      <c r="A16" s="4"/>
      <c r="B16" s="15" t="s">
        <v>26</v>
      </c>
      <c r="C16" s="4"/>
      <c r="D16" s="4"/>
      <c r="E16" s="4"/>
      <c r="F16" s="4"/>
      <c r="G16" s="4"/>
      <c r="I16" s="30"/>
      <c r="J16" s="30"/>
      <c r="K16" s="30"/>
      <c r="L16" s="30"/>
      <c r="M16" s="30"/>
      <c r="N16" s="4"/>
      <c r="O16" s="4"/>
      <c r="P16" s="4"/>
      <c r="Q16" s="4"/>
      <c r="R16" s="4"/>
    </row>
    <row r="17" spans="1:18" ht="15.75" thickTop="1" x14ac:dyDescent="0.25">
      <c r="A17" s="11" t="s">
        <v>15</v>
      </c>
      <c r="B17" s="14" t="s">
        <v>14</v>
      </c>
      <c r="C17" s="14" t="s">
        <v>13</v>
      </c>
      <c r="D17" s="14" t="s">
        <v>25</v>
      </c>
      <c r="E17" s="14" t="s">
        <v>11</v>
      </c>
      <c r="F17" s="14" t="s">
        <v>24</v>
      </c>
      <c r="I17" s="30"/>
      <c r="J17" s="30"/>
      <c r="K17" s="30"/>
      <c r="L17" s="30"/>
      <c r="M17" s="30"/>
      <c r="N17" s="4"/>
      <c r="O17" s="4"/>
      <c r="P17" s="4"/>
      <c r="Q17" s="4"/>
      <c r="R17" s="4"/>
    </row>
    <row r="18" spans="1:18" x14ac:dyDescent="0.25">
      <c r="A18" s="4" t="str">
        <f>A4</f>
        <v>Propanol</v>
      </c>
      <c r="B18" s="10">
        <f>'VLE Adiabatic_flash__Antoine'!B17</f>
        <v>343.15</v>
      </c>
      <c r="C18" s="10">
        <f>'VLE Adiabatic_flash__Antoine'!C17</f>
        <v>0.1</v>
      </c>
      <c r="D18" s="10">
        <f>'VLE Adiabatic_flash__Antoine'!D17</f>
        <v>43</v>
      </c>
      <c r="E18" s="10">
        <f>K7*($B$18-$B$14)+L7*($B$18^2-$B$14^2)/2+M7/3*($B$18^3-$B$14^3)</f>
        <v>3937.5073978012488</v>
      </c>
      <c r="F18" s="10">
        <f>G4</f>
        <v>0.5</v>
      </c>
      <c r="G18" s="4"/>
      <c r="H18" s="4"/>
      <c r="I18" s="30"/>
      <c r="J18" s="30"/>
      <c r="K18" s="30"/>
      <c r="L18" s="30"/>
      <c r="M18" s="30"/>
      <c r="N18" s="4"/>
      <c r="O18" s="4"/>
      <c r="P18" s="4"/>
      <c r="Q18" s="4"/>
      <c r="R18" s="4"/>
    </row>
    <row r="19" spans="1:18" x14ac:dyDescent="0.25">
      <c r="A19" s="4" t="str">
        <f>A5</f>
        <v>Ethanol</v>
      </c>
      <c r="B19" s="4"/>
      <c r="C19" s="4"/>
      <c r="D19" s="4"/>
      <c r="E19" s="10">
        <f>K8*($B$18-$B$14)+L8*($B$18^2-$B$14^2)/2+M8/3*($B$18^3-$B$14^3)</f>
        <v>5436.2627854683724</v>
      </c>
      <c r="F19" s="10">
        <f>G5</f>
        <v>0.5</v>
      </c>
      <c r="I19" s="30"/>
      <c r="J19" s="30"/>
      <c r="K19" s="30"/>
      <c r="L19" s="30"/>
      <c r="M19" s="30"/>
      <c r="N19" s="4"/>
      <c r="O19" s="4"/>
      <c r="P19" s="4"/>
      <c r="Q19" s="4"/>
      <c r="R19" s="4"/>
    </row>
    <row r="20" spans="1:18" x14ac:dyDescent="0.25">
      <c r="N20" s="4"/>
      <c r="O20" s="4"/>
      <c r="P20" s="4"/>
      <c r="Q20" s="4"/>
      <c r="R20" s="4"/>
    </row>
    <row r="21" spans="1:18" x14ac:dyDescent="0.25">
      <c r="J21" s="4"/>
      <c r="O21" s="4"/>
      <c r="P21" s="4"/>
      <c r="Q21" s="4"/>
      <c r="R21" s="4"/>
    </row>
    <row r="22" spans="1:18" ht="20.25" thickBot="1" x14ac:dyDescent="0.35">
      <c r="A22" s="4"/>
      <c r="B22" s="15" t="s">
        <v>23</v>
      </c>
      <c r="C22" s="4"/>
      <c r="D22" s="4"/>
      <c r="E22" s="4"/>
      <c r="F22" s="4"/>
      <c r="G22" s="4"/>
      <c r="H22" s="4"/>
      <c r="I22" s="4"/>
      <c r="J22" s="4"/>
      <c r="O22" s="4"/>
      <c r="P22" s="4"/>
      <c r="Q22" s="4"/>
      <c r="R22" s="4"/>
    </row>
    <row r="23" spans="1:18" ht="15.75" thickTop="1" x14ac:dyDescent="0.25">
      <c r="A23" s="11" t="s">
        <v>15</v>
      </c>
      <c r="B23" s="14" t="s">
        <v>14</v>
      </c>
      <c r="C23" s="14" t="s">
        <v>13</v>
      </c>
      <c r="D23" s="14" t="s">
        <v>12</v>
      </c>
      <c r="E23" s="13" t="s">
        <v>22</v>
      </c>
      <c r="F23" s="12" t="s">
        <v>11</v>
      </c>
      <c r="G23" s="11" t="s">
        <v>21</v>
      </c>
      <c r="H23" s="11" t="s">
        <v>9</v>
      </c>
      <c r="I23" s="11" t="s">
        <v>8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4" t="str">
        <f>A18</f>
        <v>Propanol</v>
      </c>
      <c r="B24" s="10">
        <v>339.44421442744999</v>
      </c>
      <c r="C24" s="10">
        <f>'VLE Adiabatic_flash__Antoine'!C24</f>
        <v>2.6315789473684209E-2</v>
      </c>
      <c r="D24" s="10">
        <f>D35</f>
        <v>3.2065067452846971E-2</v>
      </c>
      <c r="E24" s="9">
        <f>1-E35</f>
        <v>4.7387977130638137E-2</v>
      </c>
      <c r="F24" s="6">
        <f>K7*(F4-$B$14)+L7/2*(F4^2-$B$14^2)+M7/3*(F4^3-$B$14^3)+E4+K3*($B$24-F4)+L3/2*($B$24^2-F4^2)+M3/3*($B$24^3-F4^3)+N3/4*($B$24^4-F4^4)</f>
        <v>51399.601409294737</v>
      </c>
      <c r="G24" s="4">
        <f>F18*H24/($E$24*(H24-1)+1)</f>
        <v>0.60299350621816372</v>
      </c>
      <c r="H24" s="4">
        <f>D24/$C$24</f>
        <v>1.218472563208185</v>
      </c>
      <c r="I24" s="4">
        <f>G24*$C$24</f>
        <v>1.5868250163635887E-2</v>
      </c>
      <c r="J24" s="4"/>
      <c r="K24" s="17" t="s">
        <v>20</v>
      </c>
      <c r="L24" s="121" t="s">
        <v>19</v>
      </c>
      <c r="M24" s="121"/>
      <c r="N24" s="4"/>
      <c r="O24" s="4"/>
      <c r="P24" s="4"/>
      <c r="Q24" s="4"/>
      <c r="R24" s="4"/>
    </row>
    <row r="25" spans="1:18" x14ac:dyDescent="0.25">
      <c r="A25" s="4" t="str">
        <f>A19</f>
        <v>Ethanol</v>
      </c>
      <c r="B25" s="4"/>
      <c r="C25" s="4"/>
      <c r="D25" s="10">
        <f>D36</f>
        <v>6.5141997843055757E-2</v>
      </c>
      <c r="E25" s="4"/>
      <c r="F25" s="6">
        <f>K8*(F5-$B$14)+L8/2*(F5^2-$B$14^2)+M8/3*(F5^3-$B$14^3)+E5+K4*($B$24-F5)+L4/2*($B$24^2-F5^2)+M4/3*($B$24^3-F5^3)+N4/4*($B$24^4-F5^4)</f>
        <v>37576.560794703662</v>
      </c>
      <c r="G25" s="4">
        <f>F19*H25/($E$24*(H25-1)+1)</f>
        <v>1.1568178498135309</v>
      </c>
      <c r="H25" s="4">
        <f>D25/$C$24</f>
        <v>2.4753959180361189</v>
      </c>
      <c r="I25" s="4">
        <f>G25*$C$24</f>
        <v>3.0442574995092914E-2</v>
      </c>
      <c r="J25" s="4"/>
      <c r="K25" s="16" t="s">
        <v>18</v>
      </c>
      <c r="L25" s="4">
        <f>(F18*E18+F19*E19)-(G24*F24+G25*F25)*E24-(G35*F35+G36*F36)*E35</f>
        <v>-2919.3402859421594</v>
      </c>
      <c r="N25" s="4"/>
      <c r="O25" s="4"/>
      <c r="P25" s="4"/>
      <c r="Q25" s="4"/>
      <c r="R25" s="4"/>
    </row>
    <row r="26" spans="1:18" x14ac:dyDescent="0.25">
      <c r="A26" s="4"/>
      <c r="B26" s="4"/>
      <c r="C26" s="4"/>
      <c r="D26" s="10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4"/>
      <c r="B27" s="4"/>
      <c r="C27" s="4"/>
      <c r="D27" s="10"/>
      <c r="E27" s="4"/>
      <c r="F27" s="6"/>
      <c r="G27" s="4"/>
      <c r="H27" s="4"/>
      <c r="I27" s="4"/>
      <c r="J27" s="4"/>
      <c r="K27" s="17" t="s">
        <v>503</v>
      </c>
      <c r="L27" s="4">
        <f>G24*F24+F25*G25</f>
        <v>74462.86213392322</v>
      </c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10"/>
      <c r="E28" s="4"/>
      <c r="F28" s="6"/>
      <c r="G28" s="4"/>
      <c r="H28" s="4"/>
      <c r="I28" s="4"/>
      <c r="J28" s="4"/>
      <c r="K28" s="17" t="s">
        <v>504</v>
      </c>
      <c r="L28" s="4">
        <f>G35*F35+F36*G36</f>
        <v>4280.4214851400657</v>
      </c>
      <c r="M28" s="4"/>
      <c r="N28" s="4"/>
      <c r="O28" s="4"/>
      <c r="P28" s="4"/>
      <c r="Q28" s="4"/>
      <c r="R28" s="4"/>
    </row>
    <row r="29" spans="1:18" x14ac:dyDescent="0.25">
      <c r="A29" s="4"/>
      <c r="B29" s="4"/>
      <c r="C29" s="4"/>
      <c r="D29" s="10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3" t="s">
        <v>2</v>
      </c>
      <c r="B30" s="4"/>
      <c r="C30" s="4"/>
      <c r="D30" s="10"/>
      <c r="E30" s="4"/>
      <c r="F30" s="6"/>
      <c r="G30" s="2">
        <f>SUM(G24:G25)</f>
        <v>1.7598113560316946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4"/>
      <c r="B31" s="4"/>
      <c r="C31" s="4"/>
      <c r="D31" s="10"/>
      <c r="E31" s="4"/>
      <c r="F31" s="6"/>
      <c r="G31" s="4"/>
      <c r="H31" s="4"/>
      <c r="I31" s="4"/>
      <c r="J31" s="4"/>
      <c r="K31" s="121" t="s">
        <v>17</v>
      </c>
      <c r="L31" s="121"/>
      <c r="M31" s="4"/>
      <c r="N31" s="4"/>
      <c r="O31" s="4"/>
      <c r="P31" s="4"/>
      <c r="Q31" s="4"/>
      <c r="R31" s="4"/>
    </row>
    <row r="32" spans="1:18" x14ac:dyDescent="0.25">
      <c r="A32" s="4"/>
      <c r="B32" s="4"/>
      <c r="C32" s="4"/>
      <c r="D32" s="4"/>
      <c r="E32" s="4"/>
      <c r="F32" s="4"/>
      <c r="G32" s="112" t="s">
        <v>508</v>
      </c>
      <c r="H32" s="4">
        <f>G30-G38</f>
        <v>0.75981135603169458</v>
      </c>
      <c r="I32" s="4"/>
      <c r="J32" s="4"/>
      <c r="K32" s="121" t="s">
        <v>1</v>
      </c>
      <c r="L32" s="121"/>
      <c r="M32" s="4"/>
      <c r="N32" s="4"/>
      <c r="O32" s="4"/>
      <c r="P32" s="4"/>
      <c r="Q32" s="4"/>
      <c r="R32" s="4"/>
    </row>
    <row r="33" spans="1:18" ht="20.25" thickBot="1" x14ac:dyDescent="0.35">
      <c r="A33" s="4"/>
      <c r="B33" s="15" t="s">
        <v>16</v>
      </c>
      <c r="C33" s="4"/>
      <c r="D33" s="4"/>
      <c r="E33" s="4"/>
      <c r="F33" s="4"/>
      <c r="G33" s="4"/>
      <c r="H33" s="4"/>
      <c r="I33" s="4"/>
      <c r="J33" s="4"/>
      <c r="K33" s="3" t="s">
        <v>2</v>
      </c>
      <c r="L33" s="4">
        <f>E24+E35</f>
        <v>1</v>
      </c>
      <c r="M33" s="4"/>
      <c r="N33" s="4"/>
      <c r="O33" s="4"/>
      <c r="P33" s="4"/>
      <c r="Q33" s="4"/>
      <c r="R33" s="4"/>
    </row>
    <row r="34" spans="1:18" ht="16.5" thickTop="1" thickBot="1" x14ac:dyDescent="0.3">
      <c r="A34" s="11" t="s">
        <v>15</v>
      </c>
      <c r="B34" s="14" t="s">
        <v>14</v>
      </c>
      <c r="C34" s="14" t="s">
        <v>13</v>
      </c>
      <c r="D34" s="14" t="s">
        <v>12</v>
      </c>
      <c r="E34" s="13" t="s">
        <v>0</v>
      </c>
      <c r="F34" s="12" t="s">
        <v>11</v>
      </c>
      <c r="G34" s="11" t="s">
        <v>10</v>
      </c>
      <c r="H34" s="11" t="s">
        <v>9</v>
      </c>
      <c r="I34" s="11" t="s">
        <v>8</v>
      </c>
      <c r="J34" s="4"/>
      <c r="K34" s="4"/>
      <c r="L34" s="4"/>
      <c r="M34" s="4"/>
      <c r="N34" s="4"/>
      <c r="O34" s="4"/>
      <c r="P34" s="4"/>
      <c r="Q34" s="4"/>
      <c r="R34" s="4"/>
    </row>
    <row r="35" spans="1:18" ht="15.75" thickBot="1" x14ac:dyDescent="0.3">
      <c r="A35" s="4" t="str">
        <f>A24</f>
        <v>Propanol</v>
      </c>
      <c r="B35" s="10">
        <f>B24</f>
        <v>339.44421442744999</v>
      </c>
      <c r="C35" s="10">
        <f>C24</f>
        <v>2.6315789473684209E-2</v>
      </c>
      <c r="D35" s="7">
        <f>10^((7/3)*(1+D4)*(1-(B4/$B$35)))*C4</f>
        <v>3.2065067452846971E-2</v>
      </c>
      <c r="E35" s="9">
        <v>0.95261202286936186</v>
      </c>
      <c r="F35" s="6">
        <f>K7*($B$35-$B$14)+L7/2*($B$35^2-$B$14^2)+M7/3*($B$35^3-$B$14^3)+N7/4*($B$35^4-$B$14^4)</f>
        <v>3592.3527135338727</v>
      </c>
      <c r="G35" s="4">
        <f>F18/(1+E24*(H35-1))</f>
        <v>0.49487655645729778</v>
      </c>
      <c r="H35" s="4">
        <f>H24</f>
        <v>1.218472563208185</v>
      </c>
      <c r="I35" s="4">
        <f>G35*D35</f>
        <v>1.5868250163635887E-2</v>
      </c>
      <c r="J35" s="4"/>
      <c r="K35" s="114" t="s">
        <v>7</v>
      </c>
      <c r="L35" s="115"/>
      <c r="M35" s="8" t="s">
        <v>6</v>
      </c>
      <c r="N35" s="4"/>
      <c r="O35" s="4"/>
      <c r="P35" s="4"/>
      <c r="Q35" s="4"/>
      <c r="R35" s="4"/>
    </row>
    <row r="36" spans="1:18" x14ac:dyDescent="0.25">
      <c r="A36" s="4" t="str">
        <f>A25</f>
        <v>Ethanol</v>
      </c>
      <c r="B36" s="4"/>
      <c r="C36" s="4"/>
      <c r="D36" s="7">
        <f>10^((7/3)*(1+D5)*(1-(B5/$B$35)))*C5</f>
        <v>6.5141997843055757E-2</v>
      </c>
      <c r="E36" s="4"/>
      <c r="F36" s="6">
        <f>K8*($B$35-$B$14)+L8/2*($B$35^2-$B$14^2)+M8/3*($B$35^3-$B$14^3)+N8/4*($B$35^4-$B$14^4)</f>
        <v>4954.5321577908981</v>
      </c>
      <c r="G36" s="4">
        <f>1-G35</f>
        <v>0.50512344354270222</v>
      </c>
      <c r="H36" s="4">
        <f>H25</f>
        <v>2.4753959180361189</v>
      </c>
      <c r="I36" s="4">
        <f>G36*D36</f>
        <v>3.2904750269735605E-2</v>
      </c>
      <c r="J36" s="4"/>
      <c r="K36" s="116" t="s">
        <v>5</v>
      </c>
      <c r="L36" s="117"/>
      <c r="M36" s="5" t="s">
        <v>3</v>
      </c>
      <c r="N36" s="4"/>
      <c r="O36" s="4"/>
      <c r="P36" s="4"/>
      <c r="Q36" s="4"/>
      <c r="R36" s="4"/>
    </row>
    <row r="37" spans="1:18" ht="15.75" thickBot="1" x14ac:dyDescent="0.3">
      <c r="A37" s="4"/>
      <c r="B37" s="4"/>
      <c r="C37" s="4"/>
      <c r="D37" s="4"/>
      <c r="E37" s="4"/>
      <c r="F37" s="4"/>
      <c r="G37" s="4"/>
      <c r="H37" s="4"/>
      <c r="I37" s="4"/>
      <c r="K37" s="116" t="s">
        <v>4</v>
      </c>
      <c r="L37" s="117"/>
      <c r="M37" s="1" t="s">
        <v>0</v>
      </c>
      <c r="N37" s="4"/>
      <c r="O37" s="4"/>
      <c r="P37" s="4"/>
      <c r="Q37" s="4"/>
      <c r="R37" s="4"/>
    </row>
    <row r="38" spans="1:18" ht="15.75" thickBot="1" x14ac:dyDescent="0.3">
      <c r="A38" s="3" t="s">
        <v>2</v>
      </c>
      <c r="G38" s="2">
        <f>SUM(G35:G36)</f>
        <v>1</v>
      </c>
      <c r="K38" s="118" t="s">
        <v>1</v>
      </c>
      <c r="L38" s="119"/>
    </row>
    <row r="40" spans="1:18" x14ac:dyDescent="0.25">
      <c r="A40" s="4"/>
      <c r="B40" s="4"/>
      <c r="C40" s="4"/>
      <c r="D40" s="4"/>
      <c r="E40" s="4"/>
      <c r="F40" s="4"/>
      <c r="G40" s="4"/>
      <c r="H40" s="4"/>
      <c r="I40" s="4"/>
    </row>
  </sheetData>
  <mergeCells count="9">
    <mergeCell ref="K37:L37"/>
    <mergeCell ref="K38:L38"/>
    <mergeCell ref="K35:L35"/>
    <mergeCell ref="L24:M24"/>
    <mergeCell ref="A1:E1"/>
    <mergeCell ref="J13:L13"/>
    <mergeCell ref="K31:L31"/>
    <mergeCell ref="K32:L32"/>
    <mergeCell ref="K36:L3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Props</vt:lpstr>
      <vt:lpstr>Antoine</vt:lpstr>
      <vt:lpstr>VLE Adiabatic_flash__Antoine</vt:lpstr>
      <vt:lpstr>Vapor Ref</vt:lpstr>
      <vt:lpstr>VaporFEED</vt:lpstr>
      <vt:lpstr>VLE adiabatic flash-SC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umeugwa</dc:creator>
  <cp:lastModifiedBy>CleverChuk</cp:lastModifiedBy>
  <dcterms:created xsi:type="dcterms:W3CDTF">2016-03-25T19:40:16Z</dcterms:created>
  <dcterms:modified xsi:type="dcterms:W3CDTF">2016-05-02T21:18:49Z</dcterms:modified>
</cp:coreProperties>
</file>