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ck\Google Drive\A SCHOOL\SPRING16\CHEM THERMO\COMPUTATION CODES\Cubic equation\"/>
    </mc:Choice>
  </mc:AlternateContent>
  <bookViews>
    <workbookView xWindow="0" yWindow="0" windowWidth="20490" windowHeight="8445" tabRatio="538" activeTab="1"/>
  </bookViews>
  <sheets>
    <sheet name="Instructions" sheetId="1" r:id="rId1"/>
    <sheet name="Fugacities" sheetId="2" r:id="rId2"/>
  </sheets>
  <definedNames>
    <definedName name="_R">Fugacities!$M$16</definedName>
    <definedName name="A" localSheetId="1">Fugacities!$N$13</definedName>
    <definedName name="A">#REF!</definedName>
    <definedName name="ac">Fugacities!$F$21:$F$23</definedName>
    <definedName name="Ai">Fugacities!$I$21:$I$23</definedName>
    <definedName name="alpha">Fugacities!$E$21:$E$23</definedName>
    <definedName name="Amatrix">Fugacities!$K$21:$M$23</definedName>
    <definedName name="B" localSheetId="1">Fugacities!$N$14</definedName>
    <definedName name="B">#REF!</definedName>
    <definedName name="Bi">Fugacities!$J$21:$J$23</definedName>
    <definedName name="kappa">Fugacities!$D$21:$D$23</definedName>
    <definedName name="P" localSheetId="1">Fugacities!$B$13</definedName>
    <definedName name="P">#REF!</definedName>
    <definedName name="Pc">Fugacities!$D$7:$D$9</definedName>
    <definedName name="Pr">Fugacities!$C$21:$C$23</definedName>
    <definedName name="q">Fugacities!$E$28</definedName>
    <definedName name="solver_adj" localSheetId="1" hidden="1">Fugacities!$B$12</definedName>
    <definedName name="solver_lhs1" localSheetId="1" hidden="1">Fugacities!$B$12</definedName>
    <definedName name="solver_lin" localSheetId="1" hidden="1">0</definedName>
    <definedName name="solver_num" localSheetId="1" hidden="1">1</definedName>
    <definedName name="solver_opt" localSheetId="1" hidden="1">Fugacities!$O$13</definedName>
    <definedName name="solver_rel1" localSheetId="1" hidden="1">1</definedName>
    <definedName name="solver_rhs1" localSheetId="1" hidden="1">Fugacities!#REF!</definedName>
    <definedName name="solver_typ" localSheetId="1" hidden="1">3</definedName>
    <definedName name="solver_val" localSheetId="1" hidden="1">1</definedName>
    <definedName name="Tc">Fugacities!$C$7:$C$9</definedName>
    <definedName name="TK">Fugacities!$B$12</definedName>
    <definedName name="Tr">Fugacities!$B$21:$B$23</definedName>
    <definedName name="w">Fugacities!$E$7:$E$9</definedName>
    <definedName name="Z" localSheetId="1">Fugacities!$C$14:$C$17</definedName>
    <definedName name="Z">#REF!</definedName>
    <definedName name="zi">Fugacities!$B$7:$B$9</definedName>
  </definedNames>
  <calcPr calcId="152511"/>
</workbook>
</file>

<file path=xl/calcChain.xml><?xml version="1.0" encoding="utf-8"?>
<calcChain xmlns="http://schemas.openxmlformats.org/spreadsheetml/2006/main">
  <c r="F6" i="2" l="1"/>
  <c r="G6" i="2"/>
  <c r="H6" i="2"/>
  <c r="B9" i="2"/>
  <c r="F13" i="2"/>
  <c r="G13" i="2"/>
  <c r="H13" i="2"/>
  <c r="I13" i="2"/>
  <c r="J13" i="2"/>
  <c r="K13" i="2"/>
  <c r="K20" i="2"/>
  <c r="L20" i="2"/>
  <c r="M20" i="2"/>
  <c r="A21" i="2"/>
  <c r="B21" i="2" a="1"/>
  <c r="B21" i="2" s="1"/>
  <c r="C21" i="2" a="1"/>
  <c r="C21" i="2" s="1"/>
  <c r="D21" i="2" a="1"/>
  <c r="D21" i="2" s="1"/>
  <c r="F21" i="2" a="1"/>
  <c r="F21" i="2" s="1"/>
  <c r="H21" i="2" a="1"/>
  <c r="H21" i="2" s="1"/>
  <c r="A22" i="2"/>
  <c r="A23" i="2"/>
  <c r="B23" i="2"/>
  <c r="D23" i="2"/>
  <c r="H23" i="2"/>
  <c r="F23" i="2" l="1"/>
  <c r="C22" i="2"/>
  <c r="C23" i="2"/>
  <c r="H22" i="2"/>
  <c r="J21" i="2" s="1" a="1"/>
  <c r="F22" i="2"/>
  <c r="D22" i="2"/>
  <c r="E21" i="2" s="1" a="1"/>
  <c r="B22" i="2"/>
  <c r="E22" i="2" l="1"/>
  <c r="E21" i="2"/>
  <c r="G21" i="2" s="1" a="1"/>
  <c r="E23" i="2"/>
  <c r="J23" i="2"/>
  <c r="J21" i="2"/>
  <c r="J22" i="2"/>
  <c r="N14" i="2" l="1" a="1"/>
  <c r="N14" i="2" s="1"/>
  <c r="A28" i="2" s="1"/>
  <c r="G22" i="2"/>
  <c r="G21" i="2"/>
  <c r="G23" i="2"/>
  <c r="I21" i="2" l="1" a="1"/>
  <c r="I21" i="2" l="1"/>
  <c r="I23" i="2"/>
  <c r="M23" i="2" s="1"/>
  <c r="I22" i="2"/>
  <c r="L23" i="2" l="1"/>
  <c r="M22" i="2" s="1"/>
  <c r="L22" i="2"/>
  <c r="K22" i="2"/>
  <c r="L21" i="2" s="1"/>
  <c r="K21" i="2"/>
  <c r="N13" i="2" s="1" a="1"/>
  <c r="N13" i="2" s="1"/>
  <c r="K23" i="2"/>
  <c r="M21" i="2" s="1"/>
  <c r="B28" i="2" l="1"/>
  <c r="C28" i="2"/>
  <c r="D28" i="2" l="1"/>
  <c r="A36" i="2" s="1"/>
  <c r="E28" i="2"/>
  <c r="B36" i="2" l="1"/>
  <c r="C36" i="2" s="1"/>
  <c r="D36" i="2" s="1"/>
  <c r="G36" i="2" s="1"/>
  <c r="C16" i="2" s="1"/>
  <c r="H26" i="2"/>
  <c r="B32" i="2" s="1"/>
  <c r="D16" i="2" l="1"/>
  <c r="E16" i="2"/>
  <c r="F16" i="2" a="1"/>
  <c r="A32" i="2"/>
  <c r="C32" i="2" s="1"/>
  <c r="C17" i="2" s="1"/>
  <c r="F36" i="2"/>
  <c r="C15" i="2" s="1"/>
  <c r="D15" i="2" s="1"/>
  <c r="E36" i="2"/>
  <c r="C14" i="2" s="1"/>
  <c r="F16" i="2" l="1"/>
  <c r="I16" i="2" s="1"/>
  <c r="G16" i="2"/>
  <c r="J16" i="2" s="1"/>
  <c r="H16" i="2"/>
  <c r="K16" i="2" s="1"/>
  <c r="D14" i="2"/>
  <c r="E14" i="2"/>
  <c r="F14" i="2" a="1"/>
  <c r="D17" i="2"/>
  <c r="E17" i="2"/>
  <c r="F17" i="2" a="1"/>
  <c r="F17" i="2" l="1"/>
  <c r="I17" i="2" s="1"/>
  <c r="G17" i="2"/>
  <c r="J17" i="2" s="1"/>
  <c r="H17" i="2"/>
  <c r="K17" i="2" s="1"/>
  <c r="F14" i="2"/>
  <c r="I14" i="2" s="1"/>
  <c r="G14" i="2"/>
  <c r="J14" i="2" s="1"/>
  <c r="H14" i="2"/>
  <c r="K14" i="2" s="1"/>
</calcChain>
</file>

<file path=xl/sharedStrings.xml><?xml version="1.0" encoding="utf-8"?>
<sst xmlns="http://schemas.openxmlformats.org/spreadsheetml/2006/main" count="78" uniqueCount="68">
  <si>
    <t>PRFUG.XLS</t>
  </si>
  <si>
    <t>This workbook will fugacities using the Peng-Robinson Equation.</t>
  </si>
  <si>
    <t>This workbook is related to PREOS.xls and works in a similar fashion.</t>
  </si>
  <si>
    <t>Worksheets are protected. Values in blue may be changed without unlocking the spreadsheet, which will</t>
  </si>
  <si>
    <t>permit most common calculations. The worksheets may easily be changed to use a different equation of state.</t>
  </si>
  <si>
    <t>For use with "An Introduction to Applied Thermodynamics" by J.R. Elliott, C.T. Lira</t>
  </si>
  <si>
    <t>www.egr.msu.edu/~lira/thermtxt.htm</t>
  </si>
  <si>
    <t>Peng-Robinson Equation of State (Mixture)</t>
  </si>
  <si>
    <t>Spreadsheet protected, but no password used.</t>
  </si>
  <si>
    <t>Fugacities</t>
  </si>
  <si>
    <t>kij</t>
  </si>
  <si>
    <t>Component</t>
  </si>
  <si>
    <r>
      <t>z</t>
    </r>
    <r>
      <rPr>
        <vertAlign val="subscript"/>
        <sz val="10"/>
        <rFont val="Arial"/>
        <family val="2"/>
      </rPr>
      <t>i</t>
    </r>
  </si>
  <si>
    <t>Tc (K)</t>
  </si>
  <si>
    <t>Pc (MPa)</t>
  </si>
  <si>
    <t>w</t>
  </si>
  <si>
    <t>-</t>
  </si>
  <si>
    <t>n-hexane</t>
  </si>
  <si>
    <t>n-heptane</t>
  </si>
  <si>
    <t>Current State</t>
  </si>
  <si>
    <t>Roots</t>
  </si>
  <si>
    <t>T (K)</t>
  </si>
  <si>
    <t>Z</t>
  </si>
  <si>
    <t>V</t>
  </si>
  <si>
    <t>fugacity</t>
  </si>
  <si>
    <t xml:space="preserve">component fugacity coeff </t>
  </si>
  <si>
    <t>component fugacity(MPa)</t>
  </si>
  <si>
    <t>mixture</t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</si>
  <si>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</si>
  <si>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</si>
  <si>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t>MPa</t>
  </si>
  <si>
    <t>A</t>
  </si>
  <si>
    <t>answers for three</t>
  </si>
  <si>
    <t>B</t>
  </si>
  <si>
    <t>root region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</si>
  <si>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</si>
  <si>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t>&amp; for 1 root region</t>
  </si>
  <si>
    <t>Tr</t>
  </si>
  <si>
    <t>Pr</t>
  </si>
  <si>
    <t>k</t>
  </si>
  <si>
    <t>a</t>
  </si>
  <si>
    <t>ac</t>
  </si>
  <si>
    <t>b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</si>
  <si>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</si>
  <si>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</si>
  <si>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</si>
  <si>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</si>
  <si>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</si>
  <si>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</si>
  <si>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</si>
  <si>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</si>
  <si>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</si>
  <si>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</si>
  <si>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</si>
  <si>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</si>
  <si>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</si>
  <si>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</si>
  <si>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</si>
  <si>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</si>
  <si>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</si>
  <si>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</si>
  <si>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</si>
  <si>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</si>
  <si>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</si>
  <si>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</si>
  <si>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>Copyright 1996-2011, Carl Lira</t>
  </si>
  <si>
    <t>PROPANE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</si>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</sst>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0"/>
      <color indexed="39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/>
    </xf>
    <xf numFmtId="0" fontId="0" fillId="0" borderId="24" xfId="0" applyBorder="1"/>
    <xf numFmtId="0" fontId="0" fillId="0" borderId="4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5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5" fillId="0" borderId="16" xfId="0" applyFont="1" applyBorder="1"/>
    <xf numFmtId="0" fontId="0" fillId="0" borderId="5" xfId="0" applyBorder="1" applyAlignment="1">
      <alignment horizontal="centerContinuous"/>
    </xf>
    <xf numFmtId="0" fontId="6" fillId="0" borderId="5" xfId="0" applyFont="1" applyBorder="1" applyProtection="1">
      <protection locked="0"/>
    </xf>
    <xf numFmtId="0" fontId="6" fillId="0" borderId="7" xfId="0" applyNumberFormat="1" applyFont="1" applyBorder="1" applyProtection="1">
      <protection locked="0"/>
    </xf>
    <xf numFmtId="0" fontId="0" fillId="0" borderId="20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26" xfId="0" applyBorder="1"/>
    <xf numFmtId="0" fontId="2" fillId="0" borderId="28" xfId="0" applyFont="1" applyBorder="1"/>
    <xf numFmtId="0" fontId="5" fillId="0" borderId="5" xfId="0" applyFont="1" applyBorder="1" applyAlignment="1">
      <alignment horizontal="center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164" fontId="9" fillId="0" borderId="19" xfId="0" applyNumberFormat="1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21" xfId="0" applyFont="1" applyBorder="1" applyAlignment="1" applyProtection="1">
      <alignment horizontal="center"/>
      <protection locked="0"/>
    </xf>
    <xf numFmtId="164" fontId="9" fillId="0" borderId="7" xfId="0" applyNumberFormat="1" applyFont="1" applyBorder="1" applyAlignment="1" applyProtection="1">
      <alignment horizontal="center"/>
      <protection locked="0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0" borderId="2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6" xfId="0" applyNumberFormat="1" applyBorder="1"/>
    <xf numFmtId="0" fontId="0" fillId="0" borderId="30" xfId="0" applyBorder="1" applyAlignment="1">
      <alignment horizontal="center"/>
    </xf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Continuous"/>
    </xf>
    <xf numFmtId="0" fontId="0" fillId="0" borderId="28" xfId="0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7" fillId="0" borderId="21" xfId="0" applyFont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0" fillId="0" borderId="0" xfId="1" applyAlignment="1">
      <alignment horizontal="left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5"/>
  <sheetViews>
    <sheetView showGridLines="0" zoomScale="110" zoomScaleNormal="110" workbookViewId="0"/>
  </sheetViews>
  <sheetFormatPr defaultRowHeight="12.75" x14ac:dyDescent="0.2"/>
  <sheetData>
    <row r="2" spans="2:3" s="42" customFormat="1" ht="23.25" x14ac:dyDescent="0.35">
      <c r="B2" s="42" t="s">
        <v>0</v>
      </c>
      <c r="C2"/>
    </row>
    <row r="4" spans="2:3" x14ac:dyDescent="0.2">
      <c r="B4" t="s">
        <v>1</v>
      </c>
    </row>
    <row r="7" spans="2:3" x14ac:dyDescent="0.2">
      <c r="B7" t="s">
        <v>2</v>
      </c>
    </row>
    <row r="10" spans="2:3" x14ac:dyDescent="0.2">
      <c r="B10" t="s">
        <v>3</v>
      </c>
    </row>
    <row r="11" spans="2:3" x14ac:dyDescent="0.2">
      <c r="B11" t="s">
        <v>4</v>
      </c>
    </row>
    <row r="13" spans="2:3" x14ac:dyDescent="0.2">
      <c r="B13" s="79" t="s">
        <v>65</v>
      </c>
    </row>
    <row r="14" spans="2:3" x14ac:dyDescent="0.2">
      <c r="B14" t="s">
        <v>5</v>
      </c>
    </row>
    <row r="15" spans="2:3" x14ac:dyDescent="0.2">
      <c r="B15" t="s">
        <v>6</v>
      </c>
    </row>
  </sheetData>
  <sheetProtection sheet="1" objects="1" scenarios="1"/>
  <printOptions gridLinesSet="0"/>
  <pageMargins left="0.75" right="0.75" top="1" bottom="1" header="0.5" footer="0.5"/>
  <pageSetup orientation="landscape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showGridLines="0" tabSelected="1" topLeftCell="A4" workbookViewId="0">
      <selection activeCell="B14" sqref="B14"/>
    </sheetView>
  </sheetViews>
  <sheetFormatPr defaultRowHeight="12.75" x14ac:dyDescent="0.2"/>
  <cols>
    <col min="5" max="5" width="11.28515625" customWidth="1"/>
    <col min="6" max="7" width="10.7109375" customWidth="1"/>
    <col min="8" max="8" width="11" customWidth="1"/>
    <col min="10" max="10" width="8.7109375" customWidth="1"/>
    <col min="11" max="11" width="9.85546875" customWidth="1"/>
    <col min="14" max="14" width="10.28515625" customWidth="1"/>
    <col min="15" max="15" width="8.28515625" customWidth="1"/>
    <col min="16" max="16" width="8" customWidth="1"/>
    <col min="18" max="18" width="10" customWidth="1"/>
    <col min="19" max="19" width="10.140625" customWidth="1"/>
    <col min="20" max="20" width="10.28515625" customWidth="1"/>
  </cols>
  <sheetData>
    <row r="1" spans="1:21" x14ac:dyDescent="0.2">
      <c r="A1" t="s">
        <v>7</v>
      </c>
      <c r="F1" t="s">
        <v>8</v>
      </c>
    </row>
    <row r="2" spans="1:21" x14ac:dyDescent="0.2">
      <c r="A2" s="13" t="s">
        <v>9</v>
      </c>
      <c r="B2" s="13"/>
    </row>
    <row r="4" spans="1:21" ht="13.5" thickBot="1" x14ac:dyDescent="0.25">
      <c r="M4" s="80" t="s">
        <v>66</v>
      </c>
      <c r="N4" s="81" t="s">
        <v>67</v>
      </c>
      <c r="O4" s="47">
        <v>369.8</v>
      </c>
      <c r="P4" s="47">
        <v>4.2489999999999997</v>
      </c>
      <c r="Q4" s="82">
        <v>0.152</v>
      </c>
    </row>
    <row r="5" spans="1:21" ht="13.5" thickBot="1" x14ac:dyDescent="0.25">
      <c r="F5" s="29" t="s">
        <v>10</v>
      </c>
      <c r="G5" s="30"/>
      <c r="H5" s="36"/>
    </row>
    <row r="6" spans="1:21" s="47" customFormat="1" ht="15.75" x14ac:dyDescent="0.3">
      <c r="A6" s="18" t="s">
        <v>11</v>
      </c>
      <c r="B6" s="39" t="s">
        <v>12</v>
      </c>
      <c r="C6" s="39" t="s">
        <v>13</v>
      </c>
      <c r="D6" s="39" t="s">
        <v>14</v>
      </c>
      <c r="E6" s="51" t="s">
        <v>15</v>
      </c>
      <c r="F6" s="58" t="str">
        <f>A7</f>
        <v>Propane</v>
      </c>
      <c r="G6" s="41" t="str">
        <f>A8</f>
        <v>n-hexane</v>
      </c>
      <c r="H6" s="59" t="str">
        <f>A9</f>
        <v>n-heptane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s="47" customFormat="1" x14ac:dyDescent="0.2">
      <c r="A7" s="81" t="s">
        <v>67</v>
      </c>
      <c r="B7" s="53">
        <v>0.81679999999999997</v>
      </c>
      <c r="C7" s="47">
        <v>369.8</v>
      </c>
      <c r="D7" s="47">
        <v>4.2489999999999997</v>
      </c>
      <c r="E7" s="82">
        <v>0.152</v>
      </c>
      <c r="F7" s="58" t="s">
        <v>16</v>
      </c>
      <c r="G7" s="41" t="s">
        <v>16</v>
      </c>
      <c r="H7" s="59" t="s">
        <v>16</v>
      </c>
      <c r="I7"/>
      <c r="J7"/>
      <c r="K7"/>
      <c r="L7"/>
      <c r="M7"/>
      <c r="N7"/>
      <c r="O7"/>
      <c r="P7"/>
      <c r="Q7"/>
      <c r="R7"/>
      <c r="S7"/>
      <c r="T7"/>
      <c r="U7"/>
    </row>
    <row r="8" spans="1:21" s="47" customFormat="1" x14ac:dyDescent="0.2">
      <c r="A8" s="52" t="s">
        <v>17</v>
      </c>
      <c r="B8" s="53">
        <v>0.15010000000000001</v>
      </c>
      <c r="C8" s="53">
        <v>507.4</v>
      </c>
      <c r="D8" s="53">
        <v>3.012</v>
      </c>
      <c r="E8" s="54">
        <v>0.30499999999999999</v>
      </c>
      <c r="F8" s="52">
        <v>7.6000000000000004E-4</v>
      </c>
      <c r="G8" s="41" t="s">
        <v>16</v>
      </c>
      <c r="H8" s="59" t="s">
        <v>16</v>
      </c>
      <c r="I8"/>
      <c r="J8"/>
      <c r="K8"/>
      <c r="L8"/>
      <c r="M8"/>
      <c r="N8"/>
      <c r="O8"/>
      <c r="P8"/>
      <c r="Q8"/>
      <c r="R8"/>
      <c r="S8"/>
      <c r="T8"/>
      <c r="U8"/>
    </row>
    <row r="9" spans="1:21" s="47" customFormat="1" ht="13.5" thickBot="1" x14ac:dyDescent="0.25">
      <c r="A9" s="55" t="s">
        <v>18</v>
      </c>
      <c r="B9" s="77">
        <f>1-B8-B7</f>
        <v>3.3100000000000018E-2</v>
      </c>
      <c r="C9" s="56">
        <v>540.29999999999995</v>
      </c>
      <c r="D9" s="56">
        <v>2.7360000000000002</v>
      </c>
      <c r="E9" s="57">
        <v>0.34899999999999998</v>
      </c>
      <c r="F9" s="55">
        <v>1.7099999999999999E-3</v>
      </c>
      <c r="G9" s="56">
        <v>6.0999999999999997E-4</v>
      </c>
      <c r="H9" s="78" t="s">
        <v>16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3.5" thickBot="1" x14ac:dyDescent="0.25"/>
    <row r="11" spans="1:21" ht="13.5" thickBot="1" x14ac:dyDescent="0.25">
      <c r="A11" s="8" t="s">
        <v>19</v>
      </c>
      <c r="B11" s="9"/>
      <c r="C11" s="25" t="s">
        <v>20</v>
      </c>
      <c r="D11" s="26"/>
      <c r="G11" s="13"/>
      <c r="H11" s="13"/>
      <c r="I11" s="13"/>
      <c r="J11" s="13"/>
    </row>
    <row r="12" spans="1:21" ht="13.5" thickTop="1" x14ac:dyDescent="0.2">
      <c r="A12" s="4" t="s">
        <v>21</v>
      </c>
      <c r="B12" s="37">
        <v>463.15</v>
      </c>
      <c r="C12" s="18" t="s">
        <v>22</v>
      </c>
      <c r="D12" s="19" t="s">
        <v>23</v>
      </c>
      <c r="E12" s="43" t="s">
        <v>24</v>
      </c>
      <c r="F12" s="4" t="s">
        <v>25</v>
      </c>
      <c r="G12" s="23"/>
      <c r="H12" s="5"/>
      <c r="I12" s="4" t="s">
        <v>26</v>
      </c>
      <c r="J12" s="23"/>
      <c r="K12" s="5"/>
      <c r="M12" t="s">
        <v>27</v>
      </c>
      <c r="O12" s="13"/>
    </row>
    <row r="13" spans="1:21" ht="15" thickBot="1" x14ac:dyDescent="0.25">
      <c r="A13" s="6" t="s">
        <v>28</v>
      </c>
      <c r="B13" s="38">
        <v>2.5</v>
      </c>
      <c r="C13" s="20"/>
      <c r="D13" s="21" t="s">
        <v>29</v>
      </c>
      <c r="E13" s="44" t="s">
        <v>30</v>
      </c>
      <c r="F13" s="6" t="str">
        <f>A7</f>
        <v>Propane</v>
      </c>
      <c r="G13" s="24" t="str">
        <f>A8</f>
        <v>n-hexane</v>
      </c>
      <c r="H13" s="7" t="str">
        <f>A9</f>
        <v>n-heptane</v>
      </c>
      <c r="I13" s="6" t="str">
        <f>A7</f>
        <v>Propane</v>
      </c>
      <c r="J13" s="24" t="str">
        <f>A8</f>
        <v>n-hexane</v>
      </c>
      <c r="K13" s="7" t="str">
        <f>A9</f>
        <v>n-heptane</v>
      </c>
      <c r="M13" s="1" t="s">
        <v>31</v>
      </c>
      <c r="N13" s="12">
        <f t="array" ref="N13">MMULT(MMULT(TRANSPOSE(zi),Amatrix),zi)</f>
        <v>0.19844987106596843</v>
      </c>
      <c r="O13" s="13"/>
    </row>
    <row r="14" spans="1:21" x14ac:dyDescent="0.2">
      <c r="A14" s="29" t="s">
        <v>32</v>
      </c>
      <c r="B14" s="30"/>
      <c r="C14" s="23" t="e">
        <f>E36-$A$28/3</f>
        <v>#NUM!</v>
      </c>
      <c r="D14" s="5" t="e">
        <f>Z*_R*TK/P</f>
        <v>#NUM!</v>
      </c>
      <c r="E14" s="45" t="e">
        <f>P*EXP(Z-1-LN(Z-B)-A/B/2.8284*LN((Z+2.4142*B)/(Z-0.4142*B)))</f>
        <v>#NUM!</v>
      </c>
      <c r="F14" s="49" t="e">
        <f t="array" ref="F14:H14">EXP(TRANSPOSE(Bi)/B*(INDEX(Z,1)-1)-LN(INDEX(Z,1)-B)-A/B/2.8284*LN((INDEX(Z,1)+2.4142*B)/(INDEX(Z,1)-0.4142*B))*(2*MMULT(TRANSPOSE(zi),Amatrix)/A-TRANSPOSE(Bi)/B))</f>
        <v>#NUM!</v>
      </c>
      <c r="G14" s="49" t="e">
        <v>#NUM!</v>
      </c>
      <c r="H14" s="49" t="e">
        <v>#NUM!</v>
      </c>
      <c r="I14" s="49" t="e">
        <f>$B$7*P*F14</f>
        <v>#NUM!</v>
      </c>
      <c r="J14" s="49" t="e">
        <f>$B$8*P*G14</f>
        <v>#NUM!</v>
      </c>
      <c r="K14" s="49" t="e">
        <f>$B$9*P*H14</f>
        <v>#NUM!</v>
      </c>
      <c r="M14" s="3" t="s">
        <v>33</v>
      </c>
      <c r="N14" s="16">
        <f t="array" ref="N14">SUM(zi*Bi)</f>
        <v>4.3215005378651368E-2</v>
      </c>
    </row>
    <row r="15" spans="1:21" ht="14.25" x14ac:dyDescent="0.2">
      <c r="A15" s="31" t="s">
        <v>34</v>
      </c>
      <c r="B15" s="32"/>
      <c r="C15" s="13" t="e">
        <f>F36-$A$28/3</f>
        <v>#NUM!</v>
      </c>
      <c r="D15" s="22" t="e">
        <f>Z*_R*TK/P</f>
        <v>#NUM!</v>
      </c>
      <c r="E15" s="45"/>
      <c r="F15" s="45"/>
      <c r="G15" s="50"/>
      <c r="H15" s="45"/>
      <c r="I15" s="45"/>
      <c r="J15" s="45"/>
      <c r="K15" s="45"/>
      <c r="M15" s="17" t="s">
        <v>35</v>
      </c>
      <c r="N15" s="17"/>
    </row>
    <row r="16" spans="1:21" ht="13.5" thickBot="1" x14ac:dyDescent="0.25">
      <c r="A16" s="6"/>
      <c r="B16" s="24"/>
      <c r="C16" s="24" t="e">
        <f>G36-$A$28/3</f>
        <v>#NUM!</v>
      </c>
      <c r="D16" s="7" t="e">
        <f>Z*_R*TK/P</f>
        <v>#NUM!</v>
      </c>
      <c r="E16" s="46" t="e">
        <f>P*EXP(Z-1-LN(Z-B)-A/B/2.8284*LN((Z+2.4142*B)/(Z-0.4142*B)))</f>
        <v>#NUM!</v>
      </c>
      <c r="F16" s="45" t="e">
        <f t="array" ref="F16:H16">EXP(TRANSPOSE(Bi)/B*(INDEX(Z,3)-1)-LN(INDEX(Z,3)-B)-A/B/2.8284*LN((INDEX(Z,3)+2.4142*B)/(INDEX(Z,3)-0.4142*B))*(2*MMULT(TRANSPOSE(zi),Amatrix)/A-TRANSPOSE(Bi)/B))</f>
        <v>#NUM!</v>
      </c>
      <c r="G16" s="45" t="e">
        <v>#NUM!</v>
      </c>
      <c r="H16" s="13" t="e">
        <v>#NUM!</v>
      </c>
      <c r="I16" s="45" t="e">
        <f>$B$7*P*F16</f>
        <v>#NUM!</v>
      </c>
      <c r="J16" s="45" t="e">
        <f>$B$8*P*G16</f>
        <v>#NUM!</v>
      </c>
      <c r="K16" s="45" t="e">
        <f>$B$9*P*H16</f>
        <v>#NUM!</v>
      </c>
      <c r="M16" s="27">
        <v>8.3140000000000001</v>
      </c>
      <c r="N16" s="10"/>
    </row>
    <row r="17" spans="1:13" ht="13.5" thickBot="1" x14ac:dyDescent="0.25">
      <c r="A17" s="33" t="s">
        <v>36</v>
      </c>
      <c r="B17" s="34"/>
      <c r="C17" s="28">
        <f>C32-A28/3</f>
        <v>0.83941579965108948</v>
      </c>
      <c r="D17" s="26">
        <f>Z*_R*TK/P</f>
        <v>1292.9115620545019</v>
      </c>
      <c r="E17" s="46">
        <f>P*EXP(Z-1-LN(Z-B)-A/B/2.8284*LN((Z+2.4142*B)/(Z-0.4142*B)))</f>
        <v>2.134881185808204</v>
      </c>
      <c r="F17" s="48">
        <f t="array" ref="F17:H17">EXP(TRANSPOSE(Bi)/B*(INDEX(Z,4)-1)-LN(INDEX(Z,4)-B)-A/B/2.8284*LN((INDEX(Z,4)+2.4142*B)/(INDEX(Z,4)-0.4142*B))*(2*MMULT(TRANSPOSE(zi),Amatrix)/A-TRANSPOSE(Bi)/B))</f>
        <v>0.8993668601094893</v>
      </c>
      <c r="G17" s="48">
        <v>0.68840554315772573</v>
      </c>
      <c r="H17" s="48">
        <v>0.63173115128671697</v>
      </c>
      <c r="I17" s="48">
        <f>$B$7*P*F17</f>
        <v>1.836507128343577</v>
      </c>
      <c r="J17" s="48">
        <f>$B$8*P*G17</f>
        <v>0.25832418006993663</v>
      </c>
      <c r="K17" s="48">
        <f>$B$9*P*H17</f>
        <v>5.2275752768975857E-2</v>
      </c>
    </row>
    <row r="18" spans="1:13" ht="13.5" thickBot="1" x14ac:dyDescent="0.25"/>
    <row r="19" spans="1:13" x14ac:dyDescent="0.2">
      <c r="A19" s="4"/>
      <c r="B19" s="23"/>
      <c r="C19" s="23"/>
      <c r="D19" s="23"/>
      <c r="E19" s="23"/>
      <c r="F19" s="23"/>
      <c r="G19" s="23"/>
      <c r="H19" s="23"/>
      <c r="I19" s="49"/>
      <c r="J19" s="49"/>
      <c r="K19" s="71" t="s">
        <v>31</v>
      </c>
      <c r="L19" s="72"/>
      <c r="M19" s="73"/>
    </row>
    <row r="20" spans="1:13" x14ac:dyDescent="0.2">
      <c r="A20" s="40"/>
      <c r="B20" s="41" t="s">
        <v>37</v>
      </c>
      <c r="C20" s="41" t="s">
        <v>38</v>
      </c>
      <c r="D20" s="60" t="s">
        <v>39</v>
      </c>
      <c r="E20" s="60" t="s">
        <v>40</v>
      </c>
      <c r="F20" s="41" t="s">
        <v>41</v>
      </c>
      <c r="G20" s="41" t="s">
        <v>40</v>
      </c>
      <c r="H20" s="41" t="s">
        <v>42</v>
      </c>
      <c r="I20" s="74" t="s">
        <v>31</v>
      </c>
      <c r="J20" s="74" t="s">
        <v>33</v>
      </c>
      <c r="K20" s="27" t="str">
        <f>A7</f>
        <v>Propane</v>
      </c>
      <c r="L20" s="27" t="str">
        <f>A8</f>
        <v>n-hexane</v>
      </c>
      <c r="M20" s="67" t="str">
        <f>A9</f>
        <v>n-heptane</v>
      </c>
    </row>
    <row r="21" spans="1:13" x14ac:dyDescent="0.2">
      <c r="A21" s="40" t="str">
        <f>A7</f>
        <v>Propane</v>
      </c>
      <c r="B21" s="61">
        <f t="array" ref="B21:B23">TK/Tc</f>
        <v>1.2524337479718766</v>
      </c>
      <c r="C21" s="61">
        <f t="array" ref="C21:C23">P/Pc</f>
        <v>0.58837373499646983</v>
      </c>
      <c r="D21" s="61">
        <f t="array" ref="D21:D23">0.37464+1.54226*w-0.26993*w^2</f>
        <v>0.60282705727999997</v>
      </c>
      <c r="E21" s="61">
        <f t="array" ref="E21:E23">(1+kappa*(1-(Tr)^0.5))^2</f>
        <v>0.86153689304795522</v>
      </c>
      <c r="F21" s="61">
        <f t="array" ref="F21:F23">0.457235529*_R^2*Tc^2/Pc</f>
        <v>1017201.7351383639</v>
      </c>
      <c r="G21" s="61">
        <f t="array" ref="G21:G23">ac*alpha</f>
        <v>876356.82249409507</v>
      </c>
      <c r="H21" s="62">
        <f t="array" ref="H21:H23">0.077796074*_R*Tc/Pc</f>
        <v>56.292155237814278</v>
      </c>
      <c r="I21" s="75">
        <f t="array" ref="I21:I23">G21:G23*P/_R^2/TK^2</f>
        <v>0.14776024535570359</v>
      </c>
      <c r="J21" s="75">
        <f t="array" ref="J21:J23">H21:H23*P/_R/TK</f>
        <v>3.6547375620917553E-2</v>
      </c>
      <c r="K21" s="66">
        <f>I21</f>
        <v>0.14776024535570359</v>
      </c>
      <c r="L21" s="66">
        <f>K22</f>
        <v>0.2687123313286231</v>
      </c>
      <c r="M21" s="68">
        <f>K23</f>
        <v>0.30823459094420613</v>
      </c>
    </row>
    <row r="22" spans="1:13" x14ac:dyDescent="0.2">
      <c r="A22" s="40" t="str">
        <f>A8</f>
        <v>n-hexane</v>
      </c>
      <c r="B22" s="61">
        <v>0.91279069767441856</v>
      </c>
      <c r="C22" s="61">
        <v>0.83001328021248344</v>
      </c>
      <c r="D22" s="61">
        <v>0.81991906174999996</v>
      </c>
      <c r="E22" s="61">
        <v>1.0744726595872651</v>
      </c>
      <c r="F22" s="61">
        <v>2701506.1963845929</v>
      </c>
      <c r="G22" s="61">
        <v>2902694.54772083</v>
      </c>
      <c r="H22" s="62">
        <v>108.95902196425845</v>
      </c>
      <c r="I22" s="75">
        <v>0.48941578082685938</v>
      </c>
      <c r="J22" s="75">
        <v>7.0741052393398812E-2</v>
      </c>
      <c r="K22" s="66">
        <f>SQRT(I21*I22)*(1-F8)</f>
        <v>0.2687123313286231</v>
      </c>
      <c r="L22" s="66">
        <f>I22</f>
        <v>0.48941578082685938</v>
      </c>
      <c r="M22" s="68">
        <f>L23</f>
        <v>0.56159060817514328</v>
      </c>
    </row>
    <row r="23" spans="1:13" ht="13.5" thickBot="1" x14ac:dyDescent="0.25">
      <c r="A23" s="6" t="str">
        <f>A9</f>
        <v>n-heptane</v>
      </c>
      <c r="B23" s="64">
        <v>0.85720895798630392</v>
      </c>
      <c r="C23" s="64">
        <v>0.91374269005847941</v>
      </c>
      <c r="D23" s="64">
        <v>0.88001099607</v>
      </c>
      <c r="E23" s="64">
        <v>1.1347526908812693</v>
      </c>
      <c r="F23" s="64">
        <v>3372204.097790732</v>
      </c>
      <c r="G23" s="64">
        <v>3826617.6741688764</v>
      </c>
      <c r="H23" s="65">
        <v>127.72813631403905</v>
      </c>
      <c r="I23" s="76">
        <v>0.64519605702216676</v>
      </c>
      <c r="J23" s="76">
        <v>8.2926797801714441E-2</v>
      </c>
      <c r="K23" s="69">
        <f>SQRT(I21*I23)*(1-F9)</f>
        <v>0.30823459094420613</v>
      </c>
      <c r="L23" s="69">
        <f>SQRT(I22*I23)*(1-G9)</f>
        <v>0.56159060817514328</v>
      </c>
      <c r="M23" s="70">
        <f>I23</f>
        <v>0.64519605702216676</v>
      </c>
    </row>
    <row r="24" spans="1:13" x14ac:dyDescent="0.2">
      <c r="A24" s="61"/>
      <c r="B24" s="61"/>
      <c r="C24" s="61"/>
      <c r="D24" s="61"/>
      <c r="E24" s="61"/>
      <c r="F24" s="61"/>
      <c r="G24" s="62"/>
      <c r="H24" s="61"/>
      <c r="I24" s="61"/>
      <c r="J24" s="63"/>
      <c r="K24" s="63"/>
      <c r="L24" s="63"/>
    </row>
    <row r="25" spans="1:13" ht="15.75" x14ac:dyDescent="0.3">
      <c r="A25" t="s">
        <v>43</v>
      </c>
      <c r="C25" t="s">
        <v>44</v>
      </c>
      <c r="F25" s="13"/>
      <c r="G25" s="13"/>
      <c r="H25" s="13"/>
      <c r="I25" s="13"/>
    </row>
    <row r="26" spans="1:13" ht="14.25" x14ac:dyDescent="0.2">
      <c r="F26" s="1" t="s">
        <v>45</v>
      </c>
      <c r="G26" s="11"/>
      <c r="H26" s="11">
        <f>E28^2/4+D28^3/27</f>
        <v>6.2158408119618812E-5</v>
      </c>
      <c r="I26" s="12"/>
    </row>
    <row r="27" spans="1:13" ht="15.75" x14ac:dyDescent="0.3">
      <c r="A27" s="27" t="s">
        <v>46</v>
      </c>
      <c r="B27" s="27" t="s">
        <v>47</v>
      </c>
      <c r="C27" s="27" t="s">
        <v>48</v>
      </c>
      <c r="D27" s="27" t="s">
        <v>49</v>
      </c>
      <c r="E27" s="27" t="s">
        <v>50</v>
      </c>
      <c r="F27" s="2" t="s">
        <v>51</v>
      </c>
      <c r="G27" s="13"/>
      <c r="H27" s="13"/>
      <c r="I27" s="14"/>
    </row>
    <row r="28" spans="1:13" x14ac:dyDescent="0.2">
      <c r="A28" s="17">
        <f>-(1-N14)</f>
        <v>-0.95678499462134858</v>
      </c>
      <c r="B28" s="17">
        <f>N13-3*N14^2-2*N14</f>
        <v>0.1064172502390351</v>
      </c>
      <c r="C28" s="17">
        <f>-(N13*N14-N14^2-N14^3)</f>
        <v>-6.6277699475337723E-3</v>
      </c>
      <c r="D28" s="17">
        <f>(3*B28-A28^2)/3</f>
        <v>-0.19872859173848956</v>
      </c>
      <c r="E28" s="17">
        <f>(2*A28^3-9*A28*B28+27*C28)/27</f>
        <v>-3.7568063387274205E-2</v>
      </c>
      <c r="F28" s="3" t="s">
        <v>52</v>
      </c>
      <c r="G28" s="15"/>
      <c r="H28" s="15"/>
      <c r="I28" s="16"/>
    </row>
    <row r="30" spans="1:13" x14ac:dyDescent="0.2">
      <c r="A30" t="s">
        <v>53</v>
      </c>
    </row>
    <row r="31" spans="1:13" x14ac:dyDescent="0.2">
      <c r="A31" s="17" t="s">
        <v>54</v>
      </c>
      <c r="B31" s="17" t="s">
        <v>55</v>
      </c>
      <c r="C31" s="17" t="s">
        <v>56</v>
      </c>
      <c r="D31" s="17"/>
      <c r="F31" t="s">
        <v>57</v>
      </c>
    </row>
    <row r="32" spans="1:13" x14ac:dyDescent="0.2">
      <c r="A32" s="17">
        <f>(-$E$28/2+SQRT($H$26))^(1/3)</f>
        <v>0.29876563954072211</v>
      </c>
      <c r="B32" s="17">
        <f>(-$E$28/2-SQRT($H$26))^(1/3)</f>
        <v>0.22172182856991787</v>
      </c>
      <c r="C32" s="17">
        <f>A32+B32</f>
        <v>0.52048746811063995</v>
      </c>
      <c r="D32" s="13"/>
      <c r="F32" t="s">
        <v>58</v>
      </c>
    </row>
    <row r="34" spans="1:7" x14ac:dyDescent="0.2">
      <c r="A34" t="s">
        <v>59</v>
      </c>
    </row>
    <row r="35" spans="1:7" ht="15.75" x14ac:dyDescent="0.3">
      <c r="A35" s="17" t="s">
        <v>60</v>
      </c>
      <c r="B35" s="17" t="s">
        <v>61</v>
      </c>
      <c r="C35" s="17" t="s">
        <v>62</v>
      </c>
      <c r="D35" s="35" t="s">
        <v>63</v>
      </c>
      <c r="E35" s="17" t="s">
        <v>64</v>
      </c>
      <c r="F35" s="17"/>
      <c r="G35" s="17"/>
    </row>
    <row r="36" spans="1:7" x14ac:dyDescent="0.2">
      <c r="A36" s="17">
        <f>2*SQRT(-D28/3)</f>
        <v>0.51475378158039731</v>
      </c>
      <c r="B36" s="17">
        <f>3*E28/D28/A36</f>
        <v>1.1017426500861396</v>
      </c>
      <c r="C36" s="17" t="e">
        <f>ACOS(B36)</f>
        <v>#NUM!</v>
      </c>
      <c r="D36" s="17" t="e">
        <f>C36/3</f>
        <v>#NUM!</v>
      </c>
      <c r="E36" s="17" t="e">
        <f>$A$36*COS($D$36)</f>
        <v>#NUM!</v>
      </c>
      <c r="F36" s="17" t="e">
        <f>$A$36*COS($D$36+4*PI()/3)</f>
        <v>#NUM!</v>
      </c>
      <c r="G36" s="17" t="e">
        <f>$A$36*COS($D$36+2*PI()/3)</f>
        <v>#NUM!</v>
      </c>
    </row>
    <row r="39" spans="1:7" x14ac:dyDescent="0.2">
      <c r="A39" s="13"/>
    </row>
  </sheetData>
  <printOptions gridLinesSet="0"/>
  <pageMargins left="0.75" right="0.75" top="1" bottom="1" header="0.5" footer="0.5"/>
  <pageSetup scale="90" orientation="landscape" horizontalDpi="300" verticalDpi="30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Instructions</vt:lpstr>
      <vt:lpstr>Fugacities</vt:lpstr>
      <vt:lpstr>_R</vt:lpstr>
      <vt:lpstr>Fugacities!A</vt:lpstr>
      <vt:lpstr>ac</vt:lpstr>
      <vt:lpstr>Ai</vt:lpstr>
      <vt:lpstr>alpha</vt:lpstr>
      <vt:lpstr>Amatrix</vt:lpstr>
      <vt:lpstr>Fugacities!B</vt:lpstr>
      <vt:lpstr>Bi</vt:lpstr>
      <vt:lpstr>kappa</vt:lpstr>
      <vt:lpstr>Fugacities!P</vt:lpstr>
      <vt:lpstr>Pc</vt:lpstr>
      <vt:lpstr>Pr</vt:lpstr>
      <vt:lpstr>q</vt:lpstr>
      <vt:lpstr>Tc</vt:lpstr>
      <vt:lpstr>TK</vt:lpstr>
      <vt:lpstr>Tr</vt:lpstr>
      <vt:lpstr>w</vt:lpstr>
      <vt:lpstr>Fugacities!Z</vt:lpstr>
      <vt:lpstr>zi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chibuike umeugwa</cp:lastModifiedBy>
  <cp:lastPrinted>1997-12-15T03:10:37Z</cp:lastPrinted>
  <dcterms:created xsi:type="dcterms:W3CDTF">1999-01-06T02:41:37Z</dcterms:created>
  <dcterms:modified xsi:type="dcterms:W3CDTF">2016-03-12T18:30:29Z</dcterms:modified>
</cp:coreProperties>
</file>