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everton\Documents\Curso Excel\"/>
    </mc:Choice>
  </mc:AlternateContent>
  <bookViews>
    <workbookView xWindow="0" yWindow="0" windowWidth="23040" windowHeight="9072" tabRatio="345"/>
  </bookViews>
  <sheets>
    <sheet name="APP" sheetId="1" r:id="rId1"/>
    <sheet name="Planilha2" sheetId="2" r:id="rId2"/>
  </sheets>
  <definedNames>
    <definedName name="aporte_banco_1">APP!$D$19</definedName>
    <definedName name="aporte_banco_2">APP!$E$19</definedName>
    <definedName name="dividendos_banco_1">APP!$D$23</definedName>
    <definedName name="dividendos_banco_2">APP!$E$23</definedName>
    <definedName name="patrimonio_banco_1">APP!$D$22</definedName>
    <definedName name="patrimonio_banco_2">APP!$E$22</definedName>
    <definedName name="qtd_anos_banco_1">APP!$D$20</definedName>
    <definedName name="qtd_anos_banco_2">APP!$E$20</definedName>
    <definedName name="rendimento_carteira">APP!$E$13</definedName>
    <definedName name="salario">APP!$E$12</definedName>
    <definedName name="sugestao_investimento">APP!$E$14</definedName>
    <definedName name="taxa_mensal_banco_1">APP!$D$21</definedName>
    <definedName name="taxa_mensal_banco_2">APP!$E$21</definedName>
    <definedName name="Tipo_de_investimento_banco_1">APP!$D$18</definedName>
    <definedName name="Tipo_de_investimento_banco_2">APP!$E$18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E21" i="1"/>
  <c r="E22" i="1" s="1"/>
  <c r="E23" i="1" s="1"/>
  <c r="D21" i="1"/>
  <c r="D22" i="1" s="1"/>
  <c r="D23" i="1" s="1"/>
  <c r="D33" i="1" l="1"/>
  <c r="E33" i="1" s="1"/>
  <c r="D37" i="1"/>
  <c r="E37" i="1" s="1"/>
  <c r="D36" i="1"/>
  <c r="E36" i="1" s="1"/>
  <c r="D35" i="1"/>
  <c r="E35" i="1" s="1"/>
  <c r="D34" i="1"/>
  <c r="E34" i="1" s="1"/>
  <c r="D26" i="1"/>
  <c r="E26" i="1" s="1"/>
  <c r="D30" i="1"/>
  <c r="E30" i="1" s="1"/>
  <c r="D29" i="1"/>
  <c r="E29" i="1" s="1"/>
  <c r="D28" i="1"/>
  <c r="E28" i="1" s="1"/>
  <c r="D27" i="1"/>
  <c r="E27" i="1" s="1"/>
  <c r="E14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C43" i="1" l="1"/>
  <c r="C44" i="1"/>
  <c r="C45" i="1"/>
  <c r="C46" i="1"/>
  <c r="C47" i="1"/>
  <c r="C48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E43" i="1" l="1"/>
  <c r="E48" i="1"/>
  <c r="E46" i="1"/>
  <c r="E45" i="1"/>
  <c r="E47" i="1"/>
  <c r="E44" i="1"/>
  <c r="E49" i="1" l="1"/>
</calcChain>
</file>

<file path=xl/sharedStrings.xml><?xml version="1.0" encoding="utf-8"?>
<sst xmlns="http://schemas.openxmlformats.org/spreadsheetml/2006/main" count="131" uniqueCount="68">
  <si>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</si>
  <si>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</si>
  <si>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</si>
  <si>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</si>
  <si>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</si>
  <si>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</si>
  <si>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</si>
  <si>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</si>
  <si>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</si>
  <si>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</si>
  <si>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</si>
  <si>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</si>
  <si>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</si>
  <si>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</si>
  <si>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</si>
  <si>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</si>
  <si>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</si>
  <si>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</si>
  <si>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</si>
  <si>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</si>
  <si>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</si>
  <si>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</si>
  <si>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</si>
  <si>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</si>
  <si>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</si>
  <si>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</si>
  <si>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</si>
  <si>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</si>
  <si>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</si>
  <si>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</si>
  <si>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Qual Banco Investir ?</t>
  </si>
  <si>
    <t>No que Investir ?</t>
  </si>
  <si>
    <t>CDB</t>
  </si>
  <si>
    <t>LCAs</t>
  </si>
  <si>
    <t>INVESTIMENTO</t>
  </si>
  <si>
    <t>Banrisul-CDB</t>
  </si>
  <si>
    <t>Banrisul-LCI</t>
  </si>
  <si>
    <t>Banrisul-LCAs</t>
  </si>
  <si>
    <t>Itaú-CDB</t>
  </si>
  <si>
    <t>Itaú-LCI</t>
  </si>
  <si>
    <t>Itaú-LCAs</t>
  </si>
  <si>
    <t>Bradesco-CDB</t>
  </si>
  <si>
    <t>Bradesco-LCI</t>
  </si>
  <si>
    <t>Bradesco-LCAs</t>
  </si>
  <si>
    <t>Sicredi-CDB</t>
  </si>
  <si>
    <t>Sicredi-LCI</t>
  </si>
  <si>
    <t>Sicredi-LCAs</t>
  </si>
  <si>
    <t>Caixa-CDB</t>
  </si>
  <si>
    <t>Caixa-LCI</t>
  </si>
  <si>
    <t>Caixa-LCAs</t>
  </si>
  <si>
    <t>LCI</t>
  </si>
  <si>
    <t>VALOR ATUAL DO CDI (% a.a.)</t>
  </si>
  <si>
    <t>PERCENTUAL EM RELAÇÃO AO CDI</t>
  </si>
  <si>
    <t>PERCENTUAL MENSAL</t>
  </si>
  <si>
    <t>NuBank-LCI</t>
  </si>
  <si>
    <t>NuBank-CDB</t>
  </si>
  <si>
    <t>NuBank-LCAs</t>
  </si>
  <si>
    <t>Banco do Brasil-CDB</t>
  </si>
  <si>
    <t>Banco do Brasil-LCI</t>
  </si>
  <si>
    <t>Banco do Brasil-LCAs</t>
  </si>
  <si>
    <t>Sugestão de Investimento (15%)</t>
  </si>
  <si>
    <t>NuBank</t>
  </si>
  <si>
    <t>Banco 1</t>
  </si>
  <si>
    <t>Banco 2</t>
  </si>
  <si>
    <t>Caixa</t>
  </si>
  <si>
    <t xml:space="preserve"> Cenários Banco 1</t>
  </si>
  <si>
    <t>VALOR A SER INVESTIDO POR MÊS / BANCO 1</t>
  </si>
  <si>
    <t xml:space="preserve"> Cenários Banco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</si>
</sst>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0"/>
      <name val="Aptos Narrow"/>
      <scheme val="minor"/>
    </font>
    <font>
      <b/>
      <i/>
      <sz val="11"/>
      <color theme="0"/>
      <name val="Aptos Narrow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49998474074526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24994659260841701"/>
      </bottom>
      <diagonal/>
    </border>
    <border>
      <left/>
      <right/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/>
      <top/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/>
      <top style="hair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0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4" fontId="9" fillId="3" borderId="5" xfId="0" applyNumberFormat="1" applyFont="1" applyFill="1" applyBorder="1" applyAlignment="1">
      <alignment horizontal="center"/>
    </xf>
    <xf numFmtId="164" fontId="9" fillId="3" borderId="6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/>
    </xf>
    <xf numFmtId="164" fontId="9" fillId="0" borderId="9" xfId="1" applyNumberFormat="1" applyFont="1" applyBorder="1" applyAlignment="1">
      <alignment horizontal="center"/>
    </xf>
    <xf numFmtId="10" fontId="9" fillId="0" borderId="10" xfId="0" applyNumberFormat="1" applyFont="1" applyBorder="1" applyAlignment="1">
      <alignment horizontal="center"/>
    </xf>
    <xf numFmtId="164" fontId="9" fillId="4" borderId="11" xfId="0" applyNumberFormat="1" applyFont="1" applyFill="1" applyBorder="1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0" xfId="0" applyAlignment="1">
      <alignment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2" fillId="8" borderId="0" xfId="3" applyFill="1"/>
    <xf numFmtId="0" fontId="12" fillId="8" borderId="0" xfId="3" applyFont="1" applyFill="1"/>
    <xf numFmtId="0" fontId="13" fillId="8" borderId="0" xfId="3" applyFont="1" applyFill="1" applyAlignment="1">
      <alignment horizontal="center"/>
    </xf>
    <xf numFmtId="0" fontId="1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9" fontId="0" fillId="6" borderId="0" xfId="0" applyNumberFormat="1" applyFill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left" indent="3"/>
    </xf>
    <xf numFmtId="0" fontId="8" fillId="4" borderId="13" xfId="0" applyFont="1" applyFill="1" applyBorder="1" applyAlignment="1">
      <alignment horizontal="left" indent="3"/>
    </xf>
    <xf numFmtId="0" fontId="11" fillId="3" borderId="14" xfId="0" applyFont="1" applyFill="1" applyBorder="1" applyAlignment="1">
      <alignment horizontal="left" indent="3"/>
    </xf>
    <xf numFmtId="0" fontId="11" fillId="3" borderId="15" xfId="0" applyFont="1" applyFill="1" applyBorder="1" applyAlignment="1">
      <alignment horizontal="left" indent="3"/>
    </xf>
    <xf numFmtId="0" fontId="5" fillId="8" borderId="1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left" indent="3"/>
    </xf>
    <xf numFmtId="0" fontId="11" fillId="3" borderId="13" xfId="0" applyFont="1" applyFill="1" applyBorder="1" applyAlignment="1">
      <alignment horizontal="left" indent="3"/>
    </xf>
    <xf numFmtId="0" fontId="11" fillId="3" borderId="17" xfId="0" applyFont="1" applyFill="1" applyBorder="1" applyAlignment="1">
      <alignment horizontal="left" indent="3"/>
    </xf>
    <xf numFmtId="0" fontId="8" fillId="4" borderId="24" xfId="0" applyFont="1" applyFill="1" applyBorder="1" applyAlignment="1">
      <alignment horizontal="left" vertical="center" indent="3"/>
    </xf>
    <xf numFmtId="0" fontId="8" fillId="4" borderId="25" xfId="0" applyFont="1" applyFill="1" applyBorder="1" applyAlignment="1">
      <alignment horizontal="left" vertical="center" indent="3"/>
    </xf>
    <xf numFmtId="0" fontId="8" fillId="4" borderId="18" xfId="0" applyFont="1" applyFill="1" applyBorder="1" applyAlignment="1">
      <alignment horizontal="left" vertical="center" indent="3"/>
    </xf>
    <xf numFmtId="0" fontId="8" fillId="4" borderId="26" xfId="0" applyFont="1" applyFill="1" applyBorder="1" applyAlignment="1">
      <alignment horizontal="left" vertical="center" indent="3"/>
    </xf>
    <xf numFmtId="0" fontId="8" fillId="4" borderId="27" xfId="0" applyFont="1" applyFill="1" applyBorder="1" applyAlignment="1">
      <alignment horizontal="left" vertical="center" indent="3"/>
    </xf>
    <xf numFmtId="0" fontId="8" fillId="4" borderId="19" xfId="0" applyFont="1" applyFill="1" applyBorder="1" applyAlignment="1">
      <alignment horizontal="left" vertical="center" indent="3"/>
    </xf>
    <xf numFmtId="0" fontId="8" fillId="4" borderId="28" xfId="0" applyFont="1" applyFill="1" applyBorder="1" applyAlignment="1">
      <alignment horizontal="left" vertical="center" indent="3"/>
    </xf>
    <xf numFmtId="0" fontId="8" fillId="4" borderId="29" xfId="0" applyFont="1" applyFill="1" applyBorder="1" applyAlignment="1">
      <alignment horizontal="left" vertical="center" indent="3"/>
    </xf>
    <xf numFmtId="0" fontId="8" fillId="4" borderId="20" xfId="0" applyFont="1" applyFill="1" applyBorder="1" applyAlignment="1">
      <alignment horizontal="left" vertical="center" indent="3"/>
    </xf>
    <xf numFmtId="0" fontId="6" fillId="8" borderId="30" xfId="0" applyFont="1" applyFill="1" applyBorder="1" applyAlignment="1">
      <alignment horizontal="center" vertical="center"/>
    </xf>
    <xf numFmtId="0" fontId="6" fillId="8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indent="3"/>
    </xf>
    <xf numFmtId="0" fontId="8" fillId="3" borderId="21" xfId="0" applyFont="1" applyFill="1" applyBorder="1" applyAlignment="1">
      <alignment horizontal="left" vertical="center" indent="3"/>
    </xf>
    <xf numFmtId="0" fontId="8" fillId="3" borderId="33" xfId="0" applyFont="1" applyFill="1" applyBorder="1" applyAlignment="1">
      <alignment horizontal="left" vertical="center" indent="3"/>
    </xf>
    <xf numFmtId="0" fontId="8" fillId="3" borderId="22" xfId="0" applyFont="1" applyFill="1" applyBorder="1" applyAlignment="1">
      <alignment horizontal="left" vertical="center" indent="3"/>
    </xf>
    <xf numFmtId="0" fontId="8" fillId="3" borderId="34" xfId="0" applyFont="1" applyFill="1" applyBorder="1" applyAlignment="1">
      <alignment horizontal="left" vertical="center" indent="3"/>
    </xf>
    <xf numFmtId="0" fontId="8" fillId="3" borderId="23" xfId="0" applyFont="1" applyFill="1" applyBorder="1" applyAlignment="1">
      <alignment horizontal="left" vertical="center" indent="3"/>
    </xf>
    <xf numFmtId="0" fontId="11" fillId="3" borderId="16" xfId="0" applyFont="1" applyFill="1" applyBorder="1" applyAlignment="1">
      <alignment horizontal="left" indent="3"/>
    </xf>
    <xf numFmtId="0" fontId="10" fillId="0" borderId="35" xfId="0" applyFont="1" applyBorder="1" applyAlignment="1">
      <alignment horizontal="center" vertical="center"/>
    </xf>
    <xf numFmtId="10" fontId="10" fillId="3" borderId="35" xfId="0" applyNumberFormat="1" applyFont="1" applyFill="1" applyBorder="1" applyAlignment="1">
      <alignment horizontal="center" vertical="center"/>
    </xf>
    <xf numFmtId="8" fontId="10" fillId="3" borderId="35" xfId="0" applyNumberFormat="1" applyFont="1" applyFill="1" applyBorder="1" applyAlignment="1">
      <alignment horizontal="center" vertical="center"/>
    </xf>
    <xf numFmtId="8" fontId="10" fillId="3" borderId="36" xfId="0" applyNumberFormat="1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0" fontId="10" fillId="3" borderId="13" xfId="0" applyNumberFormat="1" applyFont="1" applyFill="1" applyBorder="1" applyAlignment="1">
      <alignment horizontal="center" vertical="center"/>
    </xf>
    <xf numFmtId="8" fontId="10" fillId="3" borderId="13" xfId="0" applyNumberFormat="1" applyFont="1" applyFill="1" applyBorder="1" applyAlignment="1">
      <alignment horizontal="center" vertical="center"/>
    </xf>
    <xf numFmtId="8" fontId="10" fillId="3" borderId="15" xfId="0" applyNumberFormat="1" applyFont="1" applyFill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164" fontId="10" fillId="0" borderId="35" xfId="0" applyNumberFormat="1" applyFont="1" applyBorder="1" applyAlignment="1">
      <alignment horizontal="center" vertical="center"/>
    </xf>
    <xf numFmtId="0" fontId="4" fillId="0" borderId="0" xfId="0" applyFont="1" applyFill="1" applyBorder="1"/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APP!$C$42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8B-4F88-80B6-604706F3AA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8B-4F88-80B6-604706F3AA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8B-4F88-80B6-604706F3AA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8B-4F88-80B6-604706F3AA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8B-4F88-80B6-604706F3AA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8B-4F88-80B6-604706F3AA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APP!$B$43:$B$48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APP!$C$43:$C$48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49</xdr:row>
      <xdr:rowOff>97971</xdr:rowOff>
    </xdr:from>
    <xdr:to>
      <xdr:col>4</xdr:col>
      <xdr:colOff>892175</xdr:colOff>
      <xdr:row>62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408709</xdr:colOff>
      <xdr:row>0</xdr:row>
      <xdr:rowOff>48491</xdr:rowOff>
    </xdr:from>
    <xdr:to>
      <xdr:col>5</xdr:col>
      <xdr:colOff>0</xdr:colOff>
      <xdr:row>9</xdr:row>
      <xdr:rowOff>112815</xdr:rowOff>
    </xdr:to>
    <xdr:pic>
      <xdr:nvPicPr>
        <xdr:cNvPr id="18" name="Imagem 1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927" t="-277" r="14369" b="-1"/>
        <a:stretch/>
      </xdr:blipFill>
      <xdr:spPr>
        <a:xfrm>
          <a:off x="408709" y="48491"/>
          <a:ext cx="7398327" cy="16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I49"/>
  <sheetViews>
    <sheetView showGridLines="0" tabSelected="1" topLeftCell="A8" zoomScale="110" zoomScaleNormal="110" workbookViewId="0">
      <selection activeCell="B35" sqref="B35:C35"/>
    </sheetView>
  </sheetViews>
  <sheetFormatPr defaultColWidth="0" defaultRowHeight="13.8"/>
  <cols>
    <col min="1" max="1" width="5.5" customWidth="1"/>
    <col min="2" max="2" width="46.796875" customWidth="1"/>
    <col min="3" max="3" width="17.5" bestFit="1" customWidth="1"/>
    <col min="4" max="4" width="17.5" customWidth="1"/>
    <col min="5" max="5" width="15" customWidth="1"/>
    <col min="6" max="9" width="3.5" customWidth="1"/>
    <col min="10" max="16384" width="8.69921875" hidden="1"/>
  </cols>
  <sheetData>
    <row r="10" spans="2:5" ht="14.4" thickBot="1"/>
    <row r="11" spans="2:5" ht="27">
      <c r="B11" s="45" t="s">
        <v>14</v>
      </c>
      <c r="C11" s="46"/>
      <c r="D11" s="46"/>
      <c r="E11" s="47"/>
    </row>
    <row r="12" spans="2:5" ht="19.2">
      <c r="B12" s="51" t="s">
        <v>13</v>
      </c>
      <c r="C12" s="52"/>
      <c r="D12" s="53"/>
      <c r="E12" s="9">
        <v>3000</v>
      </c>
    </row>
    <row r="13" spans="2:5" ht="19.2">
      <c r="B13" s="54" t="s">
        <v>12</v>
      </c>
      <c r="C13" s="55"/>
      <c r="D13" s="56"/>
      <c r="E13" s="10">
        <v>7.0000000000000001E-3</v>
      </c>
    </row>
    <row r="14" spans="2:5" ht="19.8" thickBot="1">
      <c r="B14" s="57" t="s">
        <v>60</v>
      </c>
      <c r="C14" s="58"/>
      <c r="D14" s="59"/>
      <c r="E14" s="11">
        <f>E12*15%</f>
        <v>450</v>
      </c>
    </row>
    <row r="15" spans="2:5" ht="14.4" thickBot="1"/>
    <row r="16" spans="2:5" ht="28.5" customHeight="1" thickBot="1">
      <c r="B16" s="60" t="s">
        <v>5</v>
      </c>
      <c r="C16" s="61"/>
      <c r="D16" s="37" t="s">
        <v>62</v>
      </c>
      <c r="E16" s="38" t="s">
        <v>63</v>
      </c>
    </row>
    <row r="17" spans="1:7" ht="19.8" thickBot="1">
      <c r="B17" s="41" t="s">
        <v>30</v>
      </c>
      <c r="C17" s="42"/>
      <c r="D17" s="77" t="s">
        <v>61</v>
      </c>
      <c r="E17" s="78" t="s">
        <v>64</v>
      </c>
    </row>
    <row r="18" spans="1:7" ht="19.8" thickBot="1">
      <c r="B18" s="41" t="s">
        <v>31</v>
      </c>
      <c r="C18" s="42"/>
      <c r="D18" s="73" t="s">
        <v>32</v>
      </c>
      <c r="E18" s="69" t="s">
        <v>32</v>
      </c>
    </row>
    <row r="19" spans="1:7" ht="19.8" thickBot="1">
      <c r="B19" s="41" t="s">
        <v>0</v>
      </c>
      <c r="C19" s="42"/>
      <c r="D19" s="73">
        <v>700</v>
      </c>
      <c r="E19" s="69">
        <v>700</v>
      </c>
    </row>
    <row r="20" spans="1:7" ht="19.8" thickBot="1">
      <c r="B20" s="41" t="s">
        <v>1</v>
      </c>
      <c r="C20" s="42"/>
      <c r="D20" s="73">
        <v>10</v>
      </c>
      <c r="E20" s="69">
        <v>10</v>
      </c>
    </row>
    <row r="21" spans="1:7" ht="19.8" thickBot="1">
      <c r="B21" s="68" t="s">
        <v>2</v>
      </c>
      <c r="C21" s="50"/>
      <c r="D21" s="74">
        <f>VLOOKUP(D17&amp;"-"&amp;Tipo_de_investimento_banco_1,Planilha2!G3:J23,4,FALSE)</f>
        <v>1.3429166666666667E-2</v>
      </c>
      <c r="E21" s="70">
        <f>VLOOKUP(E17&amp;"-"&amp;Tipo_de_investimento_banco_2,Planilha2!G3:J23,4,FALSE)</f>
        <v>9.4004166666666663E-3</v>
      </c>
    </row>
    <row r="22" spans="1:7" ht="19.8" thickBot="1">
      <c r="B22" s="48" t="s">
        <v>3</v>
      </c>
      <c r="C22" s="49"/>
      <c r="D22" s="75">
        <f>FV(taxa_mensal_banco_1,qtd_anos_banco_1*12,aporte_banco_1*-1)</f>
        <v>206253.45326702102</v>
      </c>
      <c r="E22" s="71">
        <f>FV(taxa_mensal_banco_2,qtd_anos_banco_2*12,aporte_banco_2*-1)</f>
        <v>154394.47936612795</v>
      </c>
    </row>
    <row r="23" spans="1:7" ht="19.8" thickBot="1">
      <c r="B23" s="43" t="s">
        <v>4</v>
      </c>
      <c r="C23" s="44"/>
      <c r="D23" s="76">
        <f>patrimonio_banco_1*rendimento_carteira</f>
        <v>1443.7741728691472</v>
      </c>
      <c r="E23" s="72">
        <f>patrimonio_banco_2*rendimento_carteira</f>
        <v>1080.7613555628957</v>
      </c>
      <c r="G23" s="3"/>
    </row>
    <row r="24" spans="1:7" ht="14.4" thickBot="1"/>
    <row r="25" spans="1:7" ht="29.4">
      <c r="B25" s="39" t="s">
        <v>65</v>
      </c>
      <c r="C25" s="40"/>
      <c r="D25" s="37"/>
      <c r="E25" s="24" t="s">
        <v>11</v>
      </c>
    </row>
    <row r="26" spans="1:7" ht="19.2">
      <c r="A26" s="1">
        <v>2</v>
      </c>
      <c r="B26" s="62" t="s">
        <v>6</v>
      </c>
      <c r="C26" s="63"/>
      <c r="D26" s="5">
        <f>FV($D$21,$A26*12,$D$19*-1)</f>
        <v>19669.048757214794</v>
      </c>
      <c r="E26" s="6">
        <f>D26*rendimento_carteira</f>
        <v>137.68334130050357</v>
      </c>
    </row>
    <row r="27" spans="1:7" ht="19.2">
      <c r="A27" s="1">
        <v>5</v>
      </c>
      <c r="B27" s="64" t="s">
        <v>7</v>
      </c>
      <c r="C27" s="65"/>
      <c r="D27" s="5">
        <f t="shared" ref="D27:D30" si="0">FV($D$21,$A27*12,$D$19*-1)</f>
        <v>63926.730889068393</v>
      </c>
      <c r="E27" s="6">
        <f>D27*rendimento_carteira</f>
        <v>447.48711622347878</v>
      </c>
    </row>
    <row r="28" spans="1:7" ht="19.2">
      <c r="A28" s="1">
        <v>10</v>
      </c>
      <c r="B28" s="64" t="s">
        <v>8</v>
      </c>
      <c r="C28" s="65"/>
      <c r="D28" s="5">
        <f t="shared" si="0"/>
        <v>206253.45326702102</v>
      </c>
      <c r="E28" s="6">
        <f>D28*rendimento_carteira</f>
        <v>1443.7741728691472</v>
      </c>
    </row>
    <row r="29" spans="1:7" ht="19.2">
      <c r="A29" s="1">
        <v>20</v>
      </c>
      <c r="B29" s="64" t="s">
        <v>9</v>
      </c>
      <c r="C29" s="65"/>
      <c r="D29" s="5">
        <f t="shared" si="0"/>
        <v>1228625.8919582861</v>
      </c>
      <c r="E29" s="6">
        <f>D29*rendimento_carteira</f>
        <v>8600.3812437080032</v>
      </c>
    </row>
    <row r="30" spans="1:7" ht="19.8" thickBot="1">
      <c r="A30" s="1">
        <v>30</v>
      </c>
      <c r="B30" s="66" t="s">
        <v>10</v>
      </c>
      <c r="C30" s="67"/>
      <c r="D30" s="7">
        <f t="shared" si="0"/>
        <v>6296397.5429973761</v>
      </c>
      <c r="E30" s="8">
        <f>D30*rendimento_carteira</f>
        <v>44074.782800981637</v>
      </c>
    </row>
    <row r="31" spans="1:7" ht="14.4" thickBot="1"/>
    <row r="32" spans="1:7" ht="29.4">
      <c r="B32" s="39" t="s">
        <v>67</v>
      </c>
      <c r="C32" s="40"/>
      <c r="D32" s="37"/>
      <c r="E32" s="24" t="s">
        <v>11</v>
      </c>
    </row>
    <row r="33" spans="1:5" ht="19.2">
      <c r="A33" s="79">
        <v>2</v>
      </c>
      <c r="B33" s="62" t="s">
        <v>6</v>
      </c>
      <c r="C33" s="63"/>
      <c r="D33" s="5">
        <f>FV($E$21,$A33*12,$E$19*-1)</f>
        <v>18747.778340621266</v>
      </c>
      <c r="E33" s="6">
        <f>D33*rendimento_carteira</f>
        <v>131.23444838434887</v>
      </c>
    </row>
    <row r="34" spans="1:5" ht="19.2">
      <c r="A34" s="79">
        <v>5</v>
      </c>
      <c r="B34" s="64" t="s">
        <v>7</v>
      </c>
      <c r="C34" s="65"/>
      <c r="D34" s="5">
        <f t="shared" ref="D34:D37" si="1">FV($E$21,$A34*12,$E$19*-1)</f>
        <v>56080.057446391016</v>
      </c>
      <c r="E34" s="6">
        <f>D34*rendimento_carteira</f>
        <v>392.5604021247371</v>
      </c>
    </row>
    <row r="35" spans="1:5" ht="19.2">
      <c r="A35" s="79">
        <v>10</v>
      </c>
      <c r="B35" s="64" t="s">
        <v>8</v>
      </c>
      <c r="C35" s="65"/>
      <c r="D35" s="5">
        <f t="shared" si="1"/>
        <v>154394.47936612795</v>
      </c>
      <c r="E35" s="6">
        <f>D35*rendimento_carteira</f>
        <v>1080.7613555628957</v>
      </c>
    </row>
    <row r="36" spans="1:5" ht="19.2">
      <c r="A36" s="79">
        <v>20</v>
      </c>
      <c r="B36" s="64" t="s">
        <v>9</v>
      </c>
      <c r="C36" s="65"/>
      <c r="D36" s="5">
        <f t="shared" si="1"/>
        <v>628908.80414438783</v>
      </c>
      <c r="E36" s="6">
        <f>D36*rendimento_carteira</f>
        <v>4402.3616290107148</v>
      </c>
    </row>
    <row r="37" spans="1:5" ht="19.8" thickBot="1">
      <c r="A37" s="79">
        <v>30</v>
      </c>
      <c r="B37" s="66" t="s">
        <v>10</v>
      </c>
      <c r="C37" s="67"/>
      <c r="D37" s="7">
        <f t="shared" si="1"/>
        <v>2087276.0031801702</v>
      </c>
      <c r="E37" s="8">
        <f>D37*rendimento_carteira</f>
        <v>14610.932022261191</v>
      </c>
    </row>
    <row r="39" spans="1:5">
      <c r="B39" s="26" t="s">
        <v>18</v>
      </c>
      <c r="C39" s="27" t="s">
        <v>16</v>
      </c>
      <c r="D39" s="27"/>
      <c r="E39" s="25"/>
    </row>
    <row r="40" spans="1:5">
      <c r="B40" s="12" t="s">
        <v>66</v>
      </c>
      <c r="C40" s="13">
        <f>aporte_banco_1</f>
        <v>700</v>
      </c>
      <c r="D40" s="13"/>
      <c r="E40" s="12"/>
    </row>
    <row r="42" spans="1:5">
      <c r="B42" s="14" t="s">
        <v>19</v>
      </c>
      <c r="C42" s="14" t="s">
        <v>20</v>
      </c>
      <c r="D42" s="14"/>
      <c r="E42" s="14" t="s">
        <v>21</v>
      </c>
    </row>
    <row r="43" spans="1:5">
      <c r="B43" s="2" t="s">
        <v>22</v>
      </c>
      <c r="C43" s="4">
        <f>VLOOKUP($C$39&amp;"-"&amp;B43,Planilha2!$A:$D,4,FALSE)</f>
        <v>0.3</v>
      </c>
      <c r="D43" s="4"/>
      <c r="E43" s="17">
        <f>C43*$C$40</f>
        <v>210</v>
      </c>
    </row>
    <row r="44" spans="1:5">
      <c r="B44" s="2" t="s">
        <v>23</v>
      </c>
      <c r="C44" s="4">
        <f>VLOOKUP($C$39&amp;"-"&amp;B44,Planilha2!$A:$D,4,FALSE)</f>
        <v>0.4</v>
      </c>
      <c r="D44" s="4"/>
      <c r="E44" s="17">
        <f t="shared" ref="E44:E48" si="2">C44*$C$40</f>
        <v>280</v>
      </c>
    </row>
    <row r="45" spans="1:5">
      <c r="B45" s="2" t="s">
        <v>24</v>
      </c>
      <c r="C45" s="4">
        <f>VLOOKUP($C$39&amp;"-"&amp;B45,Planilha2!$A:$D,4,FALSE)</f>
        <v>0.2</v>
      </c>
      <c r="D45" s="4"/>
      <c r="E45" s="17">
        <f t="shared" si="2"/>
        <v>140</v>
      </c>
    </row>
    <row r="46" spans="1:5">
      <c r="B46" s="2" t="s">
        <v>25</v>
      </c>
      <c r="C46" s="4">
        <f>VLOOKUP($C$39&amp;"-"&amp;B46,Planilha2!$A:$D,4,FALSE)</f>
        <v>0.1</v>
      </c>
      <c r="D46" s="4"/>
      <c r="E46" s="17">
        <f t="shared" si="2"/>
        <v>70</v>
      </c>
    </row>
    <row r="47" spans="1:5">
      <c r="B47" s="2" t="s">
        <v>26</v>
      </c>
      <c r="C47" s="4">
        <f>VLOOKUP($C$39&amp;"-"&amp;B47,Planilha2!$A:$D,4,FALSE)</f>
        <v>0</v>
      </c>
      <c r="D47" s="4"/>
      <c r="E47" s="17">
        <f t="shared" si="2"/>
        <v>0</v>
      </c>
    </row>
    <row r="48" spans="1:5">
      <c r="B48" s="2" t="s">
        <v>27</v>
      </c>
      <c r="C48" s="4">
        <f>VLOOKUP($C$39&amp;"-"&amp;B48,Planilha2!$A:$D,4,FALSE)</f>
        <v>0</v>
      </c>
      <c r="D48" s="4"/>
      <c r="E48" s="17">
        <f t="shared" si="2"/>
        <v>0</v>
      </c>
    </row>
    <row r="49" spans="2:5">
      <c r="B49" s="15"/>
      <c r="C49" s="15"/>
      <c r="D49" s="15"/>
      <c r="E49" s="16">
        <f>SUM(E43:E48)</f>
        <v>700</v>
      </c>
    </row>
  </sheetData>
  <mergeCells count="24">
    <mergeCell ref="B37:C37"/>
    <mergeCell ref="B32:C32"/>
    <mergeCell ref="B33:C33"/>
    <mergeCell ref="B34:C34"/>
    <mergeCell ref="B35:C35"/>
    <mergeCell ref="B36:C36"/>
    <mergeCell ref="B26:C26"/>
    <mergeCell ref="B27:C27"/>
    <mergeCell ref="B28:C28"/>
    <mergeCell ref="B30:C30"/>
    <mergeCell ref="B29:C29"/>
    <mergeCell ref="B11:E11"/>
    <mergeCell ref="B22:C22"/>
    <mergeCell ref="B12:D12"/>
    <mergeCell ref="B13:D13"/>
    <mergeCell ref="B14:D14"/>
    <mergeCell ref="B16:C16"/>
    <mergeCell ref="B25:C25"/>
    <mergeCell ref="B17:C17"/>
    <mergeCell ref="B18:C18"/>
    <mergeCell ref="B19:C19"/>
    <mergeCell ref="B20:C20"/>
    <mergeCell ref="B21:C21"/>
    <mergeCell ref="B23:C23"/>
  </mergeCells>
  <dataValidations count="3">
    <dataValidation type="list" allowBlank="1" showInputMessage="1" showErrorMessage="1" sqref="C39:D39">
      <formula1>"Conservador, Moderado, Agressivo"</formula1>
    </dataValidation>
    <dataValidation type="list" allowBlank="1" showInputMessage="1" showErrorMessage="1" sqref="D18:E18">
      <formula1>"CDB, LCI, LCAs"</formula1>
    </dataValidation>
    <dataValidation type="list" allowBlank="1" showInputMessage="1" showErrorMessage="1" sqref="D17:F17">
      <formula1>"Banrisul, Itaú, Bradesco, Caixa, Banco do Brasil, Sicredi, NuBank"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="115" zoomScaleNormal="115" workbookViewId="0">
      <selection activeCell="B24" sqref="B24"/>
    </sheetView>
  </sheetViews>
  <sheetFormatPr defaultRowHeight="13.8"/>
  <cols>
    <col min="1" max="1" width="29.19921875" bestFit="1" customWidth="1"/>
    <col min="2" max="2" width="11.5" bestFit="1" customWidth="1"/>
    <col min="3" max="3" width="17.69921875" bestFit="1" customWidth="1"/>
    <col min="5" max="5" width="1.59765625" customWidth="1"/>
    <col min="6" max="6" width="1.796875" customWidth="1"/>
    <col min="7" max="7" width="19.09765625" bestFit="1" customWidth="1"/>
    <col min="8" max="8" width="15.296875" customWidth="1"/>
    <col min="9" max="9" width="34.09765625" style="19" customWidth="1"/>
    <col min="10" max="10" width="21" style="20" bestFit="1" customWidth="1"/>
  </cols>
  <sheetData>
    <row r="1" spans="1:10">
      <c r="I1"/>
      <c r="J1"/>
    </row>
    <row r="2" spans="1:10">
      <c r="A2" s="28" t="s">
        <v>29</v>
      </c>
      <c r="B2" s="28" t="s">
        <v>18</v>
      </c>
      <c r="C2" s="29" t="s">
        <v>19</v>
      </c>
      <c r="D2" s="29" t="s">
        <v>28</v>
      </c>
      <c r="E2" s="18"/>
      <c r="F2" s="18"/>
      <c r="G2" s="28" t="s">
        <v>29</v>
      </c>
      <c r="H2" s="28" t="s">
        <v>34</v>
      </c>
      <c r="I2" s="28" t="s">
        <v>52</v>
      </c>
      <c r="J2" s="28" t="s">
        <v>53</v>
      </c>
    </row>
    <row r="3" spans="1:10">
      <c r="A3" s="18" t="str">
        <f>B3&amp;"-"&amp;C3</f>
        <v>Conservador-PAPEL</v>
      </c>
      <c r="B3" s="18" t="s">
        <v>15</v>
      </c>
      <c r="C3" s="20" t="s">
        <v>22</v>
      </c>
      <c r="D3" s="30">
        <v>0.6</v>
      </c>
      <c r="E3" s="18"/>
      <c r="F3" s="18"/>
      <c r="G3" s="18" t="s">
        <v>35</v>
      </c>
      <c r="H3" s="18" t="s">
        <v>32</v>
      </c>
      <c r="I3" s="19">
        <v>1.03</v>
      </c>
      <c r="J3" s="21">
        <f>(($B$23*I3)/12)/100</f>
        <v>1.2574583333333333E-2</v>
      </c>
    </row>
    <row r="4" spans="1:10">
      <c r="A4" s="18" t="str">
        <f t="shared" ref="A4:A20" si="0">B4&amp;"-"&amp;C4</f>
        <v>Conservador-TIJOLO</v>
      </c>
      <c r="B4" s="18" t="s">
        <v>15</v>
      </c>
      <c r="C4" s="20" t="s">
        <v>23</v>
      </c>
      <c r="D4" s="30">
        <v>0.3</v>
      </c>
      <c r="E4" s="18"/>
      <c r="F4" s="18"/>
      <c r="G4" s="18" t="s">
        <v>36</v>
      </c>
      <c r="H4" s="18" t="s">
        <v>50</v>
      </c>
      <c r="I4" s="19">
        <v>0.9</v>
      </c>
      <c r="J4" s="21">
        <f t="shared" ref="J4:J23" si="1">(($B$23*I4)/12)/100</f>
        <v>1.0987500000000001E-2</v>
      </c>
    </row>
    <row r="5" spans="1:10" ht="14.4" thickBot="1">
      <c r="A5" s="18" t="str">
        <f t="shared" si="0"/>
        <v>Conservador-HÍBRIDOS</v>
      </c>
      <c r="B5" s="18" t="s">
        <v>15</v>
      </c>
      <c r="C5" s="20" t="s">
        <v>24</v>
      </c>
      <c r="D5" s="30">
        <v>0.1</v>
      </c>
      <c r="E5" s="18"/>
      <c r="F5" s="18"/>
      <c r="G5" s="31" t="s">
        <v>37</v>
      </c>
      <c r="H5" s="31" t="s">
        <v>33</v>
      </c>
      <c r="I5" s="22">
        <v>0.9</v>
      </c>
      <c r="J5" s="23">
        <f t="shared" si="1"/>
        <v>1.0987500000000001E-2</v>
      </c>
    </row>
    <row r="6" spans="1:10">
      <c r="A6" s="18" t="str">
        <f t="shared" si="0"/>
        <v>Conservador-FOFs</v>
      </c>
      <c r="B6" s="18" t="s">
        <v>15</v>
      </c>
      <c r="C6" s="20" t="s">
        <v>25</v>
      </c>
      <c r="D6" s="30">
        <v>0</v>
      </c>
      <c r="E6" s="18"/>
      <c r="F6" s="18"/>
      <c r="G6" s="18" t="s">
        <v>38</v>
      </c>
      <c r="H6" s="18" t="s">
        <v>32</v>
      </c>
      <c r="I6" s="19">
        <v>1</v>
      </c>
      <c r="J6" s="21">
        <f t="shared" si="1"/>
        <v>1.2208333333333335E-2</v>
      </c>
    </row>
    <row r="7" spans="1:10">
      <c r="A7" s="18" t="str">
        <f t="shared" si="0"/>
        <v>Conservador-DESENVOLVIMENTO</v>
      </c>
      <c r="B7" s="18" t="s">
        <v>15</v>
      </c>
      <c r="C7" s="20" t="s">
        <v>26</v>
      </c>
      <c r="D7" s="30">
        <v>0</v>
      </c>
      <c r="E7" s="18"/>
      <c r="F7" s="18"/>
      <c r="G7" s="18" t="s">
        <v>39</v>
      </c>
      <c r="H7" s="18" t="s">
        <v>50</v>
      </c>
      <c r="I7" s="19">
        <v>0.94</v>
      </c>
      <c r="J7" s="21">
        <f t="shared" si="1"/>
        <v>1.1475833333333331E-2</v>
      </c>
    </row>
    <row r="8" spans="1:10" ht="14.4" thickBot="1">
      <c r="A8" s="31" t="str">
        <f t="shared" si="0"/>
        <v>Conservador-HOTELARIAS</v>
      </c>
      <c r="B8" s="31" t="s">
        <v>15</v>
      </c>
      <c r="C8" s="32" t="s">
        <v>27</v>
      </c>
      <c r="D8" s="33">
        <v>0</v>
      </c>
      <c r="E8" s="18"/>
      <c r="F8" s="18"/>
      <c r="G8" s="31" t="s">
        <v>40</v>
      </c>
      <c r="H8" s="31" t="s">
        <v>33</v>
      </c>
      <c r="I8" s="22">
        <v>0.93</v>
      </c>
      <c r="J8" s="23">
        <f t="shared" si="1"/>
        <v>1.1353750000000001E-2</v>
      </c>
    </row>
    <row r="9" spans="1:10">
      <c r="A9" s="18" t="str">
        <f t="shared" si="0"/>
        <v>Moderado-PAPEL</v>
      </c>
      <c r="B9" s="18" t="s">
        <v>16</v>
      </c>
      <c r="C9" s="20" t="s">
        <v>22</v>
      </c>
      <c r="D9" s="30">
        <v>0.3</v>
      </c>
      <c r="E9" s="18"/>
      <c r="F9" s="18"/>
      <c r="G9" s="18" t="s">
        <v>41</v>
      </c>
      <c r="H9" s="18" t="s">
        <v>32</v>
      </c>
      <c r="I9" s="19">
        <v>1</v>
      </c>
      <c r="J9" s="21">
        <f t="shared" si="1"/>
        <v>1.2208333333333335E-2</v>
      </c>
    </row>
    <row r="10" spans="1:10">
      <c r="A10" s="34" t="str">
        <f t="shared" si="0"/>
        <v>Moderado-TIJOLO</v>
      </c>
      <c r="B10" s="34" t="s">
        <v>16</v>
      </c>
      <c r="C10" s="35" t="s">
        <v>23</v>
      </c>
      <c r="D10" s="36">
        <v>0.4</v>
      </c>
      <c r="E10" s="18"/>
      <c r="F10" s="18"/>
      <c r="G10" s="18" t="s">
        <v>42</v>
      </c>
      <c r="H10" s="18" t="s">
        <v>50</v>
      </c>
      <c r="I10" s="19">
        <v>0.95</v>
      </c>
      <c r="J10" s="21">
        <f t="shared" si="1"/>
        <v>1.1597916666666668E-2</v>
      </c>
    </row>
    <row r="11" spans="1:10" ht="14.4" thickBot="1">
      <c r="A11" s="18" t="str">
        <f t="shared" si="0"/>
        <v>Moderado-HÍBRIDOS</v>
      </c>
      <c r="B11" s="18" t="s">
        <v>16</v>
      </c>
      <c r="C11" s="20" t="s">
        <v>24</v>
      </c>
      <c r="D11" s="30">
        <v>0.2</v>
      </c>
      <c r="E11" s="18"/>
      <c r="F11" s="18"/>
      <c r="G11" s="31" t="s">
        <v>43</v>
      </c>
      <c r="H11" s="31" t="s">
        <v>33</v>
      </c>
      <c r="I11" s="22">
        <v>0.95</v>
      </c>
      <c r="J11" s="23">
        <f t="shared" si="1"/>
        <v>1.1597916666666668E-2</v>
      </c>
    </row>
    <row r="12" spans="1:10">
      <c r="A12" s="18" t="str">
        <f t="shared" si="0"/>
        <v>Moderado-FOFs</v>
      </c>
      <c r="B12" s="18" t="s">
        <v>16</v>
      </c>
      <c r="C12" s="20" t="s">
        <v>25</v>
      </c>
      <c r="D12" s="30">
        <v>0.1</v>
      </c>
      <c r="E12" s="18"/>
      <c r="F12" s="18"/>
      <c r="G12" s="18" t="s">
        <v>57</v>
      </c>
      <c r="H12" s="18" t="s">
        <v>32</v>
      </c>
      <c r="I12" s="19">
        <v>1</v>
      </c>
      <c r="J12" s="21">
        <f t="shared" si="1"/>
        <v>1.2208333333333335E-2</v>
      </c>
    </row>
    <row r="13" spans="1:10">
      <c r="A13" s="18" t="str">
        <f t="shared" si="0"/>
        <v>Moderado-DESENVOLVIMENTO</v>
      </c>
      <c r="B13" s="18" t="s">
        <v>16</v>
      </c>
      <c r="C13" s="20" t="s">
        <v>26</v>
      </c>
      <c r="D13" s="30">
        <v>0</v>
      </c>
      <c r="E13" s="18"/>
      <c r="F13" s="18"/>
      <c r="G13" s="18" t="s">
        <v>58</v>
      </c>
      <c r="H13" s="18" t="s">
        <v>50</v>
      </c>
      <c r="I13" s="19">
        <v>0.89</v>
      </c>
      <c r="J13" s="21">
        <f t="shared" si="1"/>
        <v>1.0865416666666667E-2</v>
      </c>
    </row>
    <row r="14" spans="1:10" ht="14.4" thickBot="1">
      <c r="A14" s="31" t="str">
        <f t="shared" si="0"/>
        <v>Moderado-HOTELARIAS</v>
      </c>
      <c r="B14" s="31" t="s">
        <v>16</v>
      </c>
      <c r="C14" s="32" t="s">
        <v>27</v>
      </c>
      <c r="D14" s="33">
        <v>0</v>
      </c>
      <c r="E14" s="18"/>
      <c r="F14" s="18"/>
      <c r="G14" s="31" t="s">
        <v>59</v>
      </c>
      <c r="H14" s="31" t="s">
        <v>33</v>
      </c>
      <c r="I14" s="22">
        <v>0.93</v>
      </c>
      <c r="J14" s="23">
        <f t="shared" si="1"/>
        <v>1.1353750000000001E-2</v>
      </c>
    </row>
    <row r="15" spans="1:10">
      <c r="A15" s="18" t="str">
        <f t="shared" si="0"/>
        <v>Agressivo-PAPEL</v>
      </c>
      <c r="B15" s="18" t="s">
        <v>17</v>
      </c>
      <c r="C15" s="20" t="s">
        <v>22</v>
      </c>
      <c r="D15" s="30">
        <v>0.1</v>
      </c>
      <c r="E15" s="18"/>
      <c r="F15" s="18"/>
      <c r="G15" s="18" t="s">
        <v>44</v>
      </c>
      <c r="H15" s="18" t="s">
        <v>32</v>
      </c>
      <c r="I15" s="19">
        <v>1.3</v>
      </c>
      <c r="J15" s="21">
        <f t="shared" si="1"/>
        <v>1.5870833333333334E-2</v>
      </c>
    </row>
    <row r="16" spans="1:10">
      <c r="A16" s="18" t="str">
        <f t="shared" si="0"/>
        <v>Agressivo-TIJOLO</v>
      </c>
      <c r="B16" s="18" t="s">
        <v>17</v>
      </c>
      <c r="C16" s="20" t="s">
        <v>23</v>
      </c>
      <c r="D16" s="30">
        <v>0.3</v>
      </c>
      <c r="E16" s="18"/>
      <c r="F16" s="18"/>
      <c r="G16" s="18" t="s">
        <v>45</v>
      </c>
      <c r="H16" s="18" t="s">
        <v>50</v>
      </c>
      <c r="I16" s="19">
        <v>0.93</v>
      </c>
      <c r="J16" s="21">
        <f t="shared" si="1"/>
        <v>1.1353750000000001E-2</v>
      </c>
    </row>
    <row r="17" spans="1:10" ht="14.4" thickBot="1">
      <c r="A17" s="18" t="str">
        <f t="shared" si="0"/>
        <v>Agressivo-HÍBRIDOS</v>
      </c>
      <c r="B17" s="18" t="s">
        <v>17</v>
      </c>
      <c r="C17" s="20" t="s">
        <v>24</v>
      </c>
      <c r="D17" s="30">
        <v>0.25</v>
      </c>
      <c r="E17" s="18"/>
      <c r="F17" s="18"/>
      <c r="G17" s="31" t="s">
        <v>46</v>
      </c>
      <c r="H17" s="31" t="s">
        <v>33</v>
      </c>
      <c r="I17" s="22">
        <v>0.93</v>
      </c>
      <c r="J17" s="23">
        <f t="shared" si="1"/>
        <v>1.1353750000000001E-2</v>
      </c>
    </row>
    <row r="18" spans="1:10">
      <c r="A18" s="18" t="str">
        <f t="shared" si="0"/>
        <v>Agressivo-FOFs</v>
      </c>
      <c r="B18" s="18" t="s">
        <v>17</v>
      </c>
      <c r="C18" s="20" t="s">
        <v>25</v>
      </c>
      <c r="D18" s="30">
        <v>0.15</v>
      </c>
      <c r="E18" s="18"/>
      <c r="F18" s="18"/>
      <c r="G18" s="18" t="s">
        <v>47</v>
      </c>
      <c r="H18" s="18" t="s">
        <v>32</v>
      </c>
      <c r="I18" s="19">
        <v>0.77</v>
      </c>
      <c r="J18" s="21">
        <f t="shared" si="1"/>
        <v>9.4004166666666663E-3</v>
      </c>
    </row>
    <row r="19" spans="1:10">
      <c r="A19" s="18" t="str">
        <f t="shared" si="0"/>
        <v>Agressivo-DESENVOLVIMENTO</v>
      </c>
      <c r="B19" s="18" t="s">
        <v>17</v>
      </c>
      <c r="C19" s="20" t="s">
        <v>26</v>
      </c>
      <c r="D19" s="30">
        <v>0.1</v>
      </c>
      <c r="E19" s="18"/>
      <c r="F19" s="18"/>
      <c r="G19" s="18" t="s">
        <v>48</v>
      </c>
      <c r="H19" s="18" t="s">
        <v>50</v>
      </c>
      <c r="I19" s="19">
        <v>0.92</v>
      </c>
      <c r="J19" s="21">
        <f t="shared" si="1"/>
        <v>1.1231666666666669E-2</v>
      </c>
    </row>
    <row r="20" spans="1:10" ht="14.4" thickBot="1">
      <c r="A20" s="18" t="str">
        <f t="shared" si="0"/>
        <v>Agressivo-HOTELARIAS</v>
      </c>
      <c r="B20" s="18" t="s">
        <v>17</v>
      </c>
      <c r="C20" s="20" t="s">
        <v>27</v>
      </c>
      <c r="D20" s="30">
        <v>0.1</v>
      </c>
      <c r="E20" s="18"/>
      <c r="F20" s="18"/>
      <c r="G20" s="31" t="s">
        <v>49</v>
      </c>
      <c r="H20" s="31" t="s">
        <v>33</v>
      </c>
      <c r="I20" s="22">
        <v>0.92</v>
      </c>
      <c r="J20" s="23">
        <f t="shared" si="1"/>
        <v>1.1231666666666669E-2</v>
      </c>
    </row>
    <row r="21" spans="1:10">
      <c r="A21" s="18"/>
      <c r="B21" s="18"/>
      <c r="C21" s="18"/>
      <c r="D21" s="20"/>
      <c r="E21" s="18"/>
      <c r="F21" s="18"/>
      <c r="G21" s="18" t="s">
        <v>55</v>
      </c>
      <c r="H21" s="18" t="s">
        <v>32</v>
      </c>
      <c r="I21" s="19">
        <v>1.1000000000000001</v>
      </c>
      <c r="J21" s="21">
        <f t="shared" si="1"/>
        <v>1.3429166666666667E-2</v>
      </c>
    </row>
    <row r="22" spans="1:10">
      <c r="A22" s="18"/>
      <c r="B22" s="18"/>
      <c r="C22" s="18"/>
      <c r="D22" s="18"/>
      <c r="E22" s="18"/>
      <c r="F22" s="18"/>
      <c r="G22" s="18" t="s">
        <v>54</v>
      </c>
      <c r="H22" s="18" t="s">
        <v>50</v>
      </c>
      <c r="I22" s="19">
        <v>0.93</v>
      </c>
      <c r="J22" s="21">
        <f t="shared" si="1"/>
        <v>1.1353750000000001E-2</v>
      </c>
    </row>
    <row r="23" spans="1:10" ht="14.4" thickBot="1">
      <c r="A23" s="28" t="s">
        <v>51</v>
      </c>
      <c r="B23" s="28">
        <v>14.65</v>
      </c>
      <c r="C23" s="18"/>
      <c r="D23" s="18"/>
      <c r="E23" s="18"/>
      <c r="F23" s="18"/>
      <c r="G23" s="31" t="s">
        <v>56</v>
      </c>
      <c r="H23" s="31" t="s">
        <v>33</v>
      </c>
      <c r="I23" s="22">
        <v>0.93</v>
      </c>
      <c r="J23" s="23">
        <f t="shared" si="1"/>
        <v>1.1353750000000001E-2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15</vt:i4>
      </vt:variant>
    </vt:vector>
  </HeadingPairs>
  <TitlesOfParts>
    <vt:vector size="17" baseType="lpstr">
      <vt:lpstr>APP</vt:lpstr>
      <vt:lpstr>Planilha2</vt:lpstr>
      <vt:lpstr>aporte_banco_1</vt:lpstr>
      <vt:lpstr>aporte_banco_2</vt:lpstr>
      <vt:lpstr>dividendos_banco_1</vt:lpstr>
      <vt:lpstr>dividendos_banco_2</vt:lpstr>
      <vt:lpstr>patrimonio_banco_1</vt:lpstr>
      <vt:lpstr>patrimonio_banco_2</vt:lpstr>
      <vt:lpstr>qtd_anos_banco_1</vt:lpstr>
      <vt:lpstr>qtd_anos_banco_2</vt:lpstr>
      <vt:lpstr>rendimento_carteira</vt:lpstr>
      <vt:lpstr>salario</vt:lpstr>
      <vt:lpstr>sugestao_investimento</vt:lpstr>
      <vt:lpstr>taxa_mensal_banco_1</vt:lpstr>
      <vt:lpstr>taxa_mensal_banco_2</vt:lpstr>
      <vt:lpstr>Tipo_de_investimento_banco_1</vt:lpstr>
      <vt:lpstr>Tipo_de_investimento_banco_2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Cleverton</cp:lastModifiedBy>
  <dcterms:created xsi:type="dcterms:W3CDTF">2025-04-16T18:38:03Z</dcterms:created>
  <dcterms:modified xsi:type="dcterms:W3CDTF">2025-06-01T15:42:09Z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