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nnagl/Documents/LandHydrology.jl/src/"/>
    </mc:Choice>
  </mc:AlternateContent>
  <xr:revisionPtr revIDLastSave="0" documentId="8_{273E3B84-04E2-F745-90CA-EE3403255AE3}" xr6:coauthVersionLast="47" xr6:coauthVersionMax="47" xr10:uidLastSave="{00000000-0000-0000-0000-000000000000}"/>
  <bookViews>
    <workbookView xWindow="0" yWindow="500" windowWidth="28800" windowHeight="16680" xr2:uid="{2FF46963-1FD0-4CC4-81A1-4A5DF9B0E6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3" i="1" l="1"/>
  <c r="C7" i="1"/>
  <c r="C74" i="1"/>
  <c r="C75" i="1" s="1"/>
  <c r="J41" i="1"/>
  <c r="K41" i="1" s="1"/>
  <c r="C28" i="1"/>
  <c r="C39" i="1" s="1"/>
  <c r="C18" i="1"/>
  <c r="C21" i="1"/>
  <c r="H42" i="1" s="1"/>
  <c r="C20" i="1"/>
  <c r="L16" i="1" s="1"/>
  <c r="C76" i="1" l="1"/>
  <c r="C77" i="1" s="1"/>
  <c r="H41" i="1"/>
  <c r="K16" i="1"/>
  <c r="C5" i="1"/>
  <c r="C6" i="1"/>
  <c r="C23" i="1"/>
  <c r="C32" i="1"/>
  <c r="C35" i="1"/>
  <c r="C46" i="1"/>
  <c r="C61" i="1"/>
  <c r="C62" i="1"/>
  <c r="C63" i="1"/>
  <c r="C64" i="1"/>
  <c r="C70" i="1"/>
  <c r="C66" i="1" l="1"/>
  <c r="C68" i="1" s="1"/>
  <c r="C50" i="1"/>
  <c r="C34" i="1"/>
  <c r="C29" i="1" s="1"/>
  <c r="C40" i="1" s="1"/>
  <c r="C45" i="1" s="1"/>
  <c r="C56" i="1"/>
  <c r="C59" i="1" s="1"/>
  <c r="C67" i="1"/>
  <c r="C65" i="1"/>
  <c r="C57" i="1" l="1"/>
  <c r="C58" i="1" s="1"/>
  <c r="C60" i="1" s="1"/>
  <c r="C54" i="1"/>
  <c r="C51" i="1"/>
  <c r="C24" i="1"/>
  <c r="C25" i="1" s="1"/>
  <c r="C27" i="1" s="1"/>
  <c r="C52" i="1"/>
  <c r="C36" i="1"/>
  <c r="C69" i="1"/>
  <c r="C55" i="1" l="1"/>
  <c r="C53" i="1"/>
  <c r="C44" i="1"/>
  <c r="C26" i="1"/>
</calcChain>
</file>

<file path=xl/sharedStrings.xml><?xml version="1.0" encoding="utf-8"?>
<sst xmlns="http://schemas.openxmlformats.org/spreadsheetml/2006/main" count="555" uniqueCount="399">
  <si>
    <t>MPa_to_Pa</t>
  </si>
  <si>
    <t>rho_water</t>
  </si>
  <si>
    <t xml:space="preserve">g </t>
  </si>
  <si>
    <t>rho_water * g/MPa_to_Pa</t>
  </si>
  <si>
    <t>value</t>
  </si>
  <si>
    <t>rhog_MPa</t>
  </si>
  <si>
    <t>h_root</t>
  </si>
  <si>
    <t>h_stem</t>
  </si>
  <si>
    <t>WD</t>
  </si>
  <si>
    <t>A_root</t>
  </si>
  <si>
    <t>A_stem</t>
  </si>
  <si>
    <t xml:space="preserve">[cm2] </t>
  </si>
  <si>
    <t>ratio_A_leaf_to_A_stem</t>
  </si>
  <si>
    <t>546*(LMA^(-2.14))*h_stem)</t>
  </si>
  <si>
    <t>LMA</t>
  </si>
  <si>
    <t>A_max</t>
  </si>
  <si>
    <t>A_leaf</t>
  </si>
  <si>
    <t>[kg m-1 s-1 MPa-1]</t>
  </si>
  <si>
    <t>k_l_max_stem</t>
  </si>
  <si>
    <t>(0.0021*exp(-26.6*WD/A_max))</t>
  </si>
  <si>
    <t>K_max_stem</t>
  </si>
  <si>
    <t>K_max_root</t>
  </si>
  <si>
    <t>[kg s-1 MPa-1]</t>
  </si>
  <si>
    <t>h_stem * A_stem * porosity_stem</t>
  </si>
  <si>
    <t>width_leaf * A_leaf * porosity_leaf</t>
  </si>
  <si>
    <t>C_leaf/volume_mole_water</t>
  </si>
  <si>
    <t>C_stem/volume_mole_water</t>
  </si>
  <si>
    <t>volume_mole_water</t>
  </si>
  <si>
    <t>mass_mole_water / rho_water</t>
  </si>
  <si>
    <t>mass_mole_water</t>
  </si>
  <si>
    <t>epsilon_stem</t>
  </si>
  <si>
    <t>f_cap</t>
  </si>
  <si>
    <t>2.5 + 37.5/(1+exp(-8*WD+5.7))</t>
  </si>
  <si>
    <t>epsilon_leaf</t>
  </si>
  <si>
    <t>[MPa]</t>
  </si>
  <si>
    <t>units</t>
  </si>
  <si>
    <t>na</t>
  </si>
  <si>
    <t>[m]</t>
  </si>
  <si>
    <t>[kg m-3]</t>
  </si>
  <si>
    <t>density of water</t>
  </si>
  <si>
    <t>gravitational acceleration</t>
  </si>
  <si>
    <t xml:space="preserve">molar mass of water </t>
  </si>
  <si>
    <t>volume of 1 mole of water</t>
  </si>
  <si>
    <t>[unitless]</t>
  </si>
  <si>
    <t>[MPa-1]</t>
  </si>
  <si>
    <t>[micromoles m-2 s-1]</t>
  </si>
  <si>
    <t>Wiki</t>
  </si>
  <si>
    <t>leaf mass per area</t>
  </si>
  <si>
    <t>wood density</t>
  </si>
  <si>
    <t>[m2]</t>
  </si>
  <si>
    <t>cross-sectional area root</t>
  </si>
  <si>
    <t>cross-sectional area stem</t>
  </si>
  <si>
    <t>diameter_root</t>
  </si>
  <si>
    <t xml:space="preserve">[m] </t>
  </si>
  <si>
    <t xml:space="preserve">[cm] </t>
  </si>
  <si>
    <t>max conductance of stem</t>
  </si>
  <si>
    <t>area occupied by all leaves</t>
  </si>
  <si>
    <t>porosity leaf</t>
  </si>
  <si>
    <t>porosity stem</t>
  </si>
  <si>
    <t>[m3]</t>
  </si>
  <si>
    <t>[moles H2O]</t>
  </si>
  <si>
    <t>Christoffersen h_stem and A_stem, Fang porosity_stem</t>
  </si>
  <si>
    <t>I chose width, Christoffersen area, Fang porosity</t>
  </si>
  <si>
    <t>leaf osmotic potential at full turgor</t>
  </si>
  <si>
    <t>leaf osmotic potential at turgor loss</t>
  </si>
  <si>
    <t>pi_tlp_leaf</t>
  </si>
  <si>
    <t>leaf bulk elastic modulus</t>
  </si>
  <si>
    <t>pi_o_leaf</t>
  </si>
  <si>
    <t>pi_o_stem</t>
  </si>
  <si>
    <t>pi_tlp_stem</t>
  </si>
  <si>
    <t>P_50_stem</t>
  </si>
  <si>
    <t>ratio_A_leaf_to_A_absorbing_root</t>
  </si>
  <si>
    <t>leaf to fine-root
absorbing surface area
ratio</t>
  </si>
  <si>
    <t>leaf relative water
content at turgor loss</t>
  </si>
  <si>
    <t>leaf residual fraction</t>
  </si>
  <si>
    <t>fraction of 1 - rf,2
that is capillary in
source</t>
  </si>
  <si>
    <t>sapwood osmotic
potential at full turgor</t>
  </si>
  <si>
    <t>sapwood osmotic
potential at turgor loss</t>
  </si>
  <si>
    <t>sapwood bulk elastic
modulus</t>
  </si>
  <si>
    <t>sapwood residual
fraction</t>
  </si>
  <si>
    <t>xylem water potential
at 50% loss of
conductivity</t>
  </si>
  <si>
    <t>slope of xylem vulnerability
curve at
P_50</t>
  </si>
  <si>
    <t>Christoffersen 2016</t>
  </si>
  <si>
    <t>(-0.04) - 1.51*WD - 0.0067*LMA</t>
  </si>
  <si>
    <t>sqrt(1.02*exp(8.5*WD) - 2.89)</t>
  </si>
  <si>
    <t>epsilon_leaf*pi_o_leaf/(epsilon_leaf + pi_o_leaf)</t>
  </si>
  <si>
    <t>0.01*epsilon_leaf+0.17</t>
  </si>
  <si>
    <t>1-(1-0.75*WD)/(2.74+2.01*WD)</t>
  </si>
  <si>
    <t>0.52 - 4.16*WD</t>
  </si>
  <si>
    <t>epsilon_stem*pi_o_stem/(epsilon_stem+pi_o_stem)</t>
  </si>
  <si>
    <t>[Pa MPa-1]</t>
  </si>
  <si>
    <t>[m s-2]</t>
  </si>
  <si>
    <t>leaf light-saturated photosynthesis rate (photosynthetic capacity)</t>
  </si>
  <si>
    <t>K_max_stem_moles</t>
  </si>
  <si>
    <t>K_max_root_moles</t>
  </si>
  <si>
    <t>ratio_A_leaf_to_A_stem*A_stem</t>
  </si>
  <si>
    <t>k_s_max_stem</t>
  </si>
  <si>
    <t xml:space="preserve">[m2] </t>
  </si>
  <si>
    <t>k_max_root</t>
  </si>
  <si>
    <t>k_l_max_stem*A_leaf/(A_stem/1000)</t>
  </si>
  <si>
    <t>Fang 2021, table 1</t>
  </si>
  <si>
    <t>[kg]</t>
  </si>
  <si>
    <t>mass_stem*0.4/0.6</t>
  </si>
  <si>
    <t>SRL</t>
  </si>
  <si>
    <t>specific root length</t>
  </si>
  <si>
    <t>[moles s-1 MPa-1]</t>
  </si>
  <si>
    <t>K_max_stem/mass_mole_water</t>
  </si>
  <si>
    <t>K_max_root/mass_mole_water</t>
  </si>
  <si>
    <t>size_reservoir_stem</t>
  </si>
  <si>
    <t>size_reservoir_leaf</t>
  </si>
  <si>
    <t>size_reservoir_stem_moles</t>
  </si>
  <si>
    <t>size_reservoir_leaf_moles</t>
  </si>
  <si>
    <t>porosity_leaf</t>
  </si>
  <si>
    <t>porosity_stem</t>
  </si>
  <si>
    <t>Christoffersen 2016, table 2</t>
  </si>
  <si>
    <t xml:space="preserve">size stem reservoir in moles of water </t>
  </si>
  <si>
    <t xml:space="preserve">size leaf reservoir in moles of water </t>
  </si>
  <si>
    <t>fine-root absorbing surface area</t>
  </si>
  <si>
    <t>[m3 H2O m-3 stem volume MPa-1]</t>
  </si>
  <si>
    <t>LD</t>
  </si>
  <si>
    <t>C_ft_stem/rho_water</t>
  </si>
  <si>
    <t>[kg H2O m-3 stem volume MPa-1]</t>
  </si>
  <si>
    <t>[g H2O g-1 dry leaf weight MPa-1]</t>
  </si>
  <si>
    <t>[m3 H2O m-3 leaf volume MPa-1]</t>
  </si>
  <si>
    <t>Christoffersen 2016, table 2, the equation seems wrong though, I switched epsilon_stem by epsilon_leaf</t>
  </si>
  <si>
    <t>conversion from MPa to Pa</t>
  </si>
  <si>
    <t>density of water times gravity</t>
  </si>
  <si>
    <t>[MPa m-1]</t>
  </si>
  <si>
    <t>Yujie Wang's repository &amp; https://juliahub.com/docs/PkgUtility/vqyU5/0.1.9/API/#PkgUtility.%CF%81g_Mpa</t>
  </si>
  <si>
    <t>DBH_stem</t>
  </si>
  <si>
    <t>A_stem*h_stem*100*WD/1000</t>
  </si>
  <si>
    <t>total mass of stem and leaves (above ground biomass)</t>
  </si>
  <si>
    <t>total mass of root system (below ground biomass)</t>
  </si>
  <si>
    <t>I like the idea of somehow using a joint probability distribution for the parameters rather than picking a particular set (or binning it into different plant types). Maybe there is a way to represent the entire plant hydraulics system for the grid using this - what Anthony was getting at? I dont know exactly but is this a way people approach subgrid variability?</t>
  </si>
  <si>
    <t>put into Julia after table is done. debug step by step. I like the idea of somehow using a joint probability distribution for the parameters rather than picking a particular set (or binning it into different plant types). Maybe there is a way to represent the entire plant hydraulics system for the grid using this - what Anthony was getting at? I dont know exactly but is this a way people approach subgrid variability? 1 - should we fit a cruve to the p-v profiles to reduce the parameter space
2 - one root realistic. then test. before many roots
3 - aggregation 
4 - check storativity term
5 - what datasets can we work from... this will help us choose the parameters we use. 6 - grasses, made a note of that in my table, that we will use a simpler version of current model to get water flow in grass. LMA (maps available). DBH_stem derive from height.</t>
  </si>
  <si>
    <t>A_absorbing_root</t>
  </si>
  <si>
    <t>above_ground_biomass</t>
  </si>
  <si>
    <t>below_ground_biomass</t>
  </si>
  <si>
    <t>SRL*below_ground_biomass*PI()*diameter_stem</t>
  </si>
  <si>
    <t>SRA*below_ground_biomass</t>
  </si>
  <si>
    <t>range</t>
  </si>
  <si>
    <t xml:space="preserve">[g cm-3] </t>
  </si>
  <si>
    <t>[g m-2]</t>
  </si>
  <si>
    <t>[m3 mol-1]</t>
  </si>
  <si>
    <t>[kg H2O m-3 leaf volume MPa-1]</t>
  </si>
  <si>
    <t>rooting depth (vertical length of root)</t>
  </si>
  <si>
    <t>source of range</t>
  </si>
  <si>
    <t>source of value</t>
  </si>
  <si>
    <t>0.5 - 5 [m]</t>
  </si>
  <si>
    <t>vertical height (length) of stem/trunk</t>
  </si>
  <si>
    <t>0.01 - 36 [kg s-1 m-1 MPa-1]</t>
  </si>
  <si>
    <t>0.002 - 6.8 [g cm-3]</t>
  </si>
  <si>
    <t>1 - 66 [m]</t>
  </si>
  <si>
    <t>TRY database, Fine root traits of 141 Central European grassland species, datasetID 397, https://www.try-db.org/de/Datasets.php</t>
  </si>
  <si>
    <t>above_ground_to_below_ground_biomass</t>
  </si>
  <si>
    <t>biomass allocation</t>
  </si>
  <si>
    <t>aboveground dry biomass/belowground dry biomass</t>
  </si>
  <si>
    <t>0.08 - 1.82</t>
  </si>
  <si>
    <t>SRA</t>
  </si>
  <si>
    <t>[m2 kg-1]</t>
  </si>
  <si>
    <t>Lohmus 1989, Mean SRA from table 1 for a spruce tree</t>
  </si>
  <si>
    <t>RTD</t>
  </si>
  <si>
    <t>165.68 - 953.23 [kg/m3]</t>
  </si>
  <si>
    <t>root tissue density (belowground dry biomass / root volume)</t>
  </si>
  <si>
    <t>30 - 400 [g m-2]</t>
  </si>
  <si>
    <t>fine-root absorbing surface area, this is not cross sectional area, but outside area</t>
  </si>
  <si>
    <t>LAI</t>
  </si>
  <si>
    <t>RAI</t>
  </si>
  <si>
    <t>leaf area index</t>
  </si>
  <si>
    <t>[m2 m-2]</t>
  </si>
  <si>
    <t>live fine root area index</t>
  </si>
  <si>
    <t>4.6 - 79.1 [m2 m-2]</t>
  </si>
  <si>
    <t>1 - 100</t>
  </si>
  <si>
    <t>Jackson 1997, table 1</t>
  </si>
  <si>
    <t>Jackson 1997, and LAI range</t>
  </si>
  <si>
    <t>0 - 8 [m2 m-2]</t>
  </si>
  <si>
    <t>https://wiki.landscapetoolbox.org/doku.php/remote_sensing_methods:leaf-area_index</t>
  </si>
  <si>
    <t>Not needed, point of finding this was to confirm estimate for ratio_A_leaf_to_A_absorbing_root</t>
  </si>
  <si>
    <t>TRY database, Leaf and Whole Plant Traits Database, datasetID 50, traitID 403, Plant biomass and allometry: Shoot dry mass (plant aboveground dry mass) per plant</t>
  </si>
  <si>
    <t>Not needed for now</t>
  </si>
  <si>
    <t>Fang 2021, SRL from table 1. Area of cylinder formula</t>
  </si>
  <si>
    <t>Fang 2021, table 1. abg_frac is 0.6. by contrast aboveground carbon to root biomass carbon is about 1/2, Schultz 2017</t>
  </si>
  <si>
    <t>Volume formula</t>
  </si>
  <si>
    <t>Conversion</t>
  </si>
  <si>
    <t>(0.0001-1680637)*1e-3 [kg] dry mass only</t>
  </si>
  <si>
    <t>0.15 - 4.8 [kg/m2] total root biomass, 0.13-0.95 [kg m-2] live fine root biomass</t>
  </si>
  <si>
    <t>Jackson 1997, table 2. Calculated total root biomass/land area to get ratio.  "Fine roots (&lt;2 mm in diameter) are the primary pathway for water and nutrient uptake by plants, the same role that leaves play for carbon and energy uptake."</t>
  </si>
  <si>
    <t>About same order of magnitude as above_ground_biomass. 0.15 - 4.8 [kg m-2] total root biomass, 0.13-0.95 [kg m-2] live fine root biomass</t>
  </si>
  <si>
    <t>0.1 - 1.5 [g cm-3]</t>
  </si>
  <si>
    <t>(0.22 - 2.45)*1e2 [m2 kg-1]</t>
  </si>
  <si>
    <t xml:space="preserve">0 - 6018 [m2] </t>
  </si>
  <si>
    <t>0.02 - 2 [m2 cm-2]</t>
  </si>
  <si>
    <t>0.00001 - 0.01 [kg m-1 s-1 MPa-1]</t>
  </si>
  <si>
    <t>specific root absorving surface area (not cross sectional)</t>
  </si>
  <si>
    <t>conversion</t>
  </si>
  <si>
    <t>size reservoir of stem at saturation (max volume space for water)</t>
  </si>
  <si>
    <t>[m-3 air space m-3 leaf]</t>
  </si>
  <si>
    <t>[m-3 air space m-3 stem]</t>
  </si>
  <si>
    <t>porosity_roots</t>
  </si>
  <si>
    <t>porosity roots</t>
  </si>
  <si>
    <t>[m-3 air space m-3 roots]</t>
  </si>
  <si>
    <t>0.001 - 0.89 [m-3 air space m-3 roots]; 0.0034-0.2144 for (fine) absorptive roots [m-3 air space m-3 roots]</t>
  </si>
  <si>
    <t>thickness_leaf</t>
  </si>
  <si>
    <t>thickness leaf</t>
  </si>
  <si>
    <t>Christoffersen 2016, Fig. S2.3, Scholz 2007; TRY, Xylem Functional Traits (XFT) Database, datasetID 241, traitID 1098</t>
  </si>
  <si>
    <t>2.52 - 1200 [kg H2O m-3 stem volume MPa-1]</t>
  </si>
  <si>
    <t>5 - 50 [MPa]</t>
  </si>
  <si>
    <t>Christoffersen, fig 2b</t>
  </si>
  <si>
    <t>3 - 30 [MPa]</t>
  </si>
  <si>
    <t>Christoffersen, fig 3</t>
  </si>
  <si>
    <t>(-0.5 - -3.5) [MPa]</t>
  </si>
  <si>
    <t>Christoffersen, fig 2a</t>
  </si>
  <si>
    <t>(-0.5 - -2.7) [MPa]</t>
  </si>
  <si>
    <t>(-0.4 - -4) [MPa]</t>
  </si>
  <si>
    <t>Christoffersen, fig 8</t>
  </si>
  <si>
    <t>(-1.5 - -3.5) [MPa]</t>
  </si>
  <si>
    <t>Christoffersen, fig 7b the lowest cusp in the curve is pi_tlp_stem</t>
  </si>
  <si>
    <t>0.1 - 0.8 [m-3 H2O m-3 H2O at saturation]</t>
  </si>
  <si>
    <t>[m-3 H2O m-3 H2O at saturation]</t>
  </si>
  <si>
    <t>Christoffersen, fig 2e</t>
  </si>
  <si>
    <t>0.82 - 0.96  [m-3 H2O m-3 H2O at saturation]</t>
  </si>
  <si>
    <t>Christoffersen, fig 7b</t>
  </si>
  <si>
    <t>Christoffersen, fig 7a</t>
  </si>
  <si>
    <t>0.9 - 0.99  [m-3 H2O m-3 H2O at saturation]</t>
  </si>
  <si>
    <t xml:space="preserve">(-6.3 - 0.1) [MPa] </t>
  </si>
  <si>
    <t>Christoffersen, fig 4</t>
  </si>
  <si>
    <t>notes</t>
  </si>
  <si>
    <t>0.04 - 0.4 [g H2O g-1 dry leaf weight MPa-1]</t>
  </si>
  <si>
    <t>0.1 - 0.8 [m-3 air space m-3 stem]</t>
  </si>
  <si>
    <t>Burdick 1989, fig 1; TRY database, Herbs Water Relations on Soil Moisture Gradients, datasetID 212, traitID 1097, Wood (sapwood) water content (it didn’t say at saturation, but this gives a minimum uper bound larger than the one in Burdick so keeping this)</t>
  </si>
  <si>
    <t>TRY database, Ukraine Wetlands Plant Traits Database, dataset 90, traitID583; TRY database, The Bridge Database, datasetID 269, traitID 3122, Leaf water content per leaf dry mass (at saturation)</t>
  </si>
  <si>
    <t>0.01 - 0.9 [m-3 air space m-3 leaf]</t>
  </si>
  <si>
    <t>TRY database, The Bridge Database, datasetID 269, traitID 3122, Leaf water content per leaf dry mass (at saturation). Found total water in all leaves for LMA 96 and LA of 77, which are values we are using for this example, range is much larger is we use min and max of LMA and LA</t>
  </si>
  <si>
    <t>Goldstein 1998, fig 4 (4 - 54 kg H2O)</t>
  </si>
  <si>
    <t>Christoffersen 2016, Fig. 2f</t>
  </si>
  <si>
    <t>seems big in comparison to stem</t>
  </si>
  <si>
    <t>size reservoir of all leaves at saturation (max volume space for water)</t>
  </si>
  <si>
    <t xml:space="preserve">Christoffersen 2016, Fig. 2f. range here is obtained by converting above cell assuming leaf density of 0.5g/cm3. We do doing 0.04/(1/LD+0.04/0.997)*1000; see also Nadal 2018 figure 3 as it gives similar range of 9 - 54 kg H2O m-3 MPa-1 when converting 0.5 - 3  [mol H2O m-2 MPa-1] by doing for ex. : 0.5/thickness_leaf*mass_mole_water; see also Rody 2017 fig 4; see also Sack 2003, fig 5a: 0.04 - 0.24 [g g-1 MPa-1]; see also TRY, Leaf and Whole-Plant Traits Database: Hydraulic and Gas Exchange Physiology, Anatomy, Venation Struc, datasetID 111, traitID 711 </t>
  </si>
  <si>
    <t>storativity of stem (same concept as capacitance, but units slightly different)</t>
  </si>
  <si>
    <t>storativity of leaf (same concept as capacitance, but units slightly different)</t>
  </si>
  <si>
    <t>0.02 - 0.17 [m3 H2O m-3 stem volume MPa-1]</t>
  </si>
  <si>
    <t>C_ft_leaf/rho_water</t>
  </si>
  <si>
    <t>Conversion of capacitance</t>
  </si>
  <si>
    <t>0.001 - 1.2 [m3 H2O m-3 stem volume MPa-1]</t>
  </si>
  <si>
    <t>constants and parameters</t>
  </si>
  <si>
    <t>0.0067 - 63 [mm]</t>
  </si>
  <si>
    <t xml:space="preserve">Sack 2003; TRY database, datasetID 37 and 10, etc., traitID 46, leaf thickness </t>
  </si>
  <si>
    <t>Lefsky 2010, https://agupubs.onlinelibrary.wiley.com/doi/full/10.1029/2010GL043622</t>
  </si>
  <si>
    <t>Serbin 2019, Figure 4, https://nph.onlinelibrary.wiley.com/doi/full/10.1111/nph.16123</t>
  </si>
  <si>
    <t>Chave 2009, Global wood density database, table 1, https://doi.org/10.1111/j.1461-0248.2009.01285.x</t>
  </si>
  <si>
    <t>Liu 2021, https://github.com/yalingliu-cu/plant-strategies/blob/master/Product%20details.pdf</t>
  </si>
  <si>
    <t>dry leaf density (leaf tissue density, leaf dry mass per total leaf volume)</t>
  </si>
  <si>
    <t>TRY trait table : https://www.try-db.org/de/TabDetails.php</t>
  </si>
  <si>
    <t>TRY database, datasetIDs 87 &amp; 101, traitID 187</t>
  </si>
  <si>
    <t>TRY database, datasetID 10, traitID28</t>
  </si>
  <si>
    <t>[kg mol-1]</t>
  </si>
  <si>
    <t>Fang 2021, fig 3, I chose from root water extraction depths</t>
  </si>
  <si>
    <t>Niinemets 2001, fig. 2, I chose in middle of range</t>
  </si>
  <si>
    <t>for grass only, TRY database, datasetID 397 and 10, traitID 21 and 83</t>
  </si>
  <si>
    <t>Looks like diameter of absorbing roots (fine roots), need an effective root diameter. Or many roots. Need to look at role and diameter of transporting roots</t>
  </si>
  <si>
    <t>tree diameter at breast height (diameter of stem or trunk at human breast height (1.37m)), we use this as proxy for effective stem diameter</t>
  </si>
  <si>
    <t>diameter of 1 root, we use this as proxy for effective root diameter</t>
  </si>
  <si>
    <t>na (model input)</t>
  </si>
  <si>
    <t>Fang 2021, table 1. Could also do a fit root diameter vs plant height to get better approximation, Hummel 2006, figure 2</t>
  </si>
  <si>
    <t>TRY database, datasetID 34, traitID 21</t>
  </si>
  <si>
    <t>0.07 - 120 [cm]</t>
  </si>
  <si>
    <t>4.2 - 160 [micro mol m-2 s-1]</t>
  </si>
  <si>
    <t>Checked that it is actually cross-sectional area, not lateral surface area</t>
  </si>
  <si>
    <t>0.38 - 11300 [cm2]</t>
  </si>
  <si>
    <t>0.008 - 0.1 [cm]</t>
  </si>
  <si>
    <t>0.00005 - 0.0078 [cm2]</t>
  </si>
  <si>
    <t>conversion of A_root range</t>
  </si>
  <si>
    <t>conversion of DBH_stem range</t>
  </si>
  <si>
    <t>[cm2]</t>
  </si>
  <si>
    <t>[m g-1]</t>
  </si>
  <si>
    <t>33.9 - 833.5 [m g-1]</t>
  </si>
  <si>
    <t>for grass only, TRY database, Traits of 59 grassland species, datasetID 347, root surface area of the whole plant, dataID 4134</t>
  </si>
  <si>
    <t>Find more data for trees and plants</t>
  </si>
  <si>
    <t>0.0015 - 16.8 [m2]</t>
  </si>
  <si>
    <t xml:space="preserve">[m2 cm-2] </t>
  </si>
  <si>
    <t xml:space="preserve">[m2 m-2] </t>
  </si>
  <si>
    <t>TRY database, datasetID 12, traitID 410, leaf area per plant</t>
  </si>
  <si>
    <t>leaf to sapwood area
ratio (area occupied by all leaves/cross sectional area of stem)</t>
  </si>
  <si>
    <t>max conductivity per unit root surface * A_absorbing_root / length of root</t>
  </si>
  <si>
    <t>max conductivity per unit root surface</t>
  </si>
  <si>
    <t>K_max_plant</t>
  </si>
  <si>
    <t>TRY database, PLANTSdata USDA, dataset 56, traitID246 &amp; FRED dataset 339, traitID 2042; Vanbodegom 2008 table 2</t>
  </si>
  <si>
    <t>maximum specific xylem conductivity per unit cross-sectional sapwood area</t>
  </si>
  <si>
    <t>maximum specific stem conductivity per unit leaf area</t>
  </si>
  <si>
    <t>max specific conductivity of root</t>
  </si>
  <si>
    <t>0.2e-7 - 5e-7 [kg s-1 m-1 MPa-1]</t>
  </si>
  <si>
    <t>many different units for this, understand how to convert between Huang 2000's figure 1 and our units</t>
  </si>
  <si>
    <t>A_absorbing_root_total</t>
  </si>
  <si>
    <t>surface area of 1 absorbing root (not cross sectional area)</t>
  </si>
  <si>
    <t>total absorbing surface area of all roots (not cross sectional area of root)</t>
  </si>
  <si>
    <t>7e-4 [m2]</t>
  </si>
  <si>
    <t>Tyree 2003, ch. 5.5.2 Radial Water Flow and Role of Endodermis and Exodermis, one maize root 0.5 m long</t>
  </si>
  <si>
    <t>2*pi()*diameter_root/2*h_root</t>
  </si>
  <si>
    <t>pi*(diameter_root/2)^2</t>
  </si>
  <si>
    <t>pi*(DBH_stem/2)^2</t>
  </si>
  <si>
    <t xml:space="preserve">The name of the variable is weird given the units are m-1 not m-2, but it is because units are not spelt out completely, hydraulic conductivity per leaf area is actually kg s-1 m MPa-1 m-2 (see Prior 2000) which simplifies to the units we have. There are also generally many different units for conductivity, for ex. mm2 kPa-1 s-1 in Chave 2009 </t>
  </si>
  <si>
    <t>I chose from range I found</t>
  </si>
  <si>
    <t>(-23200/C12+782)/C4*(1/(-0.21*LN((10^4)/C12)+1.43)-1)</t>
  </si>
  <si>
    <t>size_reservoir_stem_kg</t>
  </si>
  <si>
    <t>size_reservoir_leaf_kg</t>
  </si>
  <si>
    <t>size reservoir of stem at saturation (max volume space for water) kg</t>
  </si>
  <si>
    <t>size reservoir of all leaves at saturation (max volume space for water) kg</t>
  </si>
  <si>
    <t>size_reservoir_stem*rho_water</t>
  </si>
  <si>
    <t>size_reservoir_leaf*rho_water</t>
  </si>
  <si>
    <t>(one species only) TRY database, datasetID 339, traitID 1476;  (one species only) Bolger 1992, fig 2; Pierre's database</t>
  </si>
  <si>
    <t>k_max_plant</t>
  </si>
  <si>
    <t>0.2 - 0. 12 [kg s-1 m-1 MPa-1]</t>
  </si>
  <si>
    <t>Pierre's database : https://github.com/yalingliu-cu/plant-strategies/blob/master/Product%20details.pdf</t>
  </si>
  <si>
    <t xml:space="preserve">(0.05 - 2) [MPa-1] </t>
  </si>
  <si>
    <t>C_stem</t>
  </si>
  <si>
    <t>C_leaf_g_per_g_per_Mpa</t>
  </si>
  <si>
    <t>C_leaf</t>
  </si>
  <si>
    <t>S_stem</t>
  </si>
  <si>
    <t>S_leaf</t>
  </si>
  <si>
    <t xml:space="preserve">0.004 - 0.05 [m3 H2O tree-1] </t>
  </si>
  <si>
    <t>0.003 - 2 [m3 H2O tree-1]</t>
  </si>
  <si>
    <t>0.0007 - 0.03 [kg s-1 MPa-1]</t>
  </si>
  <si>
    <t>Scholz 2007 fig 7; Sack 2003 fig 1</t>
  </si>
  <si>
    <t>used following conversion :</t>
  </si>
  <si>
    <t>na (not using)</t>
  </si>
  <si>
    <t>Christoffersen 2016, fig. 5, I chose in middle of range</t>
  </si>
  <si>
    <t>Christoffersen 2016, C1 tree in Fig 11a, wrote to author to get this value</t>
  </si>
  <si>
    <t>Christoffersen 2016, tree 1, table 3</t>
  </si>
  <si>
    <t>Christoffersen 2016, figure 5</t>
  </si>
  <si>
    <t>Christoffersen 2016, checked if value was reasonnable by comparing value to figure 2 in Calvo-Alvaredo et al, 2008</t>
  </si>
  <si>
    <t>Christoffersen 2016, tree 1, Table 3</t>
  </si>
  <si>
    <t>specific conductivity of whole plant</t>
  </si>
  <si>
    <t>conductance of whole plant (or of the soil/root/leaf pathway)</t>
  </si>
  <si>
    <t>max conductance of stem in moles</t>
  </si>
  <si>
    <t>max conductance of one root in moles</t>
  </si>
  <si>
    <t>conversion of above cell : C_ft_leaf_g_per_g_per_MPa*LD*1000</t>
  </si>
  <si>
    <t>19 - 166 [kg H2O m-3 leaf volume MPa-1]</t>
  </si>
  <si>
    <t>didn’t use this but could in future : k_s_max_stem * A_stem /(10000* h_stem*A_leaf)* X_tap (eq. 7 Christoffersen)</t>
  </si>
  <si>
    <t>See: eq 1 and 2 Melcher 2012 for difference between hydraulic conductivity and conductance, Measurements of xylem hydraulic properties fall into two main categories. The first involves measuring the hydraulic conductivity, which is the hydraulic conductance, that is, the flux for a given driving force (Q/ΔP), normalized by the length of the segment and referenced either to the cross-sectional area of the xylem (Ks: xylem specific conductivity) or to the leaf area supported by the xylem (KL: leaf specific conductivity). https://besjournals.onlinelibrary.wiley.com/doi/full/10.1111/j.2041-210X.2012.00204.x</t>
  </si>
  <si>
    <t>TRY database, Bonetti et al_PCE_2020_Xylem hydraulic conductivity; Fig S2.2 of Christoffersen 2021; Hao 2008; Maherali 2004</t>
  </si>
  <si>
    <t>Converting from previous cell by doing 0.01*A_stem/10000/1m we get range of 1.9e-4 - 0.68; see Melcher 2012 for conversion. To know whether to multiply by stem area or leaf area, the article should say: for ex. see table 1 maherali, 2004</t>
  </si>
  <si>
    <t xml:space="preserve">1.9e-4 - 0.68 [kg s-1 MPa-1] </t>
  </si>
  <si>
    <t xml:space="preserve">Conversion from k_s_max. See also Prior, 2000 : (45 - 69)*1e-6 [kg s-1 MPa-1] </t>
  </si>
  <si>
    <t>k_surface_root * A_absorbing_root</t>
  </si>
  <si>
    <t>(1.25-1.88)*1e-7 [kg s-1 MPa-1]</t>
  </si>
  <si>
    <t>Conductivity per unit length root*1m. What we would need is axial and radial conductance combined to give effective resistance of water flow from tip of root to base of trunk.</t>
  </si>
  <si>
    <t>Used conversion : conductance_from_fig*mass_mole_water/1000*A_leaf for Scholz, conductance_from_fig*A_leaf for Sack, should we be multiplying by A_stem instead?</t>
  </si>
  <si>
    <t>Smith &amp; Roberts 2003, Tyree 2003, ch. 5.5.2 Radial Water Flow and Role of Endodermis and Exodermis, radial water flow of maize roots, see also Muhsin 2002 for conductance of whole root system</t>
  </si>
  <si>
    <t>[kg m-2 MPa-1 s-1] equivalent to [m3 m-2 MPa-1 s-1] and [m MPa-1 s-1]</t>
  </si>
  <si>
    <t>k_surface_root or Lp_r in literature</t>
  </si>
  <si>
    <t>function to get value (from Christoffersen 2016)</t>
  </si>
  <si>
    <t>9e-6 - 0.14e-3 [kg s-1 m-2 MPa-1]</t>
  </si>
  <si>
    <t>Steudle 1998; Tyree 2003 : 2.3 e-5 [kg s-1 m-2 MPa-1] ch. 5.5.2 Radial Water Flow and Role of Endodermis and Exodermis, one maize root 0.5 m long</t>
  </si>
  <si>
    <t>Find more data, conversion from m MPa s-1 to kg m-2 MPa s-1</t>
  </si>
  <si>
    <t>no capillary water for leaves</t>
  </si>
  <si>
    <t>theta_r_stem</t>
  </si>
  <si>
    <t>Stem capacitance
over theta=1 to 
theta_tlp</t>
  </si>
  <si>
    <t>rho_water*porosity_stem*(1-theta_r_stem)*(epsilon_stem+pi_o_stem)*(pi_o_stem*(1-f_cap)-epsilon_stem*f_cap)/(pi_o_stem*epsilon_stem^2)</t>
  </si>
  <si>
    <t>Leaf capacitance 
over theta=1 to
theta_tlp</t>
  </si>
  <si>
    <t>rho_water*porosity_leaf*(1-theta_r_leaf)*(epsilon_leaf+pi_o_leaf)/epsilon_leaf^2</t>
  </si>
  <si>
    <t>Christoffersen, fig 3c (invert 1 - theta_r)</t>
  </si>
  <si>
    <t>(pi_o_leaf*(1-theta_r_leaf)+epsilon_leaf)/epslion_leaf</t>
  </si>
  <si>
    <t>sapwood theta at
turgor loss</t>
  </si>
  <si>
    <t>theta_tlp_stem</t>
  </si>
  <si>
    <t>sapwood theta at
which capillary
reserves exhausted / relative water
content at which elastic drainage begins</t>
  </si>
  <si>
    <t>theta_ft_stem</t>
  </si>
  <si>
    <t>theta_ft_leaf</t>
  </si>
  <si>
    <t>don’t know mcap and psi_0 so using 1 instead of 1-0.72*(1-theta_tlp_stem)</t>
  </si>
  <si>
    <t>theta_r_leaf</t>
  </si>
  <si>
    <t>theta_tlp_leaf</t>
  </si>
  <si>
    <t>function given in Christoffersen (here) gives negative number so using (C64*C68/(-ABS(C62))-C69)/-(C64/ABS(C62)+1) instead, so that the curve is continuous. This value is too small tho</t>
  </si>
  <si>
    <t>[MPa] (is this too low?)</t>
  </si>
  <si>
    <t>Not using Christoffersen's parameterization as yields psi_50 which is very high (-6.5) … throws off vulnerbility curve; (-((3.57*WD)^1.73))-1.09</t>
  </si>
  <si>
    <t>(54.4*(-P_50_stem)^(-1.17)) - should we be dividing by 100 because of units, see table 2, Christoffersen? Pcl? Percent</t>
  </si>
  <si>
    <t>root water potential at 50% loss of conductivity</t>
  </si>
  <si>
    <t>a_x_root</t>
  </si>
  <si>
    <t>P_50_root</t>
  </si>
  <si>
    <t>a_x_stem</t>
  </si>
  <si>
    <t>approximating as 0.7*stem as always smaller it seems</t>
  </si>
  <si>
    <t>Christoffersen, fig 4b, Fang 2021</t>
  </si>
  <si>
    <t>same function as one used for stem</t>
  </si>
  <si>
    <t>Kavanagh 1999, fig 2</t>
  </si>
  <si>
    <t>K_max_root_total</t>
  </si>
  <si>
    <t>k_surface_root * A_absorbing_root_total</t>
  </si>
  <si>
    <t xml:space="preserve">max conductance of one root </t>
  </si>
  <si>
    <t>max conductance of root system in moles</t>
  </si>
  <si>
    <t>K_max_root_total_moles</t>
  </si>
  <si>
    <t>K_max_root_total/mass_mole_water</t>
  </si>
  <si>
    <t>Christoffersen 2016, tree 1 Table 3, which corresponds to tree C1, Table 1, Fisher 2006; I chose in middle of range, and to get ratio_A_leaf_to_A_stem = 0.41 (13m)</t>
  </si>
  <si>
    <t>1-WD/1.54</t>
  </si>
  <si>
    <t>a_root</t>
  </si>
  <si>
    <t>a_stem</t>
  </si>
  <si>
    <t>b_root</t>
  </si>
  <si>
    <t>b_stem</t>
  </si>
  <si>
    <t>I chose from range found</t>
  </si>
  <si>
    <t>logistic function parameter</t>
  </si>
  <si>
    <t>unitless</t>
  </si>
  <si>
    <t>MPa-1</t>
  </si>
  <si>
    <t>max conductance of an effective root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</si>
</sst>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E+00"/>
    <numFmt numFmtId="166" formatCode="0.000000"/>
  </numFmts>
  <fonts count="5"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0" fillId="0" borderId="0" xfId="0" applyFont="1" applyFill="1" applyBorder="1"/>
    <xf numFmtId="0" fontId="0" fillId="0" borderId="0" xfId="0" applyFont="1" applyFill="1" applyBorder="1" applyAlignment="1"/>
    <xf numFmtId="0" fontId="0" fillId="0" borderId="0" xfId="0" applyFont="1" applyFill="1" applyBorder="1" applyAlignment="1">
      <alignment horizontal="left" vertical="top"/>
    </xf>
    <xf numFmtId="0" fontId="0" fillId="0" borderId="0" xfId="0" applyFont="1" applyFill="1" applyBorder="1" applyAlignment="1">
      <alignment wrapText="1"/>
    </xf>
    <xf numFmtId="0" fontId="2" fillId="0" borderId="0" xfId="0" applyFont="1" applyFill="1"/>
    <xf numFmtId="164" fontId="0" fillId="0" borderId="0" xfId="0" applyNumberFormat="1" applyFont="1" applyFill="1"/>
    <xf numFmtId="164" fontId="0" fillId="0" borderId="0" xfId="0" applyNumberFormat="1" applyFont="1" applyFill="1" applyBorder="1"/>
    <xf numFmtId="165" fontId="0" fillId="0" borderId="0" xfId="0" applyNumberFormat="1" applyFont="1" applyFill="1" applyBorder="1"/>
    <xf numFmtId="164" fontId="2" fillId="0" borderId="0" xfId="0" applyNumberFormat="1" applyFont="1" applyFill="1"/>
    <xf numFmtId="0" fontId="2" fillId="0" borderId="0" xfId="0" applyFont="1" applyFill="1" applyAlignment="1">
      <alignment wrapText="1"/>
    </xf>
    <xf numFmtId="0" fontId="2" fillId="0" borderId="0" xfId="0" applyFont="1" applyFill="1" applyAlignment="1"/>
    <xf numFmtId="11" fontId="0" fillId="0" borderId="0" xfId="0" applyNumberFormat="1" applyFont="1" applyFill="1" applyAlignment="1">
      <alignment wrapText="1"/>
    </xf>
    <xf numFmtId="0" fontId="0" fillId="0" borderId="0" xfId="0" applyFont="1" applyFill="1"/>
    <xf numFmtId="0" fontId="0" fillId="0" borderId="0" xfId="0" applyFont="1" applyFill="1" applyAlignment="1"/>
    <xf numFmtId="0" fontId="4" fillId="0" borderId="0" xfId="1" applyFont="1" applyFill="1"/>
    <xf numFmtId="0" fontId="0" fillId="0" borderId="0" xfId="0" applyFont="1" applyFill="1" applyAlignment="1">
      <alignment wrapText="1"/>
    </xf>
    <xf numFmtId="166" fontId="0" fillId="0" borderId="0" xfId="0" applyNumberFormat="1" applyFont="1" applyFill="1"/>
    <xf numFmtId="164" fontId="0" fillId="0" borderId="1" xfId="0" applyNumberFormat="1" applyFont="1" applyFill="1" applyBorder="1"/>
    <xf numFmtId="0" fontId="4" fillId="0" borderId="0" xfId="1" applyFont="1" applyFill="1" applyBorder="1" applyAlignment="1"/>
    <xf numFmtId="164" fontId="0" fillId="0" borderId="0" xfId="0" applyNumberFormat="1" applyFont="1" applyFill="1" applyAlignment="1"/>
    <xf numFmtId="0" fontId="0" fillId="0" borderId="0" xfId="0" applyFont="1" applyFill="1" applyAlignment="1">
      <alignment horizontal="left" wrapText="1"/>
    </xf>
    <xf numFmtId="0" fontId="0" fillId="0"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j.1461-0248.2009.01285.x" TargetMode="External"/><Relationship Id="rId2" Type="http://schemas.openxmlformats.org/officeDocument/2006/relationships/hyperlink" Target="https://agupubs.onlinelibrary.wiley.com/doi/full/10.1029/2010GL043622" TargetMode="External"/><Relationship Id="rId1" Type="http://schemas.openxmlformats.org/officeDocument/2006/relationships/hyperlink" Target="https://github.com/yalingliu-cu/plant-strategies/blob/master/Product%20details.pdf" TargetMode="External"/><Relationship Id="rId6" Type="http://schemas.openxmlformats.org/officeDocument/2006/relationships/printerSettings" Target="../printerSettings/printerSettings1.bin"/><Relationship Id="rId5" Type="http://schemas.openxmlformats.org/officeDocument/2006/relationships/hyperlink" Target="https://wiki.landscapetoolbox.org/doku.php/remote_sensing_methods:leaf-area_index" TargetMode="External"/><Relationship Id="rId4" Type="http://schemas.openxmlformats.org/officeDocument/2006/relationships/hyperlink" Target="https://nph.onlinelibrary.wiley.com/doi/full/10.1111/nph.16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4A32-4618-42B6-964D-935BC2B408A6}">
  <dimension ref="A1:V81"/>
  <sheetViews>
    <sheetView tabSelected="1" zoomScale="111" zoomScaleNormal="80" workbookViewId="0">
      <pane ySplit="1" topLeftCell="A2" activePane="bottomLeft" state="frozen"/>
      <selection pane="bottomLeft" activeCell="A40" sqref="A40"/>
    </sheetView>
  </sheetViews>
  <sheetFormatPr baseColWidth="10" defaultColWidth="8.83203125" defaultRowHeight="15" x14ac:dyDescent="0.2"/>
  <cols>
    <col min="1" max="1" width="35.1640625" style="16" customWidth="1"/>
    <col min="2" max="2" width="37.5" style="13" customWidth="1"/>
    <col min="3" max="3" width="18.83203125" style="6" customWidth="1"/>
    <col min="4" max="4" width="33.83203125" style="13" customWidth="1"/>
    <col min="5" max="5" width="31.33203125" style="16" customWidth="1"/>
    <col min="6" max="6" width="33.83203125" style="13" customWidth="1"/>
    <col min="7" max="7" width="40.1640625" style="14" customWidth="1"/>
    <col min="8" max="8" width="57.83203125" style="13" customWidth="1"/>
    <col min="9" max="9" width="8.83203125" style="13"/>
    <col min="10" max="10" width="15.33203125" style="13" customWidth="1"/>
    <col min="11" max="12" width="12.6640625" style="13" bestFit="1" customWidth="1"/>
    <col min="13" max="16384" width="8.83203125" style="13"/>
  </cols>
  <sheetData>
    <row r="1" spans="1:22" s="5" customFormat="1" ht="32" x14ac:dyDescent="0.2">
      <c r="A1" s="5" t="s">
        <v>244</v>
      </c>
      <c r="B1" s="5" t="s">
        <v>29</v>
      </c>
      <c r="C1" s="9" t="s">
        <v>4</v>
      </c>
      <c r="D1" s="5" t="s">
        <v>35</v>
      </c>
      <c r="E1" s="10" t="s">
        <v>350</v>
      </c>
      <c r="F1" s="5" t="s">
        <v>140</v>
      </c>
      <c r="G1" s="11" t="s">
        <v>146</v>
      </c>
      <c r="H1" s="5" t="s">
        <v>147</v>
      </c>
      <c r="I1" s="5" t="s">
        <v>226</v>
      </c>
      <c r="J1" s="22" t="s">
        <v>134</v>
      </c>
      <c r="K1" s="22"/>
      <c r="L1" s="22" t="s">
        <v>133</v>
      </c>
      <c r="M1" s="22"/>
    </row>
    <row r="2" spans="1:22" ht="16" x14ac:dyDescent="0.2">
      <c r="A2" s="12" t="s">
        <v>125</v>
      </c>
      <c r="B2" s="13" t="s">
        <v>0</v>
      </c>
      <c r="C2" s="6">
        <v>1000000</v>
      </c>
      <c r="D2" s="13" t="s">
        <v>90</v>
      </c>
      <c r="E2" s="12" t="s">
        <v>36</v>
      </c>
      <c r="F2" s="13" t="s">
        <v>36</v>
      </c>
      <c r="G2" s="14" t="s">
        <v>36</v>
      </c>
      <c r="H2" s="13" t="s">
        <v>46</v>
      </c>
      <c r="J2" s="15"/>
    </row>
    <row r="3" spans="1:22" ht="16" x14ac:dyDescent="0.2">
      <c r="A3" s="16" t="s">
        <v>39</v>
      </c>
      <c r="B3" s="13" t="s">
        <v>1</v>
      </c>
      <c r="C3" s="6">
        <v>997</v>
      </c>
      <c r="D3" s="13" t="s">
        <v>38</v>
      </c>
      <c r="E3" s="16" t="s">
        <v>36</v>
      </c>
      <c r="F3" s="13" t="s">
        <v>36</v>
      </c>
      <c r="G3" s="14" t="s">
        <v>36</v>
      </c>
      <c r="H3" s="13" t="s">
        <v>46</v>
      </c>
    </row>
    <row r="4" spans="1:22" ht="16" x14ac:dyDescent="0.2">
      <c r="A4" s="16" t="s">
        <v>40</v>
      </c>
      <c r="B4" s="13" t="s">
        <v>2</v>
      </c>
      <c r="C4" s="6">
        <v>9.81</v>
      </c>
      <c r="D4" s="13" t="s">
        <v>91</v>
      </c>
      <c r="E4" s="16" t="s">
        <v>36</v>
      </c>
      <c r="F4" s="13" t="s">
        <v>36</v>
      </c>
      <c r="G4" s="14" t="s">
        <v>36</v>
      </c>
      <c r="H4" s="13" t="s">
        <v>46</v>
      </c>
    </row>
    <row r="5" spans="1:22" ht="16" x14ac:dyDescent="0.2">
      <c r="A5" s="12" t="s">
        <v>126</v>
      </c>
      <c r="B5" s="13" t="s">
        <v>5</v>
      </c>
      <c r="C5" s="6">
        <f>C3*C4/C2</f>
        <v>9.7805699999999988E-3</v>
      </c>
      <c r="D5" s="13" t="s">
        <v>127</v>
      </c>
      <c r="E5" s="16" t="s">
        <v>3</v>
      </c>
      <c r="F5" s="13" t="s">
        <v>36</v>
      </c>
      <c r="G5" s="14" t="s">
        <v>36</v>
      </c>
      <c r="H5" s="13" t="s">
        <v>128</v>
      </c>
    </row>
    <row r="6" spans="1:22" ht="16" x14ac:dyDescent="0.2">
      <c r="A6" s="12" t="s">
        <v>41</v>
      </c>
      <c r="B6" s="13" t="s">
        <v>29</v>
      </c>
      <c r="C6" s="6">
        <f>18.01528/1000</f>
        <v>1.8015280000000002E-2</v>
      </c>
      <c r="D6" s="13" t="s">
        <v>255</v>
      </c>
      <c r="E6" s="16" t="s">
        <v>36</v>
      </c>
      <c r="F6" s="13" t="s">
        <v>36</v>
      </c>
      <c r="G6" s="14" t="s">
        <v>36</v>
      </c>
      <c r="H6" s="13" t="s">
        <v>46</v>
      </c>
    </row>
    <row r="7" spans="1:22" ht="16" x14ac:dyDescent="0.2">
      <c r="A7" s="16" t="s">
        <v>42</v>
      </c>
      <c r="B7" s="13" t="s">
        <v>27</v>
      </c>
      <c r="C7" s="17">
        <f>C6/C3</f>
        <v>1.8069488465396189E-5</v>
      </c>
      <c r="D7" s="13" t="s">
        <v>143</v>
      </c>
      <c r="E7" s="16" t="s">
        <v>28</v>
      </c>
      <c r="F7" s="13" t="s">
        <v>36</v>
      </c>
      <c r="G7" s="14" t="s">
        <v>36</v>
      </c>
      <c r="H7" s="13" t="s">
        <v>46</v>
      </c>
    </row>
    <row r="8" spans="1:22" ht="16" x14ac:dyDescent="0.2">
      <c r="A8" s="16" t="s">
        <v>145</v>
      </c>
      <c r="B8" s="13" t="s">
        <v>6</v>
      </c>
      <c r="C8" s="7">
        <v>1</v>
      </c>
      <c r="D8" s="13" t="s">
        <v>37</v>
      </c>
      <c r="E8" s="16" t="s">
        <v>262</v>
      </c>
      <c r="F8" s="13" t="s">
        <v>148</v>
      </c>
      <c r="G8" s="14" t="s">
        <v>250</v>
      </c>
      <c r="H8" s="13" t="s">
        <v>256</v>
      </c>
    </row>
    <row r="9" spans="1:22" ht="16" x14ac:dyDescent="0.2">
      <c r="A9" s="16" t="s">
        <v>149</v>
      </c>
      <c r="B9" s="13" t="s">
        <v>7</v>
      </c>
      <c r="C9" s="7">
        <v>13</v>
      </c>
      <c r="D9" s="13" t="s">
        <v>37</v>
      </c>
      <c r="E9" s="16" t="s">
        <v>262</v>
      </c>
      <c r="F9" s="13" t="s">
        <v>152</v>
      </c>
      <c r="G9" s="14" t="s">
        <v>247</v>
      </c>
      <c r="H9" s="13" t="s">
        <v>388</v>
      </c>
    </row>
    <row r="10" spans="1:22" ht="48" customHeight="1" x14ac:dyDescent="0.2">
      <c r="A10" s="16" t="s">
        <v>92</v>
      </c>
      <c r="B10" s="13" t="s">
        <v>15</v>
      </c>
      <c r="C10" s="7">
        <v>15</v>
      </c>
      <c r="D10" s="13" t="s">
        <v>45</v>
      </c>
      <c r="E10" s="16" t="s">
        <v>262</v>
      </c>
      <c r="F10" s="13" t="s">
        <v>266</v>
      </c>
      <c r="G10" s="14" t="s">
        <v>253</v>
      </c>
      <c r="H10" s="13" t="s">
        <v>325</v>
      </c>
      <c r="I10" s="13" t="s">
        <v>252</v>
      </c>
    </row>
    <row r="11" spans="1:22" ht="16" x14ac:dyDescent="0.2">
      <c r="A11" s="16" t="s">
        <v>47</v>
      </c>
      <c r="B11" s="13" t="s">
        <v>14</v>
      </c>
      <c r="C11" s="7">
        <v>96.06</v>
      </c>
      <c r="D11" s="13" t="s">
        <v>142</v>
      </c>
      <c r="E11" s="16" t="s">
        <v>262</v>
      </c>
      <c r="F11" s="13" t="s">
        <v>164</v>
      </c>
      <c r="G11" s="14" t="s">
        <v>248</v>
      </c>
      <c r="H11" s="13" t="s">
        <v>326</v>
      </c>
    </row>
    <row r="12" spans="1:22" ht="16" x14ac:dyDescent="0.2">
      <c r="A12" s="16" t="s">
        <v>48</v>
      </c>
      <c r="B12" s="13" t="s">
        <v>8</v>
      </c>
      <c r="C12" s="7">
        <v>0.73399999999999999</v>
      </c>
      <c r="D12" s="13" t="s">
        <v>141</v>
      </c>
      <c r="E12" s="16" t="s">
        <v>262</v>
      </c>
      <c r="F12" s="13" t="s">
        <v>188</v>
      </c>
      <c r="G12" s="14" t="s">
        <v>249</v>
      </c>
      <c r="H12" s="13" t="s">
        <v>326</v>
      </c>
    </row>
    <row r="13" spans="1:22" ht="32" x14ac:dyDescent="0.2">
      <c r="A13" s="4" t="s">
        <v>203</v>
      </c>
      <c r="B13" s="13" t="s">
        <v>202</v>
      </c>
      <c r="C13" s="7">
        <v>6.0000000000000001E-3</v>
      </c>
      <c r="D13" s="1" t="s">
        <v>53</v>
      </c>
      <c r="E13" s="4" t="s">
        <v>36</v>
      </c>
      <c r="F13" s="4" t="s">
        <v>245</v>
      </c>
      <c r="G13" s="4" t="s">
        <v>246</v>
      </c>
      <c r="H13" s="1" t="s">
        <v>394</v>
      </c>
      <c r="J13" s="1"/>
      <c r="K13" s="1"/>
      <c r="L13" s="1"/>
      <c r="M13" s="1"/>
      <c r="N13" s="1"/>
      <c r="O13" s="1"/>
      <c r="P13" s="1"/>
      <c r="Q13" s="1"/>
      <c r="R13" s="1"/>
      <c r="S13" s="1"/>
      <c r="T13" s="1"/>
      <c r="U13" s="1"/>
      <c r="V13" s="1"/>
    </row>
    <row r="14" spans="1:22" ht="32" x14ac:dyDescent="0.2">
      <c r="A14" s="16" t="s">
        <v>251</v>
      </c>
      <c r="B14" s="13" t="s">
        <v>119</v>
      </c>
      <c r="C14" s="7">
        <v>0.5</v>
      </c>
      <c r="D14" s="13" t="s">
        <v>141</v>
      </c>
      <c r="E14" s="16" t="s">
        <v>262</v>
      </c>
      <c r="F14" s="13" t="s">
        <v>151</v>
      </c>
      <c r="G14" s="2" t="s">
        <v>254</v>
      </c>
      <c r="H14" s="13" t="s">
        <v>257</v>
      </c>
    </row>
    <row r="15" spans="1:22" ht="32" x14ac:dyDescent="0.2">
      <c r="A15" s="16" t="s">
        <v>261</v>
      </c>
      <c r="B15" s="13" t="s">
        <v>52</v>
      </c>
      <c r="C15" s="7">
        <v>0.02</v>
      </c>
      <c r="D15" s="13" t="s">
        <v>54</v>
      </c>
      <c r="E15" s="16" t="s">
        <v>262</v>
      </c>
      <c r="F15" s="4" t="s">
        <v>269</v>
      </c>
      <c r="G15" s="2" t="s">
        <v>258</v>
      </c>
      <c r="H15" s="13" t="s">
        <v>263</v>
      </c>
      <c r="I15" s="13" t="s">
        <v>259</v>
      </c>
    </row>
    <row r="16" spans="1:22" ht="32" x14ac:dyDescent="0.2">
      <c r="A16" s="16" t="s">
        <v>284</v>
      </c>
      <c r="B16" s="13" t="s">
        <v>349</v>
      </c>
      <c r="C16" s="7">
        <v>3.0000000000000001E-3</v>
      </c>
      <c r="D16" s="16" t="s">
        <v>348</v>
      </c>
      <c r="E16" s="16" t="s">
        <v>262</v>
      </c>
      <c r="F16" s="16" t="s">
        <v>351</v>
      </c>
      <c r="G16" s="2" t="s">
        <v>352</v>
      </c>
      <c r="H16" s="13" t="s">
        <v>100</v>
      </c>
      <c r="I16" s="13" t="s">
        <v>353</v>
      </c>
      <c r="K16" s="13">
        <f>0.3*C3*C20/10000</f>
        <v>9.3965256000000003E-6</v>
      </c>
      <c r="L16" s="13">
        <f>4.6*C3*C20/10000</f>
        <v>1.4408005920000001E-4</v>
      </c>
    </row>
    <row r="17" spans="1:22" ht="64" x14ac:dyDescent="0.2">
      <c r="A17" s="16" t="s">
        <v>260</v>
      </c>
      <c r="B17" s="13" t="s">
        <v>129</v>
      </c>
      <c r="C17" s="7">
        <v>15.6</v>
      </c>
      <c r="D17" s="13" t="s">
        <v>54</v>
      </c>
      <c r="E17" s="16" t="s">
        <v>262</v>
      </c>
      <c r="F17" s="16" t="s">
        <v>265</v>
      </c>
      <c r="G17" s="2" t="s">
        <v>264</v>
      </c>
      <c r="H17" s="13" t="s">
        <v>327</v>
      </c>
    </row>
    <row r="18" spans="1:22" ht="17" hidden="1" thickBot="1" x14ac:dyDescent="0.25">
      <c r="A18" s="4" t="s">
        <v>104</v>
      </c>
      <c r="B18" s="13" t="s">
        <v>103</v>
      </c>
      <c r="C18" s="18">
        <f>25</f>
        <v>25</v>
      </c>
      <c r="D18" s="1" t="s">
        <v>274</v>
      </c>
      <c r="E18" s="4" t="s">
        <v>36</v>
      </c>
      <c r="F18" s="1" t="s">
        <v>275</v>
      </c>
      <c r="G18" s="2" t="s">
        <v>153</v>
      </c>
      <c r="H18" s="1" t="s">
        <v>100</v>
      </c>
      <c r="J18" s="1"/>
      <c r="K18" s="1"/>
      <c r="L18" s="1"/>
      <c r="M18" s="1"/>
      <c r="N18" s="1"/>
      <c r="O18" s="1"/>
      <c r="P18" s="1"/>
      <c r="Q18" s="1"/>
      <c r="R18" s="1"/>
      <c r="S18" s="1"/>
      <c r="T18" s="1"/>
      <c r="U18" s="1"/>
      <c r="V18" s="1"/>
    </row>
    <row r="19" spans="1:22" ht="32" hidden="1" x14ac:dyDescent="0.2">
      <c r="A19" s="4" t="s">
        <v>193</v>
      </c>
      <c r="B19" s="1" t="s">
        <v>158</v>
      </c>
      <c r="C19" s="7">
        <v>35</v>
      </c>
      <c r="D19" s="1" t="s">
        <v>159</v>
      </c>
      <c r="E19" s="4" t="s">
        <v>36</v>
      </c>
      <c r="F19" s="1" t="s">
        <v>189</v>
      </c>
      <c r="G19" s="2" t="s">
        <v>153</v>
      </c>
      <c r="H19" s="1" t="s">
        <v>160</v>
      </c>
      <c r="J19" s="1"/>
      <c r="K19" s="1"/>
      <c r="L19" s="1"/>
      <c r="M19" s="1"/>
      <c r="N19" s="1"/>
      <c r="O19" s="1"/>
      <c r="P19" s="1"/>
      <c r="Q19" s="1"/>
      <c r="R19" s="1"/>
      <c r="S19" s="1"/>
      <c r="T19" s="1"/>
      <c r="U19" s="1"/>
      <c r="V19" s="1"/>
    </row>
    <row r="20" spans="1:22" ht="16" x14ac:dyDescent="0.2">
      <c r="A20" s="16" t="s">
        <v>50</v>
      </c>
      <c r="B20" s="13" t="s">
        <v>9</v>
      </c>
      <c r="C20" s="6">
        <f>3.1416*(C15/2)^2</f>
        <v>3.1416000000000001E-4</v>
      </c>
      <c r="D20" s="13" t="s">
        <v>273</v>
      </c>
      <c r="E20" s="16" t="s">
        <v>298</v>
      </c>
      <c r="F20" s="13" t="s">
        <v>270</v>
      </c>
      <c r="G20" s="2" t="s">
        <v>271</v>
      </c>
      <c r="H20" s="13" t="s">
        <v>100</v>
      </c>
    </row>
    <row r="21" spans="1:22" ht="16" x14ac:dyDescent="0.2">
      <c r="A21" s="16" t="s">
        <v>51</v>
      </c>
      <c r="B21" s="13" t="s">
        <v>10</v>
      </c>
      <c r="C21" s="6">
        <f>3.1416*(C17/2)^2</f>
        <v>191.13494399999999</v>
      </c>
      <c r="D21" s="13" t="s">
        <v>11</v>
      </c>
      <c r="E21" s="16" t="s">
        <v>299</v>
      </c>
      <c r="F21" s="13" t="s">
        <v>268</v>
      </c>
      <c r="G21" s="2" t="s">
        <v>272</v>
      </c>
      <c r="H21" s="13" t="s">
        <v>82</v>
      </c>
      <c r="I21" s="13" t="s">
        <v>267</v>
      </c>
    </row>
    <row r="22" spans="1:22" ht="63" hidden="1" customHeight="1" x14ac:dyDescent="0.2">
      <c r="A22" s="4" t="s">
        <v>163</v>
      </c>
      <c r="B22" s="1" t="s">
        <v>161</v>
      </c>
      <c r="C22" s="7"/>
      <c r="D22" s="1" t="s">
        <v>38</v>
      </c>
      <c r="E22" s="4" t="s">
        <v>36</v>
      </c>
      <c r="F22" s="1" t="s">
        <v>162</v>
      </c>
      <c r="G22" s="2" t="s">
        <v>153</v>
      </c>
      <c r="H22" s="1" t="s">
        <v>179</v>
      </c>
      <c r="J22" s="1"/>
      <c r="K22" s="1"/>
      <c r="L22" s="1"/>
      <c r="M22" s="1"/>
      <c r="N22" s="1"/>
      <c r="O22" s="1"/>
      <c r="P22" s="1"/>
      <c r="Q22" s="1"/>
      <c r="R22" s="1"/>
      <c r="S22" s="1"/>
      <c r="T22" s="1"/>
      <c r="U22" s="1"/>
      <c r="V22" s="1"/>
    </row>
    <row r="23" spans="1:22" ht="32" hidden="1" x14ac:dyDescent="0.2">
      <c r="A23" s="16" t="s">
        <v>155</v>
      </c>
      <c r="B23" s="1" t="s">
        <v>154</v>
      </c>
      <c r="C23" s="6">
        <f>0.6/0.4</f>
        <v>1.4999999999999998</v>
      </c>
      <c r="D23" s="13" t="s">
        <v>43</v>
      </c>
      <c r="E23" s="16" t="s">
        <v>156</v>
      </c>
      <c r="F23" s="13" t="s">
        <v>157</v>
      </c>
      <c r="G23" s="2" t="s">
        <v>153</v>
      </c>
      <c r="H23" s="13" t="s">
        <v>100</v>
      </c>
    </row>
    <row r="24" spans="1:22" ht="32" hidden="1" x14ac:dyDescent="0.2">
      <c r="A24" s="4" t="s">
        <v>131</v>
      </c>
      <c r="B24" s="13" t="s">
        <v>136</v>
      </c>
      <c r="C24" s="7">
        <f>C21*C9*100*C12/1000+C11*C34/1000</f>
        <v>189.83476029050809</v>
      </c>
      <c r="D24" s="1" t="s">
        <v>101</v>
      </c>
      <c r="E24" s="4" t="s">
        <v>130</v>
      </c>
      <c r="F24" s="16" t="s">
        <v>184</v>
      </c>
      <c r="G24" s="14" t="s">
        <v>178</v>
      </c>
      <c r="H24" s="1" t="s">
        <v>182</v>
      </c>
      <c r="J24" s="1"/>
      <c r="K24" s="1"/>
      <c r="L24" s="1"/>
      <c r="M24" s="1"/>
      <c r="N24" s="1"/>
      <c r="O24" s="1"/>
      <c r="P24" s="1"/>
      <c r="Q24" s="1"/>
      <c r="R24" s="1"/>
      <c r="S24" s="1"/>
      <c r="T24" s="1"/>
      <c r="U24" s="1"/>
      <c r="V24" s="1"/>
    </row>
    <row r="25" spans="1:22" ht="32" hidden="1" x14ac:dyDescent="0.2">
      <c r="A25" s="4" t="s">
        <v>132</v>
      </c>
      <c r="B25" s="13" t="s">
        <v>137</v>
      </c>
      <c r="C25" s="7">
        <f>C24*0.4/0.6</f>
        <v>126.55650686033873</v>
      </c>
      <c r="D25" s="1" t="s">
        <v>101</v>
      </c>
      <c r="E25" s="4" t="s">
        <v>102</v>
      </c>
      <c r="F25" s="3" t="s">
        <v>187</v>
      </c>
      <c r="G25" s="2" t="s">
        <v>186</v>
      </c>
      <c r="H25" s="1" t="s">
        <v>181</v>
      </c>
      <c r="J25" s="1"/>
      <c r="K25" s="1"/>
      <c r="L25" s="1"/>
      <c r="M25" s="1"/>
      <c r="N25" s="1"/>
      <c r="O25" s="1"/>
      <c r="P25" s="1"/>
      <c r="Q25" s="1"/>
      <c r="R25" s="1"/>
      <c r="S25" s="1"/>
      <c r="T25" s="1"/>
      <c r="U25" s="1"/>
      <c r="V25" s="1"/>
    </row>
    <row r="26" spans="1:22" ht="41.5" hidden="1" customHeight="1" x14ac:dyDescent="0.2">
      <c r="A26" s="4" t="s">
        <v>165</v>
      </c>
      <c r="B26" s="13" t="s">
        <v>135</v>
      </c>
      <c r="C26" s="7" t="e">
        <f>#REF!*C25*PI()*C15</f>
        <v>#REF!</v>
      </c>
      <c r="D26" s="1" t="s">
        <v>49</v>
      </c>
      <c r="E26" s="4" t="s">
        <v>138</v>
      </c>
      <c r="F26" s="4" t="s">
        <v>185</v>
      </c>
      <c r="G26" s="2"/>
      <c r="H26" s="1" t="s">
        <v>180</v>
      </c>
      <c r="J26" s="1"/>
      <c r="K26" s="1"/>
      <c r="L26" s="1"/>
      <c r="M26" s="1"/>
      <c r="N26" s="1"/>
      <c r="O26" s="1"/>
      <c r="P26" s="1"/>
      <c r="Q26" s="1"/>
      <c r="R26" s="1"/>
      <c r="S26" s="1"/>
      <c r="T26" s="1"/>
      <c r="U26" s="1"/>
      <c r="V26" s="1"/>
    </row>
    <row r="27" spans="1:22" ht="32" hidden="1" x14ac:dyDescent="0.2">
      <c r="A27" s="4" t="s">
        <v>117</v>
      </c>
      <c r="B27" s="13" t="s">
        <v>135</v>
      </c>
      <c r="C27" s="7">
        <f>35*C25</f>
        <v>4429.4777401118554</v>
      </c>
      <c r="D27" s="1" t="s">
        <v>49</v>
      </c>
      <c r="E27" s="4" t="s">
        <v>139</v>
      </c>
      <c r="F27" s="4" t="s">
        <v>185</v>
      </c>
      <c r="G27" s="2"/>
      <c r="H27" s="1" t="s">
        <v>160</v>
      </c>
      <c r="J27" s="1"/>
      <c r="K27" s="1"/>
      <c r="L27" s="1"/>
      <c r="M27" s="1"/>
      <c r="N27" s="1"/>
      <c r="O27" s="1"/>
      <c r="P27" s="1"/>
      <c r="Q27" s="1"/>
      <c r="R27" s="1"/>
      <c r="S27" s="1"/>
      <c r="T27" s="1"/>
      <c r="U27" s="1"/>
      <c r="V27" s="1"/>
    </row>
    <row r="28" spans="1:22" ht="32" x14ac:dyDescent="0.2">
      <c r="A28" s="4" t="s">
        <v>293</v>
      </c>
      <c r="B28" s="13" t="s">
        <v>135</v>
      </c>
      <c r="C28" s="7">
        <f>(2*PI()*C15/2/100*C8)</f>
        <v>6.2831853071795873E-4</v>
      </c>
      <c r="D28" s="1" t="s">
        <v>49</v>
      </c>
      <c r="E28" s="4" t="s">
        <v>297</v>
      </c>
      <c r="F28" s="4" t="s">
        <v>295</v>
      </c>
      <c r="G28" s="2" t="s">
        <v>296</v>
      </c>
      <c r="H28" s="1"/>
      <c r="J28" s="1"/>
      <c r="K28" s="1"/>
      <c r="L28" s="1"/>
      <c r="M28" s="1"/>
      <c r="N28" s="1"/>
      <c r="O28" s="1"/>
      <c r="P28" s="1"/>
      <c r="Q28" s="1"/>
      <c r="R28" s="1"/>
      <c r="S28" s="1"/>
      <c r="T28" s="1"/>
      <c r="U28" s="1"/>
      <c r="V28" s="1"/>
    </row>
    <row r="29" spans="1:22" ht="32" x14ac:dyDescent="0.2">
      <c r="A29" s="16" t="s">
        <v>294</v>
      </c>
      <c r="B29" s="13" t="s">
        <v>292</v>
      </c>
      <c r="C29" s="7">
        <f>C34/C33</f>
        <v>77.595218880992178</v>
      </c>
      <c r="D29" s="1" t="s">
        <v>49</v>
      </c>
      <c r="E29" s="4" t="s">
        <v>36</v>
      </c>
      <c r="F29" s="13" t="s">
        <v>278</v>
      </c>
      <c r="G29" s="2" t="s">
        <v>276</v>
      </c>
      <c r="H29" s="1" t="s">
        <v>82</v>
      </c>
      <c r="I29" s="1" t="s">
        <v>277</v>
      </c>
      <c r="J29" s="1"/>
      <c r="K29" s="1"/>
      <c r="L29" s="1"/>
      <c r="M29" s="1"/>
      <c r="N29" s="1"/>
      <c r="O29" s="1"/>
      <c r="P29" s="1"/>
      <c r="Q29" s="1"/>
      <c r="R29" s="1"/>
      <c r="S29" s="1"/>
      <c r="T29" s="1"/>
      <c r="U29" s="1"/>
      <c r="V29" s="1"/>
    </row>
    <row r="30" spans="1:22" ht="32" hidden="1" x14ac:dyDescent="0.2">
      <c r="A30" s="16" t="s">
        <v>168</v>
      </c>
      <c r="B30" s="13" t="s">
        <v>166</v>
      </c>
      <c r="C30" s="7"/>
      <c r="D30" s="1" t="s">
        <v>169</v>
      </c>
      <c r="E30" s="4" t="s">
        <v>36</v>
      </c>
      <c r="F30" s="1" t="s">
        <v>175</v>
      </c>
      <c r="G30" s="19" t="s">
        <v>176</v>
      </c>
      <c r="H30" s="4" t="s">
        <v>177</v>
      </c>
      <c r="J30" s="1"/>
      <c r="K30" s="1"/>
      <c r="L30" s="1"/>
      <c r="M30" s="1"/>
      <c r="N30" s="1"/>
      <c r="O30" s="1"/>
      <c r="P30" s="1"/>
      <c r="Q30" s="1"/>
      <c r="R30" s="1"/>
      <c r="S30" s="1"/>
      <c r="T30" s="1"/>
      <c r="U30" s="1"/>
      <c r="V30" s="1"/>
    </row>
    <row r="31" spans="1:22" ht="32" hidden="1" x14ac:dyDescent="0.2">
      <c r="A31" s="16" t="s">
        <v>170</v>
      </c>
      <c r="B31" s="13" t="s">
        <v>167</v>
      </c>
      <c r="C31" s="7"/>
      <c r="D31" s="1" t="s">
        <v>169</v>
      </c>
      <c r="E31" s="4" t="s">
        <v>36</v>
      </c>
      <c r="F31" s="4" t="s">
        <v>171</v>
      </c>
      <c r="G31" s="2" t="s">
        <v>173</v>
      </c>
      <c r="H31" s="4" t="s">
        <v>177</v>
      </c>
      <c r="J31" s="1"/>
      <c r="K31" s="1"/>
      <c r="L31" s="1"/>
      <c r="M31" s="1"/>
      <c r="N31" s="1"/>
      <c r="O31" s="1"/>
      <c r="P31" s="1"/>
      <c r="Q31" s="1"/>
      <c r="R31" s="1"/>
      <c r="S31" s="1"/>
      <c r="T31" s="1"/>
      <c r="U31" s="1"/>
      <c r="V31" s="1"/>
    </row>
    <row r="32" spans="1:22" ht="48" x14ac:dyDescent="0.2">
      <c r="A32" s="16" t="s">
        <v>282</v>
      </c>
      <c r="B32" s="13" t="s">
        <v>12</v>
      </c>
      <c r="C32" s="7">
        <f>546*(C11^(-2.14))*C9</f>
        <v>0.40597086674528848</v>
      </c>
      <c r="D32" s="1" t="s">
        <v>279</v>
      </c>
      <c r="E32" s="4" t="s">
        <v>13</v>
      </c>
      <c r="F32" s="4" t="s">
        <v>191</v>
      </c>
      <c r="G32" s="2" t="s">
        <v>328</v>
      </c>
      <c r="H32" s="1" t="s">
        <v>82</v>
      </c>
      <c r="J32" s="1"/>
      <c r="K32" s="1"/>
      <c r="L32" s="1"/>
      <c r="M32" s="1"/>
      <c r="N32" s="1"/>
      <c r="O32" s="1"/>
      <c r="P32" s="1"/>
      <c r="Q32" s="1"/>
      <c r="R32" s="1"/>
      <c r="S32" s="1"/>
      <c r="T32" s="1"/>
      <c r="U32" s="1"/>
      <c r="V32" s="1"/>
    </row>
    <row r="33" spans="1:22" ht="48" x14ac:dyDescent="0.2">
      <c r="A33" s="16" t="s">
        <v>72</v>
      </c>
      <c r="B33" s="13" t="s">
        <v>71</v>
      </c>
      <c r="C33" s="7">
        <v>1</v>
      </c>
      <c r="D33" s="1" t="s">
        <v>280</v>
      </c>
      <c r="E33" s="4" t="s">
        <v>36</v>
      </c>
      <c r="F33" s="1" t="s">
        <v>172</v>
      </c>
      <c r="G33" s="3" t="s">
        <v>174</v>
      </c>
      <c r="H33" s="1" t="s">
        <v>82</v>
      </c>
      <c r="J33" s="1"/>
      <c r="K33" s="1"/>
      <c r="L33" s="1"/>
      <c r="M33" s="1"/>
      <c r="N33" s="1"/>
      <c r="O33" s="1"/>
      <c r="P33" s="1"/>
      <c r="Q33" s="1"/>
      <c r="R33" s="1"/>
      <c r="S33" s="1"/>
      <c r="T33" s="1"/>
      <c r="U33" s="1"/>
      <c r="V33" s="1"/>
    </row>
    <row r="34" spans="1:22" ht="16" x14ac:dyDescent="0.2">
      <c r="A34" s="4" t="s">
        <v>56</v>
      </c>
      <c r="B34" s="13" t="s">
        <v>16</v>
      </c>
      <c r="C34" s="7">
        <f>C32*C21</f>
        <v>77.595218880992178</v>
      </c>
      <c r="D34" s="1" t="s">
        <v>97</v>
      </c>
      <c r="E34" s="4" t="s">
        <v>95</v>
      </c>
      <c r="F34" s="1" t="s">
        <v>190</v>
      </c>
      <c r="G34" s="2" t="s">
        <v>281</v>
      </c>
      <c r="H34" s="1" t="s">
        <v>329</v>
      </c>
      <c r="J34" s="1"/>
      <c r="K34" s="1"/>
      <c r="L34" s="1"/>
      <c r="M34" s="1"/>
      <c r="N34" s="1"/>
      <c r="O34" s="1"/>
      <c r="P34" s="1"/>
      <c r="Q34" s="1"/>
      <c r="R34" s="1"/>
      <c r="S34" s="1"/>
      <c r="T34" s="1"/>
      <c r="U34" s="1"/>
      <c r="V34" s="1"/>
    </row>
    <row r="35" spans="1:22" ht="32" x14ac:dyDescent="0.2">
      <c r="A35" s="4" t="s">
        <v>288</v>
      </c>
      <c r="B35" s="13" t="s">
        <v>18</v>
      </c>
      <c r="C35" s="7">
        <f>(0.0021*EXP(-26.6*C12/C10))</f>
        <v>5.7138655354382385E-4</v>
      </c>
      <c r="D35" s="1" t="s">
        <v>17</v>
      </c>
      <c r="E35" s="4" t="s">
        <v>19</v>
      </c>
      <c r="F35" s="1" t="s">
        <v>192</v>
      </c>
      <c r="G35" s="2" t="s">
        <v>328</v>
      </c>
      <c r="H35" s="1" t="s">
        <v>82</v>
      </c>
      <c r="I35" s="1" t="s">
        <v>338</v>
      </c>
      <c r="J35" s="1"/>
      <c r="K35" s="1"/>
      <c r="L35" s="1"/>
      <c r="M35" s="1"/>
      <c r="N35" s="1"/>
      <c r="O35" s="1"/>
      <c r="P35" s="1"/>
      <c r="Q35" s="1"/>
      <c r="R35" s="1"/>
      <c r="S35" s="1"/>
      <c r="T35" s="1"/>
      <c r="U35" s="1"/>
      <c r="V35" s="1"/>
    </row>
    <row r="36" spans="1:22" ht="32" x14ac:dyDescent="0.2">
      <c r="A36" s="4" t="s">
        <v>287</v>
      </c>
      <c r="B36" s="13" t="s">
        <v>96</v>
      </c>
      <c r="C36" s="7">
        <f>C35*C34/(C21/1000)</f>
        <v>0.23196629438878938</v>
      </c>
      <c r="D36" s="1" t="s">
        <v>17</v>
      </c>
      <c r="E36" s="4" t="s">
        <v>99</v>
      </c>
      <c r="F36" s="1" t="s">
        <v>150</v>
      </c>
      <c r="G36" s="2" t="s">
        <v>339</v>
      </c>
      <c r="H36" s="1" t="s">
        <v>82</v>
      </c>
      <c r="I36" s="1" t="s">
        <v>300</v>
      </c>
      <c r="J36" s="1"/>
      <c r="K36" s="1"/>
      <c r="L36" s="1"/>
      <c r="M36" s="1"/>
      <c r="N36" s="1"/>
      <c r="O36" s="1"/>
      <c r="P36" s="1"/>
      <c r="Q36" s="1"/>
      <c r="R36" s="1"/>
      <c r="S36" s="1"/>
      <c r="T36" s="1"/>
      <c r="U36" s="1"/>
      <c r="V36" s="1"/>
    </row>
    <row r="37" spans="1:22" ht="32" hidden="1" x14ac:dyDescent="0.2">
      <c r="A37" s="4" t="s">
        <v>289</v>
      </c>
      <c r="B37" s="13" t="s">
        <v>98</v>
      </c>
      <c r="C37" s="13" t="s">
        <v>36</v>
      </c>
      <c r="D37" s="1" t="s">
        <v>17</v>
      </c>
      <c r="E37" s="4" t="s">
        <v>283</v>
      </c>
      <c r="F37" s="1" t="s">
        <v>290</v>
      </c>
      <c r="G37" s="2" t="s">
        <v>309</v>
      </c>
      <c r="H37" s="1" t="s">
        <v>100</v>
      </c>
      <c r="I37" s="1" t="s">
        <v>291</v>
      </c>
      <c r="J37" s="1"/>
      <c r="K37" s="1"/>
      <c r="L37" s="1"/>
      <c r="M37" s="1"/>
      <c r="N37" s="1"/>
      <c r="O37" s="1"/>
      <c r="P37" s="1"/>
      <c r="Q37" s="1"/>
      <c r="R37" s="1"/>
      <c r="S37" s="1"/>
      <c r="T37" s="1"/>
      <c r="U37" s="1"/>
      <c r="V37" s="1"/>
    </row>
    <row r="38" spans="1:22" ht="64" x14ac:dyDescent="0.2">
      <c r="A38" s="4" t="s">
        <v>55</v>
      </c>
      <c r="B38" s="13" t="s">
        <v>20</v>
      </c>
      <c r="C38" s="8">
        <v>6.2E-2</v>
      </c>
      <c r="D38" s="1" t="s">
        <v>22</v>
      </c>
      <c r="E38" s="4" t="s">
        <v>337</v>
      </c>
      <c r="F38" s="1" t="s">
        <v>341</v>
      </c>
      <c r="G38" s="4" t="s">
        <v>342</v>
      </c>
      <c r="H38" s="4" t="s">
        <v>330</v>
      </c>
      <c r="I38" s="1" t="s">
        <v>340</v>
      </c>
      <c r="J38" s="1"/>
      <c r="K38" s="1"/>
      <c r="L38" s="1"/>
      <c r="M38" s="1"/>
      <c r="N38" s="1"/>
      <c r="O38" s="1"/>
      <c r="P38" s="1"/>
      <c r="Q38" s="1"/>
      <c r="R38" s="1"/>
      <c r="S38" s="1"/>
      <c r="T38" s="1"/>
      <c r="U38" s="1"/>
      <c r="V38" s="1"/>
    </row>
    <row r="39" spans="1:22" ht="16" x14ac:dyDescent="0.2">
      <c r="A39" s="4" t="s">
        <v>384</v>
      </c>
      <c r="B39" s="13" t="s">
        <v>21</v>
      </c>
      <c r="C39" s="8">
        <f>C16*C28</f>
        <v>1.8849555921538763E-6</v>
      </c>
      <c r="D39" s="1" t="s">
        <v>22</v>
      </c>
      <c r="E39" s="4" t="s">
        <v>343</v>
      </c>
      <c r="F39" s="1" t="s">
        <v>344</v>
      </c>
      <c r="G39" s="2" t="s">
        <v>347</v>
      </c>
      <c r="H39" s="1" t="s">
        <v>82</v>
      </c>
      <c r="I39" s="1" t="s">
        <v>345</v>
      </c>
      <c r="J39" s="1"/>
      <c r="K39" s="1"/>
      <c r="L39" s="1"/>
      <c r="P39" s="1"/>
      <c r="Q39" s="1"/>
      <c r="R39" s="1"/>
      <c r="S39" s="1"/>
      <c r="T39" s="1"/>
      <c r="U39" s="1"/>
      <c r="V39" s="1"/>
    </row>
    <row r="40" spans="1:22" ht="32" x14ac:dyDescent="0.2">
      <c r="A40" s="4" t="s">
        <v>398</v>
      </c>
      <c r="B40" s="13" t="s">
        <v>382</v>
      </c>
      <c r="C40" s="8">
        <f>C16*C29</f>
        <v>0.23278565664297654</v>
      </c>
      <c r="D40" s="1" t="s">
        <v>22</v>
      </c>
      <c r="E40" s="4" t="s">
        <v>383</v>
      </c>
      <c r="F40" s="1"/>
      <c r="G40" s="2"/>
      <c r="H40" s="1"/>
      <c r="I40" s="1"/>
      <c r="J40" s="1"/>
      <c r="K40" s="1"/>
      <c r="L40" s="1"/>
      <c r="P40" s="1"/>
      <c r="Q40" s="1"/>
      <c r="R40" s="1"/>
      <c r="S40" s="1"/>
      <c r="T40" s="1"/>
      <c r="U40" s="1"/>
      <c r="V40" s="1"/>
    </row>
    <row r="41" spans="1:22" ht="16" x14ac:dyDescent="0.2">
      <c r="A41" s="4" t="s">
        <v>331</v>
      </c>
      <c r="B41" s="13" t="s">
        <v>310</v>
      </c>
      <c r="C41" s="8" t="s">
        <v>324</v>
      </c>
      <c r="D41" s="1" t="s">
        <v>17</v>
      </c>
      <c r="E41" s="1" t="s">
        <v>36</v>
      </c>
      <c r="F41" s="1" t="s">
        <v>311</v>
      </c>
      <c r="G41" s="2" t="s">
        <v>312</v>
      </c>
      <c r="H41" s="2">
        <f>0.01*C21/10000/1</f>
        <v>1.91134944E-4</v>
      </c>
      <c r="I41" s="1" t="s">
        <v>323</v>
      </c>
      <c r="J41" s="1">
        <f>1/0.01</f>
        <v>100</v>
      </c>
      <c r="K41" s="1">
        <f>J41*0.001*101972/(24*60^2)</f>
        <v>0.11802314814814815</v>
      </c>
      <c r="L41" s="1"/>
      <c r="M41" s="1"/>
      <c r="N41" s="1"/>
      <c r="O41" s="1"/>
      <c r="P41" s="1"/>
      <c r="Q41" s="1"/>
      <c r="R41" s="1"/>
      <c r="S41" s="1"/>
      <c r="T41" s="1"/>
      <c r="U41" s="1"/>
      <c r="V41" s="1"/>
    </row>
    <row r="42" spans="1:22" ht="32" x14ac:dyDescent="0.2">
      <c r="A42" s="4" t="s">
        <v>332</v>
      </c>
      <c r="B42" s="13" t="s">
        <v>285</v>
      </c>
      <c r="C42" s="7" t="s">
        <v>324</v>
      </c>
      <c r="D42" s="1" t="s">
        <v>22</v>
      </c>
      <c r="E42" s="1" t="s">
        <v>36</v>
      </c>
      <c r="F42" s="1" t="s">
        <v>321</v>
      </c>
      <c r="G42" s="4" t="s">
        <v>322</v>
      </c>
      <c r="H42" s="1">
        <f>36*C21/10000/1</f>
        <v>0.68808579839999995</v>
      </c>
      <c r="I42" s="1" t="s">
        <v>346</v>
      </c>
      <c r="J42" s="1"/>
      <c r="K42" s="1"/>
      <c r="L42" s="1"/>
      <c r="P42" s="1"/>
      <c r="Q42" s="1"/>
      <c r="R42" s="1"/>
      <c r="S42" s="1"/>
      <c r="T42" s="1"/>
      <c r="U42" s="1"/>
      <c r="V42" s="1"/>
    </row>
    <row r="43" spans="1:22" ht="16" x14ac:dyDescent="0.2">
      <c r="A43" s="4" t="s">
        <v>333</v>
      </c>
      <c r="B43" s="13" t="s">
        <v>93</v>
      </c>
      <c r="C43" s="7">
        <f>C38/C6</f>
        <v>3.4415229738311028</v>
      </c>
      <c r="D43" s="1" t="s">
        <v>105</v>
      </c>
      <c r="E43" s="4" t="s">
        <v>106</v>
      </c>
      <c r="F43" s="1" t="s">
        <v>36</v>
      </c>
      <c r="G43" s="4" t="s">
        <v>194</v>
      </c>
      <c r="H43" s="1" t="s">
        <v>183</v>
      </c>
      <c r="J43" s="1"/>
      <c r="K43" s="1"/>
      <c r="L43" s="1"/>
      <c r="P43" s="1"/>
      <c r="Q43" s="1"/>
      <c r="R43" s="1"/>
      <c r="S43" s="1"/>
      <c r="T43" s="1"/>
      <c r="U43" s="1"/>
      <c r="V43" s="1"/>
    </row>
    <row r="44" spans="1:22" ht="16" x14ac:dyDescent="0.2">
      <c r="A44" s="4" t="s">
        <v>334</v>
      </c>
      <c r="B44" s="13" t="s">
        <v>94</v>
      </c>
      <c r="C44" s="7">
        <f>C39/C6</f>
        <v>1.046309350814351E-4</v>
      </c>
      <c r="D44" s="1" t="s">
        <v>105</v>
      </c>
      <c r="E44" s="4" t="s">
        <v>107</v>
      </c>
      <c r="F44" s="1" t="s">
        <v>36</v>
      </c>
      <c r="G44" s="4" t="s">
        <v>194</v>
      </c>
      <c r="H44" s="1" t="s">
        <v>183</v>
      </c>
      <c r="J44" s="1"/>
      <c r="K44" s="1"/>
      <c r="L44" s="1"/>
      <c r="M44" s="1"/>
      <c r="N44" s="1"/>
      <c r="O44" s="1"/>
      <c r="P44" s="1"/>
      <c r="Q44" s="1"/>
      <c r="R44" s="1"/>
      <c r="S44" s="1"/>
      <c r="T44" s="1"/>
      <c r="U44" s="1"/>
      <c r="V44" s="1"/>
    </row>
    <row r="45" spans="1:22" ht="16" x14ac:dyDescent="0.2">
      <c r="A45" s="4" t="s">
        <v>385</v>
      </c>
      <c r="B45" s="13" t="s">
        <v>386</v>
      </c>
      <c r="C45" s="7">
        <f>C40/C6</f>
        <v>12.921567505083269</v>
      </c>
      <c r="D45" s="1" t="s">
        <v>105</v>
      </c>
      <c r="E45" s="4" t="s">
        <v>387</v>
      </c>
      <c r="F45" s="1"/>
      <c r="G45" s="4"/>
      <c r="H45" s="1"/>
      <c r="J45" s="1"/>
      <c r="K45" s="1"/>
      <c r="L45" s="1"/>
      <c r="M45" s="1"/>
      <c r="N45" s="1"/>
      <c r="O45" s="1"/>
      <c r="P45" s="1"/>
      <c r="Q45" s="1"/>
      <c r="R45" s="1"/>
      <c r="S45" s="1"/>
      <c r="T45" s="1"/>
      <c r="U45" s="1"/>
      <c r="V45" s="1"/>
    </row>
    <row r="46" spans="1:22" ht="32" x14ac:dyDescent="0.2">
      <c r="A46" s="4" t="s">
        <v>57</v>
      </c>
      <c r="B46" s="13" t="s">
        <v>112</v>
      </c>
      <c r="C46" s="7">
        <f>(-23200/C11+782)/C3*(1/(-0.21*LN((10^4)/C11)+1.43)-1)</f>
        <v>0.65072326347673903</v>
      </c>
      <c r="D46" s="1" t="s">
        <v>196</v>
      </c>
      <c r="E46" s="4" t="s">
        <v>302</v>
      </c>
      <c r="F46" s="4" t="s">
        <v>231</v>
      </c>
      <c r="G46" s="2" t="s">
        <v>230</v>
      </c>
      <c r="H46" s="1" t="s">
        <v>114</v>
      </c>
      <c r="J46" s="1"/>
      <c r="K46" s="1"/>
      <c r="L46" s="1"/>
      <c r="M46" s="1"/>
      <c r="N46" s="1"/>
      <c r="O46" s="1"/>
      <c r="P46" s="1"/>
      <c r="Q46" s="1"/>
      <c r="R46" s="1"/>
      <c r="S46" s="1"/>
      <c r="T46" s="1"/>
      <c r="U46" s="1"/>
      <c r="V46" s="1"/>
    </row>
    <row r="47" spans="1:22" ht="16" x14ac:dyDescent="0.2">
      <c r="A47" s="4" t="s">
        <v>58</v>
      </c>
      <c r="B47" s="13" t="s">
        <v>113</v>
      </c>
      <c r="C47" s="7">
        <v>0.8</v>
      </c>
      <c r="D47" s="1" t="s">
        <v>197</v>
      </c>
      <c r="E47" s="4" t="s">
        <v>389</v>
      </c>
      <c r="F47" s="4" t="s">
        <v>228</v>
      </c>
      <c r="G47" s="2" t="s">
        <v>229</v>
      </c>
      <c r="H47" s="1" t="s">
        <v>114</v>
      </c>
      <c r="J47" s="1"/>
      <c r="K47" s="1"/>
      <c r="L47" s="1"/>
      <c r="M47" s="1"/>
      <c r="N47" s="1"/>
      <c r="O47" s="1"/>
      <c r="P47" s="1"/>
      <c r="Q47" s="1"/>
      <c r="R47" s="1"/>
      <c r="S47" s="1"/>
      <c r="T47" s="1"/>
      <c r="U47" s="1"/>
      <c r="V47" s="1"/>
    </row>
    <row r="48" spans="1:22" ht="48" hidden="1" x14ac:dyDescent="0.2">
      <c r="A48" s="4" t="s">
        <v>199</v>
      </c>
      <c r="B48" s="13" t="s">
        <v>198</v>
      </c>
      <c r="C48" s="7" t="s">
        <v>36</v>
      </c>
      <c r="D48" s="1" t="s">
        <v>200</v>
      </c>
      <c r="E48" s="4" t="s">
        <v>36</v>
      </c>
      <c r="F48" s="4" t="s">
        <v>201</v>
      </c>
      <c r="G48" s="2" t="s">
        <v>286</v>
      </c>
      <c r="H48" s="4" t="s">
        <v>36</v>
      </c>
      <c r="J48" s="1"/>
      <c r="K48" s="1"/>
      <c r="L48" s="1"/>
      <c r="M48" s="1"/>
      <c r="N48" s="1"/>
      <c r="O48" s="1"/>
      <c r="P48" s="1"/>
      <c r="Q48" s="1"/>
      <c r="R48" s="1"/>
      <c r="S48" s="1"/>
      <c r="T48" s="1"/>
      <c r="U48" s="1"/>
      <c r="V48" s="1"/>
    </row>
    <row r="49" spans="1:22" ht="32" x14ac:dyDescent="0.2">
      <c r="A49" s="4" t="s">
        <v>203</v>
      </c>
      <c r="B49" s="13" t="s">
        <v>202</v>
      </c>
      <c r="C49" s="7">
        <v>6.0000000000000001E-3</v>
      </c>
      <c r="D49" s="1" t="s">
        <v>53</v>
      </c>
      <c r="E49" s="4" t="s">
        <v>36</v>
      </c>
      <c r="F49" s="4" t="s">
        <v>245</v>
      </c>
      <c r="G49" s="4" t="s">
        <v>246</v>
      </c>
      <c r="H49" s="1" t="s">
        <v>301</v>
      </c>
      <c r="J49" s="1"/>
      <c r="K49" s="1"/>
      <c r="L49" s="1"/>
      <c r="M49" s="1"/>
      <c r="N49" s="1"/>
      <c r="O49" s="1"/>
      <c r="P49" s="1"/>
      <c r="Q49" s="1"/>
      <c r="R49" s="1"/>
      <c r="S49" s="1"/>
      <c r="T49" s="1"/>
      <c r="U49" s="1"/>
      <c r="V49" s="1"/>
    </row>
    <row r="50" spans="1:22" ht="32" x14ac:dyDescent="0.2">
      <c r="A50" s="4" t="s">
        <v>195</v>
      </c>
      <c r="B50" s="13" t="s">
        <v>108</v>
      </c>
      <c r="C50" s="7">
        <f>C9*C21/10000*C47</f>
        <v>0.19878034175999998</v>
      </c>
      <c r="D50" s="1" t="s">
        <v>59</v>
      </c>
      <c r="E50" s="4" t="s">
        <v>23</v>
      </c>
      <c r="F50" s="1" t="s">
        <v>319</v>
      </c>
      <c r="G50" s="2" t="s">
        <v>233</v>
      </c>
      <c r="H50" s="1" t="s">
        <v>61</v>
      </c>
      <c r="J50" s="1"/>
      <c r="K50" s="1"/>
      <c r="L50" s="1"/>
      <c r="M50" s="1"/>
      <c r="N50" s="1"/>
      <c r="O50" s="1"/>
      <c r="P50" s="1"/>
      <c r="Q50" s="1"/>
      <c r="R50" s="1"/>
      <c r="S50" s="1"/>
      <c r="T50" s="1"/>
      <c r="U50" s="1"/>
      <c r="V50" s="1"/>
    </row>
    <row r="51" spans="1:22" ht="32" x14ac:dyDescent="0.2">
      <c r="A51" s="4" t="s">
        <v>305</v>
      </c>
      <c r="B51" s="13" t="s">
        <v>303</v>
      </c>
      <c r="C51" s="7">
        <f>C50*C3</f>
        <v>198.18400073471997</v>
      </c>
      <c r="D51" s="1" t="s">
        <v>101</v>
      </c>
      <c r="E51" s="4" t="s">
        <v>307</v>
      </c>
      <c r="F51" s="4" t="s">
        <v>36</v>
      </c>
      <c r="G51" s="2" t="s">
        <v>36</v>
      </c>
      <c r="H51" s="1" t="s">
        <v>194</v>
      </c>
      <c r="J51" s="1"/>
      <c r="K51" s="1"/>
      <c r="L51" s="1"/>
      <c r="M51" s="1"/>
      <c r="N51" s="1"/>
      <c r="O51" s="1"/>
      <c r="P51" s="1"/>
      <c r="Q51" s="1"/>
      <c r="R51" s="1"/>
      <c r="S51" s="1"/>
      <c r="T51" s="1"/>
      <c r="U51" s="1"/>
      <c r="V51" s="1"/>
    </row>
    <row r="52" spans="1:22" ht="32" x14ac:dyDescent="0.2">
      <c r="A52" s="4" t="s">
        <v>236</v>
      </c>
      <c r="B52" s="13" t="s">
        <v>109</v>
      </c>
      <c r="C52" s="7">
        <f>C49*C34*C46</f>
        <v>0.30295808436258664</v>
      </c>
      <c r="D52" s="1" t="s">
        <v>59</v>
      </c>
      <c r="E52" s="4" t="s">
        <v>24</v>
      </c>
      <c r="F52" s="1" t="s">
        <v>320</v>
      </c>
      <c r="G52" s="2" t="s">
        <v>232</v>
      </c>
      <c r="H52" s="1" t="s">
        <v>62</v>
      </c>
      <c r="I52" s="13" t="s">
        <v>235</v>
      </c>
      <c r="J52" s="1"/>
      <c r="K52" s="1"/>
      <c r="L52" s="1"/>
      <c r="M52" s="1"/>
      <c r="N52" s="1"/>
      <c r="O52" s="1"/>
      <c r="P52" s="1"/>
      <c r="Q52" s="1"/>
      <c r="R52" s="1"/>
      <c r="S52" s="1"/>
      <c r="T52" s="1"/>
      <c r="U52" s="1"/>
      <c r="V52" s="1"/>
    </row>
    <row r="53" spans="1:22" ht="32" x14ac:dyDescent="0.2">
      <c r="A53" s="4" t="s">
        <v>306</v>
      </c>
      <c r="B53" s="13" t="s">
        <v>304</v>
      </c>
      <c r="C53" s="7">
        <f>C52*C3</f>
        <v>302.04921010949886</v>
      </c>
      <c r="D53" s="1" t="s">
        <v>101</v>
      </c>
      <c r="E53" s="4" t="s">
        <v>308</v>
      </c>
      <c r="F53" s="1" t="s">
        <v>36</v>
      </c>
      <c r="G53" s="2" t="s">
        <v>194</v>
      </c>
      <c r="H53" s="2" t="s">
        <v>194</v>
      </c>
      <c r="J53" s="1"/>
      <c r="K53" s="1"/>
      <c r="L53" s="1"/>
      <c r="M53" s="1"/>
      <c r="N53" s="1"/>
      <c r="O53" s="1"/>
      <c r="P53" s="1"/>
      <c r="Q53" s="1"/>
      <c r="R53" s="1"/>
      <c r="S53" s="1"/>
      <c r="T53" s="1"/>
      <c r="U53" s="1"/>
      <c r="V53" s="1"/>
    </row>
    <row r="54" spans="1:22" ht="16" x14ac:dyDescent="0.2">
      <c r="A54" s="4" t="s">
        <v>115</v>
      </c>
      <c r="B54" s="13" t="s">
        <v>110</v>
      </c>
      <c r="C54" s="7">
        <f>C50/C7</f>
        <v>11000.883735069339</v>
      </c>
      <c r="D54" s="1" t="s">
        <v>60</v>
      </c>
      <c r="E54" s="4" t="s">
        <v>26</v>
      </c>
      <c r="F54" s="1" t="s">
        <v>36</v>
      </c>
      <c r="G54" s="1" t="s">
        <v>194</v>
      </c>
      <c r="H54" s="1" t="s">
        <v>61</v>
      </c>
      <c r="J54" s="1"/>
      <c r="K54" s="1"/>
      <c r="L54" s="1"/>
      <c r="M54" s="1"/>
      <c r="N54" s="1"/>
      <c r="O54" s="1"/>
      <c r="P54" s="1"/>
      <c r="Q54" s="1"/>
      <c r="R54" s="1"/>
      <c r="S54" s="1"/>
      <c r="T54" s="1"/>
      <c r="U54" s="1"/>
      <c r="V54" s="1"/>
    </row>
    <row r="55" spans="1:22" ht="16" x14ac:dyDescent="0.2">
      <c r="A55" s="4" t="s">
        <v>116</v>
      </c>
      <c r="B55" s="13" t="s">
        <v>111</v>
      </c>
      <c r="C55" s="7">
        <f>C52/C7</f>
        <v>16766.278964828682</v>
      </c>
      <c r="D55" s="1" t="s">
        <v>60</v>
      </c>
      <c r="E55" s="4" t="s">
        <v>25</v>
      </c>
      <c r="F55" s="1" t="s">
        <v>36</v>
      </c>
      <c r="G55" s="1" t="s">
        <v>194</v>
      </c>
      <c r="H55" s="1" t="s">
        <v>62</v>
      </c>
      <c r="J55" s="1"/>
      <c r="K55" s="1"/>
      <c r="L55" s="1"/>
      <c r="M55" s="1"/>
      <c r="N55" s="1"/>
      <c r="O55" s="1"/>
      <c r="P55" s="1"/>
      <c r="Q55" s="1"/>
      <c r="R55" s="1"/>
      <c r="S55" s="1"/>
      <c r="T55" s="1"/>
      <c r="U55" s="1"/>
      <c r="V55" s="1"/>
    </row>
    <row r="56" spans="1:22" ht="80" x14ac:dyDescent="0.2">
      <c r="A56" s="4" t="s">
        <v>356</v>
      </c>
      <c r="B56" s="13" t="s">
        <v>314</v>
      </c>
      <c r="C56" s="7">
        <f>C3*C47*(1-C47)*(C62+C64)*(C64*(1-C73)-C62*C73)/(C64*C62^2)</f>
        <v>9.7021883370475503</v>
      </c>
      <c r="D56" s="1" t="s">
        <v>121</v>
      </c>
      <c r="E56" s="4" t="s">
        <v>357</v>
      </c>
      <c r="F56" s="1" t="s">
        <v>205</v>
      </c>
      <c r="G56" s="1" t="s">
        <v>204</v>
      </c>
      <c r="H56" s="1" t="s">
        <v>114</v>
      </c>
      <c r="J56" s="1"/>
      <c r="K56" s="1"/>
      <c r="L56" s="1"/>
      <c r="M56" s="1"/>
      <c r="N56" s="1"/>
      <c r="O56" s="1"/>
      <c r="P56" s="1"/>
      <c r="Q56" s="1"/>
      <c r="R56" s="1"/>
      <c r="S56" s="1"/>
      <c r="T56" s="1"/>
      <c r="U56" s="1"/>
      <c r="V56" s="1"/>
    </row>
    <row r="57" spans="1:22" ht="48" x14ac:dyDescent="0.2">
      <c r="A57" s="4" t="s">
        <v>358</v>
      </c>
      <c r="B57" s="13" t="s">
        <v>315</v>
      </c>
      <c r="C57" s="7">
        <f>C3/1000*C46*(1-C67)*(C61+C63)/C61^2</f>
        <v>1.5731240814049276E-2</v>
      </c>
      <c r="D57" s="1" t="s">
        <v>122</v>
      </c>
      <c r="E57" s="4" t="s">
        <v>359</v>
      </c>
      <c r="F57" s="1" t="s">
        <v>227</v>
      </c>
      <c r="G57" s="1" t="s">
        <v>234</v>
      </c>
      <c r="H57" s="1" t="s">
        <v>114</v>
      </c>
      <c r="J57" s="1"/>
      <c r="K57" s="1"/>
      <c r="L57" s="1"/>
      <c r="M57" s="1"/>
      <c r="N57" s="1"/>
      <c r="O57" s="1"/>
      <c r="P57" s="1"/>
      <c r="Q57" s="1"/>
      <c r="R57" s="1"/>
      <c r="S57" s="1"/>
      <c r="T57" s="1"/>
      <c r="U57" s="1"/>
      <c r="V57" s="1"/>
    </row>
    <row r="58" spans="1:22" ht="48" x14ac:dyDescent="0.2">
      <c r="A58" s="4" t="s">
        <v>358</v>
      </c>
      <c r="B58" s="13" t="s">
        <v>316</v>
      </c>
      <c r="C58" s="7">
        <f>C57*C14*1000</f>
        <v>7.8656204070246378</v>
      </c>
      <c r="D58" s="1" t="s">
        <v>144</v>
      </c>
      <c r="E58" s="4" t="s">
        <v>335</v>
      </c>
      <c r="F58" s="20" t="s">
        <v>336</v>
      </c>
      <c r="G58" s="2" t="s">
        <v>237</v>
      </c>
      <c r="H58" s="1" t="s">
        <v>114</v>
      </c>
      <c r="J58" s="1"/>
      <c r="K58" s="1"/>
      <c r="L58" s="1"/>
      <c r="M58" s="1"/>
      <c r="N58" s="1"/>
      <c r="O58" s="1"/>
      <c r="P58" s="1"/>
      <c r="Q58" s="1"/>
      <c r="R58" s="1"/>
      <c r="S58" s="1"/>
      <c r="T58" s="1"/>
      <c r="U58" s="1"/>
      <c r="V58" s="1"/>
    </row>
    <row r="59" spans="1:22" x14ac:dyDescent="0.2">
      <c r="A59" s="13" t="s">
        <v>238</v>
      </c>
      <c r="B59" s="13" t="s">
        <v>317</v>
      </c>
      <c r="C59" s="6">
        <f>C56/C3</f>
        <v>9.7313824845010541E-3</v>
      </c>
      <c r="D59" s="13" t="s">
        <v>118</v>
      </c>
      <c r="E59" s="13" t="s">
        <v>120</v>
      </c>
      <c r="F59" s="1" t="s">
        <v>243</v>
      </c>
      <c r="G59" s="2" t="s">
        <v>242</v>
      </c>
      <c r="H59" s="2" t="s">
        <v>183</v>
      </c>
    </row>
    <row r="60" spans="1:22" x14ac:dyDescent="0.2">
      <c r="A60" s="13" t="s">
        <v>239</v>
      </c>
      <c r="B60" s="13" t="s">
        <v>318</v>
      </c>
      <c r="C60" s="6">
        <f>C58/C3</f>
        <v>7.8892882718401575E-3</v>
      </c>
      <c r="D60" s="13" t="s">
        <v>123</v>
      </c>
      <c r="E60" s="13" t="s">
        <v>241</v>
      </c>
      <c r="F60" s="1" t="s">
        <v>240</v>
      </c>
      <c r="G60" s="2" t="s">
        <v>242</v>
      </c>
      <c r="H60" s="2" t="s">
        <v>183</v>
      </c>
    </row>
    <row r="61" spans="1:22" ht="16" x14ac:dyDescent="0.2">
      <c r="A61" s="4" t="s">
        <v>66</v>
      </c>
      <c r="B61" s="13" t="s">
        <v>33</v>
      </c>
      <c r="C61" s="7">
        <f>2.5 + 37.5/(1+EXP(-8*C12+5.7))</f>
        <v>22.858536375573657</v>
      </c>
      <c r="D61" s="1" t="s">
        <v>34</v>
      </c>
      <c r="E61" s="4" t="s">
        <v>32</v>
      </c>
      <c r="F61" s="1" t="s">
        <v>206</v>
      </c>
      <c r="G61" s="4" t="s">
        <v>207</v>
      </c>
      <c r="H61" s="1" t="s">
        <v>114</v>
      </c>
      <c r="J61" s="1"/>
      <c r="K61" s="1"/>
      <c r="L61" s="1"/>
      <c r="M61" s="1"/>
      <c r="N61" s="1"/>
      <c r="O61" s="1"/>
      <c r="P61" s="1"/>
      <c r="Q61" s="1"/>
      <c r="R61" s="1"/>
      <c r="S61" s="1"/>
      <c r="T61" s="1"/>
      <c r="U61" s="1"/>
      <c r="V61" s="1"/>
    </row>
    <row r="62" spans="1:22" ht="32" x14ac:dyDescent="0.2">
      <c r="A62" s="4" t="s">
        <v>78</v>
      </c>
      <c r="B62" s="13" t="s">
        <v>30</v>
      </c>
      <c r="C62" s="7">
        <f>SQRT(1.02*EXP(8.5*C12) - 2.89)</f>
        <v>22.79699162063276</v>
      </c>
      <c r="D62" s="1" t="s">
        <v>34</v>
      </c>
      <c r="E62" s="4" t="s">
        <v>84</v>
      </c>
      <c r="F62" s="1" t="s">
        <v>208</v>
      </c>
      <c r="G62" s="4" t="s">
        <v>209</v>
      </c>
      <c r="H62" s="1" t="s">
        <v>114</v>
      </c>
      <c r="J62" s="1"/>
      <c r="K62" s="1"/>
      <c r="L62" s="1"/>
      <c r="M62" s="1"/>
      <c r="N62" s="1"/>
      <c r="O62" s="1"/>
      <c r="P62" s="1"/>
      <c r="Q62" s="1"/>
      <c r="R62" s="1"/>
      <c r="S62" s="1"/>
      <c r="T62" s="1"/>
      <c r="U62" s="1"/>
      <c r="V62" s="1"/>
    </row>
    <row r="63" spans="1:22" ht="32" customHeight="1" x14ac:dyDescent="0.2">
      <c r="A63" s="4" t="s">
        <v>63</v>
      </c>
      <c r="B63" s="13" t="s">
        <v>67</v>
      </c>
      <c r="C63" s="7">
        <f>-0.04 - 1.51*C12 - 0.0067*C11</f>
        <v>-1.7919419999999999</v>
      </c>
      <c r="D63" s="1" t="s">
        <v>34</v>
      </c>
      <c r="E63" s="4" t="s">
        <v>83</v>
      </c>
      <c r="F63" s="1" t="s">
        <v>210</v>
      </c>
      <c r="G63" s="4" t="s">
        <v>211</v>
      </c>
      <c r="H63" s="1" t="s">
        <v>114</v>
      </c>
      <c r="J63" s="1"/>
      <c r="K63" s="1"/>
      <c r="L63" s="1"/>
      <c r="M63" s="1"/>
      <c r="N63" s="1"/>
      <c r="O63" s="1"/>
      <c r="P63" s="1"/>
      <c r="Q63" s="1"/>
      <c r="R63" s="1"/>
      <c r="S63" s="1"/>
      <c r="T63" s="1"/>
      <c r="U63" s="1"/>
      <c r="V63" s="1"/>
    </row>
    <row r="64" spans="1:22" ht="32" x14ac:dyDescent="0.2">
      <c r="A64" s="4" t="s">
        <v>76</v>
      </c>
      <c r="B64" s="13" t="s">
        <v>68</v>
      </c>
      <c r="C64" s="7">
        <f>0.52 - 4.16*C12</f>
        <v>-2.5334400000000001</v>
      </c>
      <c r="D64" s="1" t="s">
        <v>34</v>
      </c>
      <c r="E64" s="4" t="s">
        <v>88</v>
      </c>
      <c r="F64" s="1" t="s">
        <v>212</v>
      </c>
      <c r="G64" s="4" t="s">
        <v>211</v>
      </c>
      <c r="H64" s="1" t="s">
        <v>82</v>
      </c>
      <c r="J64" s="1"/>
      <c r="K64" s="1"/>
      <c r="L64" s="1"/>
      <c r="M64" s="1"/>
      <c r="N64" s="1"/>
      <c r="O64" s="1"/>
      <c r="P64" s="1"/>
      <c r="Q64" s="1"/>
      <c r="R64" s="1"/>
      <c r="S64" s="1"/>
      <c r="T64" s="1"/>
      <c r="U64" s="1"/>
      <c r="V64" s="1"/>
    </row>
    <row r="65" spans="1:22" ht="30" customHeight="1" x14ac:dyDescent="0.2">
      <c r="A65" s="4" t="s">
        <v>64</v>
      </c>
      <c r="B65" s="13" t="s">
        <v>65</v>
      </c>
      <c r="C65" s="7">
        <f>C61*C63/(C61+C63)</f>
        <v>-1.9443660735886175</v>
      </c>
      <c r="D65" s="1" t="s">
        <v>34</v>
      </c>
      <c r="E65" s="4" t="s">
        <v>85</v>
      </c>
      <c r="F65" s="1" t="s">
        <v>213</v>
      </c>
      <c r="G65" s="4" t="s">
        <v>214</v>
      </c>
      <c r="H65" s="1" t="s">
        <v>124</v>
      </c>
      <c r="J65" s="1"/>
      <c r="K65" s="1"/>
      <c r="L65" s="1"/>
      <c r="M65" s="1"/>
      <c r="N65" s="1"/>
      <c r="O65" s="1"/>
      <c r="P65" s="1"/>
      <c r="Q65" s="1"/>
      <c r="R65" s="1"/>
      <c r="S65" s="1"/>
      <c r="T65" s="1"/>
      <c r="U65" s="1"/>
      <c r="V65" s="1"/>
    </row>
    <row r="66" spans="1:22" ht="32" x14ac:dyDescent="0.2">
      <c r="A66" s="4" t="s">
        <v>77</v>
      </c>
      <c r="B66" s="13" t="s">
        <v>69</v>
      </c>
      <c r="C66" s="7">
        <f>C62*C64/(C62+C64)</f>
        <v>-2.8501820180707482</v>
      </c>
      <c r="D66" s="1" t="s">
        <v>34</v>
      </c>
      <c r="E66" s="4" t="s">
        <v>89</v>
      </c>
      <c r="F66" s="1" t="s">
        <v>215</v>
      </c>
      <c r="G66" s="4" t="s">
        <v>216</v>
      </c>
      <c r="H66" s="1" t="s">
        <v>82</v>
      </c>
      <c r="J66" s="1"/>
      <c r="K66" s="1"/>
      <c r="L66" s="1"/>
      <c r="M66" s="1"/>
      <c r="N66" s="1"/>
      <c r="O66" s="1"/>
      <c r="P66" s="1"/>
      <c r="Q66" s="1"/>
      <c r="R66" s="1"/>
      <c r="S66" s="1"/>
      <c r="T66" s="1"/>
      <c r="U66" s="1"/>
      <c r="V66" s="1"/>
    </row>
    <row r="67" spans="1:22" ht="26.5" customHeight="1" x14ac:dyDescent="0.2">
      <c r="A67" s="4" t="s">
        <v>74</v>
      </c>
      <c r="B67" s="13" t="s">
        <v>368</v>
      </c>
      <c r="C67" s="7">
        <f>(0.01*C61+0.17)</f>
        <v>0.39858536375573661</v>
      </c>
      <c r="D67" s="1" t="s">
        <v>218</v>
      </c>
      <c r="E67" s="4" t="s">
        <v>86</v>
      </c>
      <c r="F67" s="1" t="s">
        <v>217</v>
      </c>
      <c r="G67" s="4" t="s">
        <v>219</v>
      </c>
      <c r="H67" s="1" t="s">
        <v>82</v>
      </c>
      <c r="J67" s="1"/>
      <c r="K67" s="1"/>
      <c r="L67" s="1"/>
      <c r="M67" s="1"/>
      <c r="N67" s="1"/>
      <c r="O67" s="1"/>
      <c r="P67" s="1"/>
      <c r="Q67" s="1"/>
      <c r="R67" s="1"/>
      <c r="S67" s="1"/>
      <c r="T67" s="1"/>
      <c r="U67" s="1"/>
      <c r="V67" s="1"/>
    </row>
    <row r="68" spans="1:22" ht="94.5" customHeight="1" x14ac:dyDescent="0.2">
      <c r="A68" s="4" t="s">
        <v>79</v>
      </c>
      <c r="B68" s="13" t="s">
        <v>355</v>
      </c>
      <c r="C68" s="7">
        <f>(C66*C70/(-ABS(C64))-C71)/-(C66/ABS(C64)+1)</f>
        <v>4.0457969372320525E-2</v>
      </c>
      <c r="D68" s="1" t="s">
        <v>218</v>
      </c>
      <c r="E68" s="4" t="s">
        <v>370</v>
      </c>
      <c r="F68" s="1" t="s">
        <v>217</v>
      </c>
      <c r="G68" s="4" t="s">
        <v>360</v>
      </c>
      <c r="H68" s="1" t="s">
        <v>82</v>
      </c>
      <c r="J68" s="1"/>
      <c r="K68" s="1"/>
      <c r="L68" s="1"/>
      <c r="M68" s="1"/>
      <c r="N68" s="1"/>
      <c r="O68" s="1"/>
      <c r="P68" s="1"/>
      <c r="Q68" s="1"/>
      <c r="R68" s="1"/>
      <c r="S68" s="1"/>
      <c r="T68" s="1"/>
      <c r="U68" s="1"/>
      <c r="V68" s="1"/>
    </row>
    <row r="69" spans="1:22" ht="32" x14ac:dyDescent="0.2">
      <c r="A69" s="16" t="s">
        <v>73</v>
      </c>
      <c r="B69" s="13" t="s">
        <v>369</v>
      </c>
      <c r="C69" s="6">
        <f>(C63*(1-C67)+C61)/C61</f>
        <v>0.95285349296237387</v>
      </c>
      <c r="D69" s="13" t="s">
        <v>218</v>
      </c>
      <c r="E69" s="16" t="s">
        <v>361</v>
      </c>
      <c r="F69" s="1" t="s">
        <v>220</v>
      </c>
      <c r="G69" s="4" t="s">
        <v>222</v>
      </c>
      <c r="H69" s="13" t="s">
        <v>82</v>
      </c>
    </row>
    <row r="70" spans="1:22" ht="32" x14ac:dyDescent="0.2">
      <c r="A70" s="16" t="s">
        <v>362</v>
      </c>
      <c r="B70" s="13" t="s">
        <v>363</v>
      </c>
      <c r="C70" s="6">
        <f>1-(1-0.75*C12)/(2.74+2.01*C12)</f>
        <v>0.89336565970953707</v>
      </c>
      <c r="D70" s="13" t="s">
        <v>218</v>
      </c>
      <c r="E70" s="16" t="s">
        <v>87</v>
      </c>
      <c r="F70" s="1" t="s">
        <v>220</v>
      </c>
      <c r="G70" s="4" t="s">
        <v>221</v>
      </c>
      <c r="H70" s="13" t="s">
        <v>82</v>
      </c>
    </row>
    <row r="71" spans="1:22" ht="64" x14ac:dyDescent="0.2">
      <c r="A71" s="16" t="s">
        <v>364</v>
      </c>
      <c r="B71" s="13" t="s">
        <v>365</v>
      </c>
      <c r="C71" s="6">
        <v>1</v>
      </c>
      <c r="D71" s="13" t="s">
        <v>218</v>
      </c>
      <c r="E71" s="16" t="s">
        <v>367</v>
      </c>
      <c r="F71" s="1" t="s">
        <v>223</v>
      </c>
      <c r="G71" s="4" t="s">
        <v>221</v>
      </c>
      <c r="H71" s="13" t="s">
        <v>82</v>
      </c>
    </row>
    <row r="72" spans="1:22" ht="16" x14ac:dyDescent="0.2">
      <c r="A72" s="16" t="s">
        <v>354</v>
      </c>
      <c r="B72" s="13" t="s">
        <v>366</v>
      </c>
      <c r="C72" s="6">
        <v>1</v>
      </c>
      <c r="D72" s="13" t="s">
        <v>218</v>
      </c>
      <c r="E72" s="16" t="s">
        <v>36</v>
      </c>
      <c r="F72" s="1" t="s">
        <v>36</v>
      </c>
      <c r="G72" s="4" t="s">
        <v>36</v>
      </c>
      <c r="H72" s="13" t="s">
        <v>82</v>
      </c>
    </row>
    <row r="73" spans="1:22" ht="48" x14ac:dyDescent="0.2">
      <c r="A73" s="16" t="s">
        <v>75</v>
      </c>
      <c r="B73" s="13" t="s">
        <v>31</v>
      </c>
      <c r="C73" s="6">
        <v>7.0000000000000007E-2</v>
      </c>
      <c r="D73" s="13" t="s">
        <v>43</v>
      </c>
      <c r="E73" s="21">
        <v>7.0000000000000007E-2</v>
      </c>
      <c r="F73" s="13" t="s">
        <v>36</v>
      </c>
      <c r="G73" s="4" t="s">
        <v>36</v>
      </c>
      <c r="H73" s="13" t="s">
        <v>82</v>
      </c>
    </row>
    <row r="74" spans="1:22" ht="80" x14ac:dyDescent="0.2">
      <c r="A74" s="16" t="s">
        <v>80</v>
      </c>
      <c r="B74" s="13" t="s">
        <v>70</v>
      </c>
      <c r="C74" s="6">
        <f>(-((3.57*C12)^1.73))-1.09</f>
        <v>-6.3838325204925104</v>
      </c>
      <c r="D74" s="13" t="s">
        <v>371</v>
      </c>
      <c r="E74" s="16" t="s">
        <v>372</v>
      </c>
      <c r="F74" s="14" t="s">
        <v>224</v>
      </c>
      <c r="G74" s="4" t="s">
        <v>225</v>
      </c>
      <c r="H74" s="13" t="s">
        <v>82</v>
      </c>
    </row>
    <row r="75" spans="1:22" ht="48" x14ac:dyDescent="0.2">
      <c r="A75" s="16" t="s">
        <v>81</v>
      </c>
      <c r="B75" s="13" t="s">
        <v>377</v>
      </c>
      <c r="C75" s="6">
        <f>(54.4*(-C74)^(-1.17))</f>
        <v>6.2180407301353684</v>
      </c>
      <c r="D75" s="13" t="s">
        <v>44</v>
      </c>
      <c r="E75" s="16" t="s">
        <v>373</v>
      </c>
      <c r="F75" s="4" t="s">
        <v>313</v>
      </c>
      <c r="G75" s="4" t="s">
        <v>379</v>
      </c>
      <c r="H75" s="13" t="s">
        <v>82</v>
      </c>
    </row>
    <row r="76" spans="1:22" ht="32" x14ac:dyDescent="0.2">
      <c r="A76" s="16" t="s">
        <v>374</v>
      </c>
      <c r="B76" s="13" t="s">
        <v>376</v>
      </c>
      <c r="C76" s="6">
        <f>0.7*C74</f>
        <v>-4.4686827643447566</v>
      </c>
      <c r="D76" s="13" t="s">
        <v>34</v>
      </c>
      <c r="E76" s="16" t="s">
        <v>378</v>
      </c>
      <c r="F76" s="4"/>
      <c r="G76" s="4" t="s">
        <v>381</v>
      </c>
    </row>
    <row r="77" spans="1:22" ht="48" x14ac:dyDescent="0.2">
      <c r="A77" s="16" t="s">
        <v>81</v>
      </c>
      <c r="B77" s="13" t="s">
        <v>375</v>
      </c>
      <c r="C77" s="6">
        <f>(54.4*(-C76)^(-1.17))</f>
        <v>9.4381930381311516</v>
      </c>
      <c r="D77" s="13" t="s">
        <v>44</v>
      </c>
      <c r="E77" s="16" t="s">
        <v>380</v>
      </c>
      <c r="F77" s="4"/>
      <c r="G77" s="4"/>
    </row>
    <row r="78" spans="1:22" ht="16" x14ac:dyDescent="0.2">
      <c r="A78" s="16" t="s">
        <v>395</v>
      </c>
      <c r="B78" s="13" t="s">
        <v>390</v>
      </c>
      <c r="C78" s="6">
        <v>13192</v>
      </c>
      <c r="D78" s="13" t="s">
        <v>396</v>
      </c>
    </row>
    <row r="79" spans="1:22" ht="16" x14ac:dyDescent="0.2">
      <c r="A79" s="16" t="s">
        <v>395</v>
      </c>
      <c r="B79" s="13" t="s">
        <v>391</v>
      </c>
      <c r="C79" s="6">
        <v>515.56050000000005</v>
      </c>
      <c r="D79" s="13" t="s">
        <v>396</v>
      </c>
    </row>
    <row r="80" spans="1:22" ht="16" x14ac:dyDescent="0.2">
      <c r="A80" s="16" t="s">
        <v>395</v>
      </c>
      <c r="B80" s="13" t="s">
        <v>392</v>
      </c>
      <c r="C80" s="6">
        <v>2.1078999999999999</v>
      </c>
      <c r="D80" s="13" t="s">
        <v>397</v>
      </c>
    </row>
    <row r="81" spans="1:4" ht="16" x14ac:dyDescent="0.2">
      <c r="A81" s="16" t="s">
        <v>395</v>
      </c>
      <c r="B81" s="13" t="s">
        <v>393</v>
      </c>
      <c r="C81" s="6">
        <v>0.96309999999999996</v>
      </c>
      <c r="D81" s="13" t="s">
        <v>397</v>
      </c>
    </row>
  </sheetData>
  <mergeCells count="2">
    <mergeCell ref="J1:K1"/>
    <mergeCell ref="L1:M1"/>
  </mergeCells>
  <phoneticPr fontId="1" type="noConversion"/>
  <hyperlinks>
    <hyperlink ref="G8" r:id="rId1" display="https://github.com/yalingliu-cu/plant-strategies/blob/master/Product%20details.pdf" xr:uid="{36991EFF-811C-4FEB-A057-65900DDE1897}"/>
    <hyperlink ref="G9" r:id="rId2" display="https://agupubs.onlinelibrary.wiley.com/doi/full/10.1029/2010GL043622" xr:uid="{2C9BADC0-4638-4EFB-9455-E69F744DA9C1}"/>
    <hyperlink ref="G12" r:id="rId3" display="https://doi.org/10.1111/j.1461-0248.2009.01285.x" xr:uid="{E0AB1A3B-60DF-4572-9884-7D52F6778A96}"/>
    <hyperlink ref="G11" r:id="rId4" display="https://nph.onlinelibrary.wiley.com/doi/full/10.1111/nph.16123" xr:uid="{202A2AF1-28BE-46D0-95F2-59A9ABF161FB}"/>
    <hyperlink ref="G30" r:id="rId5" xr:uid="{51837294-99FE-464B-BE92-8EBBDEA85C49}"/>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Anna Gagne-Landmann</cp:lastModifiedBy>
  <dcterms:created xsi:type="dcterms:W3CDTF">2021-07-04T21:17:42Z</dcterms:created>
  <dcterms:modified xsi:type="dcterms:W3CDTF">2022-01-12T02:33:27Z</dcterms:modified>
</cp:coreProperties>
</file>