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afdc37fc77bc6a72/Documenten/Werk/Vrijwilligerswerk/Climate Cleanup/BBB/CO2-opslag rekentool/"/>
    </mc:Choice>
  </mc:AlternateContent>
  <xr:revisionPtr revIDLastSave="489" documentId="8_{4A3CC953-5D98-4349-9139-CC6143E346EA}" xr6:coauthVersionLast="47" xr6:coauthVersionMax="47" xr10:uidLastSave="{635550CF-CAA0-4846-8E01-61B8D154FC52}"/>
  <bookViews>
    <workbookView xWindow="-120" yWindow="-120" windowWidth="29040" windowHeight="15840" xr2:uid="{D6663B96-36EA-4B55-A737-54E5E24C0FF1}"/>
  </bookViews>
  <sheets>
    <sheet name="Explanation" sheetId="5" r:id="rId1"/>
    <sheet name="Project_data" sheetId="6" r:id="rId2"/>
    <sheet name="Calculation-input" sheetId="1" r:id="rId3"/>
    <sheet name="CO2-storage factors" sheetId="2" r:id="rId4"/>
    <sheet name="Life-cycle emissions" sheetId="7" state="hidden" r:id="rId5"/>
    <sheet name="Wood-types" sheetId="4" r:id="rId6"/>
    <sheet name="Drop-down_lists" sheetId="3" r:id="rId7"/>
  </sheets>
  <definedNames>
    <definedName name="Boards_planks">'Drop-down_lists'!$K$3:$K$20</definedName>
    <definedName name="CL">'Drop-down_lists'!$A$2:$A$10</definedName>
    <definedName name="CLT">'Drop-down_lists'!$D$2:$D$4</definedName>
    <definedName name="Floors">'Drop-down_lists'!$G$3:$G$6</definedName>
    <definedName name="Frames_walls">'Drop-down_lists'!$H$3:$H$9</definedName>
    <definedName name="HSC">'Drop-down_lists'!$E$2:$E$21</definedName>
    <definedName name="Insulation">'Drop-down_lists'!$I$3:$I$8</definedName>
    <definedName name="P_cat.">'Drop-down_lists'!$G$2:$K$2</definedName>
    <definedName name="Products">'CO2-storage factors'!$A$2:$A$37</definedName>
    <definedName name="Roofs">'Drop-down_lists'!$J$3:$J$4</definedName>
    <definedName name="TCLT">'Drop-down_lists'!#REF!</definedName>
    <definedName name="Unit">'Drop-down_lists'!$C$2:$C$4</definedName>
    <definedName name="Wtype">'Wood-types'!$A$2:$A$113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D7" i="1"/>
  <c r="D8" i="1"/>
  <c r="D9" i="1"/>
  <c r="D10" i="1"/>
  <c r="D11" i="1"/>
  <c r="D12" i="1"/>
  <c r="D13" i="1"/>
  <c r="D14" i="1"/>
  <c r="D15" i="1"/>
  <c r="D16" i="1"/>
  <c r="D17" i="1"/>
  <c r="D18" i="1"/>
  <c r="D19" i="1"/>
  <c r="D20" i="1"/>
  <c r="D21" i="1"/>
  <c r="D22" i="1"/>
  <c r="D23" i="1"/>
  <c r="D24" i="1"/>
  <c r="D25" i="1"/>
  <c r="D26" i="1"/>
  <c r="C35" i="2"/>
  <c r="B35" i="2"/>
  <c r="D35" i="2"/>
  <c r="E35" i="2"/>
  <c r="G35" i="2"/>
  <c r="E6" i="1"/>
  <c r="E7" i="1"/>
  <c r="E8" i="1"/>
  <c r="E9" i="1"/>
  <c r="E10" i="1"/>
  <c r="E11" i="1"/>
  <c r="E12" i="1"/>
  <c r="E13" i="1"/>
  <c r="E14" i="1"/>
  <c r="E15" i="1"/>
  <c r="E16" i="1"/>
  <c r="E17" i="1"/>
  <c r="E18" i="1"/>
  <c r="E19" i="1"/>
  <c r="E20" i="1"/>
  <c r="E21" i="1"/>
  <c r="E22" i="1"/>
  <c r="E23" i="1"/>
  <c r="E24" i="1"/>
  <c r="E25" i="1"/>
  <c r="E26" i="1"/>
  <c r="H6" i="1"/>
  <c r="H7" i="1"/>
  <c r="H8" i="1"/>
  <c r="H9" i="1"/>
  <c r="H10" i="1"/>
  <c r="H11" i="1"/>
  <c r="H12" i="1"/>
  <c r="H13" i="1"/>
  <c r="H14" i="1"/>
  <c r="H15" i="1"/>
  <c r="H16" i="1"/>
  <c r="H17" i="1"/>
  <c r="H18" i="1"/>
  <c r="H19" i="1"/>
  <c r="H20" i="1"/>
  <c r="H21" i="1"/>
  <c r="H22" i="1"/>
  <c r="H23" i="1"/>
  <c r="H24" i="1"/>
  <c r="H25" i="1"/>
  <c r="H26" i="1"/>
  <c r="G6" i="1"/>
  <c r="G7" i="1"/>
  <c r="G8" i="1"/>
  <c r="G9" i="1"/>
  <c r="G10" i="1"/>
  <c r="G11" i="1"/>
  <c r="G12" i="1"/>
  <c r="G13" i="1"/>
  <c r="G14" i="1"/>
  <c r="G15" i="1"/>
  <c r="G16" i="1"/>
  <c r="G17" i="1"/>
  <c r="G18" i="1"/>
  <c r="G19" i="1"/>
  <c r="G20" i="1"/>
  <c r="G21" i="1"/>
  <c r="G22" i="1"/>
  <c r="G23" i="1"/>
  <c r="G24" i="1"/>
  <c r="G25" i="1"/>
  <c r="G26" i="1"/>
  <c r="H11" i="2"/>
  <c r="G11" i="2"/>
  <c r="F11" i="2"/>
  <c r="G1" i="1" l="1"/>
  <c r="G2" i="1" s="1"/>
  <c r="H7" i="2"/>
  <c r="G7" i="2"/>
  <c r="F7" i="2"/>
  <c r="F14" i="2"/>
  <c r="G23" i="2"/>
  <c r="H23" i="2"/>
  <c r="F23" i="2"/>
  <c r="D23" i="2"/>
  <c r="B23" i="2"/>
  <c r="D7" i="2"/>
  <c r="B7" i="2"/>
  <c r="C23" i="2"/>
  <c r="C7" i="2"/>
  <c r="C36" i="2" l="1"/>
  <c r="C22" i="2"/>
  <c r="E22" i="2"/>
  <c r="D22" i="2"/>
  <c r="B22" i="2"/>
  <c r="G22" i="2" l="1"/>
  <c r="E32" i="2" l="1"/>
  <c r="F19" i="2"/>
  <c r="G19" i="2"/>
  <c r="H19" i="2"/>
  <c r="H18" i="2"/>
  <c r="G18" i="2"/>
  <c r="F18" i="2"/>
  <c r="H26" i="2"/>
  <c r="F26" i="2"/>
  <c r="H37" i="2"/>
  <c r="G37" i="2"/>
  <c r="F37" i="2"/>
  <c r="H36" i="2"/>
  <c r="G36" i="2"/>
  <c r="F36" i="2"/>
  <c r="H29" i="2"/>
  <c r="G29" i="2"/>
  <c r="F29" i="2"/>
  <c r="H34" i="2"/>
  <c r="F34" i="2"/>
  <c r="D37" i="2"/>
  <c r="B37" i="2"/>
  <c r="E34" i="2"/>
  <c r="D34" i="2"/>
  <c r="B34" i="2"/>
  <c r="H12" i="2"/>
  <c r="G12" i="2"/>
  <c r="F12" i="2"/>
  <c r="H10" i="2"/>
  <c r="G10" i="2"/>
  <c r="F10" i="2"/>
  <c r="H9" i="2"/>
  <c r="F9" i="2"/>
  <c r="H8" i="2"/>
  <c r="F8" i="2"/>
  <c r="H4" i="2"/>
  <c r="F4" i="2"/>
  <c r="H3" i="2"/>
  <c r="F3" i="2"/>
  <c r="H2" i="2"/>
  <c r="F2" i="2"/>
  <c r="H33" i="2"/>
  <c r="F33" i="2"/>
  <c r="E33" i="2"/>
  <c r="H31" i="2"/>
  <c r="F31" i="2"/>
  <c r="E31" i="2"/>
  <c r="D31" i="2"/>
  <c r="B31" i="2"/>
  <c r="E29" i="2"/>
  <c r="D29" i="2"/>
  <c r="B29" i="2"/>
  <c r="D21" i="2"/>
  <c r="B21" i="2"/>
  <c r="D19" i="2"/>
  <c r="B19" i="2"/>
  <c r="G16" i="2"/>
  <c r="D16" i="2"/>
  <c r="B16" i="2"/>
  <c r="D14" i="2"/>
  <c r="B14" i="2"/>
  <c r="E11" i="2"/>
  <c r="B11" i="2"/>
  <c r="E10" i="2"/>
  <c r="D10" i="2"/>
  <c r="B10" i="2"/>
  <c r="E9" i="2"/>
  <c r="B9" i="2"/>
  <c r="E5" i="2"/>
  <c r="D5" i="2"/>
  <c r="B5" i="2"/>
  <c r="B3" i="2"/>
  <c r="B4" i="2"/>
  <c r="B2" i="2"/>
  <c r="D3" i="2"/>
  <c r="D4" i="2"/>
  <c r="D2" i="2"/>
  <c r="E3" i="2"/>
  <c r="E4" i="2"/>
  <c r="E2" i="2"/>
  <c r="C11" i="2"/>
  <c r="V8" i="2"/>
  <c r="G15" i="2"/>
  <c r="C16" i="2" l="1"/>
  <c r="G5" i="2"/>
  <c r="G32" i="2"/>
  <c r="B32" i="2"/>
  <c r="C10" i="2"/>
  <c r="D32" i="2"/>
  <c r="G17" i="2"/>
  <c r="D17" i="2"/>
  <c r="C17" i="2"/>
  <c r="B17" i="2"/>
  <c r="C29" i="2"/>
  <c r="D33" i="2"/>
  <c r="C33" i="2"/>
  <c r="B33" i="2"/>
  <c r="G33" i="2"/>
  <c r="C32" i="2" l="1"/>
  <c r="V3" i="2" l="1"/>
  <c r="V4" i="2"/>
  <c r="V2" i="2"/>
  <c r="J6" i="1" l="1"/>
  <c r="J7" i="1" s="1"/>
  <c r="J8" i="1" s="1"/>
  <c r="J9" i="1" s="1"/>
  <c r="J10" i="1" l="1"/>
  <c r="J11" i="1" l="1"/>
  <c r="K9" i="1"/>
  <c r="J12" i="1" l="1"/>
  <c r="K11" i="1"/>
  <c r="K10" i="1"/>
  <c r="G26" i="2"/>
  <c r="C2" i="2"/>
  <c r="C4" i="2"/>
  <c r="C3" i="2"/>
  <c r="C34" i="2"/>
  <c r="G13" i="2"/>
  <c r="J13" i="1" l="1"/>
  <c r="K12" i="1"/>
  <c r="C78" i="4"/>
  <c r="B78" i="4"/>
  <c r="E104" i="4"/>
  <c r="E103" i="4"/>
  <c r="E81" i="4"/>
  <c r="E60" i="4"/>
  <c r="E47" i="4"/>
  <c r="E46" i="4"/>
  <c r="E45" i="4"/>
  <c r="E42" i="4"/>
  <c r="E41" i="4"/>
  <c r="E31" i="4"/>
  <c r="C21" i="4"/>
  <c r="E21" i="4"/>
  <c r="E20" i="4"/>
  <c r="E108" i="4"/>
  <c r="C108" i="4"/>
  <c r="C104" i="4"/>
  <c r="C103" i="4"/>
  <c r="C81" i="4"/>
  <c r="C60" i="4"/>
  <c r="C47" i="4"/>
  <c r="C46" i="4"/>
  <c r="C45" i="4"/>
  <c r="C42" i="4"/>
  <c r="C41" i="4"/>
  <c r="C31" i="4"/>
  <c r="C20" i="4"/>
  <c r="B112" i="4"/>
  <c r="B53" i="4"/>
  <c r="B102" i="4" s="1"/>
  <c r="L24" i="4"/>
  <c r="P24" i="4"/>
  <c r="N24" i="4"/>
  <c r="J24" i="4"/>
  <c r="K8" i="1"/>
  <c r="C9" i="2"/>
  <c r="C102" i="4" l="1"/>
  <c r="J14" i="1"/>
  <c r="K13" i="1"/>
  <c r="G8" i="2"/>
  <c r="J15" i="1" l="1"/>
  <c r="K15" i="1" s="1"/>
  <c r="K14" i="1"/>
  <c r="G6" i="2"/>
  <c r="G21" i="2"/>
  <c r="G14" i="2"/>
  <c r="G30" i="2"/>
  <c r="G20" i="2"/>
  <c r="G27" i="2"/>
  <c r="G28" i="2"/>
  <c r="G24" i="2"/>
  <c r="J16" i="1" l="1"/>
  <c r="J17" i="1" s="1"/>
  <c r="J18" i="1" s="1"/>
  <c r="J19" i="1" s="1"/>
  <c r="J20" i="1" s="1"/>
  <c r="J21" i="1" s="1"/>
  <c r="J22" i="1" s="1"/>
  <c r="J23" i="1" s="1"/>
  <c r="J24" i="1" s="1"/>
  <c r="J25" i="1" s="1"/>
  <c r="J26" i="1" s="1"/>
  <c r="K7" i="1" l="1"/>
  <c r="K6" i="1"/>
  <c r="K16" i="1"/>
  <c r="C37" i="2"/>
  <c r="D36" i="2"/>
  <c r="C30" i="2"/>
  <c r="D30" i="2" s="1"/>
  <c r="C28" i="2"/>
  <c r="C27" i="2"/>
  <c r="D27" i="2" s="1"/>
  <c r="C26" i="2"/>
  <c r="C24" i="2"/>
  <c r="C21" i="2"/>
  <c r="C20" i="2"/>
  <c r="D20" i="2" s="1"/>
  <c r="C19" i="2"/>
  <c r="C18" i="2"/>
  <c r="D18" i="2" s="1"/>
  <c r="C15" i="2"/>
  <c r="D15" i="2" s="1"/>
  <c r="C14" i="2"/>
  <c r="C13" i="2"/>
  <c r="C12" i="2"/>
  <c r="B12" i="2" s="1"/>
  <c r="C6" i="2"/>
  <c r="D6" i="2" s="1"/>
  <c r="C8" i="2"/>
  <c r="D8" i="2" s="1"/>
  <c r="K17" i="1" l="1"/>
  <c r="D13" i="2"/>
  <c r="B24" i="2"/>
  <c r="D26" i="2"/>
  <c r="B28" i="2"/>
  <c r="B20" i="2"/>
  <c r="D24" i="2"/>
  <c r="D12" i="2"/>
  <c r="B13" i="2"/>
  <c r="D28" i="2"/>
  <c r="B15" i="2"/>
  <c r="B26" i="2"/>
  <c r="B36" i="2"/>
  <c r="B6" i="2"/>
  <c r="B30" i="2"/>
  <c r="B18" i="2"/>
  <c r="B27" i="2"/>
  <c r="B8" i="2"/>
  <c r="K18" i="1" l="1"/>
  <c r="G3" i="1"/>
  <c r="K19" i="1" l="1"/>
  <c r="K20" i="1" l="1"/>
  <c r="K21" i="1" l="1"/>
  <c r="K22" i="1" l="1"/>
  <c r="K23" i="1" l="1"/>
  <c r="K24" i="1" l="1"/>
  <c r="K25" i="1" l="1"/>
  <c r="K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C1" authorId="0" shapeId="0" xr:uid="{9B8277E9-F6F7-4438-B142-8C07F4740F61}">
      <text>
        <r>
          <rPr>
            <b/>
            <sz val="9"/>
            <color indexed="81"/>
            <rFont val="Tahoma"/>
            <family val="2"/>
          </rPr>
          <t>Bart vV:</t>
        </r>
        <r>
          <rPr>
            <sz val="9"/>
            <color indexed="81"/>
            <rFont val="Tahoma"/>
            <family val="2"/>
          </rPr>
          <t xml:space="preserve">
Unit is kgCO2/kg, unless otherwise specified in column D.</t>
        </r>
      </text>
    </comment>
    <comment ref="G9" authorId="0" shapeId="0" xr:uid="{34CDFD81-9287-4C48-93AB-BC0CB214BD13}">
      <text>
        <r>
          <rPr>
            <b/>
            <sz val="9"/>
            <color indexed="81"/>
            <rFont val="Tahoma"/>
            <family val="2"/>
          </rPr>
          <t>Bart vV:</t>
        </r>
        <r>
          <rPr>
            <sz val="9"/>
            <color indexed="81"/>
            <rFont val="Tahoma"/>
            <family val="2"/>
          </rPr>
          <t xml:space="preserve">
Is only the density of the compressed straw part of a panel. The carbon content is for an average panel including wooden beams.</t>
        </r>
      </text>
    </comment>
    <comment ref="C22" authorId="0" shapeId="0" xr:uid="{DBC4E759-2CA8-4DFE-98F0-F9B5F0A254A3}">
      <text>
        <r>
          <rPr>
            <b/>
            <sz val="9"/>
            <color indexed="81"/>
            <rFont val="Tahoma"/>
            <charset val="1"/>
          </rPr>
          <t>Bart vV:</t>
        </r>
        <r>
          <rPr>
            <sz val="9"/>
            <color indexed="81"/>
            <rFont val="Tahoma"/>
            <charset val="1"/>
          </rPr>
          <t xml:space="preserve">
Assumes it consists of 90% cotton and cotton consists of pure (100%) cellulose.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D4" authorId="0" shapeId="0" xr:uid="{4C4BA098-A825-4BA0-A473-9E17E51BD13F}">
      <text>
        <r>
          <rPr>
            <b/>
            <sz val="9"/>
            <color indexed="81"/>
            <rFont val="Tahoma"/>
            <family val="2"/>
          </rPr>
          <t>Bart vV:</t>
        </r>
        <r>
          <rPr>
            <sz val="9"/>
            <color indexed="81"/>
            <rFont val="Tahoma"/>
            <family val="2"/>
          </rPr>
          <t xml:space="preserve">
Weight classes are total, hence including both load and vehicle.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E1" authorId="0" shapeId="0" xr:uid="{C41B0A49-914C-40FC-BFDA-363FDB9BCB6C}">
      <text>
        <r>
          <rPr>
            <b/>
            <sz val="9"/>
            <color indexed="81"/>
            <rFont val="Tahoma"/>
            <family val="2"/>
          </rPr>
          <t>Bart vV:</t>
        </r>
        <r>
          <rPr>
            <sz val="9"/>
            <color indexed="81"/>
            <rFont val="Tahoma"/>
            <family val="2"/>
          </rPr>
          <t xml:space="preserve">
Hemp-Shives Content</t>
        </r>
      </text>
    </comment>
    <comment ref="K6" authorId="0" shapeId="0" xr:uid="{A43D7DFE-ACC9-4B01-A393-58B695873494}">
      <text>
        <r>
          <rPr>
            <b/>
            <sz val="9"/>
            <color indexed="81"/>
            <rFont val="Tahoma"/>
            <family val="2"/>
          </rPr>
          <t>Bart vV:</t>
        </r>
        <r>
          <rPr>
            <sz val="9"/>
            <color indexed="81"/>
            <rFont val="Tahoma"/>
            <family val="2"/>
          </rPr>
          <t xml:space="preserve">
?? is a grade of paperboard typically made from layers of waste paper or recycled fibers. Most often it comes with two to three layers of coating on the top and one layer on the reverse side. Because of its recycled content it will be grey from the inside.</t>
        </r>
      </text>
    </comment>
    <comment ref="K15" authorId="0" shapeId="0" xr:uid="{37EDD9EE-4F6B-4E2D-9FC5-792738C8D0A5}">
      <text>
        <r>
          <rPr>
            <b/>
            <sz val="9"/>
            <color indexed="81"/>
            <rFont val="Tahoma"/>
            <family val="2"/>
          </rPr>
          <t>Bart vV:</t>
        </r>
        <r>
          <rPr>
            <sz val="9"/>
            <color indexed="81"/>
            <rFont val="Tahoma"/>
            <family val="2"/>
          </rPr>
          <t xml:space="preserve">
Particle board, also known as chipboard, is an engineered wood product manufactured from wood chips or jute-stick chips and a synthetic resin or other suitable binder, which is pressed and extruded.</t>
        </r>
      </text>
    </comment>
    <comment ref="K16" authorId="0" shapeId="0" xr:uid="{6C1B776D-108E-468D-A299-D0DAD900BA07}">
      <text>
        <r>
          <rPr>
            <b/>
            <sz val="9"/>
            <color indexed="81"/>
            <rFont val="Tahoma"/>
            <family val="2"/>
          </rPr>
          <t>Bart vV:</t>
        </r>
        <r>
          <rPr>
            <sz val="9"/>
            <color indexed="81"/>
            <rFont val="Tahoma"/>
            <family val="2"/>
          </rPr>
          <t xml:space="preserve">
Plywood is a material manufactured from thin layers or "plies" of wood veneer that are glued together with adjacent layers having their wood grain rotated up to 90 degrees to one another.</t>
        </r>
      </text>
    </comment>
  </commentList>
</comments>
</file>

<file path=xl/sharedStrings.xml><?xml version="1.0" encoding="utf-8"?>
<sst xmlns="http://schemas.openxmlformats.org/spreadsheetml/2006/main" count="873" uniqueCount="353">
  <si>
    <t>CLT</t>
  </si>
  <si>
    <r>
      <t>Min.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</si>
  <si>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Max.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</si>
  <si>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t>ICE database</t>
  </si>
  <si>
    <r>
      <t>Av. Density from spruces (kg/m</t>
    </r>
    <r>
      <rPr>
        <vertAlign val="superscript"/>
        <sz val="11"/>
        <color theme="1"/>
        <rFont val="Calibri"/>
        <family val="2"/>
        <scheme val="minor"/>
      </rPr>
      <t>3</t>
    </r>
    <r>
      <rPr>
        <sz val="11"/>
        <color theme="1"/>
        <rFont val="Calibri"/>
        <family val="2"/>
        <scheme val="minor"/>
      </rPr>
      <t>)</t>
    </r>
  </si>
  <si>
    <r>
      <t>Av. Density from larchs (kg/m</t>
    </r>
    <r>
      <rPr>
        <vertAlign val="superscript"/>
        <sz val="11"/>
        <color theme="1"/>
        <rFont val="Calibri"/>
        <family val="2"/>
        <scheme val="minor"/>
      </rPr>
      <t>3</t>
    </r>
    <r>
      <rPr>
        <sz val="11"/>
        <color theme="1"/>
        <rFont val="Calibri"/>
        <family val="2"/>
        <scheme val="minor"/>
      </rPr>
      <t>)</t>
    </r>
  </si>
  <si>
    <t>CLT Technical detail SBR.1 (crosslamtimber.com.au)</t>
  </si>
  <si>
    <t>Chipboard</t>
  </si>
  <si>
    <t>Product</t>
  </si>
  <si>
    <t>n datapoints</t>
  </si>
  <si>
    <t>Closed panel timber frame system</t>
  </si>
  <si>
    <t>Fibreboard</t>
  </si>
  <si>
    <t>Glulam</t>
  </si>
  <si>
    <t>Hardboard</t>
  </si>
  <si>
    <t>Hardwood</t>
  </si>
  <si>
    <t>Laminate</t>
  </si>
  <si>
    <t>Laminated strand lumber</t>
  </si>
  <si>
    <t>Laminated veneer lumber</t>
  </si>
  <si>
    <t>MDF</t>
  </si>
  <si>
    <t>Open panel timber frame system</t>
  </si>
  <si>
    <t>OSB</t>
  </si>
  <si>
    <t>Parquet</t>
  </si>
  <si>
    <t>Particle board</t>
  </si>
  <si>
    <t>Plywood</t>
  </si>
  <si>
    <t>Softwood</t>
  </si>
  <si>
    <t>Wood I-beam</t>
  </si>
  <si>
    <t>Wood-plastic composite</t>
  </si>
  <si>
    <t>https://www.sciencedirect.com/science/article/abs/pii/S0961953403000333</t>
  </si>
  <si>
    <t>Hemp-shives containing products</t>
  </si>
  <si>
    <r>
      <t>Av. of mid. range Density (kg/m</t>
    </r>
    <r>
      <rPr>
        <vertAlign val="superscript"/>
        <sz val="11"/>
        <color theme="1"/>
        <rFont val="Calibri"/>
        <family val="2"/>
        <scheme val="minor"/>
      </rPr>
      <t>3</t>
    </r>
    <r>
      <rPr>
        <sz val="11"/>
        <color theme="1"/>
        <rFont val="Calibri"/>
        <family val="2"/>
        <scheme val="minor"/>
      </rPr>
      <t>)</t>
    </r>
  </si>
  <si>
    <r>
      <t>Min. Density (kg/m</t>
    </r>
    <r>
      <rPr>
        <vertAlign val="superscript"/>
        <sz val="11"/>
        <color theme="1"/>
        <rFont val="Calibri"/>
        <family val="2"/>
        <scheme val="minor"/>
      </rPr>
      <t>3</t>
    </r>
    <r>
      <rPr>
        <sz val="11"/>
        <color theme="1"/>
        <rFont val="Calibri"/>
        <family val="2"/>
        <scheme val="minor"/>
      </rPr>
      <t>)</t>
    </r>
  </si>
  <si>
    <r>
      <t>Max. Density (kg/m</t>
    </r>
    <r>
      <rPr>
        <vertAlign val="superscript"/>
        <sz val="11"/>
        <color theme="1"/>
        <rFont val="Calibri"/>
        <family val="2"/>
        <scheme val="minor"/>
      </rPr>
      <t>3</t>
    </r>
    <r>
      <rPr>
        <sz val="11"/>
        <color theme="1"/>
        <rFont val="Calibri"/>
        <family val="2"/>
        <scheme val="minor"/>
      </rPr>
      <t>)</t>
    </r>
  </si>
  <si>
    <t>Houtdatabase | Houtdatabase</t>
  </si>
  <si>
    <t>Construction level</t>
  </si>
  <si>
    <t>Foundation</t>
  </si>
  <si>
    <t>Basement</t>
  </si>
  <si>
    <t>Ground floor</t>
  </si>
  <si>
    <t>1st floor</t>
  </si>
  <si>
    <t>2nd floor</t>
  </si>
  <si>
    <t>3nd floor</t>
  </si>
  <si>
    <t>Roof</t>
  </si>
  <si>
    <t>Next floor(s)</t>
  </si>
  <si>
    <t>Biobased products</t>
  </si>
  <si>
    <t>Quantity of product</t>
  </si>
  <si>
    <t>Unit</t>
  </si>
  <si>
    <t>kg</t>
  </si>
  <si>
    <t>ton</t>
  </si>
  <si>
    <r>
      <t>m</t>
    </r>
    <r>
      <rPr>
        <vertAlign val="superscript"/>
        <sz val="11"/>
        <color theme="1"/>
        <rFont val="Calibri"/>
        <family val="2"/>
        <scheme val="minor"/>
      </rPr>
      <t>3</t>
    </r>
  </si>
  <si>
    <t>Biobased product</t>
  </si>
  <si>
    <t>Additional information</t>
  </si>
  <si>
    <t>Wood type</t>
  </si>
  <si>
    <t>Density w 12% moisture (kg/m³)</t>
  </si>
  <si>
    <t>Motivatie | Centrum hout co2 calculator (opslagco2inhout.nl)</t>
  </si>
  <si>
    <r>
      <t>Average density (kg/m</t>
    </r>
    <r>
      <rPr>
        <vertAlign val="superscript"/>
        <sz val="11"/>
        <color theme="1"/>
        <rFont val="Calibri"/>
        <family val="2"/>
        <scheme val="minor"/>
      </rPr>
      <t>3</t>
    </r>
    <r>
      <rPr>
        <sz val="11"/>
        <color theme="1"/>
        <rFont val="Calibri"/>
        <family val="2"/>
        <scheme val="minor"/>
      </rPr>
      <t>)</t>
    </r>
  </si>
  <si>
    <t>Calculation</t>
  </si>
  <si>
    <t>Source1</t>
  </si>
  <si>
    <t>Source2</t>
  </si>
  <si>
    <t>Spruces</t>
  </si>
  <si>
    <t>Larchs</t>
  </si>
  <si>
    <t>Unknown/mix</t>
  </si>
  <si>
    <r>
      <t>tCO</t>
    </r>
    <r>
      <rPr>
        <vertAlign val="subscript"/>
        <sz val="11"/>
        <color theme="1"/>
        <rFont val="Calibri"/>
        <family val="2"/>
        <scheme val="minor"/>
      </rPr>
      <t>2</t>
    </r>
    <r>
      <rPr>
        <sz val="11"/>
        <color theme="1"/>
        <rFont val="Calibri"/>
        <family val="2"/>
        <scheme val="minor"/>
      </rPr>
      <t xml:space="preserve"> stored</t>
    </r>
  </si>
  <si>
    <t>HSC</t>
  </si>
  <si>
    <t>Conditional drop-down list formula</t>
  </si>
  <si>
    <r>
      <t>Total stored CO</t>
    </r>
    <r>
      <rPr>
        <b/>
        <vertAlign val="subscript"/>
        <sz val="11"/>
        <color theme="1"/>
        <rFont val="Calibri"/>
        <family val="2"/>
        <scheme val="minor"/>
      </rPr>
      <t>2</t>
    </r>
    <r>
      <rPr>
        <b/>
        <sz val="11"/>
        <color theme="1"/>
        <rFont val="Calibri"/>
        <family val="2"/>
        <scheme val="minor"/>
      </rPr>
      <t>:</t>
    </r>
  </si>
  <si>
    <t>https://www.houtinfo.nl/node/190</t>
  </si>
  <si>
    <t>Other</t>
  </si>
  <si>
    <t>C =</t>
  </si>
  <si>
    <r>
      <t>CO</t>
    </r>
    <r>
      <rPr>
        <vertAlign val="subscript"/>
        <sz val="11"/>
        <color theme="1"/>
        <rFont val="Calibri"/>
        <family val="2"/>
        <scheme val="minor"/>
      </rPr>
      <t>2</t>
    </r>
    <r>
      <rPr>
        <sz val="11"/>
        <color theme="1"/>
        <rFont val="Calibri"/>
        <family val="2"/>
        <scheme val="minor"/>
      </rPr>
      <t xml:space="preserve"> =</t>
    </r>
  </si>
  <si>
    <t>https://www.academia.edu/39298982/STRAWBALE_CONSTRUCTION_A_LEAST_EMBODIED_ENERGY_MATERIAL</t>
  </si>
  <si>
    <t>https://materialspalette.org/straw-bale/</t>
  </si>
  <si>
    <t>https://ecococon.eu/assets/downloads/ecococon_brochure.pdf</t>
  </si>
  <si>
    <t>Source3</t>
  </si>
  <si>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t>
    </r>
  </si>
  <si>
    <t>EcoCocon (straw frame timber beams included)</t>
  </si>
  <si>
    <t>g/mol</t>
  </si>
  <si>
    <t>Warning</t>
  </si>
  <si>
    <r>
      <t>kgCO</t>
    </r>
    <r>
      <rPr>
        <vertAlign val="subscript"/>
        <sz val="11"/>
        <color theme="1"/>
        <rFont val="Calibri"/>
        <family val="2"/>
        <scheme val="minor"/>
      </rPr>
      <t>2-eq</t>
    </r>
    <r>
      <rPr>
        <sz val="11"/>
        <color theme="1"/>
        <rFont val="Calibri"/>
        <family val="2"/>
        <scheme val="minor"/>
      </rPr>
      <t>/kg</t>
    </r>
  </si>
  <si>
    <t>C-%</t>
  </si>
  <si>
    <t>±</t>
  </si>
  <si>
    <t>Sequoiadendron giganteum (sw)</t>
  </si>
  <si>
    <t>Sequoiadendron giganteum (tz)</t>
  </si>
  <si>
    <r>
      <rPr>
        <sz val="11"/>
        <color theme="1"/>
        <rFont val="Calibri"/>
        <family val="2"/>
        <scheme val="minor"/>
      </rPr>
      <t>Bigleaf maple</t>
    </r>
    <r>
      <rPr>
        <i/>
        <sz val="11"/>
        <color theme="1"/>
        <rFont val="Calibri"/>
        <family val="2"/>
        <scheme val="minor"/>
      </rPr>
      <t xml:space="preserve"> (Acer macrophyllum </t>
    </r>
    <r>
      <rPr>
        <sz val="11"/>
        <color theme="1"/>
        <rFont val="Calibri"/>
        <family val="2"/>
        <scheme val="minor"/>
      </rPr>
      <t>Pursh)</t>
    </r>
  </si>
  <si>
    <r>
      <rPr>
        <sz val="11"/>
        <color theme="1"/>
        <rFont val="Calibri"/>
        <family val="2"/>
        <scheme val="minor"/>
      </rPr>
      <t>Manitoba maple</t>
    </r>
    <r>
      <rPr>
        <i/>
        <sz val="11"/>
        <color theme="1"/>
        <rFont val="Calibri"/>
        <family val="2"/>
        <scheme val="minor"/>
      </rPr>
      <t xml:space="preserve"> (Acer negundo </t>
    </r>
    <r>
      <rPr>
        <sz val="11"/>
        <color theme="1"/>
        <rFont val="Calibri"/>
        <family val="2"/>
        <scheme val="minor"/>
      </rPr>
      <t>L.)</t>
    </r>
  </si>
  <si>
    <r>
      <rPr>
        <sz val="11"/>
        <color theme="1"/>
        <rFont val="Calibri"/>
        <family val="2"/>
        <scheme val="minor"/>
      </rPr>
      <t>Red maple</t>
    </r>
    <r>
      <rPr>
        <i/>
        <sz val="11"/>
        <color theme="1"/>
        <rFont val="Calibri"/>
        <family val="2"/>
        <scheme val="minor"/>
      </rPr>
      <t xml:space="preserve"> (Acer rubrum </t>
    </r>
    <r>
      <rPr>
        <sz val="11"/>
        <color theme="1"/>
        <rFont val="Calibri"/>
        <family val="2"/>
        <scheme val="minor"/>
      </rPr>
      <t>L.)</t>
    </r>
  </si>
  <si>
    <r>
      <rPr>
        <sz val="11"/>
        <color theme="1"/>
        <rFont val="Calibri"/>
        <family val="2"/>
        <scheme val="minor"/>
      </rPr>
      <t>Sugar maple</t>
    </r>
    <r>
      <rPr>
        <i/>
        <sz val="11"/>
        <color theme="1"/>
        <rFont val="Calibri"/>
        <family val="2"/>
        <scheme val="minor"/>
      </rPr>
      <t xml:space="preserve"> (Acer saccharum </t>
    </r>
    <r>
      <rPr>
        <sz val="11"/>
        <color theme="1"/>
        <rFont val="Calibri"/>
        <family val="2"/>
        <scheme val="minor"/>
      </rPr>
      <t>Marsh.)</t>
    </r>
  </si>
  <si>
    <r>
      <rPr>
        <sz val="11"/>
        <color theme="1"/>
        <rFont val="Calibri"/>
        <family val="2"/>
        <scheme val="minor"/>
      </rPr>
      <t>Red alder</t>
    </r>
    <r>
      <rPr>
        <i/>
        <sz val="11"/>
        <color theme="1"/>
        <rFont val="Calibri"/>
        <family val="2"/>
        <scheme val="minor"/>
      </rPr>
      <t xml:space="preserve"> (Alnus rubra </t>
    </r>
    <r>
      <rPr>
        <sz val="11"/>
        <color theme="1"/>
        <rFont val="Calibri"/>
        <family val="2"/>
        <scheme val="minor"/>
      </rPr>
      <t>Bong.)</t>
    </r>
  </si>
  <si>
    <r>
      <rPr>
        <sz val="11"/>
        <color theme="1"/>
        <rFont val="Calibri"/>
        <family val="2"/>
        <scheme val="minor"/>
      </rPr>
      <t xml:space="preserve">Yellow birch </t>
    </r>
    <r>
      <rPr>
        <i/>
        <sz val="11"/>
        <color theme="1"/>
        <rFont val="Calibri"/>
        <family val="2"/>
        <scheme val="minor"/>
      </rPr>
      <t xml:space="preserve">(Betula alleghaniesis </t>
    </r>
    <r>
      <rPr>
        <sz val="11"/>
        <color theme="1"/>
        <rFont val="Calibri"/>
        <family val="2"/>
        <scheme val="minor"/>
      </rPr>
      <t>Britton)</t>
    </r>
  </si>
  <si>
    <r>
      <rPr>
        <sz val="11"/>
        <color theme="1"/>
        <rFont val="Calibri"/>
        <family val="2"/>
        <scheme val="minor"/>
      </rPr>
      <t xml:space="preserve">Paper birch </t>
    </r>
    <r>
      <rPr>
        <i/>
        <sz val="11"/>
        <color theme="1"/>
        <rFont val="Calibri"/>
        <family val="2"/>
        <scheme val="minor"/>
      </rPr>
      <t xml:space="preserve">(Betula papyrifera </t>
    </r>
    <r>
      <rPr>
        <sz val="11"/>
        <color theme="1"/>
        <rFont val="Calibri"/>
        <family val="2"/>
        <scheme val="minor"/>
      </rPr>
      <t xml:space="preserve"> Marsh.)</t>
    </r>
  </si>
  <si>
    <r>
      <rPr>
        <sz val="11"/>
        <color theme="1"/>
        <rFont val="Calibri"/>
        <family val="2"/>
        <scheme val="minor"/>
      </rPr>
      <t>Hickory</t>
    </r>
    <r>
      <rPr>
        <i/>
        <sz val="11"/>
        <color theme="1"/>
        <rFont val="Calibri"/>
        <family val="2"/>
        <scheme val="minor"/>
      </rPr>
      <t xml:space="preserve"> (Carya </t>
    </r>
    <r>
      <rPr>
        <sz val="11"/>
        <color theme="1"/>
        <rFont val="Calibri"/>
        <family val="2"/>
        <scheme val="minor"/>
      </rPr>
      <t>Nutt.)</t>
    </r>
  </si>
  <si>
    <r>
      <rPr>
        <sz val="11"/>
        <color theme="1"/>
        <rFont val="Calibri"/>
        <family val="2"/>
        <scheme val="minor"/>
      </rPr>
      <t xml:space="preserve">American beech </t>
    </r>
    <r>
      <rPr>
        <i/>
        <sz val="11"/>
        <color theme="1"/>
        <rFont val="Calibri"/>
        <family val="2"/>
        <scheme val="minor"/>
      </rPr>
      <t xml:space="preserve">(Fagus grandifolia </t>
    </r>
    <r>
      <rPr>
        <sz val="11"/>
        <color theme="1"/>
        <rFont val="Calibri"/>
        <family val="2"/>
        <scheme val="minor"/>
      </rPr>
      <t>Ehrh.)</t>
    </r>
  </si>
  <si>
    <r>
      <rPr>
        <sz val="11"/>
        <color theme="1"/>
        <rFont val="Calibri"/>
        <family val="2"/>
        <scheme val="minor"/>
      </rPr>
      <t xml:space="preserve">Black ash </t>
    </r>
    <r>
      <rPr>
        <i/>
        <sz val="11"/>
        <color theme="1"/>
        <rFont val="Calibri"/>
        <family val="2"/>
        <scheme val="minor"/>
      </rPr>
      <t xml:space="preserve">(Fraxinus nigra </t>
    </r>
    <r>
      <rPr>
        <sz val="11"/>
        <color theme="1"/>
        <rFont val="Calibri"/>
        <family val="2"/>
        <scheme val="minor"/>
      </rPr>
      <t>Marsh.)</t>
    </r>
  </si>
  <si>
    <r>
      <rPr>
        <sz val="11"/>
        <color theme="1"/>
        <rFont val="Calibri"/>
        <family val="2"/>
        <scheme val="minor"/>
      </rPr>
      <t>American ash</t>
    </r>
    <r>
      <rPr>
        <i/>
        <sz val="11"/>
        <color theme="1"/>
        <rFont val="Calibri"/>
        <family val="2"/>
        <scheme val="minor"/>
      </rPr>
      <t xml:space="preserve"> (Fraxinus americana </t>
    </r>
    <r>
      <rPr>
        <sz val="11"/>
        <color theme="1"/>
        <rFont val="Calibri"/>
        <family val="2"/>
        <scheme val="minor"/>
      </rPr>
      <t xml:space="preserve"> L.)</t>
    </r>
  </si>
  <si>
    <r>
      <rPr>
        <sz val="11"/>
        <color theme="1"/>
        <rFont val="Calibri"/>
        <family val="2"/>
        <scheme val="minor"/>
      </rPr>
      <t>Butternut</t>
    </r>
    <r>
      <rPr>
        <i/>
        <sz val="11"/>
        <color theme="1"/>
        <rFont val="Calibri"/>
        <family val="2"/>
        <scheme val="minor"/>
      </rPr>
      <t xml:space="preserve"> (Juglans cinerea</t>
    </r>
    <r>
      <rPr>
        <sz val="11"/>
        <color theme="1"/>
        <rFont val="Calibri"/>
        <family val="2"/>
        <scheme val="minor"/>
      </rPr>
      <t xml:space="preserve"> L.)</t>
    </r>
  </si>
  <si>
    <r>
      <rPr>
        <sz val="11"/>
        <color theme="1"/>
        <rFont val="Calibri"/>
        <family val="2"/>
        <scheme val="minor"/>
      </rPr>
      <t>Eastern black walnut</t>
    </r>
    <r>
      <rPr>
        <i/>
        <sz val="11"/>
        <color theme="1"/>
        <rFont val="Calibri"/>
        <family val="2"/>
        <scheme val="minor"/>
      </rPr>
      <t xml:space="preserve"> (Juglans nigra</t>
    </r>
    <r>
      <rPr>
        <sz val="11"/>
        <color theme="1"/>
        <rFont val="Calibri"/>
        <family val="2"/>
        <scheme val="minor"/>
      </rPr>
      <t xml:space="preserve"> L.)</t>
    </r>
  </si>
  <si>
    <r>
      <rPr>
        <sz val="11"/>
        <color theme="1"/>
        <rFont val="Calibri"/>
        <family val="2"/>
        <scheme val="minor"/>
      </rPr>
      <t>American sycamore</t>
    </r>
    <r>
      <rPr>
        <i/>
        <sz val="11"/>
        <color theme="1"/>
        <rFont val="Calibri"/>
        <family val="2"/>
        <scheme val="minor"/>
      </rPr>
      <t xml:space="preserve"> (Platanus occidentalis </t>
    </r>
    <r>
      <rPr>
        <sz val="11"/>
        <color theme="1"/>
        <rFont val="Calibri"/>
        <family val="2"/>
        <scheme val="minor"/>
      </rPr>
      <t>L.)</t>
    </r>
  </si>
  <si>
    <r>
      <rPr>
        <sz val="11"/>
        <color theme="1"/>
        <rFont val="Calibri"/>
        <family val="2"/>
        <scheme val="minor"/>
      </rPr>
      <t xml:space="preserve">Quaking aspen </t>
    </r>
    <r>
      <rPr>
        <i/>
        <sz val="11"/>
        <color theme="1"/>
        <rFont val="Calibri"/>
        <family val="2"/>
        <scheme val="minor"/>
      </rPr>
      <t>(Populus tremuloides</t>
    </r>
    <r>
      <rPr>
        <sz val="11"/>
        <color theme="1"/>
        <rFont val="Calibri"/>
        <family val="2"/>
        <scheme val="minor"/>
      </rPr>
      <t xml:space="preserve"> Michx.)</t>
    </r>
  </si>
  <si>
    <r>
      <rPr>
        <sz val="11"/>
        <color theme="1"/>
        <rFont val="Calibri"/>
        <family val="2"/>
        <scheme val="minor"/>
      </rPr>
      <t>Black cottonwood</t>
    </r>
    <r>
      <rPr>
        <i/>
        <sz val="11"/>
        <color theme="1"/>
        <rFont val="Calibri"/>
        <family val="2"/>
        <scheme val="minor"/>
      </rPr>
      <t xml:space="preserve"> (Populus trichocarpa</t>
    </r>
    <r>
      <rPr>
        <sz val="11"/>
        <color theme="1"/>
        <rFont val="Calibri"/>
        <family val="2"/>
        <scheme val="minor"/>
      </rPr>
      <t xml:space="preserve"> Torr. &amp; Gray)</t>
    </r>
  </si>
  <si>
    <r>
      <rPr>
        <sz val="11"/>
        <color theme="1"/>
        <rFont val="Calibri"/>
        <family val="2"/>
        <scheme val="minor"/>
      </rPr>
      <t>Black cherry</t>
    </r>
    <r>
      <rPr>
        <i/>
        <sz val="11"/>
        <color theme="1"/>
        <rFont val="Calibri"/>
        <family val="2"/>
        <scheme val="minor"/>
      </rPr>
      <t xml:space="preserve"> (Prunus serotina </t>
    </r>
    <r>
      <rPr>
        <sz val="11"/>
        <color theme="1"/>
        <rFont val="Calibri"/>
        <family val="2"/>
        <scheme val="minor"/>
      </rPr>
      <t>Ehrh.)</t>
    </r>
  </si>
  <si>
    <r>
      <rPr>
        <sz val="11"/>
        <color theme="1"/>
        <rFont val="Calibri"/>
        <family val="2"/>
        <scheme val="minor"/>
      </rPr>
      <t>White oak</t>
    </r>
    <r>
      <rPr>
        <i/>
        <sz val="11"/>
        <color theme="1"/>
        <rFont val="Calibri"/>
        <family val="2"/>
        <scheme val="minor"/>
      </rPr>
      <t xml:space="preserve"> (Quercus alba</t>
    </r>
    <r>
      <rPr>
        <sz val="11"/>
        <color theme="1"/>
        <rFont val="Calibri"/>
        <family val="2"/>
        <scheme val="minor"/>
      </rPr>
      <t xml:space="preserve"> L.)</t>
    </r>
  </si>
  <si>
    <r>
      <rPr>
        <sz val="11"/>
        <color theme="1"/>
        <rFont val="Calibri"/>
        <family val="2"/>
        <scheme val="minor"/>
      </rPr>
      <t>Northern red oak</t>
    </r>
    <r>
      <rPr>
        <i/>
        <sz val="11"/>
        <color theme="1"/>
        <rFont val="Calibri"/>
        <family val="2"/>
        <scheme val="minor"/>
      </rPr>
      <t xml:space="preserve"> (Quercus rubra</t>
    </r>
    <r>
      <rPr>
        <sz val="11"/>
        <color theme="1"/>
        <rFont val="Calibri"/>
        <family val="2"/>
        <scheme val="minor"/>
      </rPr>
      <t xml:space="preserve"> L.)</t>
    </r>
  </si>
  <si>
    <r>
      <rPr>
        <sz val="11"/>
        <color theme="1"/>
        <rFont val="Calibri"/>
        <family val="2"/>
        <scheme val="minor"/>
      </rPr>
      <t xml:space="preserve">Willow </t>
    </r>
    <r>
      <rPr>
        <i/>
        <sz val="11"/>
        <color theme="1"/>
        <rFont val="Calibri"/>
        <family val="2"/>
        <scheme val="minor"/>
      </rPr>
      <t xml:space="preserve">(Salix </t>
    </r>
    <r>
      <rPr>
        <sz val="11"/>
        <color theme="1"/>
        <rFont val="Calibri"/>
        <family val="2"/>
        <scheme val="minor"/>
      </rPr>
      <t>L.)</t>
    </r>
  </si>
  <si>
    <r>
      <rPr>
        <sz val="11"/>
        <color theme="1"/>
        <rFont val="Calibri"/>
        <family val="2"/>
        <scheme val="minor"/>
      </rPr>
      <t xml:space="preserve">American linden </t>
    </r>
    <r>
      <rPr>
        <i/>
        <sz val="11"/>
        <color theme="1"/>
        <rFont val="Calibri"/>
        <family val="2"/>
        <scheme val="minor"/>
      </rPr>
      <t>(Tilia americana</t>
    </r>
    <r>
      <rPr>
        <sz val="11"/>
        <color theme="1"/>
        <rFont val="Calibri"/>
        <family val="2"/>
        <scheme val="minor"/>
      </rPr>
      <t xml:space="preserve"> L.)</t>
    </r>
  </si>
  <si>
    <r>
      <rPr>
        <sz val="11"/>
        <color theme="1"/>
        <rFont val="Calibri"/>
        <family val="2"/>
        <scheme val="minor"/>
      </rPr>
      <t xml:space="preserve">Elm </t>
    </r>
    <r>
      <rPr>
        <i/>
        <sz val="11"/>
        <color theme="1"/>
        <rFont val="Calibri"/>
        <family val="2"/>
        <scheme val="minor"/>
      </rPr>
      <t>(Ulmus</t>
    </r>
    <r>
      <rPr>
        <sz val="11"/>
        <color theme="1"/>
        <rFont val="Calibri"/>
        <family val="2"/>
        <scheme val="minor"/>
      </rPr>
      <t xml:space="preserve"> L.)</t>
    </r>
  </si>
  <si>
    <r>
      <rPr>
        <sz val="11"/>
        <color theme="1"/>
        <rFont val="Calibri"/>
        <family val="2"/>
        <scheme val="minor"/>
      </rPr>
      <t>Pacific silver fir</t>
    </r>
    <r>
      <rPr>
        <i/>
        <sz val="11"/>
        <color theme="1"/>
        <rFont val="Calibri"/>
        <family val="2"/>
        <scheme val="minor"/>
      </rPr>
      <t xml:space="preserve"> (Abies amabilis</t>
    </r>
    <r>
      <rPr>
        <sz val="11"/>
        <color theme="1"/>
        <rFont val="Calibri"/>
        <family val="2"/>
        <scheme val="minor"/>
      </rPr>
      <t xml:space="preserve"> (Dougl.) Forbes)</t>
    </r>
  </si>
  <si>
    <r>
      <rPr>
        <sz val="11"/>
        <color theme="1"/>
        <rFont val="Calibri"/>
        <family val="2"/>
        <scheme val="minor"/>
      </rPr>
      <t xml:space="preserve">Balsam fir </t>
    </r>
    <r>
      <rPr>
        <i/>
        <sz val="11"/>
        <color theme="1"/>
        <rFont val="Calibri"/>
        <family val="2"/>
        <scheme val="minor"/>
      </rPr>
      <t>(Abies balsamea</t>
    </r>
    <r>
      <rPr>
        <sz val="11"/>
        <color theme="1"/>
        <rFont val="Calibri"/>
        <family val="2"/>
        <scheme val="minor"/>
      </rPr>
      <t xml:space="preserve"> (L.) Mill.)</t>
    </r>
  </si>
  <si>
    <r>
      <rPr>
        <sz val="11"/>
        <color theme="1"/>
        <rFont val="Calibri"/>
        <family val="2"/>
        <scheme val="minor"/>
      </rPr>
      <t xml:space="preserve">Nootka cypress </t>
    </r>
    <r>
      <rPr>
        <i/>
        <sz val="11"/>
        <color theme="1"/>
        <rFont val="Calibri"/>
        <family val="2"/>
        <scheme val="minor"/>
      </rPr>
      <t>(Chamaecyparis nootkatensis</t>
    </r>
    <r>
      <rPr>
        <sz val="11"/>
        <color theme="1"/>
        <rFont val="Calibri"/>
        <family val="2"/>
        <scheme val="minor"/>
      </rPr>
      <t xml:space="preserve"> (D. Don) Spach)</t>
    </r>
  </si>
  <si>
    <r>
      <rPr>
        <sz val="11"/>
        <color theme="1"/>
        <rFont val="Calibri"/>
        <family val="2"/>
        <scheme val="minor"/>
      </rPr>
      <t>Red cedar</t>
    </r>
    <r>
      <rPr>
        <i/>
        <sz val="11"/>
        <color theme="1"/>
        <rFont val="Calibri"/>
        <family val="2"/>
        <scheme val="minor"/>
      </rPr>
      <t xml:space="preserve"> (Juniperus virginiana </t>
    </r>
    <r>
      <rPr>
        <sz val="11"/>
        <color theme="1"/>
        <rFont val="Calibri"/>
        <family val="2"/>
        <scheme val="minor"/>
      </rPr>
      <t>L.)</t>
    </r>
  </si>
  <si>
    <r>
      <rPr>
        <sz val="11"/>
        <color theme="1"/>
        <rFont val="Calibri"/>
        <family val="2"/>
        <scheme val="minor"/>
      </rPr>
      <t xml:space="preserve">American larch </t>
    </r>
    <r>
      <rPr>
        <i/>
        <sz val="11"/>
        <color theme="1"/>
        <rFont val="Calibri"/>
        <family val="2"/>
        <scheme val="minor"/>
      </rPr>
      <t>(Larix laricina</t>
    </r>
    <r>
      <rPr>
        <sz val="11"/>
        <color theme="1"/>
        <rFont val="Calibri"/>
        <family val="2"/>
        <scheme val="minor"/>
      </rPr>
      <t xml:space="preserve"> (Du Roi) K. Koch)</t>
    </r>
  </si>
  <si>
    <r>
      <rPr>
        <sz val="11"/>
        <color theme="1"/>
        <rFont val="Calibri"/>
        <family val="2"/>
        <scheme val="minor"/>
      </rPr>
      <t xml:space="preserve">Western larch </t>
    </r>
    <r>
      <rPr>
        <i/>
        <sz val="11"/>
        <color theme="1"/>
        <rFont val="Calibri"/>
        <family val="2"/>
        <scheme val="minor"/>
      </rPr>
      <t>(Larix occidentalis</t>
    </r>
    <r>
      <rPr>
        <sz val="11"/>
        <color theme="1"/>
        <rFont val="Calibri"/>
        <family val="2"/>
        <scheme val="minor"/>
      </rPr>
      <t xml:space="preserve"> Nutt.)</t>
    </r>
  </si>
  <si>
    <r>
      <rPr>
        <sz val="11"/>
        <color theme="1"/>
        <rFont val="Calibri"/>
        <family val="2"/>
        <scheme val="minor"/>
      </rPr>
      <t xml:space="preserve">White spruce </t>
    </r>
    <r>
      <rPr>
        <i/>
        <sz val="11"/>
        <color theme="1"/>
        <rFont val="Calibri"/>
        <family val="2"/>
        <scheme val="minor"/>
      </rPr>
      <t>(Picea glauca</t>
    </r>
    <r>
      <rPr>
        <sz val="11"/>
        <color theme="1"/>
        <rFont val="Calibri"/>
        <family val="2"/>
        <scheme val="minor"/>
      </rPr>
      <t xml:space="preserve"> (Moench) Voss)</t>
    </r>
  </si>
  <si>
    <r>
      <rPr>
        <sz val="11"/>
        <color theme="1"/>
        <rFont val="Calibri"/>
        <family val="2"/>
        <scheme val="minor"/>
      </rPr>
      <t xml:space="preserve">Sitka spruce </t>
    </r>
    <r>
      <rPr>
        <i/>
        <sz val="11"/>
        <color theme="1"/>
        <rFont val="Calibri"/>
        <family val="2"/>
        <scheme val="minor"/>
      </rPr>
      <t>(Picea sitchensis</t>
    </r>
    <r>
      <rPr>
        <sz val="11"/>
        <color theme="1"/>
        <rFont val="Calibri"/>
        <family val="2"/>
        <scheme val="minor"/>
      </rPr>
      <t xml:space="preserve"> (Bong.) Carr.)</t>
    </r>
  </si>
  <si>
    <r>
      <rPr>
        <sz val="11"/>
        <color theme="1"/>
        <rFont val="Calibri"/>
        <family val="2"/>
        <scheme val="minor"/>
      </rPr>
      <t xml:space="preserve">Jack pine </t>
    </r>
    <r>
      <rPr>
        <i/>
        <sz val="11"/>
        <color theme="1"/>
        <rFont val="Calibri"/>
        <family val="2"/>
        <scheme val="minor"/>
      </rPr>
      <t>(Pinus banksiana</t>
    </r>
    <r>
      <rPr>
        <sz val="11"/>
        <color theme="1"/>
        <rFont val="Calibri"/>
        <family val="2"/>
        <scheme val="minor"/>
      </rPr>
      <t xml:space="preserve"> Lamb.)</t>
    </r>
  </si>
  <si>
    <r>
      <rPr>
        <sz val="11"/>
        <color theme="1"/>
        <rFont val="Calibri"/>
        <family val="2"/>
        <scheme val="minor"/>
      </rPr>
      <t xml:space="preserve">Lodgepole pine </t>
    </r>
    <r>
      <rPr>
        <i/>
        <sz val="11"/>
        <color theme="1"/>
        <rFont val="Calibri"/>
        <family val="2"/>
        <scheme val="minor"/>
      </rPr>
      <t>(Pinus contorta</t>
    </r>
    <r>
      <rPr>
        <sz val="11"/>
        <color theme="1"/>
        <rFont val="Calibri"/>
        <family val="2"/>
        <scheme val="minor"/>
      </rPr>
      <t xml:space="preserve"> Dougl.)</t>
    </r>
  </si>
  <si>
    <r>
      <rPr>
        <sz val="11"/>
        <color theme="1"/>
        <rFont val="Calibri"/>
        <family val="2"/>
        <scheme val="minor"/>
      </rPr>
      <t xml:space="preserve">Ponderosa pine </t>
    </r>
    <r>
      <rPr>
        <i/>
        <sz val="11"/>
        <color theme="1"/>
        <rFont val="Calibri"/>
        <family val="2"/>
        <scheme val="minor"/>
      </rPr>
      <t>(Pinus ponderosa</t>
    </r>
    <r>
      <rPr>
        <sz val="11"/>
        <color theme="1"/>
        <rFont val="Calibri"/>
        <family val="2"/>
        <scheme val="minor"/>
      </rPr>
      <t xml:space="preserve"> Laws.)</t>
    </r>
  </si>
  <si>
    <r>
      <rPr>
        <sz val="11"/>
        <color theme="1"/>
        <rFont val="Calibri"/>
        <family val="2"/>
        <scheme val="minor"/>
      </rPr>
      <t xml:space="preserve">Red pine </t>
    </r>
    <r>
      <rPr>
        <i/>
        <sz val="11"/>
        <color theme="1"/>
        <rFont val="Calibri"/>
        <family val="2"/>
        <scheme val="minor"/>
      </rPr>
      <t>(Pinus resinosa</t>
    </r>
    <r>
      <rPr>
        <sz val="11"/>
        <color theme="1"/>
        <rFont val="Calibri"/>
        <family val="2"/>
        <scheme val="minor"/>
      </rPr>
      <t xml:space="preserve"> Ait.)</t>
    </r>
  </si>
  <si>
    <r>
      <rPr>
        <sz val="11"/>
        <color theme="1"/>
        <rFont val="Calibri"/>
        <family val="2"/>
        <scheme val="minor"/>
      </rPr>
      <t xml:space="preserve">Weymouth pine </t>
    </r>
    <r>
      <rPr>
        <i/>
        <sz val="11"/>
        <color theme="1"/>
        <rFont val="Calibri"/>
        <family val="2"/>
        <scheme val="minor"/>
      </rPr>
      <t>(Pinus strobus</t>
    </r>
    <r>
      <rPr>
        <sz val="11"/>
        <color theme="1"/>
        <rFont val="Calibri"/>
        <family val="2"/>
        <scheme val="minor"/>
      </rPr>
      <t xml:space="preserve"> L.)</t>
    </r>
  </si>
  <si>
    <r>
      <rPr>
        <sz val="11"/>
        <color theme="1"/>
        <rFont val="Calibri"/>
        <family val="2"/>
        <scheme val="minor"/>
      </rPr>
      <t xml:space="preserve">Douglas fir </t>
    </r>
    <r>
      <rPr>
        <i/>
        <sz val="11"/>
        <color theme="1"/>
        <rFont val="Calibri"/>
        <family val="2"/>
        <scheme val="minor"/>
      </rPr>
      <t>(Pseudotsuga menziesii</t>
    </r>
    <r>
      <rPr>
        <sz val="11"/>
        <color theme="1"/>
        <rFont val="Calibri"/>
        <family val="2"/>
        <scheme val="minor"/>
      </rPr>
      <t xml:space="preserve"> (Mirb.) Franco)</t>
    </r>
  </si>
  <si>
    <r>
      <rPr>
        <sz val="11"/>
        <color theme="1"/>
        <rFont val="Calibri"/>
        <family val="2"/>
        <scheme val="minor"/>
      </rPr>
      <t xml:space="preserve">Northern white cedar </t>
    </r>
    <r>
      <rPr>
        <i/>
        <sz val="11"/>
        <color theme="1"/>
        <rFont val="Calibri"/>
        <family val="2"/>
        <scheme val="minor"/>
      </rPr>
      <t>(Thuja occidentalis</t>
    </r>
    <r>
      <rPr>
        <sz val="11"/>
        <color theme="1"/>
        <rFont val="Calibri"/>
        <family val="2"/>
        <scheme val="minor"/>
      </rPr>
      <t xml:space="preserve"> L.)</t>
    </r>
  </si>
  <si>
    <r>
      <rPr>
        <sz val="11"/>
        <color theme="1"/>
        <rFont val="Calibri"/>
        <family val="2"/>
        <scheme val="minor"/>
      </rPr>
      <t xml:space="preserve">Western red cedar </t>
    </r>
    <r>
      <rPr>
        <i/>
        <sz val="11"/>
        <color theme="1"/>
        <rFont val="Calibri"/>
        <family val="2"/>
        <scheme val="minor"/>
      </rPr>
      <t>(Thuja plicata</t>
    </r>
    <r>
      <rPr>
        <sz val="11"/>
        <color theme="1"/>
        <rFont val="Calibri"/>
        <family val="2"/>
        <scheme val="minor"/>
      </rPr>
      <t xml:space="preserve"> Donn)</t>
    </r>
  </si>
  <si>
    <r>
      <rPr>
        <sz val="11"/>
        <color theme="1"/>
        <rFont val="Calibri"/>
        <family val="2"/>
        <scheme val="minor"/>
      </rPr>
      <t xml:space="preserve">Canadian hemlock </t>
    </r>
    <r>
      <rPr>
        <i/>
        <sz val="11"/>
        <color theme="1"/>
        <rFont val="Calibri"/>
        <family val="2"/>
        <scheme val="minor"/>
      </rPr>
      <t>(Tsuga canadensis</t>
    </r>
    <r>
      <rPr>
        <sz val="11"/>
        <color theme="1"/>
        <rFont val="Calibri"/>
        <family val="2"/>
        <scheme val="minor"/>
      </rPr>
      <t xml:space="preserve"> (L.))</t>
    </r>
  </si>
  <si>
    <r>
      <rPr>
        <sz val="11"/>
        <color theme="1"/>
        <rFont val="Calibri"/>
        <family val="2"/>
        <scheme val="minor"/>
      </rPr>
      <t xml:space="preserve">Western hemlock </t>
    </r>
    <r>
      <rPr>
        <i/>
        <sz val="11"/>
        <color theme="1"/>
        <rFont val="Calibri"/>
        <family val="2"/>
        <scheme val="minor"/>
      </rPr>
      <t>(Tsuga heterophylla</t>
    </r>
    <r>
      <rPr>
        <sz val="11"/>
        <color theme="1"/>
        <rFont val="Calibri"/>
        <family val="2"/>
        <scheme val="minor"/>
      </rPr>
      <t xml:space="preserve"> (Raf.) Sarg.)</t>
    </r>
  </si>
  <si>
    <r>
      <rPr>
        <sz val="11"/>
        <color theme="1"/>
        <rFont val="Calibri"/>
        <family val="2"/>
        <scheme val="minor"/>
      </rPr>
      <t xml:space="preserve">Giant redwood </t>
    </r>
    <r>
      <rPr>
        <i/>
        <sz val="11"/>
        <color theme="1"/>
        <rFont val="Calibri"/>
        <family val="2"/>
        <scheme val="minor"/>
      </rPr>
      <t>(Sequoiadendron giganteum</t>
    </r>
    <r>
      <rPr>
        <sz val="11"/>
        <color theme="1"/>
        <rFont val="Calibri"/>
        <family val="2"/>
        <scheme val="minor"/>
      </rPr>
      <t xml:space="preserve"> (Lindl.) Bucholz (hw))</t>
    </r>
  </si>
  <si>
    <t xml:space="preserve">Deciduous trees </t>
  </si>
  <si>
    <t>Coniferous trees</t>
  </si>
  <si>
    <t>Average:</t>
  </si>
  <si>
    <t>Estimated C-%</t>
  </si>
  <si>
    <r>
      <t>Abachi (</t>
    </r>
    <r>
      <rPr>
        <i/>
        <sz val="11"/>
        <color theme="1"/>
        <rFont val="Calibri"/>
        <family val="2"/>
        <scheme val="minor"/>
      </rPr>
      <t>Triplchiton scleroxylon</t>
    </r>
    <r>
      <rPr>
        <sz val="11"/>
        <color theme="1"/>
        <rFont val="Calibri"/>
        <family val="2"/>
        <scheme val="minor"/>
      </rPr>
      <t>)</t>
    </r>
  </si>
  <si>
    <r>
      <t>Abuirana (</t>
    </r>
    <r>
      <rPr>
        <i/>
        <sz val="11"/>
        <color theme="1"/>
        <rFont val="Calibri"/>
        <family val="2"/>
        <scheme val="minor"/>
      </rPr>
      <t>Pouteria spp</t>
    </r>
    <r>
      <rPr>
        <sz val="11"/>
        <color theme="1"/>
        <rFont val="Calibri"/>
        <family val="2"/>
        <scheme val="minor"/>
      </rPr>
      <t>)</t>
    </r>
  </si>
  <si>
    <r>
      <t>Acapu / Bruinhart (</t>
    </r>
    <r>
      <rPr>
        <i/>
        <sz val="11"/>
        <color theme="1"/>
        <rFont val="Calibri"/>
        <family val="2"/>
        <scheme val="minor"/>
      </rPr>
      <t>Vouacapoua americana</t>
    </r>
    <r>
      <rPr>
        <sz val="11"/>
        <color theme="1"/>
        <rFont val="Calibri"/>
        <family val="2"/>
        <scheme val="minor"/>
      </rPr>
      <t>)</t>
    </r>
  </si>
  <si>
    <r>
      <t>Afzelia - Doussié (</t>
    </r>
    <r>
      <rPr>
        <i/>
        <sz val="11"/>
        <color theme="1"/>
        <rFont val="Calibri"/>
        <family val="2"/>
        <scheme val="minor"/>
      </rPr>
      <t>Afzelia bipindensis</t>
    </r>
    <r>
      <rPr>
        <sz val="11"/>
        <color theme="1"/>
        <rFont val="Calibri"/>
        <family val="2"/>
        <scheme val="minor"/>
      </rPr>
      <t>)</t>
    </r>
  </si>
  <si>
    <r>
      <t>Aldina / Sucupira vermelho (</t>
    </r>
    <r>
      <rPr>
        <i/>
        <sz val="11"/>
        <color theme="1"/>
        <rFont val="Calibri"/>
        <family val="2"/>
        <scheme val="minor"/>
      </rPr>
      <t>Aldina heterophylla</t>
    </r>
    <r>
      <rPr>
        <sz val="11"/>
        <color theme="1"/>
        <rFont val="Calibri"/>
        <family val="2"/>
        <scheme val="minor"/>
      </rPr>
      <t>)</t>
    </r>
  </si>
  <si>
    <r>
      <t>Angelim pedra / Sapupira (</t>
    </r>
    <r>
      <rPr>
        <i/>
        <sz val="11"/>
        <color theme="1"/>
        <rFont val="Calibri"/>
        <family val="2"/>
        <scheme val="minor"/>
      </rPr>
      <t>Hymenolobium spp.</t>
    </r>
    <r>
      <rPr>
        <sz val="11"/>
        <color theme="1"/>
        <rFont val="Calibri"/>
        <family val="2"/>
        <scheme val="minor"/>
      </rPr>
      <t>)</t>
    </r>
  </si>
  <si>
    <r>
      <t>Angelim vermelho (</t>
    </r>
    <r>
      <rPr>
        <i/>
        <sz val="11"/>
        <color theme="1"/>
        <rFont val="Calibri"/>
        <family val="2"/>
        <scheme val="minor"/>
      </rPr>
      <t>Dinizia spp.</t>
    </r>
    <r>
      <rPr>
        <sz val="11"/>
        <color theme="1"/>
        <rFont val="Calibri"/>
        <family val="2"/>
        <scheme val="minor"/>
      </rPr>
      <t>)</t>
    </r>
  </si>
  <si>
    <r>
      <t>Araracanga (</t>
    </r>
    <r>
      <rPr>
        <i/>
        <sz val="11"/>
        <color theme="1"/>
        <rFont val="Calibri"/>
        <family val="2"/>
        <scheme val="minor"/>
      </rPr>
      <t>Aspidosperma spp.</t>
    </r>
    <r>
      <rPr>
        <sz val="11"/>
        <color theme="1"/>
        <rFont val="Calibri"/>
        <family val="2"/>
        <scheme val="minor"/>
      </rPr>
      <t>)</t>
    </r>
  </si>
  <si>
    <r>
      <t>Ayous (</t>
    </r>
    <r>
      <rPr>
        <i/>
        <sz val="11"/>
        <color theme="1"/>
        <rFont val="Calibri"/>
        <family val="2"/>
        <scheme val="minor"/>
      </rPr>
      <t>Triplchiton scleroxylon</t>
    </r>
    <r>
      <rPr>
        <sz val="11"/>
        <color theme="1"/>
        <rFont val="Calibri"/>
        <family val="2"/>
        <scheme val="minor"/>
      </rPr>
      <t>)</t>
    </r>
  </si>
  <si>
    <r>
      <t>Azobé (</t>
    </r>
    <r>
      <rPr>
        <i/>
        <sz val="11"/>
        <color theme="1"/>
        <rFont val="Calibri"/>
        <family val="2"/>
        <scheme val="minor"/>
      </rPr>
      <t>Lophira alata</t>
    </r>
    <r>
      <rPr>
        <sz val="11"/>
        <color theme="1"/>
        <rFont val="Calibri"/>
        <family val="2"/>
        <scheme val="minor"/>
      </rPr>
      <t>)</t>
    </r>
  </si>
  <si>
    <r>
      <t>Bangkirai (</t>
    </r>
    <r>
      <rPr>
        <i/>
        <sz val="11"/>
        <color theme="1"/>
        <rFont val="Calibri"/>
        <family val="2"/>
        <scheme val="minor"/>
      </rPr>
      <t>Shorea spp.</t>
    </r>
    <r>
      <rPr>
        <sz val="11"/>
        <color theme="1"/>
        <rFont val="Calibri"/>
        <family val="2"/>
        <scheme val="minor"/>
      </rPr>
      <t>)</t>
    </r>
  </si>
  <si>
    <r>
      <t>Basralocus (</t>
    </r>
    <r>
      <rPr>
        <i/>
        <sz val="11"/>
        <color theme="1"/>
        <rFont val="Calibri"/>
        <family val="2"/>
        <scheme val="minor"/>
      </rPr>
      <t>Dycorinia guianensis</t>
    </r>
    <r>
      <rPr>
        <sz val="11"/>
        <color theme="1"/>
        <rFont val="Calibri"/>
        <family val="2"/>
        <scheme val="minor"/>
      </rPr>
      <t>)</t>
    </r>
  </si>
  <si>
    <r>
      <t>Berken (</t>
    </r>
    <r>
      <rPr>
        <i/>
        <sz val="11"/>
        <color theme="1"/>
        <rFont val="Calibri"/>
        <family val="2"/>
        <scheme val="minor"/>
      </rPr>
      <t>Betula spp.</t>
    </r>
    <r>
      <rPr>
        <sz val="11"/>
        <color theme="1"/>
        <rFont val="Calibri"/>
        <family val="2"/>
        <scheme val="minor"/>
      </rPr>
      <t>)</t>
    </r>
  </si>
  <si>
    <r>
      <t>Beuken (</t>
    </r>
    <r>
      <rPr>
        <i/>
        <sz val="11"/>
        <color theme="1"/>
        <rFont val="Calibri"/>
        <family val="2"/>
        <scheme val="minor"/>
      </rPr>
      <t>Fagus sylvatica</t>
    </r>
    <r>
      <rPr>
        <sz val="11"/>
        <color theme="1"/>
        <rFont val="Calibri"/>
        <family val="2"/>
        <scheme val="minor"/>
      </rPr>
      <t>)</t>
    </r>
  </si>
  <si>
    <r>
      <t>Bilinga (</t>
    </r>
    <r>
      <rPr>
        <i/>
        <sz val="11"/>
        <color theme="1"/>
        <rFont val="Calibri"/>
        <family val="2"/>
        <scheme val="minor"/>
      </rPr>
      <t>Nauclea spec. div.</t>
    </r>
    <r>
      <rPr>
        <sz val="11"/>
        <color theme="1"/>
        <rFont val="Calibri"/>
        <family val="2"/>
        <scheme val="minor"/>
      </rPr>
      <t>)</t>
    </r>
  </si>
  <si>
    <r>
      <t>Bintangor (</t>
    </r>
    <r>
      <rPr>
        <i/>
        <sz val="11"/>
        <color theme="1"/>
        <rFont val="Calibri"/>
        <family val="2"/>
        <scheme val="minor"/>
      </rPr>
      <t>Calophyllum spp.</t>
    </r>
    <r>
      <rPr>
        <sz val="11"/>
        <color theme="1"/>
        <rFont val="Calibri"/>
        <family val="2"/>
        <scheme val="minor"/>
      </rPr>
      <t>)</t>
    </r>
  </si>
  <si>
    <r>
      <t>Bossé (</t>
    </r>
    <r>
      <rPr>
        <i/>
        <sz val="11"/>
        <color theme="1"/>
        <rFont val="Calibri"/>
        <family val="2"/>
        <scheme val="minor"/>
      </rPr>
      <t>Guarea cedrata</t>
    </r>
    <r>
      <rPr>
        <sz val="11"/>
        <color theme="1"/>
        <rFont val="Calibri"/>
        <family val="2"/>
        <scheme val="minor"/>
      </rPr>
      <t>)</t>
    </r>
  </si>
  <si>
    <r>
      <t>Californian redwood (</t>
    </r>
    <r>
      <rPr>
        <i/>
        <sz val="11"/>
        <color theme="1"/>
        <rFont val="Calibri"/>
        <family val="2"/>
        <scheme val="minor"/>
      </rPr>
      <t>Sequoia sempervirens</t>
    </r>
    <r>
      <rPr>
        <sz val="11"/>
        <color theme="1"/>
        <rFont val="Calibri"/>
        <family val="2"/>
        <scheme val="minor"/>
      </rPr>
      <t>)</t>
    </r>
  </si>
  <si>
    <r>
      <t>Ceder (</t>
    </r>
    <r>
      <rPr>
        <i/>
        <sz val="11"/>
        <color theme="1"/>
        <rFont val="Calibri"/>
        <family val="2"/>
        <scheme val="minor"/>
      </rPr>
      <t>Cedrela odorata</t>
    </r>
    <r>
      <rPr>
        <sz val="11"/>
        <color theme="1"/>
        <rFont val="Calibri"/>
        <family val="2"/>
        <scheme val="minor"/>
      </rPr>
      <t>)</t>
    </r>
  </si>
  <si>
    <r>
      <t>Cedrorana (</t>
    </r>
    <r>
      <rPr>
        <i/>
        <sz val="11"/>
        <color theme="1"/>
        <rFont val="Calibri"/>
        <family val="2"/>
        <scheme val="minor"/>
      </rPr>
      <t>Cedrelinga catenaeformis</t>
    </r>
    <r>
      <rPr>
        <sz val="11"/>
        <color theme="1"/>
        <rFont val="Calibri"/>
        <family val="2"/>
        <scheme val="minor"/>
      </rPr>
      <t>)</t>
    </r>
  </si>
  <si>
    <r>
      <t>Congo Khaya (</t>
    </r>
    <r>
      <rPr>
        <i/>
        <sz val="11"/>
        <color theme="1"/>
        <rFont val="Calibri"/>
        <family val="2"/>
        <scheme val="minor"/>
      </rPr>
      <t>Khaya grandifoliola</t>
    </r>
    <r>
      <rPr>
        <sz val="11"/>
        <color theme="1"/>
        <rFont val="Calibri"/>
        <family val="2"/>
        <scheme val="minor"/>
      </rPr>
      <t>)</t>
    </r>
  </si>
  <si>
    <r>
      <t>Courbaril / Jatoba (</t>
    </r>
    <r>
      <rPr>
        <i/>
        <sz val="11"/>
        <color theme="1"/>
        <rFont val="Calibri"/>
        <family val="2"/>
        <scheme val="minor"/>
      </rPr>
      <t>Hymynea spp.</t>
    </r>
    <r>
      <rPr>
        <sz val="11"/>
        <color theme="1"/>
        <rFont val="Calibri"/>
        <family val="2"/>
        <scheme val="minor"/>
      </rPr>
      <t>)</t>
    </r>
  </si>
  <si>
    <r>
      <t>Cumaru (</t>
    </r>
    <r>
      <rPr>
        <i/>
        <sz val="11"/>
        <color theme="1"/>
        <rFont val="Calibri"/>
        <family val="2"/>
        <scheme val="minor"/>
      </rPr>
      <t>Dypteryx odorata</t>
    </r>
    <r>
      <rPr>
        <sz val="11"/>
        <color theme="1"/>
        <rFont val="Calibri"/>
        <family val="2"/>
        <scheme val="minor"/>
      </rPr>
      <t>)</t>
    </r>
  </si>
  <si>
    <r>
      <t>Cupiúba /Kopie (</t>
    </r>
    <r>
      <rPr>
        <i/>
        <sz val="11"/>
        <color theme="1"/>
        <rFont val="Calibri"/>
        <family val="2"/>
        <scheme val="minor"/>
      </rPr>
      <t>Goupia glabra</t>
    </r>
    <r>
      <rPr>
        <sz val="11"/>
        <color theme="1"/>
        <rFont val="Calibri"/>
        <family val="2"/>
        <scheme val="minor"/>
      </rPr>
      <t>)</t>
    </r>
  </si>
  <si>
    <r>
      <t>Curupay (</t>
    </r>
    <r>
      <rPr>
        <i/>
        <sz val="11"/>
        <color theme="1"/>
        <rFont val="Calibri"/>
        <family val="2"/>
        <scheme val="minor"/>
      </rPr>
      <t>Anadenanthera colubrina</t>
    </r>
    <r>
      <rPr>
        <sz val="11"/>
        <color theme="1"/>
        <rFont val="Calibri"/>
        <family val="2"/>
        <scheme val="minor"/>
      </rPr>
      <t>)</t>
    </r>
  </si>
  <si>
    <r>
      <t>Demerare groenhart (</t>
    </r>
    <r>
      <rPr>
        <i/>
        <sz val="11"/>
        <color theme="1"/>
        <rFont val="Calibri"/>
        <family val="2"/>
        <scheme val="minor"/>
      </rPr>
      <t>Chlorocardium rodiei</t>
    </r>
    <r>
      <rPr>
        <sz val="11"/>
        <color theme="1"/>
        <rFont val="Calibri"/>
        <family val="2"/>
        <scheme val="minor"/>
      </rPr>
      <t>)</t>
    </r>
  </si>
  <si>
    <r>
      <t>Dennen (</t>
    </r>
    <r>
      <rPr>
        <i/>
        <sz val="11"/>
        <color theme="1"/>
        <rFont val="Calibri"/>
        <family val="2"/>
        <scheme val="minor"/>
      </rPr>
      <t>Abies spp</t>
    </r>
    <r>
      <rPr>
        <sz val="11"/>
        <color theme="1"/>
        <rFont val="Calibri"/>
        <family val="2"/>
        <scheme val="minor"/>
      </rPr>
      <t>)</t>
    </r>
  </si>
  <si>
    <r>
      <t>Douglas (</t>
    </r>
    <r>
      <rPr>
        <i/>
        <sz val="11"/>
        <color theme="1"/>
        <rFont val="Calibri"/>
        <family val="2"/>
        <scheme val="minor"/>
      </rPr>
      <t>Pseudotsuga menziesii</t>
    </r>
    <r>
      <rPr>
        <sz val="11"/>
        <color theme="1"/>
        <rFont val="Calibri"/>
        <family val="2"/>
        <scheme val="minor"/>
      </rPr>
      <t>)</t>
    </r>
  </si>
  <si>
    <r>
      <t>Esdoorn (</t>
    </r>
    <r>
      <rPr>
        <i/>
        <sz val="11"/>
        <color theme="1"/>
        <rFont val="Calibri"/>
        <family val="2"/>
        <scheme val="minor"/>
      </rPr>
      <t>Acer spp.</t>
    </r>
    <r>
      <rPr>
        <sz val="11"/>
        <color theme="1"/>
        <rFont val="Calibri"/>
        <family val="2"/>
        <scheme val="minor"/>
      </rPr>
      <t>)</t>
    </r>
  </si>
  <si>
    <r>
      <t>Essen (</t>
    </r>
    <r>
      <rPr>
        <i/>
        <sz val="11"/>
        <color theme="1"/>
        <rFont val="Calibri"/>
        <family val="2"/>
        <scheme val="minor"/>
      </rPr>
      <t>Fraxinus spp</t>
    </r>
    <r>
      <rPr>
        <sz val="11"/>
        <color theme="1"/>
        <rFont val="Calibri"/>
        <family val="2"/>
        <scheme val="minor"/>
      </rPr>
      <t>)</t>
    </r>
  </si>
  <si>
    <r>
      <t>Europees eiken (</t>
    </r>
    <r>
      <rPr>
        <i/>
        <sz val="11"/>
        <color theme="1"/>
        <rFont val="Calibri"/>
        <family val="2"/>
        <scheme val="minor"/>
      </rPr>
      <t>Quercus spp.</t>
    </r>
    <r>
      <rPr>
        <sz val="11"/>
        <color theme="1"/>
        <rFont val="Calibri"/>
        <family val="2"/>
        <scheme val="minor"/>
      </rPr>
      <t>)</t>
    </r>
  </si>
  <si>
    <r>
      <t>Fraké (</t>
    </r>
    <r>
      <rPr>
        <i/>
        <sz val="11"/>
        <color theme="1"/>
        <rFont val="Calibri"/>
        <family val="2"/>
        <scheme val="minor"/>
      </rPr>
      <t>Terminalia superba</t>
    </r>
    <r>
      <rPr>
        <sz val="11"/>
        <color theme="1"/>
        <rFont val="Calibri"/>
        <family val="2"/>
        <scheme val="minor"/>
      </rPr>
      <t>)</t>
    </r>
  </si>
  <si>
    <r>
      <t>Gonsalo alves (</t>
    </r>
    <r>
      <rPr>
        <i/>
        <sz val="11"/>
        <color theme="1"/>
        <rFont val="Calibri"/>
        <family val="2"/>
        <scheme val="minor"/>
      </rPr>
      <t>Astrionium spp.</t>
    </r>
    <r>
      <rPr>
        <sz val="11"/>
        <color theme="1"/>
        <rFont val="Calibri"/>
        <family val="2"/>
        <scheme val="minor"/>
      </rPr>
      <t>)</t>
    </r>
  </si>
  <si>
    <r>
      <t>Grenen (</t>
    </r>
    <r>
      <rPr>
        <i/>
        <sz val="11"/>
        <color theme="1"/>
        <rFont val="Calibri"/>
        <family val="2"/>
        <scheme val="minor"/>
      </rPr>
      <t>Pinus sylvestris</t>
    </r>
    <r>
      <rPr>
        <sz val="11"/>
        <color theme="1"/>
        <rFont val="Calibri"/>
        <family val="2"/>
        <scheme val="minor"/>
      </rPr>
      <t>)</t>
    </r>
  </si>
  <si>
    <r>
      <t>Guariuba (</t>
    </r>
    <r>
      <rPr>
        <i/>
        <sz val="11"/>
        <color theme="1"/>
        <rFont val="Calibri"/>
        <family val="2"/>
        <scheme val="minor"/>
      </rPr>
      <t>Clarisia racemosa</t>
    </r>
    <r>
      <rPr>
        <sz val="11"/>
        <color theme="1"/>
        <rFont val="Calibri"/>
        <family val="2"/>
        <scheme val="minor"/>
      </rPr>
      <t>)</t>
    </r>
  </si>
  <si>
    <r>
      <t>Ipé (</t>
    </r>
    <r>
      <rPr>
        <i/>
        <sz val="11"/>
        <color theme="1"/>
        <rFont val="Calibri"/>
        <family val="2"/>
        <scheme val="minor"/>
      </rPr>
      <t>Handroanthus spec. div.</t>
    </r>
    <r>
      <rPr>
        <sz val="11"/>
        <color theme="1"/>
        <rFont val="Calibri"/>
        <family val="2"/>
        <scheme val="minor"/>
      </rPr>
      <t>)</t>
    </r>
  </si>
  <si>
    <r>
      <t>Iroko (</t>
    </r>
    <r>
      <rPr>
        <i/>
        <sz val="11"/>
        <color theme="1"/>
        <rFont val="Calibri"/>
        <family val="2"/>
        <scheme val="minor"/>
      </rPr>
      <t>Milicia excelsa, M. regia</t>
    </r>
    <r>
      <rPr>
        <sz val="11"/>
        <color theme="1"/>
        <rFont val="Calibri"/>
        <family val="2"/>
        <scheme val="minor"/>
      </rPr>
      <t>)</t>
    </r>
  </si>
  <si>
    <r>
      <t>Itauba (</t>
    </r>
    <r>
      <rPr>
        <i/>
        <sz val="11"/>
        <color theme="1"/>
        <rFont val="Calibri"/>
        <family val="2"/>
        <scheme val="minor"/>
      </rPr>
      <t>Mezilaurus ita-uba</t>
    </r>
    <r>
      <rPr>
        <sz val="11"/>
        <color theme="1"/>
        <rFont val="Calibri"/>
        <family val="2"/>
        <scheme val="minor"/>
      </rPr>
      <t>)</t>
    </r>
  </si>
  <si>
    <r>
      <t>Karri (</t>
    </r>
    <r>
      <rPr>
        <i/>
        <sz val="11"/>
        <color theme="1"/>
        <rFont val="Calibri"/>
        <family val="2"/>
        <scheme val="minor"/>
      </rPr>
      <t>Eucalyptus diversicolor</t>
    </r>
    <r>
      <rPr>
        <sz val="11"/>
        <color theme="1"/>
        <rFont val="Calibri"/>
        <family val="2"/>
        <scheme val="minor"/>
      </rPr>
      <t>)</t>
    </r>
  </si>
  <si>
    <r>
      <t>Kosipo(-mahonie) (</t>
    </r>
    <r>
      <rPr>
        <i/>
        <sz val="11"/>
        <color theme="1"/>
        <rFont val="Calibri"/>
        <family val="2"/>
        <scheme val="minor"/>
      </rPr>
      <t>Entandrophragma candollei</t>
    </r>
    <r>
      <rPr>
        <sz val="11"/>
        <color theme="1"/>
        <rFont val="Calibri"/>
        <family val="2"/>
        <scheme val="minor"/>
      </rPr>
      <t>)</t>
    </r>
  </si>
  <si>
    <r>
      <t>Lariks (</t>
    </r>
    <r>
      <rPr>
        <i/>
        <sz val="11"/>
        <color theme="1"/>
        <rFont val="Calibri"/>
        <family val="2"/>
        <scheme val="minor"/>
      </rPr>
      <t>Larix decidua</t>
    </r>
    <r>
      <rPr>
        <sz val="11"/>
        <color theme="1"/>
        <rFont val="Calibri"/>
        <family val="2"/>
        <scheme val="minor"/>
      </rPr>
      <t>)</t>
    </r>
  </si>
  <si>
    <r>
      <t>Lauan, red (</t>
    </r>
    <r>
      <rPr>
        <i/>
        <sz val="11"/>
        <color theme="1"/>
        <rFont val="Calibri"/>
        <family val="2"/>
        <scheme val="minor"/>
      </rPr>
      <t>Shorea negrosensis</t>
    </r>
    <r>
      <rPr>
        <sz val="11"/>
        <color theme="1"/>
        <rFont val="Calibri"/>
        <family val="2"/>
        <scheme val="minor"/>
      </rPr>
      <t>)</t>
    </r>
  </si>
  <si>
    <r>
      <t>Limba (</t>
    </r>
    <r>
      <rPr>
        <i/>
        <sz val="11"/>
        <color theme="1"/>
        <rFont val="Calibri"/>
        <family val="2"/>
        <scheme val="minor"/>
      </rPr>
      <t>Terminalia superba</t>
    </r>
    <r>
      <rPr>
        <sz val="11"/>
        <color theme="1"/>
        <rFont val="Calibri"/>
        <family val="2"/>
        <scheme val="minor"/>
      </rPr>
      <t>)</t>
    </r>
  </si>
  <si>
    <r>
      <t>Louro gamela / Louro vermelho (</t>
    </r>
    <r>
      <rPr>
        <i/>
        <sz val="11"/>
        <color theme="1"/>
        <rFont val="Calibri"/>
        <family val="2"/>
        <scheme val="minor"/>
      </rPr>
      <t>Sextonia rubra</t>
    </r>
    <r>
      <rPr>
        <sz val="11"/>
        <color theme="1"/>
        <rFont val="Calibri"/>
        <family val="2"/>
        <scheme val="minor"/>
      </rPr>
      <t>)</t>
    </r>
  </si>
  <si>
    <r>
      <t>Makoré (</t>
    </r>
    <r>
      <rPr>
        <i/>
        <sz val="11"/>
        <color theme="1"/>
        <rFont val="Calibri"/>
        <family val="2"/>
        <scheme val="minor"/>
      </rPr>
      <t>Tieghemella heckelii</t>
    </r>
    <r>
      <rPr>
        <sz val="11"/>
        <color theme="1"/>
        <rFont val="Calibri"/>
        <family val="2"/>
        <scheme val="minor"/>
      </rPr>
      <t>)</t>
    </r>
  </si>
  <si>
    <r>
      <t>Manbarklak (</t>
    </r>
    <r>
      <rPr>
        <i/>
        <sz val="11"/>
        <color theme="1"/>
        <rFont val="Calibri"/>
        <family val="2"/>
        <scheme val="minor"/>
      </rPr>
      <t>Eschweilera spp.</t>
    </r>
    <r>
      <rPr>
        <sz val="11"/>
        <color theme="1"/>
        <rFont val="Calibri"/>
        <family val="2"/>
        <scheme val="minor"/>
      </rPr>
      <t>)</t>
    </r>
  </si>
  <si>
    <r>
      <t>Massaranduba (</t>
    </r>
    <r>
      <rPr>
        <i/>
        <sz val="11"/>
        <color theme="1"/>
        <rFont val="Calibri"/>
        <family val="2"/>
        <scheme val="minor"/>
      </rPr>
      <t>Manilkara bidentata</t>
    </r>
    <r>
      <rPr>
        <sz val="11"/>
        <color theme="1"/>
        <rFont val="Calibri"/>
        <family val="2"/>
        <scheme val="minor"/>
      </rPr>
      <t>)</t>
    </r>
  </si>
  <si>
    <r>
      <t>Meranti, donker rood (</t>
    </r>
    <r>
      <rPr>
        <i/>
        <sz val="11"/>
        <color theme="1"/>
        <rFont val="Calibri"/>
        <family val="2"/>
        <scheme val="minor"/>
      </rPr>
      <t>Shorea spp.</t>
    </r>
    <r>
      <rPr>
        <sz val="11"/>
        <color theme="1"/>
        <rFont val="Calibri"/>
        <family val="2"/>
        <scheme val="minor"/>
      </rPr>
      <t>)</t>
    </r>
  </si>
  <si>
    <r>
      <t>Merbau (</t>
    </r>
    <r>
      <rPr>
        <i/>
        <sz val="11"/>
        <color theme="1"/>
        <rFont val="Calibri"/>
        <family val="2"/>
        <scheme val="minor"/>
      </rPr>
      <t>Intsia buijuga</t>
    </r>
    <r>
      <rPr>
        <sz val="11"/>
        <color theme="1"/>
        <rFont val="Calibri"/>
        <family val="2"/>
        <scheme val="minor"/>
      </rPr>
      <t>)</t>
    </r>
  </si>
  <si>
    <r>
      <t>Moabi (</t>
    </r>
    <r>
      <rPr>
        <i/>
        <sz val="11"/>
        <color theme="1"/>
        <rFont val="Calibri"/>
        <family val="2"/>
        <scheme val="minor"/>
      </rPr>
      <t>Baillonella toxisperma</t>
    </r>
    <r>
      <rPr>
        <sz val="11"/>
        <color theme="1"/>
        <rFont val="Calibri"/>
        <family val="2"/>
        <scheme val="minor"/>
      </rPr>
      <t>)</t>
    </r>
  </si>
  <si>
    <r>
      <t>Okan (</t>
    </r>
    <r>
      <rPr>
        <i/>
        <sz val="11"/>
        <color theme="1"/>
        <rFont val="Calibri"/>
        <family val="2"/>
        <scheme val="minor"/>
      </rPr>
      <t>Cylicodiscus gabunensis</t>
    </r>
    <r>
      <rPr>
        <sz val="11"/>
        <color theme="1"/>
        <rFont val="Calibri"/>
        <family val="2"/>
        <scheme val="minor"/>
      </rPr>
      <t>)</t>
    </r>
  </si>
  <si>
    <r>
      <t>Okoumé (</t>
    </r>
    <r>
      <rPr>
        <i/>
        <sz val="11"/>
        <color theme="1"/>
        <rFont val="Calibri"/>
        <family val="2"/>
        <scheme val="minor"/>
      </rPr>
      <t>Aucoumea klaineana</t>
    </r>
    <r>
      <rPr>
        <sz val="11"/>
        <color theme="1"/>
        <rFont val="Calibri"/>
        <family val="2"/>
        <scheme val="minor"/>
      </rPr>
      <t>)</t>
    </r>
  </si>
  <si>
    <r>
      <t>Piquia (</t>
    </r>
    <r>
      <rPr>
        <i/>
        <sz val="11"/>
        <color theme="1"/>
        <rFont val="Calibri"/>
        <family val="2"/>
        <scheme val="minor"/>
      </rPr>
      <t>Caryocar villosum</t>
    </r>
    <r>
      <rPr>
        <sz val="11"/>
        <color theme="1"/>
        <rFont val="Calibri"/>
        <family val="2"/>
        <scheme val="minor"/>
      </rPr>
      <t>)</t>
    </r>
  </si>
  <si>
    <r>
      <t>Populier (</t>
    </r>
    <r>
      <rPr>
        <i/>
        <sz val="11"/>
        <color theme="1"/>
        <rFont val="Calibri"/>
        <family val="2"/>
        <scheme val="minor"/>
      </rPr>
      <t>Populus spp.</t>
    </r>
    <r>
      <rPr>
        <sz val="11"/>
        <color theme="1"/>
        <rFont val="Calibri"/>
        <family val="2"/>
        <scheme val="minor"/>
      </rPr>
      <t>)</t>
    </r>
  </si>
  <si>
    <r>
      <t>Purperhart (</t>
    </r>
    <r>
      <rPr>
        <i/>
        <sz val="11"/>
        <color theme="1"/>
        <rFont val="Calibri"/>
        <family val="2"/>
        <scheme val="minor"/>
      </rPr>
      <t>Peltogyne spp.</t>
    </r>
    <r>
      <rPr>
        <sz val="11"/>
        <color theme="1"/>
        <rFont val="Calibri"/>
        <family val="2"/>
        <scheme val="minor"/>
      </rPr>
      <t>)</t>
    </r>
  </si>
  <si>
    <r>
      <t>Radiata pine (</t>
    </r>
    <r>
      <rPr>
        <i/>
        <sz val="11"/>
        <color theme="1"/>
        <rFont val="Calibri"/>
        <family val="2"/>
        <scheme val="minor"/>
      </rPr>
      <t>Pinus radiata</t>
    </r>
    <r>
      <rPr>
        <sz val="11"/>
        <color theme="1"/>
        <rFont val="Calibri"/>
        <family val="2"/>
        <scheme val="minor"/>
      </rPr>
      <t xml:space="preserve"> - Accoya)</t>
    </r>
  </si>
  <si>
    <r>
      <t>Robinia (</t>
    </r>
    <r>
      <rPr>
        <i/>
        <sz val="11"/>
        <color theme="1"/>
        <rFont val="Calibri"/>
        <family val="2"/>
        <scheme val="minor"/>
      </rPr>
      <t>Robinia pseudoacacia</t>
    </r>
    <r>
      <rPr>
        <sz val="11"/>
        <color theme="1"/>
        <rFont val="Calibri"/>
        <family val="2"/>
        <scheme val="minor"/>
      </rPr>
      <t>)</t>
    </r>
  </si>
  <si>
    <r>
      <t>Sapeli(-mahonie) (</t>
    </r>
    <r>
      <rPr>
        <i/>
        <sz val="11"/>
        <color theme="1"/>
        <rFont val="Calibri"/>
        <family val="2"/>
        <scheme val="minor"/>
      </rPr>
      <t>Entandrophragma cylindricum</t>
    </r>
    <r>
      <rPr>
        <sz val="11"/>
        <color theme="1"/>
        <rFont val="Calibri"/>
        <family val="2"/>
        <scheme val="minor"/>
      </rPr>
      <t>)</t>
    </r>
  </si>
  <si>
    <r>
      <t>Serraya, White (</t>
    </r>
    <r>
      <rPr>
        <i/>
        <sz val="11"/>
        <color theme="1"/>
        <rFont val="Calibri"/>
        <family val="2"/>
        <scheme val="minor"/>
      </rPr>
      <t>Parashorea malaanonan</t>
    </r>
    <r>
      <rPr>
        <sz val="11"/>
        <color theme="1"/>
        <rFont val="Calibri"/>
        <family val="2"/>
        <scheme val="minor"/>
      </rPr>
      <t>)</t>
    </r>
  </si>
  <si>
    <r>
      <t>Sipo(-mahonie) (</t>
    </r>
    <r>
      <rPr>
        <i/>
        <sz val="11"/>
        <color theme="1"/>
        <rFont val="Calibri"/>
        <family val="2"/>
        <scheme val="minor"/>
      </rPr>
      <t>Entandrophragma utile</t>
    </r>
    <r>
      <rPr>
        <sz val="11"/>
        <color theme="1"/>
        <rFont val="Calibri"/>
        <family val="2"/>
        <scheme val="minor"/>
      </rPr>
      <t>)</t>
    </r>
  </si>
  <si>
    <r>
      <t>Tali (</t>
    </r>
    <r>
      <rPr>
        <i/>
        <sz val="11"/>
        <color theme="1"/>
        <rFont val="Calibri"/>
        <family val="2"/>
        <scheme val="minor"/>
      </rPr>
      <t>Erythrophleum spec.</t>
    </r>
    <r>
      <rPr>
        <sz val="11"/>
        <color theme="1"/>
        <rFont val="Calibri"/>
        <family val="2"/>
        <scheme val="minor"/>
      </rPr>
      <t xml:space="preserve"> div.)</t>
    </r>
  </si>
  <si>
    <r>
      <t>Tamme kastanje (</t>
    </r>
    <r>
      <rPr>
        <i/>
        <sz val="11"/>
        <color theme="1"/>
        <rFont val="Calibri"/>
        <family val="2"/>
        <scheme val="minor"/>
      </rPr>
      <t>Castanea sativa</t>
    </r>
    <r>
      <rPr>
        <sz val="11"/>
        <color theme="1"/>
        <rFont val="Calibri"/>
        <family val="2"/>
        <scheme val="minor"/>
      </rPr>
      <t>)</t>
    </r>
  </si>
  <si>
    <r>
      <t>Tatajuba (</t>
    </r>
    <r>
      <rPr>
        <i/>
        <sz val="11"/>
        <color theme="1"/>
        <rFont val="Calibri"/>
        <family val="2"/>
        <scheme val="minor"/>
      </rPr>
      <t>Bagassa guianensis</t>
    </r>
    <r>
      <rPr>
        <sz val="11"/>
        <color theme="1"/>
        <rFont val="Calibri"/>
        <family val="2"/>
        <scheme val="minor"/>
      </rPr>
      <t>)</t>
    </r>
  </si>
  <si>
    <r>
      <t>Teak (</t>
    </r>
    <r>
      <rPr>
        <i/>
        <sz val="11"/>
        <color theme="1"/>
        <rFont val="Calibri"/>
        <family val="2"/>
        <scheme val="minor"/>
      </rPr>
      <t>Tectona grandis</t>
    </r>
    <r>
      <rPr>
        <sz val="11"/>
        <color theme="1"/>
        <rFont val="Calibri"/>
        <family val="2"/>
        <scheme val="minor"/>
      </rPr>
      <t>)</t>
    </r>
  </si>
  <si>
    <r>
      <t>Uchi torrado (</t>
    </r>
    <r>
      <rPr>
        <i/>
        <sz val="11"/>
        <color theme="1"/>
        <rFont val="Calibri"/>
        <family val="2"/>
        <scheme val="minor"/>
      </rPr>
      <t>Sacoglottis/Vantanea</t>
    </r>
    <r>
      <rPr>
        <sz val="11"/>
        <color theme="1"/>
        <rFont val="Calibri"/>
        <family val="2"/>
        <scheme val="minor"/>
      </rPr>
      <t>)</t>
    </r>
  </si>
  <si>
    <r>
      <t>Vuren (</t>
    </r>
    <r>
      <rPr>
        <i/>
        <sz val="11"/>
        <color theme="1"/>
        <rFont val="Calibri"/>
        <family val="2"/>
        <scheme val="minor"/>
      </rPr>
      <t>Picea spp</t>
    </r>
    <r>
      <rPr>
        <sz val="11"/>
        <color theme="1"/>
        <rFont val="Calibri"/>
        <family val="2"/>
        <scheme val="minor"/>
      </rPr>
      <t>)</t>
    </r>
  </si>
  <si>
    <r>
      <t>Walnoot (</t>
    </r>
    <r>
      <rPr>
        <i/>
        <sz val="11"/>
        <color theme="1"/>
        <rFont val="Calibri"/>
        <family val="2"/>
        <scheme val="minor"/>
      </rPr>
      <t>Juglans spp</t>
    </r>
    <r>
      <rPr>
        <sz val="11"/>
        <color theme="1"/>
        <rFont val="Calibri"/>
        <family val="2"/>
        <scheme val="minor"/>
      </rPr>
      <t>)</t>
    </r>
  </si>
  <si>
    <r>
      <t>Wengé (</t>
    </r>
    <r>
      <rPr>
        <i/>
        <sz val="11"/>
        <color theme="1"/>
        <rFont val="Calibri"/>
        <family val="2"/>
        <scheme val="minor"/>
      </rPr>
      <t>Millettia laurentii</t>
    </r>
    <r>
      <rPr>
        <sz val="11"/>
        <color theme="1"/>
        <rFont val="Calibri"/>
        <family val="2"/>
        <scheme val="minor"/>
      </rPr>
      <t>)</t>
    </r>
  </si>
  <si>
    <r>
      <t>Western red cedar (</t>
    </r>
    <r>
      <rPr>
        <i/>
        <sz val="11"/>
        <color theme="1"/>
        <rFont val="Calibri"/>
        <family val="2"/>
        <scheme val="minor"/>
      </rPr>
      <t>Thuja plicata</t>
    </r>
    <r>
      <rPr>
        <sz val="11"/>
        <color theme="1"/>
        <rFont val="Calibri"/>
        <family val="2"/>
        <scheme val="minor"/>
      </rPr>
      <t>)</t>
    </r>
  </si>
  <si>
    <t>Houtinfo</t>
  </si>
  <si>
    <t>Western Red Cedar | The Wood Database - Lumber Identification (Softwood) (wood-database.com)</t>
  </si>
  <si>
    <t>Alaskan Yellow Cedar | The Wood Database - Lumber Identification (Softwood) (wood-database.com)</t>
  </si>
  <si>
    <t>Pacific Silver Fir | The Wood Database - Lumber Identification (Softwood) (wood-database.com)</t>
  </si>
  <si>
    <t>Balsam Fir | The Wood Database - Lumber Identification (Softwood) (wood-database.com)</t>
  </si>
  <si>
    <t>Box Elder | The Wood Database - Lumber Identification (Hardwood) (wood-database.com)</t>
  </si>
  <si>
    <t>Bigleaf maple | The Wood Database - Lumber Identification (Hardwood) (wood-database.com)</t>
  </si>
  <si>
    <r>
      <rPr>
        <sz val="11"/>
        <color theme="1"/>
        <rFont val="Calibri"/>
        <family val="2"/>
        <scheme val="minor"/>
      </rPr>
      <t>Box elder</t>
    </r>
    <r>
      <rPr>
        <i/>
        <sz val="11"/>
        <color theme="1"/>
        <rFont val="Calibri"/>
        <family val="2"/>
        <scheme val="minor"/>
      </rPr>
      <t xml:space="preserve"> (Acer negundo </t>
    </r>
    <r>
      <rPr>
        <sz val="11"/>
        <color theme="1"/>
        <rFont val="Calibri"/>
        <family val="2"/>
        <scheme val="minor"/>
      </rPr>
      <t>L.)</t>
    </r>
  </si>
  <si>
    <t>Hard maple | The Wood Database - Lumber Identification (Hardwood) (wood-database.com)</t>
  </si>
  <si>
    <t>Red maple | The Wood Database - Lumber Identification (Hardwood) (wood-database.com)</t>
  </si>
  <si>
    <t>Red alder | The Wood Database - Lumber Identification (Hardwood) (wood-database.com)</t>
  </si>
  <si>
    <t>Black Ash | The Wood Database - Lumber Identification (Hardwood) (wood-database.com)</t>
  </si>
  <si>
    <t>White Ash | The Wood Database - Lumber Identification (Hardwood) (wood-database.com)</t>
  </si>
  <si>
    <t>White Oak | The Wood Database - Lumber Identification (Hardwood) (wood-database.com)</t>
  </si>
  <si>
    <t>Red Oak | The Wood Database - Lumber Identification (Hardwood) (wood-database.com)</t>
  </si>
  <si>
    <t>Lodgepole Pine | The Wood Database - Lumber Identification (Softwood) (wood-database.com)</t>
  </si>
  <si>
    <t>Jack Pine | The Wood Database - Lumber Identification (Softwood) (wood-database.com)</t>
  </si>
  <si>
    <t>Ponderosa Pine | The Wood Database - Lumber Identification (Softwood) (wood-database.com)</t>
  </si>
  <si>
    <t>Red Pine | The Wood Database - Lumber Identification (Softwood) (wood-database.com)</t>
  </si>
  <si>
    <t>Eastern White Pine | The Wood Database - Lumber Identification (Softwood) (wood-database.com)</t>
  </si>
  <si>
    <t>You searched for carya - The Wood Database (wood-database.com)</t>
  </si>
  <si>
    <t>Tamarack | The Wood Database - Lumber Identification (Softwood) (wood-database.com)</t>
  </si>
  <si>
    <t>Western Larch | The Wood Database - Lumber Identification (Softwood) (wood-database.com)</t>
  </si>
  <si>
    <t>Sycamore | The Wood Database - Lumber Identification (Hardwood) (wood-database.com)</t>
  </si>
  <si>
    <t>Black Cottonwood | The Wood Database - Lumber Identification (Hardwood) (wood-database.com)</t>
  </si>
  <si>
    <t>Quaking Aspen | The Wood Database - Lumber Identification (Hardwood) (wood-database.com)</t>
  </si>
  <si>
    <t>Black Cherry | The Wood Database - Lumber Identification (Hardwood) (wood-database.com)</t>
  </si>
  <si>
    <t>Sitka Spruce | The Wood Database - Lumber Identification (Softwood) (wood-database.com)</t>
  </si>
  <si>
    <t>White Spruce | The Wood Database - Lumber Identification (Softwood) (wood-database.com)</t>
  </si>
  <si>
    <t>You searched for salix - The Wood Database (wood-database.com)</t>
  </si>
  <si>
    <t>Black Walnut | The Wood Database - Lumber Identification (Hardwood) (wood-database.com)</t>
  </si>
  <si>
    <t>Butternut | The Wood Database - Lumber Identification (Hardwood) (wood-database.com)</t>
  </si>
  <si>
    <t>Western Hemlock | The Wood Database - Lumber Identification (Softwood) (wood-database.com)</t>
  </si>
  <si>
    <t>Eastern Hemlock | The Wood Database - Lumber Identification (Softwood) (wood-database.com)</t>
  </si>
  <si>
    <t>Northern White Cedar | The Wood Database - Lumber Identification (Softwood) (wood-database.com)</t>
  </si>
  <si>
    <t>Yellow Birch | The Wood Database - Lumber Identification (Hardwood) (wood-database.com)</t>
  </si>
  <si>
    <t>Paper Birch | The Wood Database - Lumber Identification (Hardwood) (wood-database.com)</t>
  </si>
  <si>
    <t>American Beech | The Wood Database - Lumber Identification (Hardwood) (wood-database.com)</t>
  </si>
  <si>
    <r>
      <t>Pines (</t>
    </r>
    <r>
      <rPr>
        <i/>
        <sz val="11"/>
        <color theme="1"/>
        <rFont val="Calibri"/>
        <family val="2"/>
        <scheme val="minor"/>
      </rPr>
      <t>Pinus spp</t>
    </r>
    <r>
      <rPr>
        <sz val="11"/>
        <color theme="1"/>
        <rFont val="Calibri"/>
        <family val="2"/>
        <scheme val="minor"/>
      </rPr>
      <t>)</t>
    </r>
  </si>
  <si>
    <t>(1) (PDF) Carbon content in Juvenile and mature wood of Scots Pine (Pinus sylyestris L.) (researchgate.net)</t>
  </si>
  <si>
    <t>Thermo wood</t>
  </si>
  <si>
    <t>North American Glued Laminated Timber – Environmental Product Declaration (awc.org)</t>
  </si>
  <si>
    <t>Data (environdec.com)</t>
  </si>
  <si>
    <t>479.EPD_FOR_Structurlam_Glulam_20200113.pdf (astm.org)</t>
  </si>
  <si>
    <t>Source4</t>
  </si>
  <si>
    <t>EPD_Nordic_Lam.pdf</t>
  </si>
  <si>
    <t>Source5</t>
  </si>
  <si>
    <t>Accoya (Radiata Pine)</t>
  </si>
  <si>
    <t>Accoya (Scots Pine)</t>
  </si>
  <si>
    <t>Accoya (Beech)</t>
  </si>
  <si>
    <t>Environmental-Product-Declaration-–-cladding-decking-planed-timber-–-EN-15804.pdf (accoya.com)</t>
  </si>
  <si>
    <t>https://epd-online.com/EmbeddedEpdList/Download/5751</t>
  </si>
  <si>
    <t>Technical Data Sheet | Parquet by Dian</t>
  </si>
  <si>
    <t>Number of residencies:</t>
  </si>
  <si>
    <r>
      <t>tCO</t>
    </r>
    <r>
      <rPr>
        <vertAlign val="subscript"/>
        <sz val="11"/>
        <color theme="1"/>
        <rFont val="Calibri"/>
        <family val="2"/>
        <scheme val="minor"/>
      </rPr>
      <t>2</t>
    </r>
    <r>
      <rPr>
        <sz val="11"/>
        <color theme="1"/>
        <rFont val="Calibri"/>
        <family val="2"/>
        <scheme val="minor"/>
      </rPr>
      <t>/residency</t>
    </r>
  </si>
  <si>
    <r>
      <t>tCO</t>
    </r>
    <r>
      <rPr>
        <vertAlign val="subscript"/>
        <sz val="11"/>
        <color theme="1"/>
        <rFont val="Calibri"/>
        <family val="2"/>
        <scheme val="minor"/>
      </rPr>
      <t>2</t>
    </r>
    <r>
      <rPr>
        <sz val="11"/>
        <color theme="1"/>
        <rFont val="Calibri"/>
        <family val="2"/>
        <scheme val="minor"/>
      </rPr>
      <t>/120m</t>
    </r>
    <r>
      <rPr>
        <vertAlign val="superscript"/>
        <sz val="11"/>
        <color theme="1"/>
        <rFont val="Calibri"/>
        <family val="2"/>
        <scheme val="minor"/>
      </rPr>
      <t>2</t>
    </r>
  </si>
  <si>
    <t>=ALS(B6="CLT";CLT;ALS(B6="Hemp-shives containing products";HSC;ALS(B6="Wood material";Wtype;'Drop-down_lists'!$D$9)))</t>
  </si>
  <si>
    <t>Bart van Valenberg | LinkedIn</t>
  </si>
  <si>
    <t>Insulation</t>
  </si>
  <si>
    <t>Unknown (average wood density)</t>
  </si>
  <si>
    <t>Green roof</t>
  </si>
  <si>
    <r>
      <t>Av.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</si>
  <si>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2</t>
    </r>
  </si>
  <si>
    <t>https://www.researchgate.net/publication/38028912_Carbon_Sequestration_Potential_of_Extensive_Green_Roofs</t>
  </si>
  <si>
    <r>
      <t>m</t>
    </r>
    <r>
      <rPr>
        <vertAlign val="superscript"/>
        <sz val="11"/>
        <color theme="1"/>
        <rFont val="Calibri"/>
        <family val="2"/>
        <scheme val="minor"/>
      </rPr>
      <t>2</t>
    </r>
    <r>
      <rPr>
        <sz val="11"/>
        <color theme="1"/>
        <rFont val="Calibri"/>
        <family val="2"/>
        <scheme val="minor"/>
      </rPr>
      <t xml:space="preserve"> </t>
    </r>
  </si>
  <si>
    <t>Groendak | Aanleggen en leveren van groene daken</t>
  </si>
  <si>
    <t>Solar Sedum</t>
  </si>
  <si>
    <t>kerto, kerto ripa, agepan</t>
  </si>
  <si>
    <t>Fixed unit</t>
  </si>
  <si>
    <t>Green roof type</t>
  </si>
  <si>
    <t>Herbaceous perennials and grasses</t>
  </si>
  <si>
    <t>Native prairie mix</t>
  </si>
  <si>
    <t>Succulent rock garden</t>
  </si>
  <si>
    <t>Vegetable and herb garden</t>
  </si>
  <si>
    <t>Carbon content of soil or substrate (kg/m2)</t>
  </si>
  <si>
    <t>CO2 stored of soil or substrate (kg/m2)</t>
  </si>
  <si>
    <t>cm thick substrate layer</t>
  </si>
  <si>
    <t>Frames and walls</t>
  </si>
  <si>
    <t>Floors</t>
  </si>
  <si>
    <t>Product categories</t>
  </si>
  <si>
    <t>Product category</t>
  </si>
  <si>
    <t>Other wood material</t>
  </si>
  <si>
    <t>Please select product category first</t>
  </si>
  <si>
    <t>Roofs</t>
  </si>
  <si>
    <t>=ALS(B6="Floors";Floors;ALS(B6="Frames and walls";Frames_walls;ALS(B6="Insulation";Insulation;ALS(B6="Wood boards/planks";Wood_boards;'Drop-down_lists'!$A$27))))</t>
  </si>
  <si>
    <t>2,97kgCO2/m2 omgezet in O2</t>
  </si>
  <si>
    <t>Mode of transport</t>
  </si>
  <si>
    <r>
      <t>kgCO</t>
    </r>
    <r>
      <rPr>
        <vertAlign val="subscript"/>
        <sz val="11"/>
        <color theme="1"/>
        <rFont val="Calibri"/>
        <family val="2"/>
        <scheme val="minor"/>
      </rPr>
      <t>2</t>
    </r>
    <r>
      <rPr>
        <sz val="11"/>
        <color theme="1"/>
        <rFont val="Calibri"/>
        <family val="2"/>
        <scheme val="minor"/>
      </rPr>
      <t>/tonkilometer (Well to Wheel)</t>
    </r>
  </si>
  <si>
    <t>Bulk and general cargo</t>
  </si>
  <si>
    <t>Delivery van</t>
  </si>
  <si>
    <t>Lorry/truck</t>
  </si>
  <si>
    <t>10 ton</t>
  </si>
  <si>
    <t>10-20 ton</t>
  </si>
  <si>
    <t>&gt;20 ton + trailer</t>
  </si>
  <si>
    <t>LZV</t>
  </si>
  <si>
    <t>Train</t>
  </si>
  <si>
    <t>Diesel</t>
  </si>
  <si>
    <t>Electric</t>
  </si>
  <si>
    <t>Combination</t>
  </si>
  <si>
    <t>Inland shipping</t>
  </si>
  <si>
    <t>300-600 ton</t>
  </si>
  <si>
    <t>1500-3000 ton</t>
  </si>
  <si>
    <t>5000-11000 ton</t>
  </si>
  <si>
    <t>Average shipping</t>
  </si>
  <si>
    <t>Maritime shipping</t>
  </si>
  <si>
    <t>Short sea shipping</t>
  </si>
  <si>
    <t>Deep Sea</t>
  </si>
  <si>
    <t>Aviation</t>
  </si>
  <si>
    <t>Long-haul</t>
  </si>
  <si>
    <t>Containers</t>
  </si>
  <si>
    <t>&gt;20 ton</t>
  </si>
  <si>
    <t>Heavy load tuck + trialer</t>
  </si>
  <si>
    <t>Heavy load truck + trailer</t>
  </si>
  <si>
    <t>40 TEU</t>
  </si>
  <si>
    <t>96 TEU</t>
  </si>
  <si>
    <t>208 TEU</t>
  </si>
  <si>
    <t>348 TEU</t>
  </si>
  <si>
    <t>https://llufb.llu.lv/conference/NJF/NJF_2015_Proceedings_Latvia-156-160.pdf</t>
  </si>
  <si>
    <t>https://www.hollandhoutland.nl/wp-content/uploads/2021/03/HH_Biobased-Bouwen-Bedrijvengids_BOOK_19-03_web.pdf</t>
  </si>
  <si>
    <t>-</t>
  </si>
  <si>
    <t>.</t>
  </si>
  <si>
    <t>Sheep wool</t>
  </si>
  <si>
    <t>https://iwto.org/sustainability/carbon-cycle/</t>
  </si>
  <si>
    <t>Hemp-lime blocks (non-load bearing)</t>
  </si>
  <si>
    <t>https://www.researchgate.net/publication/313961941_Life_cycle_assessment_of_natural_building_materials_the_role_of_carbonation_mixture_components_and_transport_in_the_environmental_impacts_of_hempcrete_blocks</t>
  </si>
  <si>
    <t>Life cycle greenhouse gas emissions of hemp–lime wall constructions in the UK - ScienceDirect</t>
  </si>
  <si>
    <t>Hemp insulation</t>
  </si>
  <si>
    <t>Elephant grass</t>
  </si>
  <si>
    <t>https://www.carbontrap.org/about-miscanthus</t>
  </si>
  <si>
    <t>Straw</t>
  </si>
  <si>
    <t>Bamboo plywood</t>
  </si>
  <si>
    <t>Carbon dioxide emission from bamboo culms - Zachariah - 2016 - Plant Biology - Wiley Online Library</t>
  </si>
  <si>
    <t>Strand woven bamboo</t>
  </si>
  <si>
    <t>Boards/planks</t>
  </si>
  <si>
    <t>Thatch/reed roof</t>
  </si>
  <si>
    <t>=ALS(B6="Floors";Floors;ALS(B6="Frames and walls";Frames_walls;ALS(B6="Insulation";Insulation;ALS(B6="Roofs";Roofs;ALS(B6="Boards/planks";Boards_planks;'Drop-down_lists'!$A$27)))))</t>
  </si>
  <si>
    <t>https://www.isolatie-info.nl/isolatiemateriaal/hennep</t>
  </si>
  <si>
    <t>https://www.researchgate.net/publication/263268778_Carbon_sequestration_in_LCA_a_proposal_for_a_new_approach_based_on_the_global_carbon_cycle_Cases_on_wood_and_on_bamboo</t>
  </si>
  <si>
    <t>Extensive green roof (sedum)</t>
  </si>
  <si>
    <t>https://www.groenebouwmaterialen.nl/thermo-hennep-premium-hennep-isolatie.html</t>
  </si>
  <si>
    <t>https://www.hempitecture.com/hempwool</t>
  </si>
  <si>
    <t>https://innovativebuildingmaterials.com/hemp-insulation/</t>
  </si>
  <si>
    <t>Project name:</t>
  </si>
  <si>
    <t>Métisse</t>
  </si>
  <si>
    <t>https://www.eco-bouwmaterialen.nl/isolatie/</t>
  </si>
  <si>
    <t>(6) (PDF) A review of unconventional sustainable building insulation materials (researchgate.net)</t>
  </si>
  <si>
    <t>Livable area/residency:</t>
  </si>
  <si>
    <t>abc / 123</t>
  </si>
  <si>
    <t>Input cell</t>
  </si>
  <si>
    <t>Invalid value</t>
  </si>
  <si>
    <t>!@#$</t>
  </si>
  <si>
    <t>Legend</t>
  </si>
  <si>
    <t>bart@climatecleanup.org</t>
  </si>
  <si>
    <t>Developed by:</t>
  </si>
  <si>
    <t>Woodfibre insolation</t>
  </si>
  <si>
    <t>https://passiefhuismarkt.nl/passiefhuis-producten/houtflex-standard/</t>
  </si>
  <si>
    <r>
      <rPr>
        <sz val="11"/>
        <rFont val="Calibri"/>
        <family val="2"/>
        <scheme val="minor"/>
      </rPr>
      <t xml:space="preserve">Mail contact met: </t>
    </r>
    <r>
      <rPr>
        <u/>
        <sz val="11"/>
        <color theme="10"/>
        <rFont val="Calibri"/>
        <family val="2"/>
        <scheme val="minor"/>
      </rPr>
      <t>jdwars@soprema.nl</t>
    </r>
  </si>
  <si>
    <r>
      <rPr>
        <b/>
        <sz val="11"/>
        <color theme="1"/>
        <rFont val="Calibri"/>
        <family val="2"/>
        <scheme val="minor"/>
      </rPr>
      <t>Introduction</t>
    </r>
    <r>
      <rPr>
        <sz val="11"/>
        <color theme="1"/>
        <rFont val="Calibri"/>
        <family val="2"/>
        <scheme val="minor"/>
      </rPr>
      <t xml:space="preserve">
This is an open-source calculation-tool to calculate the CO2 storage of construction works with biobased building materials (a.k.a. products). Sources are transparently reported in the data worksheet '</t>
    </r>
    <r>
      <rPr>
        <b/>
        <sz val="11"/>
        <color theme="1"/>
        <rFont val="Calibri"/>
        <family val="2"/>
        <scheme val="minor"/>
      </rPr>
      <t>CO2-storage factors</t>
    </r>
    <r>
      <rPr>
        <sz val="11"/>
        <color theme="1"/>
        <rFont val="Calibri"/>
        <family val="2"/>
        <scheme val="minor"/>
      </rPr>
      <t xml:space="preserve">'. Calculations can be transparently reviewed wherever they are used. However, all worksheets are protected from editting to protect the intigrity of the tool. Only the fields where input is required are unprotected. There are a few columns that both contain Excel-formulas and can require input, it is therefore useful to be careful when filling in required input. However, when you like to reverse the input either use Ctrl+z or select and copy a cell in the same column with the Excel-formula still in place. If there are any questions, or you like me (the developer of the tool) to complete the calculation, feel free to contact me.
</t>
    </r>
    <r>
      <rPr>
        <b/>
        <sz val="11"/>
        <color theme="1"/>
        <rFont val="Calibri"/>
        <family val="2"/>
        <scheme val="minor"/>
      </rPr>
      <t>Project_data</t>
    </r>
    <r>
      <rPr>
        <sz val="11"/>
        <color theme="1"/>
        <rFont val="Calibri"/>
        <family val="2"/>
        <scheme val="minor"/>
      </rPr>
      <t xml:space="preserve">
This is an empty worksheet available to you to put in all your required project data needed for the '</t>
    </r>
    <r>
      <rPr>
        <b/>
        <sz val="11"/>
        <color theme="1"/>
        <rFont val="Calibri"/>
        <family val="2"/>
        <scheme val="minor"/>
      </rPr>
      <t>Calculation-input</t>
    </r>
    <r>
      <rPr>
        <sz val="11"/>
        <color theme="1"/>
        <rFont val="Calibri"/>
        <family val="2"/>
        <scheme val="minor"/>
      </rPr>
      <t xml:space="preserve">' worksheet. This should make it easier for you to fill in/work with your data in this tool rather then working in two separate Excel-files. It also avoids that there are references created to external and/or not local Excel-files which can cause errors when the tool is shared with others.
</t>
    </r>
    <r>
      <rPr>
        <b/>
        <sz val="11"/>
        <color theme="1"/>
        <rFont val="Calibri"/>
        <family val="2"/>
        <scheme val="minor"/>
      </rPr>
      <t>Calculation-input</t>
    </r>
    <r>
      <rPr>
        <sz val="11"/>
        <color theme="1"/>
        <rFont val="Calibri"/>
        <family val="2"/>
        <scheme val="minor"/>
      </rPr>
      <t xml:space="preserve">
This is basically the only sheet in which you work. Here you find columns with input-cells, this is where you are required to fill in particular information. You can fill in the project name, the number of residencies (this is 1 by default) and the (average) living area of the residency/ies. 
In </t>
    </r>
    <r>
      <rPr>
        <u/>
        <sz val="11"/>
        <color theme="1"/>
        <rFont val="Calibri"/>
        <family val="2"/>
        <scheme val="minor"/>
      </rPr>
      <t>column A</t>
    </r>
    <r>
      <rPr>
        <sz val="11"/>
        <color theme="1"/>
        <rFont val="Calibri"/>
        <family val="2"/>
        <scheme val="minor"/>
      </rPr>
      <t xml:space="preserve"> of the table, you can select the construction level (this is optional);
In </t>
    </r>
    <r>
      <rPr>
        <u/>
        <sz val="11"/>
        <color theme="1"/>
        <rFont val="Calibri"/>
        <family val="2"/>
        <scheme val="minor"/>
      </rPr>
      <t>column B</t>
    </r>
    <r>
      <rPr>
        <sz val="11"/>
        <color theme="1"/>
        <rFont val="Calibri"/>
        <family val="2"/>
        <scheme val="minor"/>
      </rPr>
      <t>, you have to select a product category. If you are not sure to which category your desired product belongs to, you can check the worksheet '</t>
    </r>
    <r>
      <rPr>
        <b/>
        <sz val="11"/>
        <color theme="1"/>
        <rFont val="Calibri"/>
        <family val="2"/>
        <scheme val="minor"/>
      </rPr>
      <t>Drop-down_lists</t>
    </r>
    <r>
      <rPr>
        <sz val="11"/>
        <color theme="1"/>
        <rFont val="Calibri"/>
        <family val="2"/>
        <scheme val="minor"/>
      </rPr>
      <t xml:space="preserve">'; 
In </t>
    </r>
    <r>
      <rPr>
        <u/>
        <sz val="11"/>
        <color theme="1"/>
        <rFont val="Calibri"/>
        <family val="2"/>
        <scheme val="minor"/>
      </rPr>
      <t>column C</t>
    </r>
    <r>
      <rPr>
        <sz val="11"/>
        <color theme="1"/>
        <rFont val="Calibri"/>
        <family val="2"/>
        <scheme val="minor"/>
      </rPr>
      <t xml:space="preserve">, you can finally select the biobased builiding material;
In </t>
    </r>
    <r>
      <rPr>
        <u/>
        <sz val="11"/>
        <color theme="1"/>
        <rFont val="Calibri"/>
        <family val="2"/>
        <scheme val="minor"/>
      </rPr>
      <t>column D</t>
    </r>
    <r>
      <rPr>
        <sz val="11"/>
        <color theme="1"/>
        <rFont val="Calibri"/>
        <family val="2"/>
        <scheme val="minor"/>
      </rPr>
      <t xml:space="preserve">, cells will format as input cell whenever more information is required;
In </t>
    </r>
    <r>
      <rPr>
        <u/>
        <sz val="11"/>
        <color theme="1"/>
        <rFont val="Calibri"/>
        <family val="2"/>
        <scheme val="minor"/>
      </rPr>
      <t>column E</t>
    </r>
    <r>
      <rPr>
        <sz val="11"/>
        <color theme="1"/>
        <rFont val="Calibri"/>
        <family val="2"/>
        <scheme val="minor"/>
      </rPr>
      <t>, the average density of the product is retrieved from the worksheet '</t>
    </r>
    <r>
      <rPr>
        <b/>
        <sz val="11"/>
        <color theme="1"/>
        <rFont val="Calibri"/>
        <family val="2"/>
        <scheme val="minor"/>
      </rPr>
      <t>CO2-storage factors</t>
    </r>
    <r>
      <rPr>
        <sz val="11"/>
        <color theme="1"/>
        <rFont val="Calibri"/>
        <family val="2"/>
        <scheme val="minor"/>
      </rPr>
      <t xml:space="preserve">' and shown in here. You are allowed to replace or add (if missing) the density or the product. </t>
    </r>
    <r>
      <rPr>
        <i/>
        <sz val="11"/>
        <color theme="1"/>
        <rFont val="Calibri"/>
        <family val="2"/>
        <scheme val="minor"/>
      </rPr>
      <t xml:space="preserve">It is important to note that whenever there is no density available and the cell in column E remains empty, you cannot use quantity of products in volumetric units (i.e. m3) which are selected in </t>
    </r>
    <r>
      <rPr>
        <i/>
        <u/>
        <sz val="11"/>
        <color theme="1"/>
        <rFont val="Calibri"/>
        <family val="2"/>
        <scheme val="minor"/>
      </rPr>
      <t>column G</t>
    </r>
    <r>
      <rPr>
        <i/>
        <sz val="11"/>
        <color theme="1"/>
        <rFont val="Calibri"/>
        <family val="2"/>
        <scheme val="minor"/>
      </rPr>
      <t>;</t>
    </r>
    <r>
      <rPr>
        <sz val="11"/>
        <color theme="1"/>
        <rFont val="Calibri"/>
        <family val="2"/>
        <scheme val="minor"/>
      </rPr>
      <t xml:space="preserve">
In </t>
    </r>
    <r>
      <rPr>
        <u/>
        <sz val="11"/>
        <color theme="1"/>
        <rFont val="Calibri"/>
        <family val="2"/>
        <scheme val="minor"/>
      </rPr>
      <t>column F</t>
    </r>
    <r>
      <rPr>
        <sz val="11"/>
        <color theme="1"/>
        <rFont val="Calibri"/>
        <family val="2"/>
        <scheme val="minor"/>
      </rPr>
      <t xml:space="preserve">, the quantity of the product you selected in column C can be filled in here;
In </t>
    </r>
    <r>
      <rPr>
        <u/>
        <sz val="11"/>
        <color theme="1"/>
        <rFont val="Calibri"/>
        <family val="2"/>
        <scheme val="minor"/>
      </rPr>
      <t>column G</t>
    </r>
    <r>
      <rPr>
        <sz val="11"/>
        <color theme="1"/>
        <rFont val="Calibri"/>
        <family val="2"/>
        <scheme val="minor"/>
      </rPr>
      <t xml:space="preserve">, you select the unit that corresponds to the quantity filled in column F. With some products there is a fixed unit and you should not change the pre-input unit unless you have filled-in the density and the pre-input unit is "kg"; and finally
In </t>
    </r>
    <r>
      <rPr>
        <u/>
        <sz val="11"/>
        <color theme="1"/>
        <rFont val="Calibri"/>
        <family val="2"/>
        <scheme val="minor"/>
      </rPr>
      <t>column H</t>
    </r>
    <r>
      <rPr>
        <sz val="11"/>
        <color theme="1"/>
        <rFont val="Calibri"/>
        <family val="2"/>
        <scheme val="minor"/>
      </rPr>
      <t xml:space="preserve">, the CO2 stored in the quantity of selected product is calculated.
In cell </t>
    </r>
    <r>
      <rPr>
        <u/>
        <sz val="11"/>
        <color theme="1"/>
        <rFont val="Calibri"/>
        <family val="2"/>
        <scheme val="minor"/>
      </rPr>
      <t>G1</t>
    </r>
    <r>
      <rPr>
        <sz val="11"/>
        <color theme="1"/>
        <rFont val="Calibri"/>
        <family val="2"/>
        <scheme val="minor"/>
      </rPr>
      <t xml:space="preserve">, the total stored CO2 is calculated. In cell </t>
    </r>
    <r>
      <rPr>
        <u/>
        <sz val="11"/>
        <color theme="1"/>
        <rFont val="Calibri"/>
        <family val="2"/>
        <scheme val="minor"/>
      </rPr>
      <t>G2</t>
    </r>
    <r>
      <rPr>
        <sz val="11"/>
        <color theme="1"/>
        <rFont val="Calibri"/>
        <family val="2"/>
        <scheme val="minor"/>
      </rPr>
      <t xml:space="preserve">, the CO2 stored per residency is calculated and in cell </t>
    </r>
    <r>
      <rPr>
        <u/>
        <sz val="11"/>
        <color theme="1"/>
        <rFont val="Calibri"/>
        <family val="2"/>
        <scheme val="minor"/>
      </rPr>
      <t>G3</t>
    </r>
    <r>
      <rPr>
        <sz val="11"/>
        <color theme="1"/>
        <rFont val="Calibri"/>
        <family val="2"/>
        <scheme val="minor"/>
      </rPr>
      <t xml:space="preserve">, the CO2 stored per 120m2 is calculated. The CO2 stored per 120m2 serves as a comparison unit enabling to compare it with a modale residency (and other projects calculated using this tool). 
</t>
    </r>
    <r>
      <rPr>
        <b/>
        <sz val="11"/>
        <color theme="1"/>
        <rFont val="Calibri"/>
        <family val="2"/>
        <scheme val="minor"/>
      </rPr>
      <t xml:space="preserve">CO2-storage factors
</t>
    </r>
    <r>
      <rPr>
        <sz val="11"/>
        <color theme="1"/>
        <rFont val="Calibri"/>
        <family val="2"/>
        <scheme val="minor"/>
      </rPr>
      <t xml:space="preserve">This worksheet contains the data required behind the calculations, data of CO2 storage and density of products. If you have products that you like to be added to the data-list, please tell me by contacting </t>
    </r>
    <r>
      <rPr>
        <u/>
        <sz val="11"/>
        <color rgb="FF0070C0"/>
        <rFont val="Calibri"/>
        <family val="2"/>
        <scheme val="minor"/>
      </rPr>
      <t>bart@climatecleanup.org</t>
    </r>
    <r>
      <rPr>
        <sz val="11"/>
        <color theme="1"/>
        <rFont val="Calibri"/>
        <family val="2"/>
        <scheme val="minor"/>
      </rPr>
      <t xml:space="preserve">. Next to the name of the product and what it is used for, if possible/known also provide the amount of CO2 storage and density with a source!
</t>
    </r>
    <r>
      <rPr>
        <b/>
        <sz val="11"/>
        <color theme="1"/>
        <rFont val="Calibri"/>
        <family val="2"/>
        <scheme val="minor"/>
      </rPr>
      <t>Wood-types
This worksheet</t>
    </r>
    <r>
      <rPr>
        <sz val="11"/>
        <color theme="1"/>
        <rFont val="Calibri"/>
        <family val="2"/>
        <scheme val="minor"/>
      </rPr>
      <t xml:space="preserve"> contains wood densities of a wide variety of wood types that could be used for calculating CO2 storage in the respective wood type. Sequestration is based on the wood densities and calculated according to the NEN 16449. The equation used to calculated the CO2 storage of the wood is also shown on this worksheet.
</t>
    </r>
    <r>
      <rPr>
        <b/>
        <sz val="11"/>
        <color theme="1"/>
        <rFont val="Calibri"/>
        <family val="2"/>
        <scheme val="minor"/>
      </rPr>
      <t>Drop-down_lists</t>
    </r>
    <r>
      <rPr>
        <sz val="11"/>
        <color theme="1"/>
        <rFont val="Calibri"/>
        <family val="2"/>
        <scheme val="minor"/>
      </rPr>
      <t xml:space="preserve">
Simply contains the information required for generating the drop-down lists that are used in the '</t>
    </r>
    <r>
      <rPr>
        <b/>
        <sz val="11"/>
        <color theme="1"/>
        <rFont val="Calibri"/>
        <family val="2"/>
        <scheme val="minor"/>
      </rPr>
      <t>Calculation-input</t>
    </r>
    <r>
      <rPr>
        <sz val="11"/>
        <color theme="1"/>
        <rFont val="Calibri"/>
        <family val="2"/>
        <scheme val="minor"/>
      </rPr>
      <t>'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</si>
</sst>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5" x14ac:knownFonts="1">
    <font>
      <sz val="11"/>
      <color theme="1"/>
      <name val="Calibri"/>
      <family val="2"/>
      <scheme val="minor"/>
    </font>
    <font>
      <sz val="11"/>
      <color rgb="FF9C0006"/>
      <name val="Calibri"/>
      <family val="2"/>
      <scheme val="minor"/>
    </font>
    <font>
      <vertAlign val="subscript"/>
      <sz val="11"/>
      <color theme="1"/>
      <name val="Calibri"/>
      <family val="2"/>
      <scheme val="minor"/>
    </font>
    <font>
      <u/>
      <sz val="11"/>
      <color theme="1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rgb="FFFA7D00"/>
      <name val="Calibri"/>
      <family val="2"/>
      <scheme val="minor"/>
    </font>
    <font>
      <b/>
      <sz val="11"/>
      <color theme="1"/>
      <name val="Calibri"/>
      <family val="2"/>
      <scheme val="minor"/>
    </font>
    <font>
      <b/>
      <vertAlign val="subscrip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name val="Calibri"/>
      <family val="2"/>
      <scheme val="minor"/>
    </font>
    <font>
      <u/>
      <sz val="11"/>
      <color theme="1"/>
      <name val="Calibri"/>
      <family val="2"/>
      <scheme val="minor"/>
    </font>
    <font>
      <sz val="11"/>
      <color theme="0"/>
      <name val="Calibri"/>
      <family val="2"/>
      <scheme val="minor"/>
    </font>
    <font>
      <sz val="11"/>
      <color rgb="FF9C5700"/>
      <name val="Calibri"/>
      <family val="2"/>
      <scheme val="minor"/>
    </font>
    <font>
      <sz val="9"/>
      <color indexed="81"/>
      <name val="Tahoma"/>
      <charset val="1"/>
    </font>
    <font>
      <b/>
      <sz val="9"/>
      <color indexed="81"/>
      <name val="Tahoma"/>
      <charset val="1"/>
    </font>
    <font>
      <i/>
      <u/>
      <sz val="11"/>
      <color theme="1"/>
      <name val="Calibri"/>
      <family val="2"/>
      <scheme val="minor"/>
    </font>
    <font>
      <u/>
      <sz val="11"/>
      <color rgb="FF0070C0"/>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bgColor indexed="64"/>
      </patternFill>
    </fill>
    <fill>
      <patternFill patternType="solid">
        <fgColor rgb="FFFFFF00"/>
        <bgColor indexed="64"/>
      </patternFill>
    </fill>
    <fill>
      <patternFill patternType="solid">
        <fgColor rgb="FF7F7F7F"/>
        <bgColor indexed="64"/>
      </patternFill>
    </fill>
    <fill>
      <patternFill patternType="darkUp"/>
    </fill>
    <fill>
      <patternFill patternType="solid">
        <fgColor rgb="FFFFEB9C"/>
      </patternFill>
    </fill>
    <fill>
      <patternFill patternType="solid">
        <fgColor rgb="FFFFCC99"/>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style="double">
        <color indexed="64"/>
      </right>
      <top/>
      <bottom/>
      <diagonal/>
    </border>
    <border>
      <left/>
      <right style="mediumDashed">
        <color indexed="64"/>
      </right>
      <top/>
      <bottom/>
      <diagonal/>
    </border>
    <border>
      <left style="double">
        <color indexed="64"/>
      </left>
      <right/>
      <top/>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1" applyNumberFormat="0" applyAlignment="0" applyProtection="0"/>
    <xf numFmtId="0" fontId="8" fillId="4" borderId="1" applyNumberFormat="0" applyAlignment="0" applyProtection="0"/>
    <xf numFmtId="0" fontId="12" fillId="0" borderId="0" applyNumberFormat="0" applyFill="0" applyBorder="0" applyAlignment="0" applyProtection="0"/>
    <xf numFmtId="9" fontId="13" fillId="0" borderId="0" applyFont="0" applyFill="0" applyBorder="0" applyAlignment="0" applyProtection="0"/>
    <xf numFmtId="0" fontId="20" fillId="9" borderId="0" applyNumberFormat="0" applyBorder="0" applyAlignment="0" applyProtection="0"/>
  </cellStyleXfs>
  <cellXfs count="102">
    <xf numFmtId="0" fontId="0" fillId="0" borderId="0" xfId="0"/>
    <xf numFmtId="2" fontId="0" fillId="0" borderId="0" xfId="0" applyNumberFormat="1"/>
    <xf numFmtId="0" fontId="0" fillId="0" borderId="0" xfId="0" applyAlignment="1">
      <alignment wrapText="1"/>
    </xf>
    <xf numFmtId="0" fontId="3" fillId="0" borderId="0" xfId="2"/>
    <xf numFmtId="0" fontId="0" fillId="0" borderId="0" xfId="0" applyAlignment="1">
      <alignment horizontal="right"/>
    </xf>
    <xf numFmtId="0" fontId="8" fillId="4" borderId="1" xfId="4"/>
    <xf numFmtId="0" fontId="0" fillId="0" borderId="0" xfId="0" applyAlignment="1">
      <alignment vertical="top"/>
    </xf>
    <xf numFmtId="164" fontId="0" fillId="0" borderId="0" xfId="0" applyNumberFormat="1"/>
    <xf numFmtId="9" fontId="0" fillId="0" borderId="0" xfId="0" applyNumberFormat="1"/>
    <xf numFmtId="0" fontId="0" fillId="0" borderId="0" xfId="0" quotePrefix="1"/>
    <xf numFmtId="0" fontId="9" fillId="0" borderId="0" xfId="0" applyFont="1" applyAlignment="1">
      <alignment horizontal="right"/>
    </xf>
    <xf numFmtId="164" fontId="8" fillId="4" borderId="1" xfId="4" applyNumberFormat="1" applyFont="1"/>
    <xf numFmtId="0" fontId="9" fillId="0" borderId="0" xfId="0" applyFont="1"/>
    <xf numFmtId="0" fontId="14" fillId="0" borderId="0" xfId="0" applyFont="1"/>
    <xf numFmtId="0" fontId="15" fillId="0" borderId="0" xfId="0" applyFont="1"/>
    <xf numFmtId="0" fontId="0" fillId="0" borderId="0" xfId="0" applyFont="1"/>
    <xf numFmtId="0" fontId="16" fillId="0" borderId="0" xfId="0" applyFont="1"/>
    <xf numFmtId="165" fontId="0" fillId="0" borderId="0" xfId="0" quotePrefix="1" applyNumberFormat="1" applyAlignment="1"/>
    <xf numFmtId="10" fontId="0" fillId="0" borderId="0" xfId="6" applyNumberFormat="1" applyFont="1"/>
    <xf numFmtId="10" fontId="9" fillId="0" borderId="0" xfId="6" applyNumberFormat="1" applyFont="1"/>
    <xf numFmtId="10" fontId="0" fillId="0" borderId="0" xfId="6" applyNumberFormat="1" applyFont="1" applyAlignment="1">
      <alignment horizontal="left"/>
    </xf>
    <xf numFmtId="10" fontId="9" fillId="0" borderId="0" xfId="6" applyNumberFormat="1" applyFont="1" applyAlignment="1">
      <alignment horizontal="left"/>
    </xf>
    <xf numFmtId="10" fontId="16" fillId="0" borderId="0" xfId="6" applyNumberFormat="1" applyFont="1"/>
    <xf numFmtId="10" fontId="15" fillId="0" borderId="0" xfId="6" applyNumberFormat="1" applyFont="1"/>
    <xf numFmtId="10" fontId="0" fillId="0" borderId="0" xfId="6" quotePrefix="1" applyNumberFormat="1" applyFont="1" applyAlignment="1">
      <alignment horizontal="left"/>
    </xf>
    <xf numFmtId="0" fontId="14" fillId="6" borderId="0" xfId="0" applyFont="1" applyFill="1"/>
    <xf numFmtId="10" fontId="0" fillId="6" borderId="0" xfId="6" applyNumberFormat="1" applyFont="1" applyFill="1"/>
    <xf numFmtId="0" fontId="15" fillId="6" borderId="0" xfId="0" applyFont="1" applyFill="1"/>
    <xf numFmtId="10" fontId="0" fillId="6" borderId="0" xfId="6" applyNumberFormat="1" applyFont="1" applyFill="1" applyAlignment="1">
      <alignment horizontal="left"/>
    </xf>
    <xf numFmtId="10" fontId="12" fillId="0" borderId="0" xfId="5" applyNumberFormat="1"/>
    <xf numFmtId="10" fontId="12" fillId="0" borderId="0" xfId="5" applyNumberFormat="1" applyAlignment="1">
      <alignment horizontal="left"/>
    </xf>
    <xf numFmtId="0" fontId="3" fillId="0" borderId="0" xfId="2" applyAlignment="1">
      <alignment horizontal="left"/>
    </xf>
    <xf numFmtId="0" fontId="3" fillId="0" borderId="0" xfId="2" applyFont="1" applyAlignment="1">
      <alignment horizontal="left"/>
    </xf>
    <xf numFmtId="0" fontId="12" fillId="0" borderId="0" xfId="0" applyFont="1" applyAlignment="1">
      <alignment horizontal="right"/>
    </xf>
    <xf numFmtId="10" fontId="17" fillId="0" borderId="0" xfId="5" applyNumberFormat="1" applyFont="1"/>
    <xf numFmtId="164" fontId="8" fillId="4" borderId="1" xfId="4" applyNumberFormat="1"/>
    <xf numFmtId="1" fontId="8" fillId="4" borderId="1" xfId="4" applyNumberFormat="1" applyAlignment="1">
      <alignment horizontal="right"/>
    </xf>
    <xf numFmtId="10" fontId="8" fillId="4" borderId="1" xfId="6" applyNumberFormat="1" applyFont="1" applyFill="1" applyBorder="1" applyAlignment="1">
      <alignment horizontal="right"/>
    </xf>
    <xf numFmtId="0" fontId="8" fillId="4" borderId="1" xfId="4" applyAlignment="1">
      <alignment horizontal="right"/>
    </xf>
    <xf numFmtId="10" fontId="8" fillId="4" borderId="1" xfId="4" applyNumberFormat="1"/>
    <xf numFmtId="10" fontId="8" fillId="4" borderId="1" xfId="4" applyNumberFormat="1" applyAlignment="1">
      <alignment horizontal="left"/>
    </xf>
    <xf numFmtId="164" fontId="0" fillId="0" borderId="0" xfId="0" quotePrefix="1" applyNumberFormat="1"/>
    <xf numFmtId="165" fontId="0" fillId="0" borderId="0" xfId="0" applyNumberFormat="1"/>
    <xf numFmtId="0" fontId="8" fillId="7" borderId="1" xfId="4" applyFill="1"/>
    <xf numFmtId="0" fontId="0" fillId="0" borderId="0" xfId="0" applyAlignment="1"/>
    <xf numFmtId="0" fontId="9" fillId="0" borderId="0" xfId="0" applyFont="1" applyAlignment="1"/>
    <xf numFmtId="0" fontId="0" fillId="0" borderId="0" xfId="0" applyFill="1"/>
    <xf numFmtId="0" fontId="14" fillId="0" borderId="0" xfId="0" applyFont="1" applyAlignment="1"/>
    <xf numFmtId="0" fontId="18" fillId="0" borderId="0" xfId="0" applyFont="1"/>
    <xf numFmtId="0" fontId="18" fillId="0" borderId="0" xfId="0" applyFont="1" applyAlignment="1"/>
    <xf numFmtId="0" fontId="0" fillId="0" borderId="2" xfId="0" applyBorder="1" applyAlignment="1">
      <alignment wrapText="1"/>
    </xf>
    <xf numFmtId="0" fontId="0" fillId="0" borderId="2" xfId="0" applyBorder="1"/>
    <xf numFmtId="2" fontId="0" fillId="0" borderId="2" xfId="0" applyNumberFormat="1" applyBorder="1"/>
    <xf numFmtId="1" fontId="0" fillId="0" borderId="2" xfId="0" applyNumberFormat="1" applyBorder="1"/>
    <xf numFmtId="0" fontId="0" fillId="0" borderId="3" xfId="0" applyBorder="1" applyAlignment="1">
      <alignment wrapText="1"/>
    </xf>
    <xf numFmtId="0" fontId="0" fillId="0" borderId="3" xfId="0" applyBorder="1"/>
    <xf numFmtId="1" fontId="0" fillId="0" borderId="3" xfId="0" applyNumberFormat="1" applyBorder="1"/>
    <xf numFmtId="0" fontId="0" fillId="0" borderId="0" xfId="0" applyBorder="1"/>
    <xf numFmtId="0" fontId="0" fillId="0" borderId="4" xfId="0" applyBorder="1" applyAlignment="1">
      <alignment wrapText="1"/>
    </xf>
    <xf numFmtId="0" fontId="0" fillId="0" borderId="4" xfId="0" applyBorder="1"/>
    <xf numFmtId="1" fontId="0" fillId="0" borderId="4" xfId="0" applyNumberFormat="1" applyBorder="1"/>
    <xf numFmtId="0" fontId="0" fillId="8" borderId="2" xfId="0" applyFill="1" applyBorder="1"/>
    <xf numFmtId="0" fontId="3" fillId="0" borderId="0" xfId="2" applyBorder="1"/>
    <xf numFmtId="0" fontId="19" fillId="0" borderId="0" xfId="0" applyFont="1"/>
    <xf numFmtId="2" fontId="0" fillId="0" borderId="0" xfId="0" applyNumberFormat="1" applyBorder="1"/>
    <xf numFmtId="0" fontId="3" fillId="0" borderId="0" xfId="2" applyBorder="1" applyAlignment="1"/>
    <xf numFmtId="0" fontId="0" fillId="0" borderId="0" xfId="0" applyBorder="1" applyAlignment="1">
      <alignment wrapText="1"/>
    </xf>
    <xf numFmtId="2" fontId="0" fillId="0" borderId="0" xfId="0" applyNumberFormat="1" applyBorder="1" applyAlignment="1">
      <alignment wrapText="1"/>
    </xf>
    <xf numFmtId="0" fontId="0" fillId="8" borderId="0" xfId="0" applyFill="1" applyBorder="1"/>
    <xf numFmtId="1" fontId="0" fillId="0" borderId="0" xfId="0" applyNumberFormat="1" applyBorder="1"/>
    <xf numFmtId="0" fontId="17" fillId="0" borderId="2" xfId="0" applyFont="1" applyBorder="1"/>
    <xf numFmtId="0" fontId="0" fillId="0" borderId="0" xfId="0" applyFont="1" applyFill="1"/>
    <xf numFmtId="0" fontId="20" fillId="9" borderId="2" xfId="7" applyBorder="1"/>
    <xf numFmtId="2" fontId="20" fillId="9" borderId="0" xfId="7" applyNumberFormat="1" applyBorder="1"/>
    <xf numFmtId="2" fontId="20" fillId="9" borderId="2" xfId="7" applyNumberFormat="1" applyBorder="1"/>
    <xf numFmtId="0" fontId="20" fillId="9" borderId="0" xfId="7" applyBorder="1"/>
    <xf numFmtId="1" fontId="20" fillId="9" borderId="3" xfId="7" applyNumberFormat="1" applyBorder="1"/>
    <xf numFmtId="0" fontId="20" fillId="9" borderId="0" xfId="7" applyBorder="1" applyAlignment="1"/>
    <xf numFmtId="0" fontId="0" fillId="8" borderId="4" xfId="0" applyFill="1" applyBorder="1"/>
    <xf numFmtId="0" fontId="0" fillId="8" borderId="3" xfId="0" applyFill="1" applyBorder="1"/>
    <xf numFmtId="0" fontId="20" fillId="9" borderId="4" xfId="7" applyBorder="1"/>
    <xf numFmtId="2" fontId="0" fillId="8" borderId="0" xfId="0" applyNumberFormat="1" applyFill="1" applyBorder="1"/>
    <xf numFmtId="0" fontId="3" fillId="8" borderId="0" xfId="2" applyFill="1" applyBorder="1" applyAlignment="1"/>
    <xf numFmtId="1" fontId="0" fillId="0" borderId="0" xfId="0" applyNumberFormat="1"/>
    <xf numFmtId="0" fontId="7" fillId="3" borderId="1" xfId="3" applyAlignment="1" applyProtection="1">
      <protection locked="0"/>
    </xf>
    <xf numFmtId="3" fontId="7" fillId="3" borderId="1" xfId="3" applyNumberFormat="1" applyProtection="1">
      <protection locked="0"/>
    </xf>
    <xf numFmtId="0" fontId="0" fillId="0" borderId="0" xfId="0" applyAlignment="1">
      <alignment vertical="top" wrapText="1"/>
    </xf>
    <xf numFmtId="0" fontId="7" fillId="3" borderId="1" xfId="3" applyAlignment="1">
      <alignment horizontal="right"/>
    </xf>
    <xf numFmtId="0" fontId="1" fillId="2" borderId="0" xfId="1" applyAlignment="1">
      <alignment horizontal="right"/>
    </xf>
    <xf numFmtId="0" fontId="12" fillId="0" borderId="0" xfId="5" applyAlignment="1">
      <alignment horizontal="right"/>
    </xf>
    <xf numFmtId="0" fontId="0" fillId="5" borderId="0" xfId="0" quotePrefix="1" applyFill="1" applyBorder="1"/>
    <xf numFmtId="0" fontId="0" fillId="0" borderId="0" xfId="0" applyAlignment="1">
      <alignment horizontal="left" vertical="top" wrapText="1"/>
    </xf>
    <xf numFmtId="0" fontId="7" fillId="3" borderId="1" xfId="3" applyAlignment="1" applyProtection="1">
      <alignment horizontal="left" vertical="center" wrapText="1"/>
      <protection locked="0"/>
    </xf>
    <xf numFmtId="0" fontId="0" fillId="0" borderId="0" xfId="0" applyAlignment="1" applyProtection="1">
      <alignment horizontal="left" vertical="center" wrapText="1"/>
      <protection locked="0"/>
    </xf>
    <xf numFmtId="1" fontId="8" fillId="10" borderId="1" xfId="0" applyNumberFormat="1" applyFont="1" applyFill="1" applyBorder="1" applyAlignment="1" applyProtection="1">
      <alignment horizontal="center" vertical="center" wrapText="1"/>
      <protection locked="0"/>
    </xf>
    <xf numFmtId="164" fontId="7" fillId="3" borderId="1" xfId="3" applyNumberFormat="1" applyAlignment="1" applyProtection="1">
      <alignment horizontal="right" vertical="center" wrapText="1"/>
      <protection locked="0"/>
    </xf>
    <xf numFmtId="4" fontId="8" fillId="4" borderId="1" xfId="4" applyNumberFormat="1" applyAlignment="1">
      <alignment horizontal="center" vertical="center" wrapText="1"/>
    </xf>
    <xf numFmtId="0" fontId="0" fillId="0" borderId="0" xfId="0" applyAlignment="1" applyProtection="1">
      <protection locked="0"/>
    </xf>
    <xf numFmtId="164" fontId="0" fillId="0" borderId="0" xfId="0" applyNumberFormat="1" applyAlignment="1" applyProtection="1">
      <protection locked="0"/>
    </xf>
    <xf numFmtId="0" fontId="9" fillId="0" borderId="0" xfId="0" applyFont="1" applyAlignment="1">
      <alignment horizontal="left"/>
    </xf>
    <xf numFmtId="10" fontId="9" fillId="0" borderId="0" xfId="6" applyNumberFormat="1" applyFont="1" applyAlignment="1"/>
    <xf numFmtId="0" fontId="9" fillId="0" borderId="0" xfId="0" applyFont="1" applyAlignment="1">
      <alignment horizontal="center"/>
    </xf>
  </cellXfs>
  <cellStyles count="8">
    <cellStyle name="Berekening" xfId="4" builtinId="22"/>
    <cellStyle name="Hyperlink" xfId="2" builtinId="8"/>
    <cellStyle name="Invoer" xfId="3" builtinId="20"/>
    <cellStyle name="Neutraal" xfId="7" builtinId="28"/>
    <cellStyle name="Ongeldig" xfId="1" builtinId="27"/>
    <cellStyle name="Procent" xfId="6" builtinId="5"/>
    <cellStyle name="Standaard" xfId="0" builtinId="0"/>
    <cellStyle name="Waarschuwingstekst" xfId="5" builtinId="11"/>
  </cellStyles>
  <dxfs count="39">
    <dxf>
      <numFmt numFmtId="0" formatCode="General"/>
      <alignment horizontal="left" vertical="center" textRotation="0" wrapText="1" indent="0" justifyLastLine="0" shrinkToFit="0" readingOrder="0"/>
      <border>
        <left style="thin">
          <color rgb="FF7F7F7F"/>
        </left>
        <right style="thin">
          <color rgb="FF7F7F7F"/>
        </right>
      </border>
      <protection locked="0" hidden="0"/>
    </dxf>
    <dxf>
      <numFmt numFmtId="164" formatCode="#,##0.0"/>
      <alignment horizontal="right" vertical="center" textRotation="0" wrapText="1" indent="0" justifyLastLine="0" shrinkToFit="0" readingOrder="0"/>
      <border>
        <left style="thin">
          <color rgb="FF7F7F7F"/>
        </left>
        <right style="thin">
          <color rgb="FF7F7F7F"/>
        </right>
      </border>
      <protection locked="0" hidden="0"/>
    </dxf>
    <dxf>
      <font>
        <b/>
        <i val="0"/>
        <strike val="0"/>
        <condense val="0"/>
        <extend val="0"/>
        <outline val="0"/>
        <shadow val="0"/>
        <u val="none"/>
        <vertAlign val="baseline"/>
        <sz val="11"/>
        <color rgb="FFFA7D00"/>
        <name val="Calibri"/>
        <family val="2"/>
        <scheme val="minor"/>
      </font>
      <numFmt numFmtId="1" formatCode="0"/>
      <fill>
        <patternFill patternType="solid">
          <fgColor indexed="64"/>
          <bgColor rgb="FFFFCC99"/>
        </patternFill>
      </fill>
      <alignment horizontal="center" vertical="center" textRotation="0" wrapText="1" indent="0" justifyLastLine="0" shrinkToFit="0" readingOrder="0"/>
      <border diagonalUp="0" diagonalDown="0">
        <left style="thin">
          <color rgb="FF7F7F7F"/>
        </left>
        <right style="thin">
          <color rgb="FF7F7F7F"/>
        </right>
        <top style="thin">
          <color rgb="FF7F7F7F"/>
        </top>
        <bottom style="thin">
          <color rgb="FF7F7F7F"/>
        </bottom>
      </border>
      <protection locked="0" hidden="0"/>
    </dxf>
    <dxf>
      <numFmt numFmtId="0" formatCode="General"/>
      <alignment horizontal="left" vertical="center" textRotation="0" wrapText="1" indent="0" justifyLastLine="0" shrinkToFit="0" readingOrder="0"/>
      <border>
        <right style="thin">
          <color rgb="FF7F7F7F"/>
        </right>
      </border>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numFmt numFmtId="4" formatCode="#,##0.00"/>
      <alignment horizontal="center" vertical="center" textRotation="0" wrapText="1" indent="0" justifyLastLine="0" shrinkToFit="0" readingOrder="0"/>
      <border outline="0">
        <left style="thin">
          <color rgb="FF7F7F7F"/>
        </left>
      </border>
    </dxf>
    <dxf>
      <alignment horizontal="general" vertical="center" textRotation="0" wrapText="1" indent="0" justifyLastLine="0" shrinkToFit="0" readingOrder="0"/>
    </dxf>
    <dxf>
      <font>
        <b/>
        <i val="0"/>
      </font>
      <fill>
        <patternFill>
          <bgColor theme="2"/>
        </patternFill>
      </fill>
    </dxf>
    <dxf>
      <border>
        <left style="thin">
          <color rgb="FF7F7F7F"/>
        </left>
        <right style="thin">
          <color rgb="FF7F7F7F"/>
        </right>
        <top style="thin">
          <color rgb="FF7F7F7F"/>
        </top>
        <bottom style="thin">
          <color rgb="FF7F7F7F"/>
        </bottom>
        <vertical style="thin">
          <color rgb="FF7F7F7F"/>
        </vertical>
        <horizontal style="thin">
          <color rgb="FF7F7F7F"/>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border diagonalUp="0" diagonalDown="0">
        <left/>
        <right style="double">
          <color indexed="64"/>
        </right>
        <top/>
        <bottom/>
        <vertical/>
        <horizontal/>
      </border>
    </dxf>
    <dxf>
      <border diagonalUp="0" diagonalDown="0">
        <left/>
        <right style="mediumDashed">
          <color indexed="64"/>
        </right>
        <top/>
        <bottom/>
        <vertical/>
        <horizontal/>
      </border>
    </dxf>
    <dxf>
      <border diagonalUp="0" diagonalDown="0">
        <left style="double">
          <color indexed="64"/>
        </left>
        <right/>
        <top/>
        <bottom/>
        <vertical/>
        <horizontal/>
      </border>
    </dxf>
    <dxf>
      <border diagonalUp="0" diagonalDown="0">
        <left/>
        <right style="double">
          <color indexed="64"/>
        </right>
        <top/>
        <bottom/>
        <vertical/>
        <horizontal/>
      </border>
    </dxf>
    <dxf>
      <numFmt numFmtId="2" formatCode="0.00"/>
    </dxf>
    <dxf>
      <numFmt numFmtId="2" formatCode="0.00"/>
    </dxf>
    <dxf>
      <numFmt numFmtId="2" formatCode="0.00"/>
    </dxf>
    <dxf>
      <border diagonalUp="0" diagonalDown="0">
        <left/>
        <right style="double">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color theme="1"/>
      </font>
      <fill>
        <patternFill>
          <bgColor rgb="FFFFFFCC"/>
        </patternFill>
      </fill>
      <border>
        <left style="thin">
          <color rgb="FF7F7F7F"/>
        </left>
        <right style="thin">
          <color rgb="FF7F7F7F"/>
        </right>
        <top style="thin">
          <color rgb="FF7F7F7F"/>
        </top>
        <bottom style="thin">
          <color rgb="FF7F7F7F"/>
        </bottom>
        <vertical/>
        <horizontal/>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color rgb="FF9C0006"/>
      </font>
      <fill>
        <patternFill>
          <bgColor rgb="FFFFC7CE"/>
        </patternFill>
      </fill>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s>
  <tableStyles count="1" defaultTableStyle="TableStyleMedium2" defaultPivotStyle="PivotStyleLight16">
    <tableStyle name="Tabelstijl 1" pivot="0" count="2" xr9:uid="{275DBBE2-AEBC-4F7C-877A-C1F31DCE234F}">
      <tableStyleElement type="wholeTable" dxfId="10"/>
      <tableStyleElement type="headerRow" dxfId="9"/>
    </tableStyle>
  </tableStyles>
  <colors>
    <mruColors>
      <color rgb="FF7F7F7F"/>
      <color rgb="FFFFFFCC"/>
      <color rgb="FFFA7D00"/>
      <color rgb="FFFFCC99"/>
      <color rgb="FFFF6565"/>
      <color rgb="FF3F3F76"/>
      <color rgb="FFC48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product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'Calculation-input'!$K$5</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FD-4A77-9338-23D6ADD491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FD-4A77-9338-23D6ADD4912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FD-4A77-9338-23D6ADD4912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CFD-4A77-9338-23D6ADD4912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FD-4A77-9338-23D6ADD4912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CFD-4A77-9338-23D6ADD4912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FD-4A77-9338-23D6ADD4912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CFD-4A77-9338-23D6ADD4912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CFD-4A77-9338-23D6ADD4912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CFD-4A77-9338-23D6ADD4912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CFD-4A77-9338-23D6ADD4912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0CFD-4A77-9338-23D6ADD4912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CFD-4A77-9338-23D6ADD4912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CFD-4A77-9338-23D6ADD4912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CFD-4A77-9338-23D6ADD4912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CFD-4A77-9338-23D6ADD4912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CFD-4A77-9338-23D6ADD49120}"/>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CFD-4A77-9338-23D6ADD49120}"/>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CFD-4A77-9338-23D6ADD49120}"/>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CFD-4A77-9338-23D6ADD49120}"/>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CFD-4A77-9338-23D6ADD491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3-0CFD-4A77-9338-23D6ADD491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4-0CFD-4A77-9338-23D6ADD491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5-0CFD-4A77-9338-23D6ADD4912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6-0CFD-4A77-9338-23D6ADD4912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7-0CFD-4A77-9338-23D6ADD4912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8-0CFD-4A77-9338-23D6ADD4912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9-0CFD-4A77-9338-23D6ADD4912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A-0CFD-4A77-9338-23D6ADD4912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B-0CFD-4A77-9338-23D6ADD4912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C-0CFD-4A77-9338-23D6ADD4912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D-0CFD-4A77-9338-23D6ADD4912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E-0CFD-4A77-9338-23D6ADD4912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F-0CFD-4A77-9338-23D6ADD4912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0-0CFD-4A77-9338-23D6ADD4912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1-0CFD-4A77-9338-23D6ADD4912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2-0CFD-4A77-9338-23D6ADD4912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3-0CFD-4A77-9338-23D6ADD49120}"/>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4-0CFD-4A77-9338-23D6ADD49120}"/>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5-0CFD-4A77-9338-23D6ADD49120}"/>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6-0CFD-4A77-9338-23D6ADD49120}"/>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7-0CFD-4A77-9338-23D6ADD4912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'Calculation-input'!$J$6:$J$26</c:f>
              <c:numCache>
                <c:formatCode>General</c:formatCode>
                <c:ptCount val="21"/>
                <c:pt idx="0">
                  <c:v>0</c:v>
                </c:pt>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cat>
          <c:val>
            <c:numRef>
              <c:f>'Calculation-input'!$K$6:$K$26</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0CFD-4A77-9338-23D6ADD4912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3</xdr:row>
      <xdr:rowOff>190499</xdr:rowOff>
    </xdr:from>
    <xdr:to>
      <xdr:col>17</xdr:col>
      <xdr:colOff>0</xdr:colOff>
      <xdr:row>25</xdr:row>
      <xdr:rowOff>190499</xdr:rowOff>
    </xdr:to>
    <xdr:graphicFrame macro="">
      <xdr:nvGraphicFramePr>
        <xdr:cNvPr id="3" name="Grafiek 2">
          <a:extLst>
            <a:ext uri="{FF2B5EF4-FFF2-40B4-BE49-F238E27FC236}">
              <a16:creationId xmlns:a16="http://schemas.microsoft.com/office/drawing/2014/main" id="{F4B0A993-B777-4AFD-87D4-AA1E8D4E0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415464</xdr:colOff>
      <xdr:row>24</xdr:row>
      <xdr:rowOff>175780</xdr:rowOff>
    </xdr:from>
    <xdr:to>
      <xdr:col>16</xdr:col>
      <xdr:colOff>174</xdr:colOff>
      <xdr:row>31</xdr:row>
      <xdr:rowOff>124345</xdr:rowOff>
    </xdr:to>
    <xdr:pic>
      <xdr:nvPicPr>
        <xdr:cNvPr id="2" name="Afbeelding 1">
          <a:extLst>
            <a:ext uri="{FF2B5EF4-FFF2-40B4-BE49-F238E27FC236}">
              <a16:creationId xmlns:a16="http://schemas.microsoft.com/office/drawing/2014/main" id="{D244B6F5-ED31-4DB4-AE11-5CEC4062ED80}"/>
            </a:ext>
          </a:extLst>
        </xdr:cNvPr>
        <xdr:cNvPicPr>
          <a:picLocks noChangeAspect="1" noChangeArrowheads="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403850" y="4938280"/>
          <a:ext cx="4468438" cy="128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37934F-8227-4EF9-BCD9-F20BF5609D94}" name="Tabel2" displayName="Tabel2" ref="A5:H26" totalsRowShown="0" headerRowDxfId="11" dataDxfId="8">
  <autoFilter ref="A5:H26" xr:uid="{D537934F-8227-4EF9-BCD9-F20BF5609D94}"/>
  <tableColumns count="8">
    <tableColumn id="1" xr3:uid="{6A3292E4-E561-4E45-856A-BE6BB2B5527B}" name="Construction level" dataDxfId="6" dataCellStyle="Invoer"/>
    <tableColumn id="2" xr3:uid="{F952D010-A14A-4914-9CA9-50840D5A5E23}" name="Product category" dataDxfId="5" dataCellStyle="Invoer"/>
    <tableColumn id="3" xr3:uid="{D230AA74-F2BA-4D27-99C7-7922F2919409}" name="Biobased products" dataDxfId="4" dataCellStyle="Invoer"/>
    <tableColumn id="4" xr3:uid="{5EC3B66C-BF3F-4CE8-8331-B7EC437A7530}" name="Additional information" dataDxfId="3">
      <calculatedColumnFormula>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calculatedColumnFormula>
    </tableColumn>
    <tableColumn id="5" xr3:uid="{78E62C93-3CBA-434B-AF42-1A841B8E6344}" name="Average density (kg/m3)" dataDxfId="2">
      <calculatedColumnFormula>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calculatedColumnFormula>
    </tableColumn>
    <tableColumn id="6" xr3:uid="{F4B71CBB-7B8B-4CE3-8F4B-EDECEC1D6F2D}" name="Quantity of product" dataDxfId="1" dataCellStyle="Invoer"/>
    <tableColumn id="7" xr3:uid="{A622A85A-7579-4D2C-A757-47065BC44B9A}" name="Unit" dataDxfId="0" dataCellStyle="Invoer">
      <calculatedColumnFormula>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calculatedColumnFormula>
    </tableColumn>
    <tableColumn id="8" xr3:uid="{A66896B5-834D-47F3-93AD-5728E2823AD2}" name="tCO2 stored" dataDxfId="7" dataCellStyle="Berekening">
      <calculatedColumnFormula>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calculatedColumnFormula>
    </tableColumn>
  </tableColumns>
  <tableStyleInfo name="Tabelstijl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FF975-0F68-48A5-880A-9CED6B322BD1}" name="Tabel1" displayName="Tabel1" ref="A1:O37" totalsRowShown="0" headerRowDxfId="22" tableBorderDxfId="21">
  <autoFilter ref="A1:O37" xr:uid="{B6F89086-9B82-4A0F-9028-DAB52B16992D}"/>
  <sortState xmlns:xlrd2="http://schemas.microsoft.com/office/spreadsheetml/2017/richdata2" ref="A2:O37">
    <sortCondition ref="A1:A37"/>
  </sortState>
  <tableColumns count="15">
    <tableColumn id="1" xr3:uid="{2081E066-29DB-4673-B755-D9CA2FDEA7B4}" name="Product" dataDxfId="20"/>
    <tableColumn id="2" xr3:uid="{5320F8A3-4657-46BB-9BF5-133202804871}" name="Min. CO2-storage (kgCO2/kg)" dataDxfId="19"/>
    <tableColumn id="3" xr3:uid="{3F84CEF9-74C5-4A9C-ADFC-980A2E21AB29}" name="Av. CO2-storage (kgCO2/kg)*" dataDxfId="18"/>
    <tableColumn id="4" xr3:uid="{1712F483-5B99-4987-B8C8-DDBC0E95BAC9}" name="Max. CO2-storage (kgCO2/kg)" dataDxfId="17"/>
    <tableColumn id="5" xr3:uid="{28341A7D-ED4F-4946-8FE3-1459FD01D80D}" name="n datapoints" dataDxfId="16"/>
    <tableColumn id="6" xr3:uid="{6C5756FF-C428-446E-B5B4-FCB4E45DCE5D}" name="Min. Density (kg/m3)" dataDxfId="15"/>
    <tableColumn id="7" xr3:uid="{7462E52B-6144-4452-96D0-97498D1F9D24}" name="Av. of mid. range Density (kg/m3)"/>
    <tableColumn id="8" xr3:uid="{E3291A64-CDF8-4728-B2CC-F820CF8EBB96}" name="Max. Density (kg/m3)" dataDxfId="14"/>
    <tableColumn id="9" xr3:uid="{70F553E0-396E-45E9-84A4-FE5E396F418C}" name="Av. Density from spruces (kg/m3)"/>
    <tableColumn id="10" xr3:uid="{C7060F08-ECAA-4A90-A62D-29D1C8A71489}" name="Av. Density from larchs (kg/m3)" dataDxfId="13"/>
    <tableColumn id="11" xr3:uid="{B8D8C81E-F0B4-4A51-9411-668548B59B94}" name="Source1" dataDxfId="12" dataCellStyle="Hyperlink"/>
    <tableColumn id="12" xr3:uid="{A3994771-2EC8-469D-A98B-320F40B67788}" name="Source2"/>
    <tableColumn id="13" xr3:uid="{DD1AB8C1-4C76-4EA4-A82A-D5CC8993182A}" name="Source3"/>
    <tableColumn id="14" xr3:uid="{0B502E4A-B33D-4136-A7D9-10A9115BC1E6}" name="Source4"/>
    <tableColumn id="15" xr3:uid="{BB3ED56F-FA5B-4336-AA8B-5B3726C811DC}" name="Source5"/>
  </tableColumns>
  <tableStyleInfo name="TableStyleLight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art@climatecleanup.org" TargetMode="External"/><Relationship Id="rId1" Type="http://schemas.openxmlformats.org/officeDocument/2006/relationships/hyperlink" Target="https://www.linkedin.com/in/bart-van-valenberg-6-2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wc.org/pdf/greenbuilding/epd/AWC_EPD_NorthAmericanGluedLaminatedTimber_20200605.pdf" TargetMode="External"/><Relationship Id="rId18" Type="http://schemas.openxmlformats.org/officeDocument/2006/relationships/hyperlink" Target="https://www.accoya.com/app/uploads/2020/05/Environmental-Product-Declaration-%E2%80%93-cladding-decking-planed-timber-%E2%80%93-EN-15804.pdf" TargetMode="External"/><Relationship Id="rId26"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9" Type="http://schemas.openxmlformats.org/officeDocument/2006/relationships/hyperlink" Target="https://innovativebuildingmaterials.com/hemp-insulation/" TargetMode="External"/><Relationship Id="rId21" Type="http://schemas.openxmlformats.org/officeDocument/2006/relationships/hyperlink" Target="https://epd-online.com/EmbeddedEpdList/Download/5751" TargetMode="External"/><Relationship Id="rId34" Type="http://schemas.openxmlformats.org/officeDocument/2006/relationships/hyperlink" Target="https://llufb.llu.lv/conference/NJF/NJF_2015_Proceedings_Latvia-156-160.pdf" TargetMode="External"/><Relationship Id="rId42" Type="http://schemas.openxmlformats.org/officeDocument/2006/relationships/hyperlink" Target="https://passiefhuismarkt.nl/passiefhuis-producten/houtflex-standard/" TargetMode="External"/><Relationship Id="rId47" Type="http://schemas.openxmlformats.org/officeDocument/2006/relationships/comments" Target="../comments1.xml"/><Relationship Id="rId7" Type="http://schemas.openxmlformats.org/officeDocument/2006/relationships/hyperlink" Target="https://www.houtdatabase.nl/" TargetMode="External"/><Relationship Id="rId2" Type="http://schemas.openxmlformats.org/officeDocument/2006/relationships/hyperlink" Target="https://www.houtdatabase.nl/" TargetMode="External"/><Relationship Id="rId16" Type="http://schemas.openxmlformats.org/officeDocument/2006/relationships/hyperlink" Target="https://www.nordic.ca/data/files/datasheet/file/EPD_Nordic_Lam.pdf" TargetMode="External"/><Relationship Id="rId29" Type="http://schemas.openxmlformats.org/officeDocument/2006/relationships/hyperlink" Target="https://onlinelibrary.wiley.com/doi/abs/10.1111/plb.12435" TargetMode="External"/><Relationship Id="rId1" Type="http://schemas.openxmlformats.org/officeDocument/2006/relationships/hyperlink" Target="https://www.groendak.nl/" TargetMode="External"/><Relationship Id="rId6" Type="http://schemas.openxmlformats.org/officeDocument/2006/relationships/hyperlink" Target="https://www.houtdatabase.nl/" TargetMode="External"/><Relationship Id="rId11" Type="http://schemas.openxmlformats.org/officeDocument/2006/relationships/hyperlink" Target="https://materialspalette.org/straw-bale/" TargetMode="External"/><Relationship Id="rId24" Type="http://schemas.openxmlformats.org/officeDocument/2006/relationships/hyperlink" Target="https://iwto.org/sustainability/carbon-cycle/" TargetMode="External"/><Relationship Id="rId32" Type="http://schemas.openxmlformats.org/officeDocument/2006/relationships/hyperlink" Target="https://www.researchgate.net/publication/313961941_Life_cycle_assessment_of_natural_building_materials_the_role_of_carbonation_mixture_components_and_transport_in_the_environmental_impacts_of_hempcrete_blocks" TargetMode="External"/><Relationship Id="rId37" Type="http://schemas.openxmlformats.org/officeDocument/2006/relationships/hyperlink" Target="https://www.groenebouwmaterialen.nl/thermo-hennep-premium-hennep-isolatie.html" TargetMode="External"/><Relationship Id="rId40" Type="http://schemas.openxmlformats.org/officeDocument/2006/relationships/hyperlink" Target="https://www.eco-bouwmaterialen.nl/isolatie/" TargetMode="External"/><Relationship Id="rId45" Type="http://schemas.openxmlformats.org/officeDocument/2006/relationships/vmlDrawing" Target="../drawings/vmlDrawing1.vml"/><Relationship Id="rId5" Type="http://schemas.openxmlformats.org/officeDocument/2006/relationships/hyperlink" Target="https://www.houtdatabase.nl/" TargetMode="External"/><Relationship Id="rId15" Type="http://schemas.openxmlformats.org/officeDocument/2006/relationships/hyperlink" Target="https://www.astm.org/CERTIFICATION/DOCS/479.EPD_FOR_Structurlam_Glulam_20200113.pdf" TargetMode="External"/><Relationship Id="rId23" Type="http://schemas.openxmlformats.org/officeDocument/2006/relationships/hyperlink" Target="https://www.researchgate.net/publication/38028912_Carbon_Sequestration_Potential_of_Extensive_Green_Roofs" TargetMode="External"/><Relationship Id="rId28"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6" Type="http://schemas.openxmlformats.org/officeDocument/2006/relationships/hyperlink" Target="https://www.isolatie-info.nl/isolatiemateriaal/hennep" TargetMode="External"/><Relationship Id="rId10" Type="http://schemas.openxmlformats.org/officeDocument/2006/relationships/hyperlink" Target="https://www.academia.edu/39298982/STRAWBALE_CONSTRUCTION_A_LEAST_EMBODIED_ENERGY_MATERIAL" TargetMode="External"/><Relationship Id="rId19" Type="http://schemas.openxmlformats.org/officeDocument/2006/relationships/hyperlink" Target="https://www.accoya.com/app/uploads/2020/05/Environmental-Product-Declaration-%E2%80%93-cladding-decking-planed-timber-%E2%80%93-EN-15804.pdf" TargetMode="External"/><Relationship Id="rId31" Type="http://schemas.openxmlformats.org/officeDocument/2006/relationships/hyperlink" Target="https://www.hollandhoutland.nl/wp-content/uploads/2021/03/HH_Biobased-Bouwen-Bedrijvengids_BOOK_19-03_web.pdf" TargetMode="External"/><Relationship Id="rId44" Type="http://schemas.openxmlformats.org/officeDocument/2006/relationships/printerSettings" Target="../printerSettings/printerSettings4.bin"/><Relationship Id="rId4" Type="http://schemas.openxmlformats.org/officeDocument/2006/relationships/hyperlink" Target="https://www.houtdatabase.nl/" TargetMode="External"/><Relationship Id="rId9" Type="http://schemas.openxmlformats.org/officeDocument/2006/relationships/hyperlink" Target="https://www.houtdatabase.nl/" TargetMode="External"/><Relationship Id="rId14" Type="http://schemas.openxmlformats.org/officeDocument/2006/relationships/hyperlink" Target="https://portal.environdec.com/api/api/v1/EPDLibrary/Files/2263eda0-231e-412c-91e4-0a1894bf1a5d/Data" TargetMode="External"/><Relationship Id="rId22" Type="http://schemas.openxmlformats.org/officeDocument/2006/relationships/hyperlink" Target="https://parquet.com/technical-data-sheet/" TargetMode="External"/><Relationship Id="rId27" Type="http://schemas.openxmlformats.org/officeDocument/2006/relationships/hyperlink" Target="https://onlinelibrary.wiley.com/doi/abs/10.1111/plb.12435" TargetMode="External"/><Relationship Id="rId30" Type="http://schemas.openxmlformats.org/officeDocument/2006/relationships/hyperlink" Target="https://www.hollandhoutland.nl/wp-content/uploads/2021/03/HH_Biobased-Bouwen-Bedrijvengids_BOOK_19-03_web.pdf" TargetMode="External"/><Relationship Id="rId35" Type="http://schemas.openxmlformats.org/officeDocument/2006/relationships/hyperlink" Target="https://www.hollandhoutland.nl/wp-content/uploads/2021/03/HH_Biobased-Bouwen-Bedrijvengids_BOOK_19-03_web.pdf" TargetMode="External"/><Relationship Id="rId43" Type="http://schemas.openxmlformats.org/officeDocument/2006/relationships/hyperlink" Target="mailto:jdwars@soprema.nl" TargetMode="External"/><Relationship Id="rId8" Type="http://schemas.openxmlformats.org/officeDocument/2006/relationships/hyperlink" Target="https://www.houtdatabase.nl/" TargetMode="External"/><Relationship Id="rId3" Type="http://schemas.openxmlformats.org/officeDocument/2006/relationships/hyperlink" Target="https://www.houtdatabase.nl/" TargetMode="External"/><Relationship Id="rId12" Type="http://schemas.openxmlformats.org/officeDocument/2006/relationships/hyperlink" Target="https://ecococon.eu/assets/downloads/ecococon_brochure.pdf" TargetMode="External"/><Relationship Id="rId17" Type="http://schemas.openxmlformats.org/officeDocument/2006/relationships/hyperlink" Target="https://portal.environdec.com/api/api/v1/EPDLibrary/Files/b7b4e26b-41b8-4b7f-802c-08d8e2c71993/Data" TargetMode="External"/><Relationship Id="rId25" Type="http://schemas.openxmlformats.org/officeDocument/2006/relationships/hyperlink" Target="https://www.carbontrap.org/about-miscanthus" TargetMode="External"/><Relationship Id="rId33" Type="http://schemas.openxmlformats.org/officeDocument/2006/relationships/hyperlink" Target="https://www.sciencedirect.com/science/article/abs/pii/S0921344912001620" TargetMode="External"/><Relationship Id="rId38" Type="http://schemas.openxmlformats.org/officeDocument/2006/relationships/hyperlink" Target="https://www.hempitecture.com/hempwool" TargetMode="External"/><Relationship Id="rId46" Type="http://schemas.openxmlformats.org/officeDocument/2006/relationships/table" Target="../tables/table2.xml"/><Relationship Id="rId20" Type="http://schemas.openxmlformats.org/officeDocument/2006/relationships/hyperlink" Target="https://www.accoya.com/app/uploads/2020/05/Environmental-Product-Declaration-%E2%80%93-cladding-decking-planed-timber-%E2%80%93-EN-15804.pdf" TargetMode="External"/><Relationship Id="rId41" Type="http://schemas.openxmlformats.org/officeDocument/2006/relationships/hyperlink" Target="https://www.researchgate.net/publication/279246264_A_review_of_unconventional_sustainable_building_insulation_material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iencedirect.com/science/article/abs/pii/S0961953403000333" TargetMode="External"/><Relationship Id="rId21" Type="http://schemas.openxmlformats.org/officeDocument/2006/relationships/hyperlink" Target="https://www.sciencedirect.com/science/article/abs/pii/S0961953403000333" TargetMode="External"/><Relationship Id="rId42" Type="http://schemas.openxmlformats.org/officeDocument/2006/relationships/hyperlink" Target="https://www.houtinfo.nl/node/224" TargetMode="External"/><Relationship Id="rId47" Type="http://schemas.openxmlformats.org/officeDocument/2006/relationships/hyperlink" Target="https://www.wood-database.com/balsam-fir/" TargetMode="External"/><Relationship Id="rId63" Type="http://schemas.openxmlformats.org/officeDocument/2006/relationships/hyperlink" Target="https://www.wood-database.com/tamarack/" TargetMode="External"/><Relationship Id="rId68" Type="http://schemas.openxmlformats.org/officeDocument/2006/relationships/hyperlink" Target="https://www.wood-database.com/black-cherry/" TargetMode="External"/><Relationship Id="rId16" Type="http://schemas.openxmlformats.org/officeDocument/2006/relationships/hyperlink" Target="https://www.sciencedirect.com/science/article/abs/pii/S0961953403000333" TargetMode="External"/><Relationship Id="rId11" Type="http://schemas.openxmlformats.org/officeDocument/2006/relationships/hyperlink" Target="https://www.sciencedirect.com/science/article/abs/pii/S0961953403000333" TargetMode="External"/><Relationship Id="rId32" Type="http://schemas.openxmlformats.org/officeDocument/2006/relationships/hyperlink" Target="https://www.sciencedirect.com/science/article/abs/pii/S0961953403000333" TargetMode="External"/><Relationship Id="rId37" Type="http://schemas.openxmlformats.org/officeDocument/2006/relationships/hyperlink" Target="https://www.sciencedirect.com/science/article/abs/pii/S0961953403000333" TargetMode="External"/><Relationship Id="rId53" Type="http://schemas.openxmlformats.org/officeDocument/2006/relationships/hyperlink" Target="https://www.wood-database.com/black-ash/" TargetMode="External"/><Relationship Id="rId58" Type="http://schemas.openxmlformats.org/officeDocument/2006/relationships/hyperlink" Target="https://www.wood-database.com/jack-pine/" TargetMode="External"/><Relationship Id="rId74" Type="http://schemas.openxmlformats.org/officeDocument/2006/relationships/hyperlink" Target="https://www.wood-database.com/western-hemlock/" TargetMode="External"/><Relationship Id="rId79" Type="http://schemas.openxmlformats.org/officeDocument/2006/relationships/hyperlink" Target="https://www.wood-database.com/american-beech/" TargetMode="External"/><Relationship Id="rId5" Type="http://schemas.openxmlformats.org/officeDocument/2006/relationships/hyperlink" Target="https://www.sciencedirect.com/science/article/abs/pii/S0961953403000333" TargetMode="External"/><Relationship Id="rId61" Type="http://schemas.openxmlformats.org/officeDocument/2006/relationships/hyperlink" Target="https://www.wood-database.com/eastern-white-pine/" TargetMode="External"/><Relationship Id="rId82" Type="http://schemas.openxmlformats.org/officeDocument/2006/relationships/drawing" Target="../drawings/drawing2.xml"/><Relationship Id="rId19" Type="http://schemas.openxmlformats.org/officeDocument/2006/relationships/hyperlink" Target="https://www.sciencedirect.com/science/article/abs/pii/S0961953403000333" TargetMode="External"/><Relationship Id="rId14" Type="http://schemas.openxmlformats.org/officeDocument/2006/relationships/hyperlink" Target="https://www.sciencedirect.com/science/article/abs/pii/S0961953403000333" TargetMode="External"/><Relationship Id="rId22" Type="http://schemas.openxmlformats.org/officeDocument/2006/relationships/hyperlink" Target="https://www.sciencedirect.com/science/article/abs/pii/S0961953403000333" TargetMode="External"/><Relationship Id="rId27" Type="http://schemas.openxmlformats.org/officeDocument/2006/relationships/hyperlink" Target="https://www.sciencedirect.com/science/article/abs/pii/S0961953403000333" TargetMode="External"/><Relationship Id="rId30" Type="http://schemas.openxmlformats.org/officeDocument/2006/relationships/hyperlink" Target="https://www.sciencedirect.com/science/article/abs/pii/S0961953403000333" TargetMode="External"/><Relationship Id="rId35" Type="http://schemas.openxmlformats.org/officeDocument/2006/relationships/hyperlink" Target="https://www.sciencedirect.com/science/article/abs/pii/S0961953403000333" TargetMode="External"/><Relationship Id="rId43" Type="http://schemas.openxmlformats.org/officeDocument/2006/relationships/hyperlink" Target="https://www.houtinfo.nl/node/255" TargetMode="External"/><Relationship Id="rId48" Type="http://schemas.openxmlformats.org/officeDocument/2006/relationships/hyperlink" Target="https://www.wood-database.com/box-elder/" TargetMode="External"/><Relationship Id="rId56" Type="http://schemas.openxmlformats.org/officeDocument/2006/relationships/hyperlink" Target="https://www.wood-database.com/red-oak/" TargetMode="External"/><Relationship Id="rId64" Type="http://schemas.openxmlformats.org/officeDocument/2006/relationships/hyperlink" Target="https://www.wood-database.com/western-larch/" TargetMode="External"/><Relationship Id="rId69" Type="http://schemas.openxmlformats.org/officeDocument/2006/relationships/hyperlink" Target="https://www.wood-database.com/sitka-spruce/" TargetMode="External"/><Relationship Id="rId77" Type="http://schemas.openxmlformats.org/officeDocument/2006/relationships/hyperlink" Target="https://www.wood-database.com/yellow-birch/" TargetMode="External"/><Relationship Id="rId8" Type="http://schemas.openxmlformats.org/officeDocument/2006/relationships/hyperlink" Target="https://www.sciencedirect.com/science/article/abs/pii/S0961953403000333" TargetMode="External"/><Relationship Id="rId51" Type="http://schemas.openxmlformats.org/officeDocument/2006/relationships/hyperlink" Target="https://www.wood-database.com/red-maple/" TargetMode="External"/><Relationship Id="rId72" Type="http://schemas.openxmlformats.org/officeDocument/2006/relationships/hyperlink" Target="https://www.wood-database.com/black-walnut/" TargetMode="External"/><Relationship Id="rId80" Type="http://schemas.openxmlformats.org/officeDocument/2006/relationships/hyperlink" Target="https://www.researchgate.net/publication/287808853_Carbon_content_in_Juvenile_and_mature_wood_of_Scots_Pine_Pinus_sylyestris_L" TargetMode="External"/><Relationship Id="rId3" Type="http://schemas.openxmlformats.org/officeDocument/2006/relationships/hyperlink" Target="https://www.sciencedirect.com/science/article/abs/pii/S0961953403000333" TargetMode="External"/><Relationship Id="rId12" Type="http://schemas.openxmlformats.org/officeDocument/2006/relationships/hyperlink" Target="https://www.sciencedirect.com/science/article/abs/pii/S0961953403000333" TargetMode="External"/><Relationship Id="rId17" Type="http://schemas.openxmlformats.org/officeDocument/2006/relationships/hyperlink" Target="https://www.sciencedirect.com/science/article/abs/pii/S0961953403000333" TargetMode="External"/><Relationship Id="rId25" Type="http://schemas.openxmlformats.org/officeDocument/2006/relationships/hyperlink" Target="https://www.sciencedirect.com/science/article/abs/pii/S0961953403000333" TargetMode="External"/><Relationship Id="rId33" Type="http://schemas.openxmlformats.org/officeDocument/2006/relationships/hyperlink" Target="https://www.sciencedirect.com/science/article/abs/pii/S0961953403000333" TargetMode="External"/><Relationship Id="rId38" Type="http://schemas.openxmlformats.org/officeDocument/2006/relationships/hyperlink" Target="https://www.sciencedirect.com/science/article/abs/pii/S0961953403000333" TargetMode="External"/><Relationship Id="rId46" Type="http://schemas.openxmlformats.org/officeDocument/2006/relationships/hyperlink" Target="https://www.wood-database.com/pacific-silver-fir/" TargetMode="External"/><Relationship Id="rId59" Type="http://schemas.openxmlformats.org/officeDocument/2006/relationships/hyperlink" Target="https://www.wood-database.com/ponderosa-pine/" TargetMode="External"/><Relationship Id="rId67" Type="http://schemas.openxmlformats.org/officeDocument/2006/relationships/hyperlink" Target="https://www.wood-database.com/quaking-aspen/" TargetMode="External"/><Relationship Id="rId20" Type="http://schemas.openxmlformats.org/officeDocument/2006/relationships/hyperlink" Target="https://www.sciencedirect.com/science/article/abs/pii/S0961953403000333" TargetMode="External"/><Relationship Id="rId41" Type="http://schemas.openxmlformats.org/officeDocument/2006/relationships/hyperlink" Target="https://www.sciencedirect.com/science/article/abs/pii/S0961953403000333" TargetMode="External"/><Relationship Id="rId54" Type="http://schemas.openxmlformats.org/officeDocument/2006/relationships/hyperlink" Target="https://www.wood-database.com/white-ash/" TargetMode="External"/><Relationship Id="rId62" Type="http://schemas.openxmlformats.org/officeDocument/2006/relationships/hyperlink" Target="https://www.wood-database.com/?s=carya" TargetMode="External"/><Relationship Id="rId70" Type="http://schemas.openxmlformats.org/officeDocument/2006/relationships/hyperlink" Target="https://www.wood-database.com/white-spruce/" TargetMode="External"/><Relationship Id="rId75" Type="http://schemas.openxmlformats.org/officeDocument/2006/relationships/hyperlink" Target="https://www.wood-database.com/eastern-hemlock/" TargetMode="External"/><Relationship Id="rId1" Type="http://schemas.openxmlformats.org/officeDocument/2006/relationships/hyperlink" Target="https://opslagco2inhout.nl/motivatie" TargetMode="External"/><Relationship Id="rId6" Type="http://schemas.openxmlformats.org/officeDocument/2006/relationships/hyperlink" Target="https://www.sciencedirect.com/science/article/abs/pii/S0961953403000333" TargetMode="External"/><Relationship Id="rId15" Type="http://schemas.openxmlformats.org/officeDocument/2006/relationships/hyperlink" Target="https://www.sciencedirect.com/science/article/abs/pii/S0961953403000333" TargetMode="External"/><Relationship Id="rId23" Type="http://schemas.openxmlformats.org/officeDocument/2006/relationships/hyperlink" Target="https://www.sciencedirect.com/science/article/abs/pii/S0961953403000333" TargetMode="External"/><Relationship Id="rId28" Type="http://schemas.openxmlformats.org/officeDocument/2006/relationships/hyperlink" Target="https://www.sciencedirect.com/science/article/abs/pii/S0961953403000333" TargetMode="External"/><Relationship Id="rId36" Type="http://schemas.openxmlformats.org/officeDocument/2006/relationships/hyperlink" Target="https://www.sciencedirect.com/science/article/abs/pii/S0961953403000333" TargetMode="External"/><Relationship Id="rId49" Type="http://schemas.openxmlformats.org/officeDocument/2006/relationships/hyperlink" Target="https://www.wood-database.com/bigleaf-maple/" TargetMode="External"/><Relationship Id="rId57" Type="http://schemas.openxmlformats.org/officeDocument/2006/relationships/hyperlink" Target="https://www.wood-database.com/lodgepole-pine/" TargetMode="External"/><Relationship Id="rId10" Type="http://schemas.openxmlformats.org/officeDocument/2006/relationships/hyperlink" Target="https://www.sciencedirect.com/science/article/abs/pii/S0961953403000333" TargetMode="External"/><Relationship Id="rId31" Type="http://schemas.openxmlformats.org/officeDocument/2006/relationships/hyperlink" Target="https://www.sciencedirect.com/science/article/abs/pii/S0961953403000333" TargetMode="External"/><Relationship Id="rId44" Type="http://schemas.openxmlformats.org/officeDocument/2006/relationships/hyperlink" Target="https://www.wood-database.com/western-red-cedar/" TargetMode="External"/><Relationship Id="rId52" Type="http://schemas.openxmlformats.org/officeDocument/2006/relationships/hyperlink" Target="https://www.wood-database.com/red-alder/" TargetMode="External"/><Relationship Id="rId60" Type="http://schemas.openxmlformats.org/officeDocument/2006/relationships/hyperlink" Target="https://www.wood-database.com/red-pine/" TargetMode="External"/><Relationship Id="rId65" Type="http://schemas.openxmlformats.org/officeDocument/2006/relationships/hyperlink" Target="https://www.wood-database.com/sycamore/" TargetMode="External"/><Relationship Id="rId73" Type="http://schemas.openxmlformats.org/officeDocument/2006/relationships/hyperlink" Target="https://www.wood-database.com/butternut/" TargetMode="External"/><Relationship Id="rId78" Type="http://schemas.openxmlformats.org/officeDocument/2006/relationships/hyperlink" Target="https://www.wood-database.com/paper-birch/" TargetMode="External"/><Relationship Id="rId81" Type="http://schemas.openxmlformats.org/officeDocument/2006/relationships/printerSettings" Target="../printerSettings/printerSettings6.bin"/><Relationship Id="rId4" Type="http://schemas.openxmlformats.org/officeDocument/2006/relationships/hyperlink" Target="https://www.sciencedirect.com/science/article/abs/pii/S0961953403000333" TargetMode="External"/><Relationship Id="rId9" Type="http://schemas.openxmlformats.org/officeDocument/2006/relationships/hyperlink" Target="https://www.sciencedirect.com/science/article/abs/pii/S0961953403000333" TargetMode="External"/><Relationship Id="rId13" Type="http://schemas.openxmlformats.org/officeDocument/2006/relationships/hyperlink" Target="https://www.sciencedirect.com/science/article/abs/pii/S0961953403000333" TargetMode="External"/><Relationship Id="rId18" Type="http://schemas.openxmlformats.org/officeDocument/2006/relationships/hyperlink" Target="https://www.sciencedirect.com/science/article/abs/pii/S0961953403000333" TargetMode="External"/><Relationship Id="rId39" Type="http://schemas.openxmlformats.org/officeDocument/2006/relationships/hyperlink" Target="https://www.sciencedirect.com/science/article/abs/pii/S0961953403000333" TargetMode="External"/><Relationship Id="rId34" Type="http://schemas.openxmlformats.org/officeDocument/2006/relationships/hyperlink" Target="https://www.sciencedirect.com/science/article/abs/pii/S0961953403000333" TargetMode="External"/><Relationship Id="rId50" Type="http://schemas.openxmlformats.org/officeDocument/2006/relationships/hyperlink" Target="https://www.wood-database.com/hard-maple/" TargetMode="External"/><Relationship Id="rId55" Type="http://schemas.openxmlformats.org/officeDocument/2006/relationships/hyperlink" Target="https://www.wood-database.com/white-oak/" TargetMode="External"/><Relationship Id="rId76" Type="http://schemas.openxmlformats.org/officeDocument/2006/relationships/hyperlink" Target="https://www.wood-database.com/northern-white-cedar/" TargetMode="External"/><Relationship Id="rId7" Type="http://schemas.openxmlformats.org/officeDocument/2006/relationships/hyperlink" Target="https://www.sciencedirect.com/science/article/abs/pii/S0961953403000333" TargetMode="External"/><Relationship Id="rId71" Type="http://schemas.openxmlformats.org/officeDocument/2006/relationships/hyperlink" Target="https://www.wood-database.com/?s=salix" TargetMode="External"/><Relationship Id="rId2" Type="http://schemas.openxmlformats.org/officeDocument/2006/relationships/hyperlink" Target="https://www.houtinfo.nl/node/190" TargetMode="External"/><Relationship Id="rId29" Type="http://schemas.openxmlformats.org/officeDocument/2006/relationships/hyperlink" Target="https://www.sciencedirect.com/science/article/abs/pii/S0961953403000333" TargetMode="External"/><Relationship Id="rId24" Type="http://schemas.openxmlformats.org/officeDocument/2006/relationships/hyperlink" Target="https://www.sciencedirect.com/science/article/abs/pii/S0961953403000333" TargetMode="External"/><Relationship Id="rId40" Type="http://schemas.openxmlformats.org/officeDocument/2006/relationships/hyperlink" Target="https://www.sciencedirect.com/science/article/abs/pii/S0961953403000333" TargetMode="External"/><Relationship Id="rId45" Type="http://schemas.openxmlformats.org/officeDocument/2006/relationships/hyperlink" Target="https://www.wood-database.com/alaskan-yellow-cedar/" TargetMode="External"/><Relationship Id="rId66" Type="http://schemas.openxmlformats.org/officeDocument/2006/relationships/hyperlink" Target="https://www.wood-database.com/black-cottonwood/"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0326-C3AA-4A79-B1AE-6D2F9AA2A4C5}">
  <dimension ref="A1:W38"/>
  <sheetViews>
    <sheetView tabSelected="1" workbookViewId="0">
      <selection activeCell="D1" sqref="D1:W38"/>
    </sheetView>
  </sheetViews>
  <sheetFormatPr defaultRowHeight="15" x14ac:dyDescent="0.25"/>
  <cols>
    <col min="1" max="1" width="10.5703125" customWidth="1"/>
  </cols>
  <sheetData>
    <row r="1" spans="1:23" x14ac:dyDescent="0.25">
      <c r="A1" t="s">
        <v>346</v>
      </c>
      <c r="D1" s="91" t="s">
        <v>352</v>
      </c>
      <c r="E1" s="91"/>
      <c r="F1" s="91"/>
      <c r="G1" s="91"/>
      <c r="H1" s="91"/>
      <c r="I1" s="91"/>
      <c r="J1" s="91"/>
      <c r="K1" s="91"/>
      <c r="L1" s="91"/>
      <c r="M1" s="91"/>
      <c r="N1" s="91"/>
      <c r="O1" s="91"/>
      <c r="P1" s="91"/>
      <c r="Q1" s="91"/>
      <c r="R1" s="91"/>
      <c r="S1" s="91"/>
      <c r="T1" s="91"/>
      <c r="U1" s="91"/>
      <c r="V1" s="91"/>
      <c r="W1" s="91"/>
    </row>
    <row r="2" spans="1:23" x14ac:dyDescent="0.25">
      <c r="A2" s="87" t="s">
        <v>342</v>
      </c>
      <c r="B2" t="s">
        <v>343</v>
      </c>
      <c r="D2" s="91"/>
      <c r="E2" s="91"/>
      <c r="F2" s="91"/>
      <c r="G2" s="91"/>
      <c r="H2" s="91"/>
      <c r="I2" s="91"/>
      <c r="J2" s="91"/>
      <c r="K2" s="91"/>
      <c r="L2" s="91"/>
      <c r="M2" s="91"/>
      <c r="N2" s="91"/>
      <c r="O2" s="91"/>
      <c r="P2" s="91"/>
      <c r="Q2" s="91"/>
      <c r="R2" s="91"/>
      <c r="S2" s="91"/>
      <c r="T2" s="91"/>
      <c r="U2" s="91"/>
      <c r="V2" s="91"/>
      <c r="W2" s="91"/>
    </row>
    <row r="3" spans="1:23" x14ac:dyDescent="0.25">
      <c r="A3" s="5">
        <v>123</v>
      </c>
      <c r="B3" t="s">
        <v>54</v>
      </c>
      <c r="D3" s="91"/>
      <c r="E3" s="91"/>
      <c r="F3" s="91"/>
      <c r="G3" s="91"/>
      <c r="H3" s="91"/>
      <c r="I3" s="91"/>
      <c r="J3" s="91"/>
      <c r="K3" s="91"/>
      <c r="L3" s="91"/>
      <c r="M3" s="91"/>
      <c r="N3" s="91"/>
      <c r="O3" s="91"/>
      <c r="P3" s="91"/>
      <c r="Q3" s="91"/>
      <c r="R3" s="91"/>
      <c r="S3" s="91"/>
      <c r="T3" s="91"/>
      <c r="U3" s="91"/>
      <c r="V3" s="91"/>
      <c r="W3" s="91"/>
    </row>
    <row r="4" spans="1:23" x14ac:dyDescent="0.25">
      <c r="A4" s="43">
        <v>123</v>
      </c>
      <c r="B4" t="s">
        <v>263</v>
      </c>
      <c r="D4" s="91"/>
      <c r="E4" s="91"/>
      <c r="F4" s="91"/>
      <c r="G4" s="91"/>
      <c r="H4" s="91"/>
      <c r="I4" s="91"/>
      <c r="J4" s="91"/>
      <c r="K4" s="91"/>
      <c r="L4" s="91"/>
      <c r="M4" s="91"/>
      <c r="N4" s="91"/>
      <c r="O4" s="91"/>
      <c r="P4" s="91"/>
      <c r="Q4" s="91"/>
      <c r="R4" s="91"/>
      <c r="S4" s="91"/>
      <c r="T4" s="91"/>
      <c r="U4" s="91"/>
      <c r="V4" s="91"/>
      <c r="W4" s="91"/>
    </row>
    <row r="5" spans="1:23" x14ac:dyDescent="0.25">
      <c r="A5" s="89" t="s">
        <v>342</v>
      </c>
      <c r="B5" t="s">
        <v>75</v>
      </c>
      <c r="D5" s="91"/>
      <c r="E5" s="91"/>
      <c r="F5" s="91"/>
      <c r="G5" s="91"/>
      <c r="H5" s="91"/>
      <c r="I5" s="91"/>
      <c r="J5" s="91"/>
      <c r="K5" s="91"/>
      <c r="L5" s="91"/>
      <c r="M5" s="91"/>
      <c r="N5" s="91"/>
      <c r="O5" s="91"/>
      <c r="P5" s="91"/>
      <c r="Q5" s="91"/>
      <c r="R5" s="91"/>
      <c r="S5" s="91"/>
      <c r="T5" s="91"/>
      <c r="U5" s="91"/>
      <c r="V5" s="91"/>
      <c r="W5" s="91"/>
    </row>
    <row r="6" spans="1:23" s="6" customFormat="1" x14ac:dyDescent="0.25">
      <c r="A6" s="88" t="s">
        <v>345</v>
      </c>
      <c r="B6" t="s">
        <v>344</v>
      </c>
      <c r="C6" s="86"/>
      <c r="D6" s="91"/>
      <c r="E6" s="91"/>
      <c r="F6" s="91"/>
      <c r="G6" s="91"/>
      <c r="H6" s="91"/>
      <c r="I6" s="91"/>
      <c r="J6" s="91"/>
      <c r="K6" s="91"/>
      <c r="L6" s="91"/>
      <c r="M6" s="91"/>
      <c r="N6" s="91"/>
      <c r="O6" s="91"/>
      <c r="P6" s="91"/>
      <c r="Q6" s="91"/>
      <c r="R6" s="91"/>
      <c r="S6" s="91"/>
      <c r="T6" s="91"/>
      <c r="U6" s="91"/>
      <c r="V6" s="91"/>
      <c r="W6" s="91"/>
    </row>
    <row r="7" spans="1:23" x14ac:dyDescent="0.25">
      <c r="D7" s="91"/>
      <c r="E7" s="91"/>
      <c r="F7" s="91"/>
      <c r="G7" s="91"/>
      <c r="H7" s="91"/>
      <c r="I7" s="91"/>
      <c r="J7" s="91"/>
      <c r="K7" s="91"/>
      <c r="L7" s="91"/>
      <c r="M7" s="91"/>
      <c r="N7" s="91"/>
      <c r="O7" s="91"/>
      <c r="P7" s="91"/>
      <c r="Q7" s="91"/>
      <c r="R7" s="91"/>
      <c r="S7" s="91"/>
      <c r="T7" s="91"/>
      <c r="U7" s="91"/>
      <c r="V7" s="91"/>
      <c r="W7" s="91"/>
    </row>
    <row r="8" spans="1:23" x14ac:dyDescent="0.25">
      <c r="A8" t="s">
        <v>348</v>
      </c>
      <c r="D8" s="91"/>
      <c r="E8" s="91"/>
      <c r="F8" s="91"/>
      <c r="G8" s="91"/>
      <c r="H8" s="91"/>
      <c r="I8" s="91"/>
      <c r="J8" s="91"/>
      <c r="K8" s="91"/>
      <c r="L8" s="91"/>
      <c r="M8" s="91"/>
      <c r="N8" s="91"/>
      <c r="O8" s="91"/>
      <c r="P8" s="91"/>
      <c r="Q8" s="91"/>
      <c r="R8" s="91"/>
      <c r="S8" s="91"/>
      <c r="T8" s="91"/>
      <c r="U8" s="91"/>
      <c r="V8" s="91"/>
      <c r="W8" s="91"/>
    </row>
    <row r="9" spans="1:23" x14ac:dyDescent="0.25">
      <c r="A9" s="3" t="s">
        <v>252</v>
      </c>
      <c r="D9" s="91"/>
      <c r="E9" s="91"/>
      <c r="F9" s="91"/>
      <c r="G9" s="91"/>
      <c r="H9" s="91"/>
      <c r="I9" s="91"/>
      <c r="J9" s="91"/>
      <c r="K9" s="91"/>
      <c r="L9" s="91"/>
      <c r="M9" s="91"/>
      <c r="N9" s="91"/>
      <c r="O9" s="91"/>
      <c r="P9" s="91"/>
      <c r="Q9" s="91"/>
      <c r="R9" s="91"/>
      <c r="S9" s="91"/>
      <c r="T9" s="91"/>
      <c r="U9" s="91"/>
      <c r="V9" s="91"/>
      <c r="W9" s="91"/>
    </row>
    <row r="10" spans="1:23" x14ac:dyDescent="0.25">
      <c r="A10" s="3" t="s">
        <v>347</v>
      </c>
      <c r="D10" s="91"/>
      <c r="E10" s="91"/>
      <c r="F10" s="91"/>
      <c r="G10" s="91"/>
      <c r="H10" s="91"/>
      <c r="I10" s="91"/>
      <c r="J10" s="91"/>
      <c r="K10" s="91"/>
      <c r="L10" s="91"/>
      <c r="M10" s="91"/>
      <c r="N10" s="91"/>
      <c r="O10" s="91"/>
      <c r="P10" s="91"/>
      <c r="Q10" s="91"/>
      <c r="R10" s="91"/>
      <c r="S10" s="91"/>
      <c r="T10" s="91"/>
      <c r="U10" s="91"/>
      <c r="V10" s="91"/>
      <c r="W10" s="91"/>
    </row>
    <row r="11" spans="1:23" x14ac:dyDescent="0.25">
      <c r="D11" s="91"/>
      <c r="E11" s="91"/>
      <c r="F11" s="91"/>
      <c r="G11" s="91"/>
      <c r="H11" s="91"/>
      <c r="I11" s="91"/>
      <c r="J11" s="91"/>
      <c r="K11" s="91"/>
      <c r="L11" s="91"/>
      <c r="M11" s="91"/>
      <c r="N11" s="91"/>
      <c r="O11" s="91"/>
      <c r="P11" s="91"/>
      <c r="Q11" s="91"/>
      <c r="R11" s="91"/>
      <c r="S11" s="91"/>
      <c r="T11" s="91"/>
      <c r="U11" s="91"/>
      <c r="V11" s="91"/>
      <c r="W11" s="91"/>
    </row>
    <row r="12" spans="1:23" x14ac:dyDescent="0.25">
      <c r="D12" s="91"/>
      <c r="E12" s="91"/>
      <c r="F12" s="91"/>
      <c r="G12" s="91"/>
      <c r="H12" s="91"/>
      <c r="I12" s="91"/>
      <c r="J12" s="91"/>
      <c r="K12" s="91"/>
      <c r="L12" s="91"/>
      <c r="M12" s="91"/>
      <c r="N12" s="91"/>
      <c r="O12" s="91"/>
      <c r="P12" s="91"/>
      <c r="Q12" s="91"/>
      <c r="R12" s="91"/>
      <c r="S12" s="91"/>
      <c r="T12" s="91"/>
      <c r="U12" s="91"/>
      <c r="V12" s="91"/>
      <c r="W12" s="91"/>
    </row>
    <row r="13" spans="1:23" x14ac:dyDescent="0.25">
      <c r="D13" s="91"/>
      <c r="E13" s="91"/>
      <c r="F13" s="91"/>
      <c r="G13" s="91"/>
      <c r="H13" s="91"/>
      <c r="I13" s="91"/>
      <c r="J13" s="91"/>
      <c r="K13" s="91"/>
      <c r="L13" s="91"/>
      <c r="M13" s="91"/>
      <c r="N13" s="91"/>
      <c r="O13" s="91"/>
      <c r="P13" s="91"/>
      <c r="Q13" s="91"/>
      <c r="R13" s="91"/>
      <c r="S13" s="91"/>
      <c r="T13" s="91"/>
      <c r="U13" s="91"/>
      <c r="V13" s="91"/>
      <c r="W13" s="91"/>
    </row>
    <row r="14" spans="1:23" x14ac:dyDescent="0.25">
      <c r="D14" s="91"/>
      <c r="E14" s="91"/>
      <c r="F14" s="91"/>
      <c r="G14" s="91"/>
      <c r="H14" s="91"/>
      <c r="I14" s="91"/>
      <c r="J14" s="91"/>
      <c r="K14" s="91"/>
      <c r="L14" s="91"/>
      <c r="M14" s="91"/>
      <c r="N14" s="91"/>
      <c r="O14" s="91"/>
      <c r="P14" s="91"/>
      <c r="Q14" s="91"/>
      <c r="R14" s="91"/>
      <c r="S14" s="91"/>
      <c r="T14" s="91"/>
      <c r="U14" s="91"/>
      <c r="V14" s="91"/>
      <c r="W14" s="91"/>
    </row>
    <row r="15" spans="1:23" x14ac:dyDescent="0.25">
      <c r="D15" s="91"/>
      <c r="E15" s="91"/>
      <c r="F15" s="91"/>
      <c r="G15" s="91"/>
      <c r="H15" s="91"/>
      <c r="I15" s="91"/>
      <c r="J15" s="91"/>
      <c r="K15" s="91"/>
      <c r="L15" s="91"/>
      <c r="M15" s="91"/>
      <c r="N15" s="91"/>
      <c r="O15" s="91"/>
      <c r="P15" s="91"/>
      <c r="Q15" s="91"/>
      <c r="R15" s="91"/>
      <c r="S15" s="91"/>
      <c r="T15" s="91"/>
      <c r="U15" s="91"/>
      <c r="V15" s="91"/>
      <c r="W15" s="91"/>
    </row>
    <row r="16" spans="1:23" x14ac:dyDescent="0.25">
      <c r="D16" s="91"/>
      <c r="E16" s="91"/>
      <c r="F16" s="91"/>
      <c r="G16" s="91"/>
      <c r="H16" s="91"/>
      <c r="I16" s="91"/>
      <c r="J16" s="91"/>
      <c r="K16" s="91"/>
      <c r="L16" s="91"/>
      <c r="M16" s="91"/>
      <c r="N16" s="91"/>
      <c r="O16" s="91"/>
      <c r="P16" s="91"/>
      <c r="Q16" s="91"/>
      <c r="R16" s="91"/>
      <c r="S16" s="91"/>
      <c r="T16" s="91"/>
      <c r="U16" s="91"/>
      <c r="V16" s="91"/>
      <c r="W16" s="91"/>
    </row>
    <row r="17" spans="4:23" x14ac:dyDescent="0.25">
      <c r="D17" s="91"/>
      <c r="E17" s="91"/>
      <c r="F17" s="91"/>
      <c r="G17" s="91"/>
      <c r="H17" s="91"/>
      <c r="I17" s="91"/>
      <c r="J17" s="91"/>
      <c r="K17" s="91"/>
      <c r="L17" s="91"/>
      <c r="M17" s="91"/>
      <c r="N17" s="91"/>
      <c r="O17" s="91"/>
      <c r="P17" s="91"/>
      <c r="Q17" s="91"/>
      <c r="R17" s="91"/>
      <c r="S17" s="91"/>
      <c r="T17" s="91"/>
      <c r="U17" s="91"/>
      <c r="V17" s="91"/>
      <c r="W17" s="91"/>
    </row>
    <row r="18" spans="4:23" x14ac:dyDescent="0.25">
      <c r="D18" s="91"/>
      <c r="E18" s="91"/>
      <c r="F18" s="91"/>
      <c r="G18" s="91"/>
      <c r="H18" s="91"/>
      <c r="I18" s="91"/>
      <c r="J18" s="91"/>
      <c r="K18" s="91"/>
      <c r="L18" s="91"/>
      <c r="M18" s="91"/>
      <c r="N18" s="91"/>
      <c r="O18" s="91"/>
      <c r="P18" s="91"/>
      <c r="Q18" s="91"/>
      <c r="R18" s="91"/>
      <c r="S18" s="91"/>
      <c r="T18" s="91"/>
      <c r="U18" s="91"/>
      <c r="V18" s="91"/>
      <c r="W18" s="91"/>
    </row>
    <row r="19" spans="4:23" x14ac:dyDescent="0.25">
      <c r="D19" s="91"/>
      <c r="E19" s="91"/>
      <c r="F19" s="91"/>
      <c r="G19" s="91"/>
      <c r="H19" s="91"/>
      <c r="I19" s="91"/>
      <c r="J19" s="91"/>
      <c r="K19" s="91"/>
      <c r="L19" s="91"/>
      <c r="M19" s="91"/>
      <c r="N19" s="91"/>
      <c r="O19" s="91"/>
      <c r="P19" s="91"/>
      <c r="Q19" s="91"/>
      <c r="R19" s="91"/>
      <c r="S19" s="91"/>
      <c r="T19" s="91"/>
      <c r="U19" s="91"/>
      <c r="V19" s="91"/>
      <c r="W19" s="91"/>
    </row>
    <row r="20" spans="4:23" x14ac:dyDescent="0.25">
      <c r="D20" s="91"/>
      <c r="E20" s="91"/>
      <c r="F20" s="91"/>
      <c r="G20" s="91"/>
      <c r="H20" s="91"/>
      <c r="I20" s="91"/>
      <c r="J20" s="91"/>
      <c r="K20" s="91"/>
      <c r="L20" s="91"/>
      <c r="M20" s="91"/>
      <c r="N20" s="91"/>
      <c r="O20" s="91"/>
      <c r="P20" s="91"/>
      <c r="Q20" s="91"/>
      <c r="R20" s="91"/>
      <c r="S20" s="91"/>
      <c r="T20" s="91"/>
      <c r="U20" s="91"/>
      <c r="V20" s="91"/>
      <c r="W20" s="91"/>
    </row>
    <row r="21" spans="4:23" x14ac:dyDescent="0.25">
      <c r="D21" s="91"/>
      <c r="E21" s="91"/>
      <c r="F21" s="91"/>
      <c r="G21" s="91"/>
      <c r="H21" s="91"/>
      <c r="I21" s="91"/>
      <c r="J21" s="91"/>
      <c r="K21" s="91"/>
      <c r="L21" s="91"/>
      <c r="M21" s="91"/>
      <c r="N21" s="91"/>
      <c r="O21" s="91"/>
      <c r="P21" s="91"/>
      <c r="Q21" s="91"/>
      <c r="R21" s="91"/>
      <c r="S21" s="91"/>
      <c r="T21" s="91"/>
      <c r="U21" s="91"/>
      <c r="V21" s="91"/>
      <c r="W21" s="91"/>
    </row>
    <row r="22" spans="4:23" x14ac:dyDescent="0.25">
      <c r="D22" s="91"/>
      <c r="E22" s="91"/>
      <c r="F22" s="91"/>
      <c r="G22" s="91"/>
      <c r="H22" s="91"/>
      <c r="I22" s="91"/>
      <c r="J22" s="91"/>
      <c r="K22" s="91"/>
      <c r="L22" s="91"/>
      <c r="M22" s="91"/>
      <c r="N22" s="91"/>
      <c r="O22" s="91"/>
      <c r="P22" s="91"/>
      <c r="Q22" s="91"/>
      <c r="R22" s="91"/>
      <c r="S22" s="91"/>
      <c r="T22" s="91"/>
      <c r="U22" s="91"/>
      <c r="V22" s="91"/>
      <c r="W22" s="91"/>
    </row>
    <row r="23" spans="4:23" x14ac:dyDescent="0.25">
      <c r="D23" s="91"/>
      <c r="E23" s="91"/>
      <c r="F23" s="91"/>
      <c r="G23" s="91"/>
      <c r="H23" s="91"/>
      <c r="I23" s="91"/>
      <c r="J23" s="91"/>
      <c r="K23" s="91"/>
      <c r="L23" s="91"/>
      <c r="M23" s="91"/>
      <c r="N23" s="91"/>
      <c r="O23" s="91"/>
      <c r="P23" s="91"/>
      <c r="Q23" s="91"/>
      <c r="R23" s="91"/>
      <c r="S23" s="91"/>
      <c r="T23" s="91"/>
      <c r="U23" s="91"/>
      <c r="V23" s="91"/>
      <c r="W23" s="91"/>
    </row>
    <row r="24" spans="4:23" x14ac:dyDescent="0.25">
      <c r="D24" s="91"/>
      <c r="E24" s="91"/>
      <c r="F24" s="91"/>
      <c r="G24" s="91"/>
      <c r="H24" s="91"/>
      <c r="I24" s="91"/>
      <c r="J24" s="91"/>
      <c r="K24" s="91"/>
      <c r="L24" s="91"/>
      <c r="M24" s="91"/>
      <c r="N24" s="91"/>
      <c r="O24" s="91"/>
      <c r="P24" s="91"/>
      <c r="Q24" s="91"/>
      <c r="R24" s="91"/>
      <c r="S24" s="91"/>
      <c r="T24" s="91"/>
      <c r="U24" s="91"/>
      <c r="V24" s="91"/>
      <c r="W24" s="91"/>
    </row>
    <row r="25" spans="4:23" x14ac:dyDescent="0.25">
      <c r="D25" s="91"/>
      <c r="E25" s="91"/>
      <c r="F25" s="91"/>
      <c r="G25" s="91"/>
      <c r="H25" s="91"/>
      <c r="I25" s="91"/>
      <c r="J25" s="91"/>
      <c r="K25" s="91"/>
      <c r="L25" s="91"/>
      <c r="M25" s="91"/>
      <c r="N25" s="91"/>
      <c r="O25" s="91"/>
      <c r="P25" s="91"/>
      <c r="Q25" s="91"/>
      <c r="R25" s="91"/>
      <c r="S25" s="91"/>
      <c r="T25" s="91"/>
      <c r="U25" s="91"/>
      <c r="V25" s="91"/>
      <c r="W25" s="91"/>
    </row>
    <row r="26" spans="4:23" x14ac:dyDescent="0.25">
      <c r="D26" s="91"/>
      <c r="E26" s="91"/>
      <c r="F26" s="91"/>
      <c r="G26" s="91"/>
      <c r="H26" s="91"/>
      <c r="I26" s="91"/>
      <c r="J26" s="91"/>
      <c r="K26" s="91"/>
      <c r="L26" s="91"/>
      <c r="M26" s="91"/>
      <c r="N26" s="91"/>
      <c r="O26" s="91"/>
      <c r="P26" s="91"/>
      <c r="Q26" s="91"/>
      <c r="R26" s="91"/>
      <c r="S26" s="91"/>
      <c r="T26" s="91"/>
      <c r="U26" s="91"/>
      <c r="V26" s="91"/>
      <c r="W26" s="91"/>
    </row>
    <row r="27" spans="4:23" x14ac:dyDescent="0.25">
      <c r="D27" s="91"/>
      <c r="E27" s="91"/>
      <c r="F27" s="91"/>
      <c r="G27" s="91"/>
      <c r="H27" s="91"/>
      <c r="I27" s="91"/>
      <c r="J27" s="91"/>
      <c r="K27" s="91"/>
      <c r="L27" s="91"/>
      <c r="M27" s="91"/>
      <c r="N27" s="91"/>
      <c r="O27" s="91"/>
      <c r="P27" s="91"/>
      <c r="Q27" s="91"/>
      <c r="R27" s="91"/>
      <c r="S27" s="91"/>
      <c r="T27" s="91"/>
      <c r="U27" s="91"/>
      <c r="V27" s="91"/>
      <c r="W27" s="91"/>
    </row>
    <row r="28" spans="4:23" x14ac:dyDescent="0.25">
      <c r="D28" s="91"/>
      <c r="E28" s="91"/>
      <c r="F28" s="91"/>
      <c r="G28" s="91"/>
      <c r="H28" s="91"/>
      <c r="I28" s="91"/>
      <c r="J28" s="91"/>
      <c r="K28" s="91"/>
      <c r="L28" s="91"/>
      <c r="M28" s="91"/>
      <c r="N28" s="91"/>
      <c r="O28" s="91"/>
      <c r="P28" s="91"/>
      <c r="Q28" s="91"/>
      <c r="R28" s="91"/>
      <c r="S28" s="91"/>
      <c r="T28" s="91"/>
      <c r="U28" s="91"/>
      <c r="V28" s="91"/>
      <c r="W28" s="91"/>
    </row>
    <row r="29" spans="4:23" x14ac:dyDescent="0.25">
      <c r="D29" s="91"/>
      <c r="E29" s="91"/>
      <c r="F29" s="91"/>
      <c r="G29" s="91"/>
      <c r="H29" s="91"/>
      <c r="I29" s="91"/>
      <c r="J29" s="91"/>
      <c r="K29" s="91"/>
      <c r="L29" s="91"/>
      <c r="M29" s="91"/>
      <c r="N29" s="91"/>
      <c r="O29" s="91"/>
      <c r="P29" s="91"/>
      <c r="Q29" s="91"/>
      <c r="R29" s="91"/>
      <c r="S29" s="91"/>
      <c r="T29" s="91"/>
      <c r="U29" s="91"/>
      <c r="V29" s="91"/>
      <c r="W29" s="91"/>
    </row>
    <row r="30" spans="4:23" x14ac:dyDescent="0.25">
      <c r="D30" s="91"/>
      <c r="E30" s="91"/>
      <c r="F30" s="91"/>
      <c r="G30" s="91"/>
      <c r="H30" s="91"/>
      <c r="I30" s="91"/>
      <c r="J30" s="91"/>
      <c r="K30" s="91"/>
      <c r="L30" s="91"/>
      <c r="M30" s="91"/>
      <c r="N30" s="91"/>
      <c r="O30" s="91"/>
      <c r="P30" s="91"/>
      <c r="Q30" s="91"/>
      <c r="R30" s="91"/>
      <c r="S30" s="91"/>
      <c r="T30" s="91"/>
      <c r="U30" s="91"/>
      <c r="V30" s="91"/>
      <c r="W30" s="91"/>
    </row>
    <row r="31" spans="4:23" x14ac:dyDescent="0.25">
      <c r="D31" s="91"/>
      <c r="E31" s="91"/>
      <c r="F31" s="91"/>
      <c r="G31" s="91"/>
      <c r="H31" s="91"/>
      <c r="I31" s="91"/>
      <c r="J31" s="91"/>
      <c r="K31" s="91"/>
      <c r="L31" s="91"/>
      <c r="M31" s="91"/>
      <c r="N31" s="91"/>
      <c r="O31" s="91"/>
      <c r="P31" s="91"/>
      <c r="Q31" s="91"/>
      <c r="R31" s="91"/>
      <c r="S31" s="91"/>
      <c r="T31" s="91"/>
      <c r="U31" s="91"/>
      <c r="V31" s="91"/>
      <c r="W31" s="91"/>
    </row>
    <row r="32" spans="4:23" x14ac:dyDescent="0.25">
      <c r="D32" s="91"/>
      <c r="E32" s="91"/>
      <c r="F32" s="91"/>
      <c r="G32" s="91"/>
      <c r="H32" s="91"/>
      <c r="I32" s="91"/>
      <c r="J32" s="91"/>
      <c r="K32" s="91"/>
      <c r="L32" s="91"/>
      <c r="M32" s="91"/>
      <c r="N32" s="91"/>
      <c r="O32" s="91"/>
      <c r="P32" s="91"/>
      <c r="Q32" s="91"/>
      <c r="R32" s="91"/>
      <c r="S32" s="91"/>
      <c r="T32" s="91"/>
      <c r="U32" s="91"/>
      <c r="V32" s="91"/>
      <c r="W32" s="91"/>
    </row>
    <row r="33" spans="4:23" x14ac:dyDescent="0.25">
      <c r="D33" s="91"/>
      <c r="E33" s="91"/>
      <c r="F33" s="91"/>
      <c r="G33" s="91"/>
      <c r="H33" s="91"/>
      <c r="I33" s="91"/>
      <c r="J33" s="91"/>
      <c r="K33" s="91"/>
      <c r="L33" s="91"/>
      <c r="M33" s="91"/>
      <c r="N33" s="91"/>
      <c r="O33" s="91"/>
      <c r="P33" s="91"/>
      <c r="Q33" s="91"/>
      <c r="R33" s="91"/>
      <c r="S33" s="91"/>
      <c r="T33" s="91"/>
      <c r="U33" s="91"/>
      <c r="V33" s="91"/>
      <c r="W33" s="91"/>
    </row>
    <row r="34" spans="4:23" x14ac:dyDescent="0.25">
      <c r="D34" s="91"/>
      <c r="E34" s="91"/>
      <c r="F34" s="91"/>
      <c r="G34" s="91"/>
      <c r="H34" s="91"/>
      <c r="I34" s="91"/>
      <c r="J34" s="91"/>
      <c r="K34" s="91"/>
      <c r="L34" s="91"/>
      <c r="M34" s="91"/>
      <c r="N34" s="91"/>
      <c r="O34" s="91"/>
      <c r="P34" s="91"/>
      <c r="Q34" s="91"/>
      <c r="R34" s="91"/>
      <c r="S34" s="91"/>
      <c r="T34" s="91"/>
      <c r="U34" s="91"/>
      <c r="V34" s="91"/>
      <c r="W34" s="91"/>
    </row>
    <row r="35" spans="4:23" x14ac:dyDescent="0.25">
      <c r="D35" s="91"/>
      <c r="E35" s="91"/>
      <c r="F35" s="91"/>
      <c r="G35" s="91"/>
      <c r="H35" s="91"/>
      <c r="I35" s="91"/>
      <c r="J35" s="91"/>
      <c r="K35" s="91"/>
      <c r="L35" s="91"/>
      <c r="M35" s="91"/>
      <c r="N35" s="91"/>
      <c r="O35" s="91"/>
      <c r="P35" s="91"/>
      <c r="Q35" s="91"/>
      <c r="R35" s="91"/>
      <c r="S35" s="91"/>
      <c r="T35" s="91"/>
      <c r="U35" s="91"/>
      <c r="V35" s="91"/>
      <c r="W35" s="91"/>
    </row>
    <row r="36" spans="4:23" x14ac:dyDescent="0.25">
      <c r="D36" s="91"/>
      <c r="E36" s="91"/>
      <c r="F36" s="91"/>
      <c r="G36" s="91"/>
      <c r="H36" s="91"/>
      <c r="I36" s="91"/>
      <c r="J36" s="91"/>
      <c r="K36" s="91"/>
      <c r="L36" s="91"/>
      <c r="M36" s="91"/>
      <c r="N36" s="91"/>
      <c r="O36" s="91"/>
      <c r="P36" s="91"/>
      <c r="Q36" s="91"/>
      <c r="R36" s="91"/>
      <c r="S36" s="91"/>
      <c r="T36" s="91"/>
      <c r="U36" s="91"/>
      <c r="V36" s="91"/>
      <c r="W36" s="91"/>
    </row>
    <row r="37" spans="4:23" x14ac:dyDescent="0.25">
      <c r="D37" s="91"/>
      <c r="E37" s="91"/>
      <c r="F37" s="91"/>
      <c r="G37" s="91"/>
      <c r="H37" s="91"/>
      <c r="I37" s="91"/>
      <c r="J37" s="91"/>
      <c r="K37" s="91"/>
      <c r="L37" s="91"/>
      <c r="M37" s="91"/>
      <c r="N37" s="91"/>
      <c r="O37" s="91"/>
      <c r="P37" s="91"/>
      <c r="Q37" s="91"/>
      <c r="R37" s="91"/>
      <c r="S37" s="91"/>
      <c r="T37" s="91"/>
      <c r="U37" s="91"/>
      <c r="V37" s="91"/>
      <c r="W37" s="91"/>
    </row>
    <row r="38" spans="4:23" x14ac:dyDescent="0.25">
      <c r="D38" s="91"/>
      <c r="E38" s="91"/>
      <c r="F38" s="91"/>
      <c r="G38" s="91"/>
      <c r="H38" s="91"/>
      <c r="I38" s="91"/>
      <c r="J38" s="91"/>
      <c r="K38" s="91"/>
      <c r="L38" s="91"/>
      <c r="M38" s="91"/>
      <c r="N38" s="91"/>
      <c r="O38" s="91"/>
      <c r="P38" s="91"/>
      <c r="Q38" s="91"/>
      <c r="R38" s="91"/>
      <c r="S38" s="91"/>
      <c r="T38" s="91"/>
      <c r="U38" s="91"/>
      <c r="V38" s="91"/>
      <c r="W38" s="91"/>
    </row>
  </sheetData>
  <sheetProtection algorithmName="SHA-512" hashValue="890kqOex2f53+O9P19/9BHsUJAGdBHTw6JqstT8qsbyr8WZgSSm89IxshrCzzkrv+9/vhsLf7/0o/dbSfudUeQ==" saltValue="MaT77W0+dxT05Efo/EY7Tg==" spinCount="100000" sheet="1" objects="1" scenarios="1"/>
  <mergeCells count="1">
    <mergeCell ref="D1:W38"/>
  </mergeCells>
  <hyperlinks>
    <hyperlink ref="A9" r:id="rId1" display="https://www.linkedin.com/in/bart-van-valenberg-6-2014/" xr:uid="{C9BBC5C4-B746-4D92-8D45-0CD767ABC401}"/>
    <hyperlink ref="A10" r:id="rId2" xr:uid="{92D41ACD-1521-4943-BF65-C769CA71B4F0}"/>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E4-67B8-496D-94D1-1217BF7597C3}">
  <dimension ref="A1"/>
  <sheetViews>
    <sheetView zoomScaleNormal="100" workbookViewId="0"/>
  </sheetViews>
  <sheetFormatPr defaultRowHeight="15" x14ac:dyDescent="0.25"/>
  <sheetData/>
  <phoneticPr fontId="1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E098-40CE-4450-B634-59748147AEB9}">
  <dimension ref="A1:N34"/>
  <sheetViews>
    <sheetView zoomScaleNormal="100" workbookViewId="0">
      <selection activeCell="B1" sqref="B1"/>
    </sheetView>
  </sheetViews>
  <sheetFormatPr defaultRowHeight="15" x14ac:dyDescent="0.25"/>
  <cols>
    <col min="1" max="1" width="22.140625" bestFit="1" customWidth="1"/>
    <col min="2" max="3" width="22.7109375" customWidth="1"/>
    <col min="4" max="4" width="23.42578125" customWidth="1"/>
    <col min="5" max="5" width="24.5703125" customWidth="1"/>
    <col min="6" max="6" width="22.7109375" style="7" customWidth="1"/>
    <col min="7" max="7" width="22.7109375" customWidth="1"/>
    <col min="8" max="8" width="22.7109375" style="7" customWidth="1"/>
    <col min="9" max="9" width="11.42578125" customWidth="1"/>
    <col min="13" max="13" width="10.5703125" bestFit="1" customWidth="1"/>
    <col min="14" max="14" width="9.42578125" bestFit="1" customWidth="1"/>
  </cols>
  <sheetData>
    <row r="1" spans="1:14" ht="18" x14ac:dyDescent="0.35">
      <c r="A1" s="4" t="s">
        <v>337</v>
      </c>
      <c r="B1" s="84"/>
      <c r="C1" s="44"/>
      <c r="F1" s="10" t="s">
        <v>63</v>
      </c>
      <c r="G1" s="11">
        <f>SUMIF(Tabel2[tCO2 stored],"&lt;&gt;#N/B")</f>
        <v>0</v>
      </c>
      <c r="H1" s="12" t="s">
        <v>46</v>
      </c>
    </row>
    <row r="2" spans="1:14" ht="18" x14ac:dyDescent="0.35">
      <c r="A2" s="4" t="s">
        <v>248</v>
      </c>
      <c r="B2" s="85">
        <v>1</v>
      </c>
      <c r="G2" s="35">
        <f>G1/$B$2</f>
        <v>0</v>
      </c>
      <c r="H2" s="7" t="s">
        <v>249</v>
      </c>
    </row>
    <row r="3" spans="1:14" ht="18.75" x14ac:dyDescent="0.35">
      <c r="A3" s="4" t="s">
        <v>341</v>
      </c>
      <c r="B3" s="85"/>
      <c r="C3" t="s">
        <v>259</v>
      </c>
      <c r="G3" s="35" t="e">
        <f>G2/B3*120</f>
        <v>#DIV/0!</v>
      </c>
      <c r="H3" s="7" t="s">
        <v>250</v>
      </c>
    </row>
    <row r="4" spans="1:14" x14ac:dyDescent="0.25">
      <c r="G4" s="7"/>
    </row>
    <row r="5" spans="1:14" ht="18.75" x14ac:dyDescent="0.35">
      <c r="A5" s="97" t="s">
        <v>33</v>
      </c>
      <c r="B5" s="97" t="s">
        <v>275</v>
      </c>
      <c r="C5" s="97" t="s">
        <v>42</v>
      </c>
      <c r="D5" s="97" t="s">
        <v>49</v>
      </c>
      <c r="E5" s="97" t="s">
        <v>53</v>
      </c>
      <c r="F5" s="98" t="s">
        <v>43</v>
      </c>
      <c r="G5" s="97" t="s">
        <v>44</v>
      </c>
      <c r="H5" s="98" t="s">
        <v>60</v>
      </c>
      <c r="J5" t="s">
        <v>8</v>
      </c>
      <c r="K5" s="7" t="s">
        <v>60</v>
      </c>
    </row>
    <row r="6" spans="1:14" x14ac:dyDescent="0.25">
      <c r="A6" s="92"/>
      <c r="B6" s="92"/>
      <c r="C6" s="92"/>
      <c r="D6"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6"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6" s="95"/>
      <c r="G6"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6"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6">
        <f>C6</f>
        <v>0</v>
      </c>
      <c r="K6" s="42">
        <f t="shared" ref="K6:K26" si="0">SUMIF($C$6:$C$26,J6,$H$6:$H$26)</f>
        <v>0</v>
      </c>
    </row>
    <row r="7" spans="1:14" x14ac:dyDescent="0.25">
      <c r="A7" s="92"/>
      <c r="B7" s="92"/>
      <c r="C7" s="92"/>
      <c r="D7"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7"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7" s="95"/>
      <c r="G7"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7"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7">
        <f>IF(IF(COUNTIF($J$6:J6,C7)&gt;=1,IF(COUNTIF($J$6:J6,C8)&gt;=1,IF(COUNTIF($J$6:J6,C9)&gt;=1,IF(COUNTIF($J$6:J6,C10)&gt;=1,IF(COUNTIF($J$6:J6,C11)&gt;=1,IF(COUNTIF($J$6:J6,C12)&gt;=1,IF(COUNTIF($J$6:J6,C13)&gt;=1,IF(COUNTIF($J$6:J6,C14)&gt;=1,IF(COUNTIF($J$6:J6,C15)&gt;=1,IF(COUNTIF($J$6:J6,C16)&gt;=1,IF(COUNTIF($J$6:J6,C17)&gt;=1,IF(COUNTIF($J$6:J6,C18)&gt;=1,IF(COUNTIF($J$6:J6,C19)&gt;=1,IF(COUNTIF($J$6:J6,C20)&gt;=1,IF(COUNTIF($J$6:J6,C21)&gt;=1,IF(COUNTIF($J$6:J6,C22)&gt;=1,IF(COUNTIF($J$6:J6,C23)&gt;=1,IF(COUNTIF($J$6:J6,C24)&gt;=1,IF(COUNTIF($J$6:J6,C25)&gt;=1,IF(COUNTIF($J$6:J6,C26)&gt;=1,C27,C26),C25),C24),C23),C22),C21),C20),C19),C18),C17),C16),C15),C14),C13),C12),C11),C10),C9),C8),C7)=0,,
IF(COUNTIF($J$6:J6,C7)&gt;=1,IF(COUNTIF($J$6:J6,C8)&gt;=1,IF(COUNTIF($J$6:J6,C9)&gt;=1,IF(COUNTIF($J$6:J6,C10)&gt;=1,IF(COUNTIF($J$6:J6,C11)&gt;=1,IF(COUNTIF($J$6:J6,C12)&gt;=1,IF(COUNTIF($J$6:J6,C13)&gt;=1,IF(COUNTIF($J$6:J6,C14)&gt;=1,IF(COUNTIF($J$6:J6,C15)&gt;=1,IF(COUNTIF($J$6:J6,C16)&gt;=1,IF(COUNTIF($J$6:J6,C17)&gt;=1,IF(COUNTIF($J$6:J6,C18)&gt;=1,IF(COUNTIF($J$6:J6,C19)&gt;=1,IF(COUNTIF($J$6:J6,C20)&gt;=1,IF(COUNTIF($J$6:J6,C21)&gt;=1,IF(COUNTIF($J$6:J6,C22)&gt;=1,IF(COUNTIF($J$6:J6,C23)&gt;=1,IF(COUNTIF($J$6:J6,C24)&gt;=1,IF(COUNTIF($J$6:J6,C25)&gt;=1,IF(COUNTIF($J$6:J6,C26)&gt;=1,C27,C26),C25),C24),C23),C22),C21),C20),C19),C18),C17),C16),C15),C14),C13),C12),C11),C10),C9),C8),C7))</f>
        <v>0</v>
      </c>
      <c r="K7" s="42">
        <f t="shared" si="0"/>
        <v>0</v>
      </c>
      <c r="L7" s="41"/>
      <c r="N7" s="7"/>
    </row>
    <row r="8" spans="1:14" x14ac:dyDescent="0.25">
      <c r="A8" s="92"/>
      <c r="B8" s="92"/>
      <c r="C8" s="92"/>
      <c r="D8"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8"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8" s="95"/>
      <c r="G8"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8"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8" t="e">
        <f>IF(IF(COUNTIF($J$6:J7,C8)&gt;=1,IF(COUNTIF($J$6:J7,C9)&gt;=1,IF(COUNTIF($J$6:J7,C10)&gt;=1,IF(COUNTIF($J$6:J7,C11)&gt;=1,IF(COUNTIF($J$6:J7,C12)&gt;=1,IF(COUNTIF($J$6:J7,C13)&gt;=1,IF(COUNTIF($J$6:J7,C14)&gt;=1,IF(COUNTIF($J$6:J7,C15)&gt;=1,IF(COUNTIF($J$6:J7,C16)&gt;=1,IF(COUNTIF($J$6:J7,C17)&gt;=1,IF(COUNTIF($J$6:J7,C18)&gt;=1,IF(COUNTIF($J$6:J7,C19)&gt;=1,IF(COUNTIF($J$6:J7,C20)&gt;=1,IF(COUNTIF($J$6:J7,C21)&gt;=1,IF(COUNTIF($J$6:J7,C22)&gt;=1,IF(COUNTIF($J$6:J7,C23)&gt;=1,IF(COUNTIF($J$6:J7,C24)&gt;=1,IF(COUNTIF($J$6:J7,C25)&gt;=1,IF(COUNTIF($J$6:J7,C26)&gt;=1,IF(COUNTIF($J$6:J7,C27)&gt;=1,C28,C27),C26),C25),C24),C23),C22),C21),C20),C19),C18),C17),C16),C15),C14),C13),C12),C11),C10),C9),C8)=0,NA(),IF(COUNTIF($J$6:J7,C8)&gt;=1,IF(COUNTIF($J$6:J7,C9)&gt;=1,IF(COUNTIF($J$6:J7,C10)&gt;=1,IF(COUNTIF($J$6:J7,C11)&gt;=1,IF(COUNTIF($J$6:J7,C12)&gt;=1,IF(COUNTIF($J$6:J7,C13)&gt;=1,IF(COUNTIF($J$6:J7,C14)&gt;=1,IF(COUNTIF($J$6:J7,C15)&gt;=1,IF(COUNTIF($J$6:J7,C16)&gt;=1,IF(COUNTIF($J$6:J7,C17)&gt;=1,IF(COUNTIF($J$6:J7,C18)&gt;=1,IF(COUNTIF($J$6:J7,C19)&gt;=1,IF(COUNTIF($J$6:J7,C20)&gt;=1,IF(COUNTIF($J$6:J7,C21)&gt;=1,IF(COUNTIF($J$6:J7,C22)&gt;=1,IF(COUNTIF($J$6:J7,C23)&gt;=1,IF(COUNTIF($J$6:J7,C24)&gt;=1,IF(COUNTIF($J$6:J7,C25)&gt;=1,IF(COUNTIF($J$6:J7,C26)&gt;=1,IF(COUNTIF($J$6:J7,C27)&gt;=1,C28,C27),C26),C25),C24),C23),C22),C21),C20),C19),C18),C17),C16),C15),C14),C13),C12),C11),C10),C9),C8))</f>
        <v>#N/A</v>
      </c>
      <c r="K8" s="42">
        <f t="shared" si="0"/>
        <v>0</v>
      </c>
    </row>
    <row r="9" spans="1:14" x14ac:dyDescent="0.25">
      <c r="A9" s="92"/>
      <c r="B9" s="92"/>
      <c r="C9" s="92"/>
      <c r="D9"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9"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9" s="95"/>
      <c r="G9"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9"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9" t="e">
        <f>IF(IF(COUNTIF($J$6:J8,C9)&gt;=1,IF(COUNTIF($J$6:J8,C10)&gt;=1,IF(COUNTIF($J$6:J8,C11)&gt;=1,IF(COUNTIF($J$6:J8,C12)&gt;=1,IF(COUNTIF($J$6:J8,C13)&gt;=1,IF(COUNTIF($J$6:J8,C14)&gt;=1,IF(COUNTIF($J$6:J8,C15)&gt;=1,IF(COUNTIF($J$6:J8,C16)&gt;=1,IF(COUNTIF($J$6:J8,C17)&gt;=1,IF(COUNTIF($J$6:J8,C18)&gt;=1,IF(COUNTIF($J$6:J8,C19)&gt;=1,IF(COUNTIF($J$6:J8,C20)&gt;=1,IF(COUNTIF($J$6:J8,C21)&gt;=1,IF(COUNTIF($J$6:J8,C22)&gt;=1,IF(COUNTIF($J$6:J8,C23)&gt;=1,IF(COUNTIF($J$6:J8,C24)&gt;=1,IF(COUNTIF($J$6:J8,C25)&gt;=1,IF(COUNTIF($J$6:J8,C26)&gt;=1,IF(COUNTIF($J$6:J8,C27)&gt;=1,IF(COUNTIF($J$6:J8,C28)&gt;=1,C29,C28),C27),C26),C25),C24),C23),C22),C21),C20),C19),C18),C17),C16),C15),C14),C13),C12),C11),C10),C9)=0,NA(),IF(COUNTIF($J$6:J8,C9)&gt;=1,IF(COUNTIF($J$6:J8,C10)&gt;=1,IF(COUNTIF($J$6:J8,C11)&gt;=1,IF(COUNTIF($J$6:J8,C12)&gt;=1,IF(COUNTIF($J$6:J8,C13)&gt;=1,IF(COUNTIF($J$6:J8,C14)&gt;=1,IF(COUNTIF($J$6:J8,C15)&gt;=1,IF(COUNTIF($J$6:J8,C16)&gt;=1,IF(COUNTIF($J$6:J8,C17)&gt;=1,IF(COUNTIF($J$6:J8,C18)&gt;=1,IF(COUNTIF($J$6:J8,C19)&gt;=1,IF(COUNTIF($J$6:J8,C20)&gt;=1,IF(COUNTIF($J$6:J8,C21)&gt;=1,IF(COUNTIF($J$6:J8,C22)&gt;=1,IF(COUNTIF($J$6:J8,C23)&gt;=1,IF(COUNTIF($J$6:J8,C24)&gt;=1,IF(COUNTIF($J$6:J8,C25)&gt;=1,IF(COUNTIF($J$6:J8,C26)&gt;=1,IF(COUNTIF($J$6:J8,C27)&gt;=1,IF(COUNTIF($J$6:J8,C28)&gt;=1,C29,C28),C27),C26),C25),C24),C23),C22),C21),C20),C19),C18),C17),C16),C15),C14),C13),C12),C11),C10),C9))</f>
        <v>#N/A</v>
      </c>
      <c r="K9" s="42">
        <f t="shared" si="0"/>
        <v>0</v>
      </c>
    </row>
    <row r="10" spans="1:14" x14ac:dyDescent="0.25">
      <c r="A10" s="92"/>
      <c r="B10" s="92"/>
      <c r="C10" s="92"/>
      <c r="D10"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0"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0" s="95"/>
      <c r="G10"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0"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0" t="e">
        <f>IF(IF(COUNTIF($J$6:J9,C10)&gt;=1,IF(COUNTIF($J$6:J9,C11)&gt;=1,IF(COUNTIF($J$6:J9,C12)&gt;=1,IF(COUNTIF($J$6:J9,C13)&gt;=1,IF(COUNTIF($J$6:J9,C14)&gt;=1,IF(COUNTIF($J$6:J9,C15)&gt;=1,IF(COUNTIF($J$6:J9,C16)&gt;=1,IF(COUNTIF($J$6:J9,C17)&gt;=1,IF(COUNTIF($J$6:J9,C18)&gt;=1,IF(COUNTIF($J$6:J9,C19)&gt;=1,IF(COUNTIF($J$6:J9,C20)&gt;=1,IF(COUNTIF($J$6:J9,C21)&gt;=1,IF(COUNTIF($J$6:J9,C22)&gt;=1,IF(COUNTIF($J$6:J9,C23)&gt;=1,IF(COUNTIF($J$6:J9,C24)&gt;=1,IF(COUNTIF($J$6:J9,C25)&gt;=1,IF(COUNTIF($J$6:J9,C26)&gt;=1,IF(COUNTIF($J$6:J9,C27)&gt;=1,IF(COUNTIF($J$6:J9,C28)&gt;=1,IF(COUNTIF($J$6:J9,C29)&gt;=1,C30,C29),C28),C27),C26),C25),C24),C23),C22),C21),C20),C19),C18),C17),C16),C15),C14),C13),C12),C11),C10)=0,NA(),IF(COUNTIF($J$6:J9,C10)&gt;=1,IF(COUNTIF($J$6:J9,C11)&gt;=1,IF(COUNTIF($J$6:J9,C12)&gt;=1,IF(COUNTIF($J$6:J9,C13)&gt;=1,IF(COUNTIF($J$6:J9,C14)&gt;=1,IF(COUNTIF($J$6:J9,C15)&gt;=1,IF(COUNTIF($J$6:J9,C16)&gt;=1,IF(COUNTIF($J$6:J9,C17)&gt;=1,IF(COUNTIF($J$6:J9,C18)&gt;=1,IF(COUNTIF($J$6:J9,C19)&gt;=1,IF(COUNTIF($J$6:J9,C20)&gt;=1,IF(COUNTIF($J$6:J9,C21)&gt;=1,IF(COUNTIF($J$6:J9,C22)&gt;=1,IF(COUNTIF($J$6:J9,C23)&gt;=1,IF(COUNTIF($J$6:J9,C24)&gt;=1,IF(COUNTIF($J$6:J9,C25)&gt;=1,IF(COUNTIF($J$6:J9,C26)&gt;=1,IF(COUNTIF($J$6:J9,C27)&gt;=1,IF(COUNTIF($J$6:J9,C28)&gt;=1,IF(COUNTIF($J$6:J9,C29)&gt;=1,C30,C29),C28),C27),C26),C25),C24),C23),C22),C21),C20),C19),C18),C17),C16),C15),C14),C13),C12),C11),C10))</f>
        <v>#N/A</v>
      </c>
      <c r="K10" s="42">
        <f t="shared" si="0"/>
        <v>0</v>
      </c>
    </row>
    <row r="11" spans="1:14" x14ac:dyDescent="0.25">
      <c r="A11" s="92"/>
      <c r="B11" s="92"/>
      <c r="C11" s="92"/>
      <c r="D11"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1"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1" s="95"/>
      <c r="G11"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1"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1" t="e">
        <f>IF(IF(COUNTIF($J$6:J10,C11)&gt;=1,IF(COUNTIF($J$6:J10,C12)&gt;=1,IF(COUNTIF($J$6:J10,C13)&gt;=1,IF(COUNTIF($J$6:J10,C14)&gt;=1,IF(COUNTIF($J$6:J10,C15)&gt;=1,IF(COUNTIF($J$6:J10,C16)&gt;=1,IF(COUNTIF($J$6:J10,C17)&gt;=1,IF(COUNTIF($J$6:J10,C18)&gt;=1,IF(COUNTIF($J$6:J10,C19)&gt;=1,IF(COUNTIF($J$6:J10,C20)&gt;=1,IF(COUNTIF($J$6:J10,C21)&gt;=1,IF(COUNTIF($J$6:J10,C22)&gt;=1,IF(COUNTIF($J$6:J10,C23)&gt;=1,IF(COUNTIF($J$6:J10,C24)&gt;=1,IF(COUNTIF($J$6:J10,C25)&gt;=1,IF(COUNTIF($J$6:J10,C26)&gt;=1,IF(COUNTIF($J$6:J10,C27)&gt;=1,IF(COUNTIF($J$6:J10,C28)&gt;=1,IF(COUNTIF($J$6:J10,C29)&gt;=1,IF(COUNTIF($J$6:J10,C30)&gt;=1,C31,C30),C29),C28),C27),C26),C25),C24),C23),C22),C21),C20),C19),C18),C17),C16),C15),C14),C13),C12),C11)=0,NA(),IF(COUNTIF($J$6:J10,C11)&gt;=1,IF(COUNTIF($J$6:J10,C12)&gt;=1,IF(COUNTIF($J$6:J10,C13)&gt;=1,IF(COUNTIF($J$6:J10,C14)&gt;=1,IF(COUNTIF($J$6:J10,C15)&gt;=1,IF(COUNTIF($J$6:J10,C16)&gt;=1,IF(COUNTIF($J$6:J10,C17)&gt;=1,IF(COUNTIF($J$6:J10,C18)&gt;=1,IF(COUNTIF($J$6:J10,C19)&gt;=1,IF(COUNTIF($J$6:J10,C20)&gt;=1,IF(COUNTIF($J$6:J10,C21)&gt;=1,IF(COUNTIF($J$6:J10,C22)&gt;=1,IF(COUNTIF($J$6:J10,C23)&gt;=1,IF(COUNTIF($J$6:J10,C24)&gt;=1,IF(COUNTIF($J$6:J10,C25)&gt;=1,IF(COUNTIF($J$6:J10,C26)&gt;=1,IF(COUNTIF($J$6:J10,C27)&gt;=1,IF(COUNTIF($J$6:J10,C28)&gt;=1,IF(COUNTIF($J$6:J10,C29)&gt;=1,IF(COUNTIF($J$6:J10,C30)&gt;=1,C31,C30),C29),C28),C27),C26),C25),C24),C23),C22),C21),C20),C19),C18),C17),C16),C15),C14),C13),C12),C11))</f>
        <v>#N/A</v>
      </c>
      <c r="K11" s="42">
        <f t="shared" si="0"/>
        <v>0</v>
      </c>
    </row>
    <row r="12" spans="1:14" x14ac:dyDescent="0.25">
      <c r="A12" s="92"/>
      <c r="B12" s="92"/>
      <c r="C12" s="92"/>
      <c r="D12"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2"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2" s="95"/>
      <c r="G12"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2"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2" t="e">
        <f>IF(IF(COUNTIF($J$6:J11,C12)&gt;=1,IF(COUNTIF($J$6:J11,C13)&gt;=1,IF(COUNTIF($J$6:J11,C14)&gt;=1,IF(COUNTIF($J$6:J11,C15)&gt;=1,IF(COUNTIF($J$6:J11,C16)&gt;=1,IF(COUNTIF($J$6:J11,C17)&gt;=1,IF(COUNTIF($J$6:J11,C18)&gt;=1,IF(COUNTIF($J$6:J11,C19)&gt;=1,IF(COUNTIF($J$6:J11,C20)&gt;=1,IF(COUNTIF($J$6:J11,C21)&gt;=1,IF(COUNTIF($J$6:J11,C22)&gt;=1,IF(COUNTIF($J$6:J11,C23)&gt;=1,IF(COUNTIF($J$6:J11,C24)&gt;=1,IF(COUNTIF($J$6:J11,C25)&gt;=1,IF(COUNTIF($J$6:J11,C26)&gt;=1,IF(COUNTIF($J$6:J11,C27)&gt;=1,IF(COUNTIF($J$6:J11,C28)&gt;=1,IF(COUNTIF($J$6:J11,C29)&gt;=1,IF(COUNTIF($J$6:J11,C30)&gt;=1,IF(COUNTIF($J$6:J11,C31)&gt;=1,C32,C31),C30),C29),C28),C27),C26),C25),C24),C23),C22),C21),C20),C19),C18),C17),C16),C15),C14),C13),C12)=0,NA(),IF(COUNTIF($J$6:J11,C12)&gt;=1,IF(COUNTIF($J$6:J11,C13)&gt;=1,IF(COUNTIF($J$6:J11,C14)&gt;=1,IF(COUNTIF($J$6:J11,C15)&gt;=1,IF(COUNTIF($J$6:J11,C16)&gt;=1,IF(COUNTIF($J$6:J11,C17)&gt;=1,IF(COUNTIF($J$6:J11,C18)&gt;=1,IF(COUNTIF($J$6:J11,C19)&gt;=1,IF(COUNTIF($J$6:J11,C20)&gt;=1,IF(COUNTIF($J$6:J11,C21)&gt;=1,IF(COUNTIF($J$6:J11,C22)&gt;=1,IF(COUNTIF($J$6:J11,C23)&gt;=1,IF(COUNTIF($J$6:J11,C24)&gt;=1,IF(COUNTIF($J$6:J11,C25)&gt;=1,IF(COUNTIF($J$6:J11,C26)&gt;=1,IF(COUNTIF($J$6:J11,C27)&gt;=1,IF(COUNTIF($J$6:J11,C28)&gt;=1,IF(COUNTIF($J$6:J11,C29)&gt;=1,IF(COUNTIF($J$6:J11,C30)&gt;=1,IF(COUNTIF($J$6:J11,C31)&gt;=1,C32,C31),C30),C29),C28),C27),C26),C25),C24),C23),C22),C21),C20),C19),C18),C17),C16),C15),C14),C13),C12))</f>
        <v>#N/A</v>
      </c>
      <c r="K12" s="42">
        <f t="shared" si="0"/>
        <v>0</v>
      </c>
    </row>
    <row r="13" spans="1:14" x14ac:dyDescent="0.25">
      <c r="A13" s="92"/>
      <c r="B13" s="92"/>
      <c r="C13" s="92"/>
      <c r="D13"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3"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3" s="95"/>
      <c r="G13"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3"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3" t="e">
        <f>IF(IF(COUNTIF($J$6:J12,C13)&gt;=1,IF(COUNTIF($J$6:J12,C14)&gt;=1,IF(COUNTIF($J$6:J12,C15)&gt;=1,IF(COUNTIF($J$6:J12,C16)&gt;=1,IF(COUNTIF($J$6:J12,C17)&gt;=1,IF(COUNTIF($J$6:J12,C18)&gt;=1,IF(COUNTIF($J$6:J12,C19)&gt;=1,IF(COUNTIF($J$6:J12,C20)&gt;=1,IF(COUNTIF($J$6:J12,C21)&gt;=1,IF(COUNTIF($J$6:J12,C22)&gt;=1,IF(COUNTIF($J$6:J12,C23)&gt;=1,IF(COUNTIF($J$6:J12,C24)&gt;=1,IF(COUNTIF($J$6:J12,C25)&gt;=1,IF(COUNTIF($J$6:J12,C26)&gt;=1,IF(COUNTIF($J$6:J12,C27)&gt;=1,IF(COUNTIF($J$6:J12,C28)&gt;=1,IF(COUNTIF($J$6:J12,C29)&gt;=1,IF(COUNTIF($J$6:J12,C30)&gt;=1,IF(COUNTIF($J$6:J12,C31)&gt;=1,IF(COUNTIF($J$6:J12,C32)&gt;=1,C33,C32),C31),C30),C29),C28),C27),C26),C25),C24),C23),C22),C21),C20),C19),C18),C17),C16),C15),C14),C13)=0,NA(),IF(COUNTIF($J$6:J12,C13)&gt;=1,IF(COUNTIF($J$6:J12,C14)&gt;=1,IF(COUNTIF($J$6:J12,C15)&gt;=1,IF(COUNTIF($J$6:J12,C16)&gt;=1,IF(COUNTIF($J$6:J12,C17)&gt;=1,IF(COUNTIF($J$6:J12,C18)&gt;=1,IF(COUNTIF($J$6:J12,C19)&gt;=1,IF(COUNTIF($J$6:J12,C20)&gt;=1,IF(COUNTIF($J$6:J12,C21)&gt;=1,IF(COUNTIF($J$6:J12,C22)&gt;=1,IF(COUNTIF($J$6:J12,C23)&gt;=1,IF(COUNTIF($J$6:J12,C24)&gt;=1,IF(COUNTIF($J$6:J12,C25)&gt;=1,IF(COUNTIF($J$6:J12,C26)&gt;=1,IF(COUNTIF($J$6:J12,C27)&gt;=1,IF(COUNTIF($J$6:J12,C28)&gt;=1,IF(COUNTIF($J$6:J12,C29)&gt;=1,IF(COUNTIF($J$6:J12,C30)&gt;=1,IF(COUNTIF($J$6:J12,C31)&gt;=1,IF(COUNTIF($J$6:J12,C32)&gt;=1,C33,C32),C31),C30),C29),C28),C27),C26),C25),C24),C23),C22),C21),C20),C19),C18),C17),C16),C15),C14),C13))</f>
        <v>#N/A</v>
      </c>
      <c r="K13" s="42">
        <f t="shared" si="0"/>
        <v>0</v>
      </c>
    </row>
    <row r="14" spans="1:14" x14ac:dyDescent="0.25">
      <c r="A14" s="92"/>
      <c r="B14" s="92"/>
      <c r="C14" s="92"/>
      <c r="D14"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4"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4" s="95"/>
      <c r="G14"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4"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4" t="e">
        <f>IF(IF(COUNTIF($J$6:J13,C14)&gt;=1,IF(COUNTIF($J$6:J13,C15)&gt;=1,IF(COUNTIF($J$6:J13,C16)&gt;=1,IF(COUNTIF($J$6:J13,C17)&gt;=1,IF(COUNTIF($J$6:J13,C18)&gt;=1,IF(COUNTIF($J$6:J13,C19)&gt;=1,IF(COUNTIF($J$6:J13,C20)&gt;=1,IF(COUNTIF($J$6:J13,C21)&gt;=1,IF(COUNTIF($J$6:J13,C22)&gt;=1,IF(COUNTIF($J$6:J13,C23)&gt;=1,IF(COUNTIF($J$6:J13,C24)&gt;=1,IF(COUNTIF($J$6:J13,C25)&gt;=1,IF(COUNTIF($J$6:J13,C26)&gt;=1,IF(COUNTIF($J$6:J13,C27)&gt;=1,IF(COUNTIF($J$6:J13,C28)&gt;=1,IF(COUNTIF($J$6:J13,C29)&gt;=1,IF(COUNTIF($J$6:J13,C30)&gt;=1,IF(COUNTIF($J$6:J13,C31)&gt;=1,IF(COUNTIF($J$6:J13,C32)&gt;=1,IF(COUNTIF($J$6:J13,C33)&gt;=1,C34,C33),C32),C31),C30),C29),C28),C27),C26),C25),C24),C23),C22),C21),C20),C19),C18),C17),C16),C15),C14)=0,NA(),IF(COUNTIF($J$6:J13,C14)&gt;=1,IF(COUNTIF($J$6:J13,C15)&gt;=1,IF(COUNTIF($J$6:J13,C16)&gt;=1,IF(COUNTIF($J$6:J13,C17)&gt;=1,IF(COUNTIF($J$6:J13,C18)&gt;=1,IF(COUNTIF($J$6:J13,C19)&gt;=1,IF(COUNTIF($J$6:J13,C20)&gt;=1,IF(COUNTIF($J$6:J13,C21)&gt;=1,IF(COUNTIF($J$6:J13,C22)&gt;=1,IF(COUNTIF($J$6:J13,C23)&gt;=1,IF(COUNTIF($J$6:J13,C24)&gt;=1,IF(COUNTIF($J$6:J13,C25)&gt;=1,IF(COUNTIF($J$6:J13,C26)&gt;=1,IF(COUNTIF($J$6:J13,C27)&gt;=1,IF(COUNTIF($J$6:J13,C28)&gt;=1,IF(COUNTIF($J$6:J13,C29)&gt;=1,IF(COUNTIF($J$6:J13,C30)&gt;=1,IF(COUNTIF($J$6:J13,C31)&gt;=1,IF(COUNTIF($J$6:J13,C32)&gt;=1,IF(COUNTIF($J$6:J13,C33)&gt;=1,C34,C33),C32),C31),C30),C29),C28),C27),C26),C25),C24),C23),C22),C21),C20),C19),C18),C17),C16),C15),C14))</f>
        <v>#N/A</v>
      </c>
      <c r="K14" s="42">
        <f t="shared" si="0"/>
        <v>0</v>
      </c>
    </row>
    <row r="15" spans="1:14" x14ac:dyDescent="0.25">
      <c r="A15" s="92"/>
      <c r="B15" s="92"/>
      <c r="C15" s="92"/>
      <c r="D15"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5"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5" s="95"/>
      <c r="G15"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5"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5" t="e">
        <f>IF(IF(COUNTIF($J$6:J14,C15)&gt;=1,IF(COUNTIF($J$6:J14,C16)&gt;=1,IF(COUNTIF($J$6:J14,C17)&gt;=1,IF(COUNTIF($J$6:J14,C18)&gt;=1,IF(COUNTIF($J$6:J14,C19)&gt;=1,IF(COUNTIF($J$6:J14,C20)&gt;=1,IF(COUNTIF($J$6:J14,C21)&gt;=1,IF(COUNTIF($J$6:J14,C22)&gt;=1,IF(COUNTIF($J$6:J14,C23)&gt;=1,IF(COUNTIF($J$6:J14,C24)&gt;=1,IF(COUNTIF($J$6:J14,C25)&gt;=1,IF(COUNTIF($J$6:J14,C26)&gt;=1,IF(COUNTIF($J$6:J14,C27)&gt;=1,IF(COUNTIF($J$6:J14,C28)&gt;=1,IF(COUNTIF($J$6:J14,C29)&gt;=1,IF(COUNTIF($J$6:J14,C30)&gt;=1,IF(COUNTIF($J$6:J14,C31)&gt;=1,IF(COUNTIF($J$6:J14,C32)&gt;=1,IF(COUNTIF($J$6:J14,C33)&gt;=1,IF(COUNTIF($J$6:J14,C34)&gt;=1,C35,C34),C33),C32),C31),C30),C29),C28),C27),C26),C25),C24),C23),C22),C21),C20),C19),C18),C17),C16),C15)=0,NA(),IF(COUNTIF($J$6:J14,C15)&gt;=1,IF(COUNTIF($J$6:J14,C16)&gt;=1,IF(COUNTIF($J$6:J14,C17)&gt;=1,IF(COUNTIF($J$6:J14,C18)&gt;=1,IF(COUNTIF($J$6:J14,C19)&gt;=1,IF(COUNTIF($J$6:J14,C20)&gt;=1,IF(COUNTIF($J$6:J14,C21)&gt;=1,IF(COUNTIF($J$6:J14,C22)&gt;=1,IF(COUNTIF($J$6:J14,C23)&gt;=1,IF(COUNTIF($J$6:J14,C24)&gt;=1,IF(COUNTIF($J$6:J14,C25)&gt;=1,IF(COUNTIF($J$6:J14,C26)&gt;=1,IF(COUNTIF($J$6:J14,C27)&gt;=1,IF(COUNTIF($J$6:J14,C28)&gt;=1,IF(COUNTIF($J$6:J14,C29)&gt;=1,IF(COUNTIF($J$6:J14,C30)&gt;=1,IF(COUNTIF($J$6:J14,C31)&gt;=1,IF(COUNTIF($J$6:J14,C32)&gt;=1,IF(COUNTIF($J$6:J14,C33)&gt;=1,IF(COUNTIF($J$6:J14,C34)&gt;=1,C35,C34),C33),C32),C31),C30),C29),C28),C27),C26),C25),C24),C23),C22),C21),C20),C19),C18),C17),C16),C15))</f>
        <v>#N/A</v>
      </c>
      <c r="K15" s="42">
        <f t="shared" si="0"/>
        <v>0</v>
      </c>
    </row>
    <row r="16" spans="1:14" x14ac:dyDescent="0.25">
      <c r="A16" s="92"/>
      <c r="B16" s="92"/>
      <c r="C16" s="92"/>
      <c r="D16"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6"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6" s="95"/>
      <c r="G16"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6"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6" t="e">
        <f>IF(IF(COUNTIF($J$6:J15,C16)&gt;=1,IF(COUNTIF($J$6:J15,C17)&gt;=1,IF(COUNTIF($J$6:J15,C18)&gt;=1,IF(COUNTIF($J$6:J15,C19)&gt;=1,IF(COUNTIF($J$6:J15,C20)&gt;=1,IF(COUNTIF($J$6:J15,C21)&gt;=1,IF(COUNTIF($J$6:J15,C22)&gt;=1,IF(COUNTIF($J$6:J15,C23)&gt;=1,IF(COUNTIF($J$6:J15,C24)&gt;=1,IF(COUNTIF($J$6:J15,C25)&gt;=1,IF(COUNTIF($J$6:J15,C26)&gt;=1,IF(COUNTIF($J$6:J15,C27)&gt;=1,IF(COUNTIF($J$6:J15,C28)&gt;=1,IF(COUNTIF($J$6:J15,C29)&gt;=1,IF(COUNTIF($J$6:J15,C30)&gt;=1,IF(COUNTIF($J$6:J15,C31)&gt;=1,IF(COUNTIF($J$6:J15,C32)&gt;=1,IF(COUNTIF($J$6:J15,C33)&gt;=1,IF(COUNTIF($J$6:J15,C34)&gt;=1,IF(COUNTIF($J$6:J15,C35)&gt;=1,C36,C35),C34),C33),C32),C31),C30),C29),C28),C27),C26),C25),C24),C23),C22),C21),C20),C19),C18),C17),C16)=0,NA(),IF(COUNTIF($J$6:J15,C16)&gt;=1,IF(COUNTIF($J$6:J15,C17)&gt;=1,IF(COUNTIF($J$6:J15,C18)&gt;=1,IF(COUNTIF($J$6:J15,C19)&gt;=1,IF(COUNTIF($J$6:J15,C20)&gt;=1,IF(COUNTIF($J$6:J15,C21)&gt;=1,IF(COUNTIF($J$6:J15,C22)&gt;=1,IF(COUNTIF($J$6:J15,C23)&gt;=1,IF(COUNTIF($J$6:J15,C24)&gt;=1,IF(COUNTIF($J$6:J15,C25)&gt;=1,IF(COUNTIF($J$6:J15,C26)&gt;=1,IF(COUNTIF($J$6:J15,C27)&gt;=1,IF(COUNTIF($J$6:J15,C28)&gt;=1,IF(COUNTIF($J$6:J15,C29)&gt;=1,IF(COUNTIF($J$6:J15,C30)&gt;=1,IF(COUNTIF($J$6:J15,C31)&gt;=1,IF(COUNTIF($J$6:J15,C32)&gt;=1,IF(COUNTIF($J$6:J15,C33)&gt;=1,IF(COUNTIF($J$6:J15,C34)&gt;=1,IF(COUNTIF($J$6:J15,C35)&gt;=1,C36,C35),C34),C33),C32),C31),C30),C29),C28),C27),C26),C25),C24),C23),C22),C21),C20),C19),C18),C17),C16))</f>
        <v>#N/A</v>
      </c>
      <c r="K16" s="42">
        <f t="shared" si="0"/>
        <v>0</v>
      </c>
    </row>
    <row r="17" spans="1:11" x14ac:dyDescent="0.25">
      <c r="A17" s="92"/>
      <c r="B17" s="92"/>
      <c r="C17" s="92"/>
      <c r="D17"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7"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7" s="95"/>
      <c r="G17"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7"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7" t="e">
        <f>IF(IF(COUNTIF($J$6:J16,C17)&gt;=1,IF(COUNTIF($J$6:J16,C18)&gt;=1,IF(COUNTIF($J$6:J16,C19)&gt;=1,IF(COUNTIF($J$6:J16,C20)&gt;=1,IF(COUNTIF($J$6:J16,C21)&gt;=1,IF(COUNTIF($J$6:J16,C22)&gt;=1,IF(COUNTIF($J$6:J16,C23)&gt;=1,IF(COUNTIF($J$6:J16,C24)&gt;=1,IF(COUNTIF($J$6:J16,C25)&gt;=1,IF(COUNTIF($J$6:J16,C26)&gt;=1,IF(COUNTIF($J$6:J16,C27)&gt;=1,IF(COUNTIF($J$6:J16,C28)&gt;=1,IF(COUNTIF($J$6:J16,C29)&gt;=1,IF(COUNTIF($J$6:J16,C30)&gt;=1,IF(COUNTIF($J$6:J16,C31)&gt;=1,IF(COUNTIF($J$6:J16,C32)&gt;=1,IF(COUNTIF($J$6:J16,C33)&gt;=1,IF(COUNTIF($J$6:J16,C34)&gt;=1,IF(COUNTIF($J$6:J16,C35)&gt;=1,IF(COUNTIF($J$6:J16,C36)&gt;=1,C37,C36),C35),C34),C33),C32),C31),C30),C29),C28),C27),C26),C25),C24),C23),C22),C21),C20),C19),C18),C17)=0,NA(),IF(COUNTIF($J$6:J16,C17)&gt;=1,IF(COUNTIF($J$6:J16,C18)&gt;=1,IF(COUNTIF($J$6:J16,C19)&gt;=1,IF(COUNTIF($J$6:J16,C20)&gt;=1,IF(COUNTIF($J$6:J16,C21)&gt;=1,IF(COUNTIF($J$6:J16,C22)&gt;=1,IF(COUNTIF($J$6:J16,C23)&gt;=1,IF(COUNTIF($J$6:J16,C24)&gt;=1,IF(COUNTIF($J$6:J16,C25)&gt;=1,IF(COUNTIF($J$6:J16,C26)&gt;=1,IF(COUNTIF($J$6:J16,C27)&gt;=1,IF(COUNTIF($J$6:J16,C28)&gt;=1,IF(COUNTIF($J$6:J16,C29)&gt;=1,IF(COUNTIF($J$6:J16,C30)&gt;=1,IF(COUNTIF($J$6:J16,C31)&gt;=1,IF(COUNTIF($J$6:J16,C32)&gt;=1,IF(COUNTIF($J$6:J16,C33)&gt;=1,IF(COUNTIF($J$6:J16,C34)&gt;=1,IF(COUNTIF($J$6:J16,C35)&gt;=1,IF(COUNTIF($J$6:J16,C36)&gt;=1,C37,C36),C35),C34),C33),C32),C31),C30),C29),C28),C27),C26),C25),C24),C23),C22),C21),C20),C19),C18),C17))</f>
        <v>#N/A</v>
      </c>
      <c r="K17" s="42">
        <f t="shared" si="0"/>
        <v>0</v>
      </c>
    </row>
    <row r="18" spans="1:11" x14ac:dyDescent="0.25">
      <c r="A18" s="92"/>
      <c r="B18" s="92"/>
      <c r="C18" s="92"/>
      <c r="D18"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8"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8" s="95"/>
      <c r="G18"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8"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8" t="e">
        <f>IF(IF(COUNTIF($J$6:J17,C18)&gt;=1,IF(COUNTIF($J$6:J17,C19)&gt;=1,IF(COUNTIF($J$6:J17,C20)&gt;=1,IF(COUNTIF($J$6:J17,C21)&gt;=1,IF(COUNTIF($J$6:J17,C22)&gt;=1,IF(COUNTIF($J$6:J17,C23)&gt;=1,IF(COUNTIF($J$6:J17,C24)&gt;=1,IF(COUNTIF($J$6:J17,C25)&gt;=1,IF(COUNTIF($J$6:J17,C26)&gt;=1,IF(COUNTIF($J$6:J17,C27)&gt;=1,IF(COUNTIF($J$6:J17,C28)&gt;=1,IF(COUNTIF($J$6:J17,C29)&gt;=1,IF(COUNTIF($J$6:J17,C30)&gt;=1,IF(COUNTIF($J$6:J17,C31)&gt;=1,IF(COUNTIF($J$6:J17,C32)&gt;=1,IF(COUNTIF($J$6:J17,C33)&gt;=1,IF(COUNTIF($J$6:J17,C34)&gt;=1,IF(COUNTIF($J$6:J17,C35)&gt;=1,IF(COUNTIF($J$6:J17,C36)&gt;=1,IF(COUNTIF($J$6:J17,C37)&gt;=1,C38,C37),C36),C35),C34),C33),C32),C31),C30),C29),C28),C27),C26),C25),C24),C23),C22),C21),C20),C19),C18)=0,NA(),IF(COUNTIF($J$6:J17,C18)&gt;=1,IF(COUNTIF($J$6:J17,C19)&gt;=1,IF(COUNTIF($J$6:J17,C20)&gt;=1,IF(COUNTIF($J$6:J17,C21)&gt;=1,IF(COUNTIF($J$6:J17,C22)&gt;=1,IF(COUNTIF($J$6:J17,C23)&gt;=1,IF(COUNTIF($J$6:J17,C24)&gt;=1,IF(COUNTIF($J$6:J17,C25)&gt;=1,IF(COUNTIF($J$6:J17,C26)&gt;=1,IF(COUNTIF($J$6:J17,C27)&gt;=1,IF(COUNTIF($J$6:J17,C28)&gt;=1,IF(COUNTIF($J$6:J17,C29)&gt;=1,IF(COUNTIF($J$6:J17,C30)&gt;=1,IF(COUNTIF($J$6:J17,C31)&gt;=1,IF(COUNTIF($J$6:J17,C32)&gt;=1,IF(COUNTIF($J$6:J17,C33)&gt;=1,IF(COUNTIF($J$6:J17,C34)&gt;=1,IF(COUNTIF($J$6:J17,C35)&gt;=1,IF(COUNTIF($J$6:J17,C36)&gt;=1,IF(COUNTIF($J$6:J17,C37)&gt;=1,C38,C37),C36),C35),C34),C33),C32),C31),C30),C29),C28),C27),C26),C25),C24),C23),C22),C21),C20),C19),C18))</f>
        <v>#N/A</v>
      </c>
      <c r="K18" s="42">
        <f t="shared" si="0"/>
        <v>0</v>
      </c>
    </row>
    <row r="19" spans="1:11" x14ac:dyDescent="0.25">
      <c r="A19" s="92"/>
      <c r="B19" s="92"/>
      <c r="C19" s="92"/>
      <c r="D19"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19"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19" s="95"/>
      <c r="G19"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19"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19" t="e">
        <f>IF(IF(COUNTIF($J$6:J18,C19)&gt;=1,IF(COUNTIF($J$6:J18,C20)&gt;=1,IF(COUNTIF($J$6:J18,C21)&gt;=1,IF(COUNTIF($J$6:J18,C22)&gt;=1,IF(COUNTIF($J$6:J18,C23)&gt;=1,IF(COUNTIF($J$6:J18,C24)&gt;=1,IF(COUNTIF($J$6:J18,C25)&gt;=1,IF(COUNTIF($J$6:J18,C26)&gt;=1,IF(COUNTIF($J$6:J18,C27)&gt;=1,IF(COUNTIF($J$6:J18,C28)&gt;=1,IF(COUNTIF($J$6:J18,C29)&gt;=1,IF(COUNTIF($J$6:J18,C30)&gt;=1,IF(COUNTIF($J$6:J18,C31)&gt;=1,IF(COUNTIF($J$6:J18,C32)&gt;=1,IF(COUNTIF($J$6:J18,C33)&gt;=1,IF(COUNTIF($J$6:J18,C34)&gt;=1,IF(COUNTIF($J$6:J18,C35)&gt;=1,IF(COUNTIF($J$6:J18,C36)&gt;=1,IF(COUNTIF($J$6:J18,C37)&gt;=1,IF(COUNTIF($J$6:J18,C38)&gt;=1,C39,C38),C37),C36),C35),C34),C33),C32),C31),C30),C29),C28),C27),C26),C25),C24),C23),C22),C21),C20),C19)=0,NA(),IF(COUNTIF($J$6:J18,C19)&gt;=1,IF(COUNTIF($J$6:J18,C20)&gt;=1,IF(COUNTIF($J$6:J18,C21)&gt;=1,IF(COUNTIF($J$6:J18,C22)&gt;=1,IF(COUNTIF($J$6:J18,C23)&gt;=1,IF(COUNTIF($J$6:J18,C24)&gt;=1,IF(COUNTIF($J$6:J18,C25)&gt;=1,IF(COUNTIF($J$6:J18,C26)&gt;=1,IF(COUNTIF($J$6:J18,C27)&gt;=1,IF(COUNTIF($J$6:J18,C28)&gt;=1,IF(COUNTIF($J$6:J18,C29)&gt;=1,IF(COUNTIF($J$6:J18,C30)&gt;=1,IF(COUNTIF($J$6:J18,C31)&gt;=1,IF(COUNTIF($J$6:J18,C32)&gt;=1,IF(COUNTIF($J$6:J18,C33)&gt;=1,IF(COUNTIF($J$6:J18,C34)&gt;=1,IF(COUNTIF($J$6:J18,C35)&gt;=1,IF(COUNTIF($J$6:J18,C36)&gt;=1,IF(COUNTIF($J$6:J18,C37)&gt;=1,IF(COUNTIF($J$6:J18,C38)&gt;=1,C39,C38),C37),C36),C35),C34),C33),C32),C31),C30),C29),C28),C27),C26),C25),C24),C23),C22),C21),C20),C19))</f>
        <v>#N/A</v>
      </c>
      <c r="K19" s="42">
        <f t="shared" si="0"/>
        <v>0</v>
      </c>
    </row>
    <row r="20" spans="1:11" x14ac:dyDescent="0.25">
      <c r="A20" s="92"/>
      <c r="B20" s="92"/>
      <c r="C20" s="92"/>
      <c r="D20"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0"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0" s="95"/>
      <c r="G20"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0"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0" t="e">
        <f>IF(IF(COUNTIF($J$6:J19,C20)&gt;=1,IF(COUNTIF($J$6:J19,C21)&gt;=1,IF(COUNTIF($J$6:J19,C22)&gt;=1,IF(COUNTIF($J$6:J19,C23)&gt;=1,IF(COUNTIF($J$6:J19,C24)&gt;=1,IF(COUNTIF($J$6:J19,C25)&gt;=1,IF(COUNTIF($J$6:J19,C26)&gt;=1,IF(COUNTIF($J$6:J19,C27)&gt;=1,IF(COUNTIF($J$6:J19,C28)&gt;=1,IF(COUNTIF($J$6:J19,C29)&gt;=1,IF(COUNTIF($J$6:J19,C30)&gt;=1,IF(COUNTIF($J$6:J19,C31)&gt;=1,IF(COUNTIF($J$6:J19,C32)&gt;=1,IF(COUNTIF($J$6:J19,C33)&gt;=1,IF(COUNTIF($J$6:J19,C34)&gt;=1,IF(COUNTIF($J$6:J19,C35)&gt;=1,IF(COUNTIF($J$6:J19,C36)&gt;=1,IF(COUNTIF($J$6:J19,C37)&gt;=1,IF(COUNTIF($J$6:J19,C38)&gt;=1,IF(COUNTIF($J$6:J19,C39)&gt;=1,C40,C39),C38),C37),C36),C35),C34),C33),C32),C31),C30),C29),C28),C27),C26),C25),C24),C23),C22),C21),C20)=0,NA(),IF(COUNTIF($J$6:J19,C20)&gt;=1,IF(COUNTIF($J$6:J19,C21)&gt;=1,IF(COUNTIF($J$6:J19,C22)&gt;=1,IF(COUNTIF($J$6:J19,C23)&gt;=1,IF(COUNTIF($J$6:J19,C24)&gt;=1,IF(COUNTIF($J$6:J19,C25)&gt;=1,IF(COUNTIF($J$6:J19,C26)&gt;=1,IF(COUNTIF($J$6:J19,C27)&gt;=1,IF(COUNTIF($J$6:J19,C28)&gt;=1,IF(COUNTIF($J$6:J19,C29)&gt;=1,IF(COUNTIF($J$6:J19,C30)&gt;=1,IF(COUNTIF($J$6:J19,C31)&gt;=1,IF(COUNTIF($J$6:J19,C32)&gt;=1,IF(COUNTIF($J$6:J19,C33)&gt;=1,IF(COUNTIF($J$6:J19,C34)&gt;=1,IF(COUNTIF($J$6:J19,C35)&gt;=1,IF(COUNTIF($J$6:J19,C36)&gt;=1,IF(COUNTIF($J$6:J19,C37)&gt;=1,IF(COUNTIF($J$6:J19,C38)&gt;=1,IF(COUNTIF($J$6:J19,C39)&gt;=1,C40,C39),C38),C37),C36),C35),C34),C33),C32),C31),C30),C29),C28),C27),C26),C25),C24),C23),C22),C21),C20))</f>
        <v>#N/A</v>
      </c>
      <c r="K20" s="42">
        <f t="shared" si="0"/>
        <v>0</v>
      </c>
    </row>
    <row r="21" spans="1:11" x14ac:dyDescent="0.25">
      <c r="A21" s="92"/>
      <c r="B21" s="92"/>
      <c r="C21" s="92"/>
      <c r="D21"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1"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1" s="95"/>
      <c r="G21"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1"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1" t="e">
        <f>IF(IF(COUNTIF($J$6:J20,C21)&gt;=1,IF(COUNTIF($J$6:J20,C22)&gt;=1,IF(COUNTIF($J$6:J20,C23)&gt;=1,IF(COUNTIF($J$6:J20,C24)&gt;=1,IF(COUNTIF($J$6:J20,C25)&gt;=1,IF(COUNTIF($J$6:J20,C26)&gt;=1,IF(COUNTIF($J$6:J20,C27)&gt;=1,IF(COUNTIF($J$6:J20,C28)&gt;=1,IF(COUNTIF($J$6:J20,C29)&gt;=1,IF(COUNTIF($J$6:J20,C30)&gt;=1,IF(COUNTIF($J$6:J20,C31)&gt;=1,IF(COUNTIF($J$6:J20,C32)&gt;=1,IF(COUNTIF($J$6:J20,C33)&gt;=1,IF(COUNTIF($J$6:J20,C34)&gt;=1,IF(COUNTIF($J$6:J20,C35)&gt;=1,IF(COUNTIF($J$6:J20,C36)&gt;=1,IF(COUNTIF($J$6:J20,C37)&gt;=1,IF(COUNTIF($J$6:J20,C38)&gt;=1,IF(COUNTIF($J$6:J20,C39)&gt;=1,IF(COUNTIF($J$6:J20,C40)&gt;=1,C41,C40),C39),C38),C37),C36),C35),C34),C33),C32),C31),C30),C29),C28),C27),C26),C25),C24),C23),C22),C21)=0,NA(),IF(COUNTIF($J$6:J20,C21)&gt;=1,IF(COUNTIF($J$6:J20,C22)&gt;=1,IF(COUNTIF($J$6:J20,C23)&gt;=1,IF(COUNTIF($J$6:J20,C24)&gt;=1,IF(COUNTIF($J$6:J20,C25)&gt;=1,IF(COUNTIF($J$6:J20,C26)&gt;=1,IF(COUNTIF($J$6:J20,C27)&gt;=1,IF(COUNTIF($J$6:J20,C28)&gt;=1,IF(COUNTIF($J$6:J20,C29)&gt;=1,IF(COUNTIF($J$6:J20,C30)&gt;=1,IF(COUNTIF($J$6:J20,C31)&gt;=1,IF(COUNTIF($J$6:J20,C32)&gt;=1,IF(COUNTIF($J$6:J20,C33)&gt;=1,IF(COUNTIF($J$6:J20,C34)&gt;=1,IF(COUNTIF($J$6:J20,C35)&gt;=1,IF(COUNTIF($J$6:J20,C36)&gt;=1,IF(COUNTIF($J$6:J20,C37)&gt;=1,IF(COUNTIF($J$6:J20,C38)&gt;=1,IF(COUNTIF($J$6:J20,C39)&gt;=1,IF(COUNTIF($J$6:J20,C40)&gt;=1,C41,C40),C39),C38),C37),C36),C35),C34),C33),C32),C31),C30),C29),C28),C27),C26),C25),C24),C23),C22),C21))</f>
        <v>#N/A</v>
      </c>
      <c r="K21" s="42">
        <f t="shared" si="0"/>
        <v>0</v>
      </c>
    </row>
    <row r="22" spans="1:11" x14ac:dyDescent="0.25">
      <c r="A22" s="92"/>
      <c r="B22" s="92"/>
      <c r="C22" s="92"/>
      <c r="D22"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2"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2" s="95"/>
      <c r="G22"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2"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2" t="e">
        <f>IF(IF(COUNTIF($J$6:J21,C22)&gt;=1,IF(COUNTIF($J$6:J21,C23)&gt;=1,IF(COUNTIF($J$6:J21,C24)&gt;=1,IF(COUNTIF($J$6:J21,C25)&gt;=1,IF(COUNTIF($J$6:J21,C26)&gt;=1,IF(COUNTIF($J$6:J21,C27)&gt;=1,IF(COUNTIF($J$6:J21,C28)&gt;=1,IF(COUNTIF($J$6:J21,C29)&gt;=1,IF(COUNTIF($J$6:J21,C30)&gt;=1,IF(COUNTIF($J$6:J21,C31)&gt;=1,IF(COUNTIF($J$6:J21,C32)&gt;=1,IF(COUNTIF($J$6:J21,C33)&gt;=1,IF(COUNTIF($J$6:J21,C34)&gt;=1,IF(COUNTIF($J$6:J21,C35)&gt;=1,IF(COUNTIF($J$6:J21,C36)&gt;=1,IF(COUNTIF($J$6:J21,C37)&gt;=1,IF(COUNTIF($J$6:J21,C38)&gt;=1,IF(COUNTIF($J$6:J21,C39)&gt;=1,IF(COUNTIF($J$6:J21,C40)&gt;=1,IF(COUNTIF($J$6:J21,C41)&gt;=1,C42,C41),C40),C39),C38),C37),C36),C35),C34),C33),C32),C31),C30),C29),C28),C27),C26),C25),C24),C23),C22)=0,NA(),IF(COUNTIF($J$6:J21,C22)&gt;=1,IF(COUNTIF($J$6:J21,C23)&gt;=1,IF(COUNTIF($J$6:J21,C24)&gt;=1,IF(COUNTIF($J$6:J21,C25)&gt;=1,IF(COUNTIF($J$6:J21,C26)&gt;=1,IF(COUNTIF($J$6:J21,C27)&gt;=1,IF(COUNTIF($J$6:J21,C28)&gt;=1,IF(COUNTIF($J$6:J21,C29)&gt;=1,IF(COUNTIF($J$6:J21,C30)&gt;=1,IF(COUNTIF($J$6:J21,C31)&gt;=1,IF(COUNTIF($J$6:J21,C32)&gt;=1,IF(COUNTIF($J$6:J21,C33)&gt;=1,IF(COUNTIF($J$6:J21,C34)&gt;=1,IF(COUNTIF($J$6:J21,C35)&gt;=1,IF(COUNTIF($J$6:J21,C36)&gt;=1,IF(COUNTIF($J$6:J21,C37)&gt;=1,IF(COUNTIF($J$6:J21,C38)&gt;=1,IF(COUNTIF($J$6:J21,C39)&gt;=1,IF(COUNTIF($J$6:J21,C40)&gt;=1,IF(COUNTIF($J$6:J21,C41)&gt;=1,C42,C41),C40),C39),C38),C37),C36),C35),C34),C33),C32),C31),C30),C29),C28),C27),C26),C25),C24),C23),C22))</f>
        <v>#N/A</v>
      </c>
      <c r="K22" s="42">
        <f t="shared" si="0"/>
        <v>0</v>
      </c>
    </row>
    <row r="23" spans="1:11" x14ac:dyDescent="0.25">
      <c r="A23" s="92"/>
      <c r="B23" s="92"/>
      <c r="C23" s="92"/>
      <c r="D23"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3"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3" s="95"/>
      <c r="G23"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3"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3" t="e">
        <f>IF(IF(COUNTIF($J$6:J22,C23)&gt;=1,IF(COUNTIF($J$6:J22,C24)&gt;=1,IF(COUNTIF($J$6:J22,C25)&gt;=1,IF(COUNTIF($J$6:J22,C26)&gt;=1,IF(COUNTIF($J$6:J22,C27)&gt;=1,IF(COUNTIF($J$6:J22,C28)&gt;=1,IF(COUNTIF($J$6:J22,C29)&gt;=1,IF(COUNTIF($J$6:J22,C30)&gt;=1,IF(COUNTIF($J$6:J22,C31)&gt;=1,IF(COUNTIF($J$6:J22,C32)&gt;=1,IF(COUNTIF($J$6:J22,C33)&gt;=1,IF(COUNTIF($J$6:J22,C34)&gt;=1,IF(COUNTIF($J$6:J22,C35)&gt;=1,IF(COUNTIF($J$6:J22,C36)&gt;=1,IF(COUNTIF($J$6:J22,C37)&gt;=1,IF(COUNTIF($J$6:J22,C38)&gt;=1,IF(COUNTIF($J$6:J22,C39)&gt;=1,IF(COUNTIF($J$6:J22,C40)&gt;=1,IF(COUNTIF($J$6:J22,C41)&gt;=1,IF(COUNTIF($J$6:J22,C42)&gt;=1,C43,C42),C41),C40),C39),C38),C37),C36),C35),C34),C33),C32),C31),C30),C29),C28),C27),C26),C25),C24),C23)=0,NA(),IF(COUNTIF($J$6:J22,C23)&gt;=1,IF(COUNTIF($J$6:J22,C24)&gt;=1,IF(COUNTIF($J$6:J22,C25)&gt;=1,IF(COUNTIF($J$6:J22,C26)&gt;=1,IF(COUNTIF($J$6:J22,C27)&gt;=1,IF(COUNTIF($J$6:J22,C28)&gt;=1,IF(COUNTIF($J$6:J22,C29)&gt;=1,IF(COUNTIF($J$6:J22,C30)&gt;=1,IF(COUNTIF($J$6:J22,C31)&gt;=1,IF(COUNTIF($J$6:J22,C32)&gt;=1,IF(COUNTIF($J$6:J22,C33)&gt;=1,IF(COUNTIF($J$6:J22,C34)&gt;=1,IF(COUNTIF($J$6:J22,C35)&gt;=1,IF(COUNTIF($J$6:J22,C36)&gt;=1,IF(COUNTIF($J$6:J22,C37)&gt;=1,IF(COUNTIF($J$6:J22,C38)&gt;=1,IF(COUNTIF($J$6:J22,C39)&gt;=1,IF(COUNTIF($J$6:J22,C40)&gt;=1,IF(COUNTIF($J$6:J22,C41)&gt;=1,IF(COUNTIF($J$6:J22,C42)&gt;=1,C43,C42),C41),C40),C39),C38),C37),C36),C35),C34),C33),C32),C31),C30),C29),C28),C27),C26),C25),C24),C23))</f>
        <v>#N/A</v>
      </c>
      <c r="K23" s="42">
        <f t="shared" si="0"/>
        <v>0</v>
      </c>
    </row>
    <row r="24" spans="1:11" x14ac:dyDescent="0.25">
      <c r="A24" s="92"/>
      <c r="B24" s="92"/>
      <c r="C24" s="92"/>
      <c r="D24"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4"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4" s="95"/>
      <c r="G24"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4"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4" t="e">
        <f>IF(IF(COUNTIF($J$6:J23,C24)&gt;=1,IF(COUNTIF($J$6:J23,C25)&gt;=1,IF(COUNTIF($J$6:J23,C26)&gt;=1,IF(COUNTIF($J$6:J23,C27)&gt;=1,IF(COUNTIF($J$6:J23,C28)&gt;=1,IF(COUNTIF($J$6:J23,C29)&gt;=1,IF(COUNTIF($J$6:J23,C30)&gt;=1,IF(COUNTIF($J$6:J23,C31)&gt;=1,IF(COUNTIF($J$6:J23,C32)&gt;=1,IF(COUNTIF($J$6:J23,C33)&gt;=1,IF(COUNTIF($J$6:J23,C34)&gt;=1,IF(COUNTIF($J$6:J23,C35)&gt;=1,IF(COUNTIF($J$6:J23,C36)&gt;=1,IF(COUNTIF($J$6:J23,C37)&gt;=1,IF(COUNTIF($J$6:J23,C38)&gt;=1,IF(COUNTIF($J$6:J23,C39)&gt;=1,IF(COUNTIF($J$6:J23,C40)&gt;=1,IF(COUNTIF($J$6:J23,C41)&gt;=1,IF(COUNTIF($J$6:J23,C42)&gt;=1,IF(COUNTIF($J$6:J23,C43)&gt;=1,C44,C43),C42),C41),C40),C39),C38),C37),C36),C35),C34),C33),C32),C31),C30),C29),C28),C27),C26),C25),C24)=0,NA(),IF(COUNTIF($J$6:J23,C24)&gt;=1,IF(COUNTIF($J$6:J23,C25)&gt;=1,IF(COUNTIF($J$6:J23,C26)&gt;=1,IF(COUNTIF($J$6:J23,C27)&gt;=1,IF(COUNTIF($J$6:J23,C28)&gt;=1,IF(COUNTIF($J$6:J23,C29)&gt;=1,IF(COUNTIF($J$6:J23,C30)&gt;=1,IF(COUNTIF($J$6:J23,C31)&gt;=1,IF(COUNTIF($J$6:J23,C32)&gt;=1,IF(COUNTIF($J$6:J23,C33)&gt;=1,IF(COUNTIF($J$6:J23,C34)&gt;=1,IF(COUNTIF($J$6:J23,C35)&gt;=1,IF(COUNTIF($J$6:J23,C36)&gt;=1,IF(COUNTIF($J$6:J23,C37)&gt;=1,IF(COUNTIF($J$6:J23,C38)&gt;=1,IF(COUNTIF($J$6:J23,C39)&gt;=1,IF(COUNTIF($J$6:J23,C40)&gt;=1,IF(COUNTIF($J$6:J23,C41)&gt;=1,IF(COUNTIF($J$6:J23,C42)&gt;=1,IF(COUNTIF($J$6:J23,C43)&gt;=1,C44,C43),C42),C41),C40),C39),C38),C37),C36),C35),C34),C33),C32),C31),C30),C29),C28),C27),C26),C25),C24))</f>
        <v>#N/A</v>
      </c>
      <c r="K24" s="42">
        <f t="shared" si="0"/>
        <v>0</v>
      </c>
    </row>
    <row r="25" spans="1:11" x14ac:dyDescent="0.25">
      <c r="A25" s="92"/>
      <c r="B25" s="92"/>
      <c r="C25" s="92"/>
      <c r="D25"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5"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5" s="95"/>
      <c r="G25"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5"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5" t="e">
        <f>IF(IF(COUNTIF($J$6:J24,C25)&gt;=1,IF(COUNTIF($J$6:J24,C26)&gt;=1,IF(COUNTIF($J$6:J24,C27)&gt;=1,IF(COUNTIF($J$6:J24,C28)&gt;=1,IF(COUNTIF($J$6:J24,C29)&gt;=1,IF(COUNTIF($J$6:J24,C30)&gt;=1,IF(COUNTIF($J$6:J24,C31)&gt;=1,IF(COUNTIF($J$6:J24,C32)&gt;=1,IF(COUNTIF($J$6:J24,C33)&gt;=1,IF(COUNTIF($J$6:J24,C34)&gt;=1,IF(COUNTIF($J$6:J24,C35)&gt;=1,IF(COUNTIF($J$6:J24,C36)&gt;=1,IF(COUNTIF($J$6:J24,C37)&gt;=1,IF(COUNTIF($J$6:J24,C38)&gt;=1,IF(COUNTIF($J$6:J24,C39)&gt;=1,IF(COUNTIF($J$6:J24,C40)&gt;=1,IF(COUNTIF($J$6:J24,C41)&gt;=1,IF(COUNTIF($J$6:J24,C42)&gt;=1,IF(COUNTIF($J$6:J24,C43)&gt;=1,IF(COUNTIF($J$6:J24,C44)&gt;=1,C45,C44),C43),C42),C41),C40),C39),C38),C37),C36),C35),C34),C33),C32),C31),C30),C29),C28),C27),C26),C25)=0,NA(),IF(COUNTIF($J$6:J24,C25)&gt;=1,IF(COUNTIF($J$6:J24,C26)&gt;=1,IF(COUNTIF($J$6:J24,C27)&gt;=1,IF(COUNTIF($J$6:J24,C28)&gt;=1,IF(COUNTIF($J$6:J24,C29)&gt;=1,IF(COUNTIF($J$6:J24,C30)&gt;=1,IF(COUNTIF($J$6:J24,C31)&gt;=1,IF(COUNTIF($J$6:J24,C32)&gt;=1,IF(COUNTIF($J$6:J24,C33)&gt;=1,IF(COUNTIF($J$6:J24,C34)&gt;=1,IF(COUNTIF($J$6:J24,C35)&gt;=1,IF(COUNTIF($J$6:J24,C36)&gt;=1,IF(COUNTIF($J$6:J24,C37)&gt;=1,IF(COUNTIF($J$6:J24,C38)&gt;=1,IF(COUNTIF($J$6:J24,C39)&gt;=1,IF(COUNTIF($J$6:J24,C40)&gt;=1,IF(COUNTIF($J$6:J24,C41)&gt;=1,IF(COUNTIF($J$6:J24,C42)&gt;=1,IF(COUNTIF($J$6:J24,C43)&gt;=1,IF(COUNTIF($J$6:J24,C44)&gt;=1,C45,C44),C43),C42),C41),C40),C39),C38),C37),C36),C35),C34),C33),C32),C31),C30),C29),C28),C27),C26),C25))</f>
        <v>#N/A</v>
      </c>
      <c r="K25" s="42">
        <f t="shared" si="0"/>
        <v>0</v>
      </c>
    </row>
    <row r="26" spans="1:11" x14ac:dyDescent="0.25">
      <c r="A26" s="92"/>
      <c r="B26" s="92"/>
      <c r="C26" s="92"/>
      <c r="D26" s="93" t="str">
        <f>IF(Tabel2[[#This Row],[Biobased products]]="CLT","Select used wood type or provide the CLT density in next column",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IF(Tabel2[[#This Row],[Biobased products]]="Laminate","Unit must be kg",
IF(Tabel2[[#This Row],[Biobased products]]="Sheep wool","Unit must be kg",
IF(Tabel2[[#This Row],[Biobased products]]="Wood-plastic composite","Unit must be kg",
IF(Tabel2[[#This Row],[Biobased products]]="Wood I-beam","Unit must be kg",
"Not applicable"))))))))))))</f>
        <v>Not applicable</v>
      </c>
      <c r="E26" s="94"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included)",1,VLOOKUP(Tabel2[[#This Row],[Biobased products]],Tabel1[[Product]:[Av. of mid. range Density (kg/m3)]],7,FALSE))))</f>
        <v>#N/A</v>
      </c>
      <c r="F26" s="95"/>
      <c r="G26" s="92"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6" s="96"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c r="J26" t="e">
        <f>IF(IF(COUNTIF($J$6:J25,C26)&gt;=1,IF(COUNTIF($J$6:J25,C27)&gt;=1,IF(COUNTIF($J$6:J25,C28)&gt;=1,IF(COUNTIF($J$6:J25,C29)&gt;=1,IF(COUNTIF($J$6:J25,C30)&gt;=1,IF(COUNTIF($J$6:J25,C31)&gt;=1,IF(COUNTIF($J$6:J25,C32)&gt;=1,IF(COUNTIF($J$6:J25,C33)&gt;=1,IF(COUNTIF($J$6:J25,C34)&gt;=1,IF(COUNTIF($J$6:J25,C35)&gt;=1,IF(COUNTIF($J$6:J25,C36)&gt;=1,IF(COUNTIF($J$6:J25,C37)&gt;=1,IF(COUNTIF($J$6:J25,C38)&gt;=1,IF(COUNTIF($J$6:J25,C39)&gt;=1,IF(COUNTIF($J$6:J25,C40)&gt;=1,IF(COUNTIF($J$6:J25,C41)&gt;=1,IF(COUNTIF($J$6:J25,C42)&gt;=1,IF(COUNTIF($J$6:J25,C43)&gt;=1,IF(COUNTIF($J$6:J25,C44)&gt;=1,IF(COUNTIF($J$6:J25,C45)&gt;=1,C46,C45),C44),C43),C42),C41),C40),C39),C38),C37),C36),C35),C34),C33),C32),C31),C30),C29),C28),C27),C26)=0,NA(),IF(COUNTIF($J$6:J25,C26)&gt;=1,IF(COUNTIF($J$6:J25,C27)&gt;=1,IF(COUNTIF($J$6:J25,C28)&gt;=1,IF(COUNTIF($J$6:J25,C29)&gt;=1,IF(COUNTIF($J$6:J25,C30)&gt;=1,IF(COUNTIF($J$6:J25,C31)&gt;=1,IF(COUNTIF($J$6:J25,C32)&gt;=1,IF(COUNTIF($J$6:J25,C33)&gt;=1,IF(COUNTIF($J$6:J25,C34)&gt;=1,IF(COUNTIF($J$6:J25,C35)&gt;=1,IF(COUNTIF($J$6:J25,C36)&gt;=1,IF(COUNTIF($J$6:J25,C37)&gt;=1,IF(COUNTIF($J$6:J25,C38)&gt;=1,IF(COUNTIF($J$6:J25,C39)&gt;=1,IF(COUNTIF($J$6:J25,C40)&gt;=1,IF(COUNTIF($J$6:J25,C41)&gt;=1,IF(COUNTIF($J$6:J25,C42)&gt;=1,IF(COUNTIF($J$6:J25,C43)&gt;=1,IF(COUNTIF($J$6:J25,C44)&gt;=1,IF(COUNTIF($J$6:J25,C45)&gt;=1,C46,C45),C44),C43),C42),C41),C40),C39),C38),C37),C36),C35),C34),C33),C32),C31),C30),C29),C28),C27),C26))</f>
        <v>#N/A</v>
      </c>
      <c r="K26" s="42">
        <f t="shared" si="0"/>
        <v>0</v>
      </c>
    </row>
    <row r="34" spans="6:6" x14ac:dyDescent="0.25">
      <c r="F34"/>
    </row>
  </sheetData>
  <sheetProtection algorithmName="SHA-512" hashValue="QL7u4GzWmYpSOxjwNRKtrBoMFeOeaU3spQT271YS2tvvf49Y9tuLQbBjCPlCrLOTieq+52uJN41fs2Em91ZEQg==" saltValue="oH2UUsXKSbvnQDGwn/spQg==" spinCount="100000" sheet="1" selectLockedCells="1"/>
  <phoneticPr fontId="11" type="noConversion"/>
  <conditionalFormatting sqref="C3 D1:E1 D4:E1048576">
    <cfRule type="containsText" dxfId="38" priority="17" operator="containsText" text="Select used wood type or provide the CLT density in next column">
      <formula>NOT(ISERROR(SEARCH("Select used wood type or provide the CLT density in next column",C1)))</formula>
    </cfRule>
    <cfRule type="containsText" dxfId="37" priority="20" operator="containsText" text="Specify type of wood">
      <formula>NOT(ISERROR(SEARCH("Specify type of wood",C1)))</formula>
    </cfRule>
  </conditionalFormatting>
  <conditionalFormatting sqref="H6:H26">
    <cfRule type="cellIs" dxfId="36" priority="18" operator="equal">
      <formula>0</formula>
    </cfRule>
  </conditionalFormatting>
  <conditionalFormatting sqref="G6:G26">
    <cfRule type="expression" dxfId="35" priority="12">
      <formula>$C6="Extensive green roof (sedum)"</formula>
    </cfRule>
    <cfRule type="expression" dxfId="34" priority="15">
      <formula>$C6="EcoCocon (straw frame timber beams included)"</formula>
    </cfRule>
    <cfRule type="expression" dxfId="33" priority="9">
      <formula>$C6="Laminated strand lumber"</formula>
    </cfRule>
    <cfRule type="expression" dxfId="32" priority="8">
      <formula>$C6="Closed panel timber frame system"</formula>
    </cfRule>
    <cfRule type="expression" dxfId="31" priority="7">
      <formula>$C6="Open panel timber frame system"</formula>
    </cfRule>
    <cfRule type="expression" dxfId="30" priority="6">
      <formula>$C6="Fibreboard"</formula>
    </cfRule>
    <cfRule type="expression" dxfId="29" priority="5">
      <formula>$C6="Laminate"</formula>
    </cfRule>
    <cfRule type="expression" dxfId="28" priority="4">
      <formula>$C6="Sheep wool"</formula>
    </cfRule>
    <cfRule type="expression" dxfId="27" priority="3">
      <formula>$C6="Wood-plastic composite"</formula>
    </cfRule>
    <cfRule type="expression" dxfId="26" priority="2">
      <formula>$C6="Wood I-beam"</formula>
    </cfRule>
  </conditionalFormatting>
  <conditionalFormatting sqref="E6:E26">
    <cfRule type="cellIs" dxfId="25" priority="10" operator="equal">
      <formula>0</formula>
    </cfRule>
    <cfRule type="cellIs" dxfId="24" priority="11" operator="equal">
      <formula>1</formula>
    </cfRule>
  </conditionalFormatting>
  <conditionalFormatting sqref="D6:D26">
    <cfRule type="containsText" dxfId="23" priority="1" operator="containsText" text="Unit">
      <formula>NOT(ISERROR(SEARCH("Unit",D6)))</formula>
    </cfRule>
  </conditionalFormatting>
  <dataValidations count="3">
    <dataValidation type="list" allowBlank="1" showInputMessage="1" sqref="G6:G26" xr:uid="{DCBA18B7-2B14-47D1-A7FD-C311FBEE2065}">
      <formula1>Unit</formula1>
    </dataValidation>
    <dataValidation type="list" allowBlank="1" showInputMessage="1" sqref="A6:A26" xr:uid="{4997F3B4-18B9-4B9C-81F2-B0A30BE4BC3E}">
      <formula1>CL</formula1>
    </dataValidation>
    <dataValidation type="list" allowBlank="1" showInputMessage="1" sqref="B6:B26" xr:uid="{0677C995-94DE-429B-A760-B07230296A12}">
      <formula1>P_cat.</formula1>
    </dataValidation>
  </dataValidations>
  <pageMargins left="0.7" right="0.7" top="0.75" bottom="0.75" header="0.3" footer="0.3"/>
  <pageSetup paperSize="9" orientation="portrait" r:id="rId1"/>
  <ignoredErrors>
    <ignoredError sqref="G3 E6:E26" evalError="1"/>
  </ignoredErrors>
  <drawing r:id="rId2"/>
  <tableParts count="1">
    <tablePart r:id="rId3"/>
  </tableParts>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When continueing this custom information, it is possible the calculation will result in an error." xr:uid="{06AC44BA-1ABC-430D-A6B9-65E2845C4102}">
          <x14:formula1>
            <xm:f>IF(#REF!="CLT",CLT,IF(#REF!="Hemp-shives containing products",HSC,IF(#REF!="Other wood material",Wtype,'Drop-down_lists'!$D$9)))</xm:f>
          </x14:formula1>
          <xm:sqref>E6:E26</xm:sqref>
        </x14:dataValidation>
        <x14:dataValidation type="list" allowBlank="1" showInputMessage="1" showErrorMessage="1" xr:uid="{4EEFDCBB-8CE2-4417-B881-D5E712AF2C77}">
          <x14:formula1>
            <xm:f>IF(B6="Floors",Floors,IF(B6="Frames and walls",Frames_walls,IF(B6="Insulation",Insulation,IF(B6="Roofs",Roofs,IF(B6="Boards/planks",Boards_planks,'Drop-down_lists'!$A$27)))))</xm:f>
          </x14:formula1>
          <xm:sqref>C6:C26</xm:sqref>
        </x14:dataValidation>
        <x14:dataValidation type="list" allowBlank="1" showInputMessage="1" showErrorMessage="1" xr:uid="{EDDF3443-E577-434E-BE6B-8F749346EF6C}">
          <x14:formula1>
            <xm:f>IF(C6="Floors",Floors,IF(C6="Frames and walls",Frames_walls,IF(C6="Insulation",Insulation,IF(C6="Roofs",Roofs,IF(C6="Boards/planks",Boards_planks,'Drop-down_lists'!$A$27)))))</xm:f>
          </x14:formula1>
          <xm:sqref>E6:E26</xm:sqref>
        </x14:dataValidation>
        <x14:dataValidation type="list" errorStyle="warning" allowBlank="1" showInputMessage="1" showErrorMessage="1" error="When continueing this custom information, it is possible the calculation will result in an error." xr:uid="{0CD422AF-5F85-4DE0-ADFC-37D28F81FE43}">
          <x14:formula1>
            <xm:f>IF(C6="CLT",CLT,IF(C6="Hemp-shives containing products",HSC,IF(C6="Other wood material",Wtype,'Drop-down_lists'!$D$9)))</xm:f>
          </x14:formula1>
          <xm:sqref>D6:D26</xm:sqref>
        </x14:dataValidation>
        <x14:dataValidation type="list" allowBlank="1" showInputMessage="1" showErrorMessage="1" xr:uid="{9141BB86-F3AB-45B7-8A92-979606165579}">
          <x14:formula1>
            <xm:f>IF(C6='CO2-storage factors'!$A$4,CLT,IF(C6='CO2-storage factors'!$A$29,HSC,IF(C6='CO2-storage factors'!$A$30,Wtype,'Drop-down_lists'!$D$9)))</xm:f>
          </x14:formula1>
          <xm:sqref>E28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DCE1-0DF7-4CE2-973F-89EA57EA44BF}">
  <dimension ref="A1:W4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3.85546875" bestFit="1" customWidth="1"/>
    <col min="2" max="2" width="15.85546875" customWidth="1"/>
    <col min="3" max="3" width="14.85546875" style="1" customWidth="1"/>
    <col min="4" max="4" width="16.140625" customWidth="1"/>
    <col min="5" max="5" width="14.28515625" customWidth="1"/>
    <col min="6" max="6" width="12.140625" customWidth="1"/>
    <col min="7" max="7" width="16.85546875" customWidth="1"/>
    <col min="8" max="8" width="12.42578125" customWidth="1"/>
    <col min="9" max="9" width="17" customWidth="1"/>
    <col min="10" max="10" width="15.42578125" customWidth="1"/>
    <col min="11" max="12" width="12.85546875" customWidth="1"/>
    <col min="15" max="15" width="9.7109375" customWidth="1"/>
    <col min="21" max="22" width="20.7109375" customWidth="1"/>
  </cols>
  <sheetData>
    <row r="1" spans="1:23" s="2" customFormat="1" ht="37.5" customHeight="1" x14ac:dyDescent="0.35">
      <c r="A1" s="50" t="s">
        <v>8</v>
      </c>
      <c r="B1" s="66" t="s">
        <v>1</v>
      </c>
      <c r="C1" s="67" t="s">
        <v>256</v>
      </c>
      <c r="D1" s="66" t="s">
        <v>2</v>
      </c>
      <c r="E1" s="50" t="s">
        <v>9</v>
      </c>
      <c r="F1" s="58" t="s">
        <v>30</v>
      </c>
      <c r="G1" s="66" t="s">
        <v>29</v>
      </c>
      <c r="H1" s="54" t="s">
        <v>31</v>
      </c>
      <c r="I1" s="66" t="s">
        <v>4</v>
      </c>
      <c r="J1" s="50" t="s">
        <v>5</v>
      </c>
      <c r="K1" s="66" t="s">
        <v>55</v>
      </c>
      <c r="L1" s="66" t="s">
        <v>56</v>
      </c>
      <c r="M1" s="66" t="s">
        <v>71</v>
      </c>
      <c r="N1" s="66" t="s">
        <v>239</v>
      </c>
      <c r="O1" s="66" t="s">
        <v>241</v>
      </c>
      <c r="T1" s="2" t="s">
        <v>264</v>
      </c>
      <c r="U1" s="2" t="s">
        <v>269</v>
      </c>
      <c r="V1" s="2" t="s">
        <v>270</v>
      </c>
    </row>
    <row r="2" spans="1:23" x14ac:dyDescent="0.25">
      <c r="A2" s="51" t="s">
        <v>244</v>
      </c>
      <c r="B2" s="64" t="e">
        <f>NA()</f>
        <v>#N/A</v>
      </c>
      <c r="C2" s="64">
        <f>1010/Tabel1[[#This Row],[Av. of mid. range Density (kg/m3)]]</f>
        <v>1.3377483443708609</v>
      </c>
      <c r="D2" s="64" t="e">
        <f>NA()</f>
        <v>#N/A</v>
      </c>
      <c r="E2" s="51" t="e">
        <f>NA()</f>
        <v>#N/A</v>
      </c>
      <c r="F2" s="59" t="e">
        <f>NA()</f>
        <v>#N/A</v>
      </c>
      <c r="G2" s="57">
        <v>755</v>
      </c>
      <c r="H2" s="55" t="e">
        <f>NA()</f>
        <v>#N/A</v>
      </c>
      <c r="I2" s="68"/>
      <c r="J2" s="61"/>
      <c r="K2" s="62" t="s">
        <v>245</v>
      </c>
      <c r="L2" s="57" t="s">
        <v>314</v>
      </c>
      <c r="M2" s="57" t="s">
        <v>314</v>
      </c>
      <c r="N2" s="57" t="s">
        <v>314</v>
      </c>
      <c r="O2" s="57" t="s">
        <v>314</v>
      </c>
      <c r="P2" s="63" t="s">
        <v>315</v>
      </c>
      <c r="Q2" s="4" t="s">
        <v>66</v>
      </c>
      <c r="R2">
        <v>12.010999999999999</v>
      </c>
      <c r="S2" t="s">
        <v>74</v>
      </c>
      <c r="T2" t="s">
        <v>265</v>
      </c>
      <c r="U2">
        <v>3.27</v>
      </c>
      <c r="V2" s="42">
        <f>U2/$R$2*$R$3</f>
        <v>11.981605611522772</v>
      </c>
    </row>
    <row r="3" spans="1:23" ht="18" x14ac:dyDescent="0.35">
      <c r="A3" s="51" t="s">
        <v>242</v>
      </c>
      <c r="B3" s="64" t="e">
        <f>NA()</f>
        <v>#N/A</v>
      </c>
      <c r="C3" s="64">
        <f>433/Tabel1[[#This Row],[Av. of mid. range Density (kg/m3)]]</f>
        <v>0.84901960784313724</v>
      </c>
      <c r="D3" s="64" t="e">
        <f>NA()</f>
        <v>#N/A</v>
      </c>
      <c r="E3" s="51" t="e">
        <f>NA()</f>
        <v>#N/A</v>
      </c>
      <c r="F3" s="59" t="e">
        <f>NA()</f>
        <v>#N/A</v>
      </c>
      <c r="G3" s="57">
        <v>510</v>
      </c>
      <c r="H3" s="55" t="e">
        <f>NA()</f>
        <v>#N/A</v>
      </c>
      <c r="I3" s="68"/>
      <c r="J3" s="61"/>
      <c r="K3" s="62" t="s">
        <v>245</v>
      </c>
      <c r="L3" s="57" t="s">
        <v>314</v>
      </c>
      <c r="M3" s="57" t="s">
        <v>314</v>
      </c>
      <c r="N3" s="57" t="s">
        <v>314</v>
      </c>
      <c r="O3" s="57" t="s">
        <v>314</v>
      </c>
      <c r="P3" s="63" t="s">
        <v>315</v>
      </c>
      <c r="Q3" s="4" t="s">
        <v>67</v>
      </c>
      <c r="R3">
        <v>44.009500000000003</v>
      </c>
      <c r="S3" t="s">
        <v>74</v>
      </c>
      <c r="T3" t="s">
        <v>266</v>
      </c>
      <c r="U3">
        <v>3.13</v>
      </c>
      <c r="V3" s="42">
        <f t="shared" ref="V3:V8" si="0">U3/$R$2*$R$3</f>
        <v>11.46863167096828</v>
      </c>
    </row>
    <row r="4" spans="1:23" x14ac:dyDescent="0.25">
      <c r="A4" s="51" t="s">
        <v>243</v>
      </c>
      <c r="B4" s="64" t="e">
        <f>NA()</f>
        <v>#N/A</v>
      </c>
      <c r="C4" s="64">
        <f>741/Tabel1[[#This Row],[Av. of mid. range Density (kg/m3)]]</f>
        <v>1.3722222222222222</v>
      </c>
      <c r="D4" s="64" t="e">
        <f>NA()</f>
        <v>#N/A</v>
      </c>
      <c r="E4" s="51" t="e">
        <f>NA()</f>
        <v>#N/A</v>
      </c>
      <c r="F4" s="59" t="e">
        <f>NA()</f>
        <v>#N/A</v>
      </c>
      <c r="G4" s="57">
        <v>540</v>
      </c>
      <c r="H4" s="55" t="e">
        <f>NA()</f>
        <v>#N/A</v>
      </c>
      <c r="I4" s="68"/>
      <c r="J4" s="61"/>
      <c r="K4" s="62" t="s">
        <v>245</v>
      </c>
      <c r="L4" s="57" t="s">
        <v>314</v>
      </c>
      <c r="M4" s="57" t="s">
        <v>314</v>
      </c>
      <c r="N4" s="57" t="s">
        <v>314</v>
      </c>
      <c r="O4" s="57" t="s">
        <v>314</v>
      </c>
      <c r="P4" s="63" t="s">
        <v>315</v>
      </c>
      <c r="T4" t="s">
        <v>267</v>
      </c>
      <c r="U4">
        <v>3.22</v>
      </c>
      <c r="V4" s="42">
        <f t="shared" si="0"/>
        <v>11.798400632753312</v>
      </c>
    </row>
    <row r="5" spans="1:23" x14ac:dyDescent="0.25">
      <c r="A5" s="70" t="s">
        <v>325</v>
      </c>
      <c r="B5" s="64" t="e">
        <f>NA()</f>
        <v>#N/A</v>
      </c>
      <c r="C5" s="64">
        <v>0.68</v>
      </c>
      <c r="D5" s="64" t="e">
        <f>NA()</f>
        <v>#N/A</v>
      </c>
      <c r="E5" s="52" t="e">
        <f>NA()</f>
        <v>#N/A</v>
      </c>
      <c r="F5" s="59">
        <v>650</v>
      </c>
      <c r="G5" s="57">
        <f>AVERAGE(Tabel1[[#This Row],[Min. Density (kg/m3)]],Tabel1[[#This Row],[Max. Density (kg/m3)]])</f>
        <v>675</v>
      </c>
      <c r="H5" s="55">
        <v>700</v>
      </c>
      <c r="I5" s="68"/>
      <c r="J5" s="61"/>
      <c r="K5" s="62" t="s">
        <v>332</v>
      </c>
      <c r="L5" s="62" t="s">
        <v>326</v>
      </c>
      <c r="M5" s="62" t="s">
        <v>313</v>
      </c>
      <c r="N5" s="57" t="s">
        <v>314</v>
      </c>
      <c r="O5" s="57" t="s">
        <v>314</v>
      </c>
      <c r="P5" s="63" t="s">
        <v>315</v>
      </c>
      <c r="Q5" s="63" t="s">
        <v>315</v>
      </c>
      <c r="W5" s="42"/>
    </row>
    <row r="6" spans="1:23" x14ac:dyDescent="0.25">
      <c r="A6" s="70" t="s">
        <v>7</v>
      </c>
      <c r="B6" s="64">
        <f>-0.982569852941176*(-C6/-1.13892104282357)*-1</f>
        <v>1.3120523093560654</v>
      </c>
      <c r="C6" s="64">
        <f>-1.5208323153187*-1</f>
        <v>1.5208323153187</v>
      </c>
      <c r="D6" s="64">
        <f>-1.23799876837568*(-C6/-1.13892104282357)*-1</f>
        <v>1.6531335030940739</v>
      </c>
      <c r="E6" s="51">
        <v>6</v>
      </c>
      <c r="F6" s="59">
        <v>520</v>
      </c>
      <c r="G6" s="57">
        <f>AVERAGE(F6,H6)</f>
        <v>610</v>
      </c>
      <c r="H6" s="55">
        <v>700</v>
      </c>
      <c r="I6" s="68"/>
      <c r="J6" s="61"/>
      <c r="K6" s="65" t="s">
        <v>3</v>
      </c>
      <c r="L6" s="62" t="s">
        <v>32</v>
      </c>
      <c r="M6" s="57" t="s">
        <v>314</v>
      </c>
      <c r="N6" s="57" t="s">
        <v>314</v>
      </c>
      <c r="O6" s="57" t="s">
        <v>314</v>
      </c>
      <c r="P6" s="63" t="s">
        <v>315</v>
      </c>
      <c r="Q6" s="63" t="s">
        <v>315</v>
      </c>
      <c r="W6" s="42"/>
    </row>
    <row r="7" spans="1:23" x14ac:dyDescent="0.25">
      <c r="A7" s="70" t="s">
        <v>10</v>
      </c>
      <c r="B7" s="64" t="e">
        <f>NA()</f>
        <v>#N/A</v>
      </c>
      <c r="C7" s="64">
        <f>-1.55409836065574*-1</f>
        <v>1.5540983606557399</v>
      </c>
      <c r="D7" s="64" t="e">
        <f>NA()</f>
        <v>#N/A</v>
      </c>
      <c r="E7" s="51">
        <v>1</v>
      </c>
      <c r="F7" s="64" t="e">
        <f>NA()</f>
        <v>#N/A</v>
      </c>
      <c r="G7" s="64" t="e">
        <f>NA()</f>
        <v>#N/A</v>
      </c>
      <c r="H7" s="64" t="e">
        <f>NA()</f>
        <v>#N/A</v>
      </c>
      <c r="I7" s="68"/>
      <c r="J7" s="61"/>
      <c r="K7" s="65" t="s">
        <v>3</v>
      </c>
      <c r="L7" s="57" t="s">
        <v>314</v>
      </c>
      <c r="M7" s="57" t="s">
        <v>314</v>
      </c>
      <c r="N7" s="57" t="s">
        <v>314</v>
      </c>
      <c r="O7" s="57" t="s">
        <v>314</v>
      </c>
      <c r="P7" s="63"/>
      <c r="Q7" s="63"/>
      <c r="W7" s="42"/>
    </row>
    <row r="8" spans="1:23" ht="15" customHeight="1" x14ac:dyDescent="0.25">
      <c r="A8" s="70" t="s">
        <v>0</v>
      </c>
      <c r="B8" s="64">
        <f>-1.01229508196721*(-C8/-1.20406947884372)*-1</f>
        <v>1.3799828879098692</v>
      </c>
      <c r="C8" s="64">
        <f>-1.64141395750919*-1</f>
        <v>1.6414139575091899</v>
      </c>
      <c r="D8" s="64">
        <f>-1.30577142857143*(-C8/-1.20406947884372)*-1</f>
        <v>1.7800562889710507</v>
      </c>
      <c r="E8" s="53">
        <v>3</v>
      </c>
      <c r="F8" s="60" t="e">
        <f>NA()</f>
        <v>#N/A</v>
      </c>
      <c r="G8" s="57">
        <f>AVERAGE(Tabel1[[#This Row],[Av. Density from spruces (kg/m3)]:[Av. Density from larchs (kg/m3)]])</f>
        <v>530</v>
      </c>
      <c r="H8" s="56" t="e">
        <f>NA()</f>
        <v>#N/A</v>
      </c>
      <c r="I8" s="57">
        <v>470</v>
      </c>
      <c r="J8" s="51">
        <v>590</v>
      </c>
      <c r="K8" s="65" t="s">
        <v>3</v>
      </c>
      <c r="L8" s="65" t="s">
        <v>6</v>
      </c>
      <c r="M8" s="57" t="s">
        <v>314</v>
      </c>
      <c r="N8" s="57" t="s">
        <v>314</v>
      </c>
      <c r="O8" s="57" t="s">
        <v>314</v>
      </c>
      <c r="P8" s="63" t="s">
        <v>315</v>
      </c>
      <c r="T8" t="s">
        <v>268</v>
      </c>
      <c r="U8">
        <v>9.82</v>
      </c>
      <c r="V8" s="42">
        <f t="shared" si="0"/>
        <v>35.981457830322206</v>
      </c>
    </row>
    <row r="9" spans="1:23" ht="15" customHeight="1" x14ac:dyDescent="0.35">
      <c r="A9" s="70" t="s">
        <v>73</v>
      </c>
      <c r="B9" s="64" t="e">
        <f>NA()</f>
        <v>#N/A</v>
      </c>
      <c r="C9" s="64">
        <f>97.6/(1*0.4)</f>
        <v>243.99999999999997</v>
      </c>
      <c r="D9" s="64" t="s">
        <v>72</v>
      </c>
      <c r="E9" s="51" t="e">
        <f>NA()</f>
        <v>#N/A</v>
      </c>
      <c r="F9" s="59" t="e">
        <f>NA()</f>
        <v>#N/A</v>
      </c>
      <c r="G9" s="90">
        <v>110</v>
      </c>
      <c r="H9" s="55" t="e">
        <f>NA()</f>
        <v>#N/A</v>
      </c>
      <c r="I9" s="68"/>
      <c r="J9" s="61"/>
      <c r="K9" s="62" t="s">
        <v>70</v>
      </c>
      <c r="L9" s="57" t="s">
        <v>314</v>
      </c>
      <c r="M9" s="57" t="s">
        <v>314</v>
      </c>
      <c r="N9" s="57" t="s">
        <v>314</v>
      </c>
      <c r="O9" s="57" t="s">
        <v>314</v>
      </c>
      <c r="P9" s="63" t="s">
        <v>315</v>
      </c>
      <c r="T9">
        <v>10.5</v>
      </c>
      <c r="U9" t="s">
        <v>271</v>
      </c>
    </row>
    <row r="10" spans="1:23" ht="15" customHeight="1" x14ac:dyDescent="0.25">
      <c r="A10" s="72" t="s">
        <v>322</v>
      </c>
      <c r="B10" s="73" t="e">
        <f>NA()</f>
        <v>#N/A</v>
      </c>
      <c r="C10" s="73">
        <f>0.48/$R$2*$R$3</f>
        <v>1.7587677961868289</v>
      </c>
      <c r="D10" s="73" t="e">
        <f>NA()</f>
        <v>#N/A</v>
      </c>
      <c r="E10" s="74" t="e">
        <f>NA()</f>
        <v>#N/A</v>
      </c>
      <c r="F10" s="80" t="e">
        <f>NA()</f>
        <v>#N/A</v>
      </c>
      <c r="G10" s="75" t="e">
        <f>NA()</f>
        <v>#N/A</v>
      </c>
      <c r="H10" s="76" t="e">
        <f>NA()</f>
        <v>#N/A</v>
      </c>
      <c r="I10" s="75"/>
      <c r="J10" s="72"/>
      <c r="K10" s="77" t="s">
        <v>323</v>
      </c>
      <c r="L10" s="75" t="s">
        <v>314</v>
      </c>
      <c r="M10" s="75" t="s">
        <v>314</v>
      </c>
      <c r="N10" s="75" t="s">
        <v>314</v>
      </c>
      <c r="O10" s="75" t="s">
        <v>314</v>
      </c>
      <c r="P10" s="63" t="s">
        <v>315</v>
      </c>
    </row>
    <row r="11" spans="1:23" ht="15" customHeight="1" x14ac:dyDescent="0.35">
      <c r="A11" s="70" t="s">
        <v>333</v>
      </c>
      <c r="B11" s="64" t="e">
        <f>NA()</f>
        <v>#N/A</v>
      </c>
      <c r="C11" s="1">
        <f>375/1000/$R$2*$R$3</f>
        <v>1.3740373407709601</v>
      </c>
      <c r="D11" s="64" t="s">
        <v>257</v>
      </c>
      <c r="E11" s="51" t="e">
        <f>NA()</f>
        <v>#N/A</v>
      </c>
      <c r="F11" s="64" t="e">
        <f>NA()</f>
        <v>#N/A</v>
      </c>
      <c r="G11" s="64" t="e">
        <f>NA()</f>
        <v>#N/A</v>
      </c>
      <c r="H11" s="64" t="e">
        <f>NA()</f>
        <v>#N/A</v>
      </c>
      <c r="I11" s="68"/>
      <c r="J11" s="61"/>
      <c r="K11" s="65" t="s">
        <v>258</v>
      </c>
      <c r="L11" s="57" t="s">
        <v>314</v>
      </c>
      <c r="M11" s="57" t="s">
        <v>314</v>
      </c>
      <c r="N11" s="57" t="s">
        <v>314</v>
      </c>
      <c r="O11" s="57" t="s">
        <v>314</v>
      </c>
      <c r="P11" s="63" t="s">
        <v>315</v>
      </c>
      <c r="Q11" s="63" t="s">
        <v>315</v>
      </c>
    </row>
    <row r="12" spans="1:23" ht="15" customHeight="1" x14ac:dyDescent="0.25">
      <c r="A12" s="70" t="s">
        <v>11</v>
      </c>
      <c r="B12" s="64">
        <f>-0.511961990199991*(-C12/-0.930146975546943)*-1</f>
        <v>0.86880764562157864</v>
      </c>
      <c r="C12" s="64">
        <f>-1.57847422147744*-1</f>
        <v>1.5784742214774401</v>
      </c>
      <c r="D12" s="64">
        <f>-1.198064*(-C12/-0.930146975546943)*-1</f>
        <v>2.0331336760710741</v>
      </c>
      <c r="E12" s="51">
        <v>5</v>
      </c>
      <c r="F12" t="e">
        <f>NA()</f>
        <v>#N/A</v>
      </c>
      <c r="G12" t="e">
        <f>NA()</f>
        <v>#N/A</v>
      </c>
      <c r="H12" t="e">
        <f>NA()</f>
        <v>#N/A</v>
      </c>
      <c r="I12" s="68"/>
      <c r="J12" s="61"/>
      <c r="K12" s="65" t="s">
        <v>3</v>
      </c>
      <c r="L12" s="57" t="s">
        <v>314</v>
      </c>
      <c r="M12" s="57" t="s">
        <v>314</v>
      </c>
      <c r="N12" s="57" t="s">
        <v>314</v>
      </c>
      <c r="O12" s="57" t="s">
        <v>314</v>
      </c>
      <c r="P12" s="63" t="s">
        <v>315</v>
      </c>
      <c r="Q12" s="63" t="s">
        <v>315</v>
      </c>
    </row>
    <row r="13" spans="1:23" x14ac:dyDescent="0.25">
      <c r="A13" s="70" t="s">
        <v>12</v>
      </c>
      <c r="B13" s="64">
        <f>-0.0773333333333333*(-C13/-0.895743463992897)*-1</f>
        <v>0.12154743407459215</v>
      </c>
      <c r="C13" s="64">
        <f>-1.40787051255289*-1</f>
        <v>1.4078705125528901</v>
      </c>
      <c r="D13" s="64">
        <f>-1.34174994004317*(-C13/-0.895743463992897)*-1</f>
        <v>2.1088740825256713</v>
      </c>
      <c r="E13" s="51">
        <v>13</v>
      </c>
      <c r="F13">
        <v>406</v>
      </c>
      <c r="G13">
        <f>AVERAGE(621,674,548,544,406)</f>
        <v>558.6</v>
      </c>
      <c r="H13">
        <v>674</v>
      </c>
      <c r="I13" s="68"/>
      <c r="J13" s="61"/>
      <c r="K13" s="65" t="s">
        <v>3</v>
      </c>
      <c r="L13" s="62" t="s">
        <v>236</v>
      </c>
      <c r="M13" s="62" t="s">
        <v>237</v>
      </c>
      <c r="N13" s="62" t="s">
        <v>238</v>
      </c>
      <c r="O13" s="62" t="s">
        <v>240</v>
      </c>
      <c r="P13" s="63" t="s">
        <v>315</v>
      </c>
    </row>
    <row r="14" spans="1:23" x14ac:dyDescent="0.25">
      <c r="A14" s="70" t="s">
        <v>13</v>
      </c>
      <c r="B14" s="64" t="e">
        <f>NA()</f>
        <v>#N/A</v>
      </c>
      <c r="C14" s="64">
        <f>-1.63921111850654*-1</f>
        <v>1.6392111185065401</v>
      </c>
      <c r="D14" s="64" t="e">
        <f>NA()</f>
        <v>#N/A</v>
      </c>
      <c r="E14" s="51">
        <v>1</v>
      </c>
      <c r="F14" t="e">
        <f>NA()</f>
        <v>#N/A</v>
      </c>
      <c r="G14">
        <f>Tabel1[[#This Row],[Max. Density (kg/m3)]]</f>
        <v>900</v>
      </c>
      <c r="H14">
        <v>900</v>
      </c>
      <c r="I14" s="68"/>
      <c r="J14" s="61"/>
      <c r="K14" s="65" t="s">
        <v>3</v>
      </c>
      <c r="L14" s="62" t="s">
        <v>32</v>
      </c>
      <c r="M14" s="57" t="s">
        <v>314</v>
      </c>
      <c r="N14" s="57" t="s">
        <v>314</v>
      </c>
      <c r="O14" s="57" t="s">
        <v>314</v>
      </c>
      <c r="P14" s="63" t="s">
        <v>315</v>
      </c>
    </row>
    <row r="15" spans="1:23" ht="18.75" customHeight="1" x14ac:dyDescent="0.25">
      <c r="A15" s="70" t="s">
        <v>14</v>
      </c>
      <c r="B15" s="64">
        <f>-1.17632653061225*(-C15/-1.28597420525066)*-1</f>
        <v>1.4558336723425427</v>
      </c>
      <c r="C15" s="64">
        <f>-1.59153474910868*-1</f>
        <v>1.59153474910868</v>
      </c>
      <c r="D15" s="64">
        <f>-1.47001050420168*(-C15/-1.28597420525066)*-1</f>
        <v>1.8192999435285866</v>
      </c>
      <c r="E15" s="51">
        <v>22</v>
      </c>
      <c r="F15">
        <v>700</v>
      </c>
      <c r="G15">
        <f>AVERAGE(Tabel1[[#This Row],[Min. Density (kg/m3)]],Tabel1[[#This Row],[Max. Density (kg/m3)]])</f>
        <v>750</v>
      </c>
      <c r="H15">
        <v>800</v>
      </c>
      <c r="I15" s="68"/>
      <c r="J15" s="61"/>
      <c r="K15" s="65" t="s">
        <v>3</v>
      </c>
      <c r="L15" s="57" t="s">
        <v>314</v>
      </c>
      <c r="M15" s="57" t="s">
        <v>314</v>
      </c>
      <c r="N15" s="57" t="s">
        <v>314</v>
      </c>
      <c r="O15" s="57" t="s">
        <v>314</v>
      </c>
      <c r="P15" s="63" t="s">
        <v>315</v>
      </c>
      <c r="Q15" s="3" t="s">
        <v>260</v>
      </c>
      <c r="R15" t="s">
        <v>280</v>
      </c>
      <c r="S15" t="s">
        <v>261</v>
      </c>
    </row>
    <row r="16" spans="1:23" x14ac:dyDescent="0.25">
      <c r="A16" s="70" t="s">
        <v>321</v>
      </c>
      <c r="B16" s="1">
        <f>1.84*0.9</f>
        <v>1.6560000000000001</v>
      </c>
      <c r="C16" s="1">
        <f>AVERAGE(Tabel1[[#This Row],[Min. CO2-storage (kgCO2/kg)]],Tabel1[[#This Row],[Max. CO2-storage (kgCO2/kg)]])</f>
        <v>1.794</v>
      </c>
      <c r="D16" s="1">
        <f>2.1*0.92</f>
        <v>1.9320000000000002</v>
      </c>
      <c r="E16" s="83">
        <v>3</v>
      </c>
      <c r="F16">
        <v>30</v>
      </c>
      <c r="G16">
        <f>AVERAGE(Tabel1[[#This Row],[Min. Density (kg/m3)]],Tabel1[[#This Row],[Max. Density (kg/m3)]])</f>
        <v>36</v>
      </c>
      <c r="H16">
        <v>42</v>
      </c>
      <c r="I16" s="68"/>
      <c r="J16" s="61"/>
      <c r="K16" s="62" t="s">
        <v>331</v>
      </c>
      <c r="L16" s="3" t="s">
        <v>334</v>
      </c>
      <c r="M16" s="3" t="s">
        <v>335</v>
      </c>
      <c r="N16" s="62" t="s">
        <v>336</v>
      </c>
      <c r="O16" s="57" t="s">
        <v>314</v>
      </c>
      <c r="P16" s="63" t="s">
        <v>315</v>
      </c>
    </row>
    <row r="17" spans="1:17" x14ac:dyDescent="0.25">
      <c r="A17" s="70" t="s">
        <v>318</v>
      </c>
      <c r="B17" s="64">
        <f>293.16/330</f>
        <v>0.88836363636363647</v>
      </c>
      <c r="C17" s="64">
        <f>AVERAGE(293.16/330,320.32/330,275.7/275)</f>
        <v>0.95385858585858596</v>
      </c>
      <c r="D17" s="64">
        <f>275.7/275</f>
        <v>1.0025454545454544</v>
      </c>
      <c r="E17" s="53">
        <v>3</v>
      </c>
      <c r="F17">
        <v>275</v>
      </c>
      <c r="G17">
        <f>AVERAGE(Tabel1[[#This Row],[Min. Density (kg/m3)]],Tabel1[[#This Row],[Max. Density (kg/m3)]])</f>
        <v>302.5</v>
      </c>
      <c r="H17">
        <v>330</v>
      </c>
      <c r="I17" s="68"/>
      <c r="J17" s="61"/>
      <c r="K17" s="62" t="s">
        <v>319</v>
      </c>
      <c r="L17" s="62" t="s">
        <v>320</v>
      </c>
      <c r="M17" s="57" t="s">
        <v>314</v>
      </c>
      <c r="N17" s="57" t="s">
        <v>314</v>
      </c>
      <c r="O17" s="57" t="s">
        <v>314</v>
      </c>
      <c r="P17" s="63" t="s">
        <v>315</v>
      </c>
    </row>
    <row r="18" spans="1:17" x14ac:dyDescent="0.25">
      <c r="A18" s="51" t="s">
        <v>15</v>
      </c>
      <c r="B18" s="64">
        <f>0.174*(-C18/-0.580436177151736)*-1</f>
        <v>-0.38317170775115122</v>
      </c>
      <c r="C18" s="64">
        <f>-1.27819954735506*-1</f>
        <v>1.27819954735506</v>
      </c>
      <c r="D18" s="64">
        <f>-1.06756428571429*(-C18/-0.580436177151736)*-1</f>
        <v>2.3509220143177152</v>
      </c>
      <c r="E18" s="51">
        <v>11</v>
      </c>
      <c r="F18" t="e">
        <f>NA()</f>
        <v>#N/A</v>
      </c>
      <c r="G18" t="e">
        <f>NA()</f>
        <v>#N/A</v>
      </c>
      <c r="H18" t="e">
        <f>NA()</f>
        <v>#N/A</v>
      </c>
      <c r="I18" s="68"/>
      <c r="J18" s="61"/>
      <c r="K18" s="65" t="s">
        <v>3</v>
      </c>
      <c r="L18" s="57" t="s">
        <v>314</v>
      </c>
      <c r="M18" s="57" t="s">
        <v>314</v>
      </c>
      <c r="N18" s="57" t="s">
        <v>314</v>
      </c>
      <c r="O18" s="57" t="s">
        <v>314</v>
      </c>
      <c r="P18" s="63" t="s">
        <v>315</v>
      </c>
      <c r="Q18" s="63" t="s">
        <v>315</v>
      </c>
    </row>
    <row r="19" spans="1:17" x14ac:dyDescent="0.25">
      <c r="A19" s="51" t="s">
        <v>16</v>
      </c>
      <c r="B19" s="64" t="e">
        <f>NA()</f>
        <v>#N/A</v>
      </c>
      <c r="C19" s="64">
        <f>-1.58815479723055*-1</f>
        <v>1.5881547972305501</v>
      </c>
      <c r="D19" s="64" t="e">
        <f>NA()</f>
        <v>#N/A</v>
      </c>
      <c r="E19" s="51">
        <v>1</v>
      </c>
      <c r="F19" t="e">
        <f>NA()</f>
        <v>#N/A</v>
      </c>
      <c r="G19" t="e">
        <f>NA()</f>
        <v>#N/A</v>
      </c>
      <c r="H19" t="e">
        <f>NA()</f>
        <v>#N/A</v>
      </c>
      <c r="I19" s="68"/>
      <c r="J19" s="61"/>
      <c r="K19" s="65" t="s">
        <v>3</v>
      </c>
      <c r="L19" s="57" t="s">
        <v>314</v>
      </c>
      <c r="M19" s="57" t="s">
        <v>314</v>
      </c>
      <c r="N19" s="57" t="s">
        <v>314</v>
      </c>
      <c r="O19" s="57" t="s">
        <v>314</v>
      </c>
      <c r="P19" s="63" t="s">
        <v>315</v>
      </c>
    </row>
    <row r="20" spans="1:17" x14ac:dyDescent="0.25">
      <c r="A20" s="51" t="s">
        <v>17</v>
      </c>
      <c r="B20" s="64">
        <f>-1.10040983606557*(-C20/-1.34003605835548)*-1</f>
        <v>1.3437700153050112</v>
      </c>
      <c r="C20" s="64">
        <f>-1.6363905661584*-1</f>
        <v>1.6363905661584</v>
      </c>
      <c r="D20" s="64">
        <f>-1.50583262711864*(-C20/-1.34003605835548)*-1</f>
        <v>1.8388537307380324</v>
      </c>
      <c r="E20" s="51">
        <v>5</v>
      </c>
      <c r="F20">
        <v>480</v>
      </c>
      <c r="G20">
        <f>AVERAGE(F20,H20)</f>
        <v>515</v>
      </c>
      <c r="H20">
        <v>550</v>
      </c>
      <c r="I20" s="68"/>
      <c r="J20" s="61"/>
      <c r="K20" s="65" t="s">
        <v>3</v>
      </c>
      <c r="L20" s="62" t="s">
        <v>32</v>
      </c>
      <c r="M20" s="57" t="s">
        <v>314</v>
      </c>
      <c r="N20" s="57" t="s">
        <v>314</v>
      </c>
      <c r="O20" s="57" t="s">
        <v>314</v>
      </c>
      <c r="P20" s="63" t="s">
        <v>315</v>
      </c>
    </row>
    <row r="21" spans="1:17" x14ac:dyDescent="0.25">
      <c r="A21" s="51" t="s">
        <v>18</v>
      </c>
      <c r="B21" s="64" t="e">
        <f>NA()</f>
        <v>#N/A</v>
      </c>
      <c r="C21" s="64">
        <f>-1.50019967855463*-1</f>
        <v>1.5001996785546301</v>
      </c>
      <c r="D21" s="64" t="e">
        <f>NA()</f>
        <v>#N/A</v>
      </c>
      <c r="E21" s="51">
        <v>13</v>
      </c>
      <c r="F21">
        <v>450</v>
      </c>
      <c r="G21">
        <f>AVERAGE(F21,H21)</f>
        <v>625</v>
      </c>
      <c r="H21">
        <v>800</v>
      </c>
      <c r="I21" s="68"/>
      <c r="J21" s="61"/>
      <c r="K21" s="65" t="s">
        <v>3</v>
      </c>
      <c r="L21" s="62" t="s">
        <v>32</v>
      </c>
      <c r="M21" s="57" t="s">
        <v>314</v>
      </c>
      <c r="N21" s="57" t="s">
        <v>314</v>
      </c>
      <c r="O21" s="57" t="s">
        <v>314</v>
      </c>
      <c r="P21" s="63" t="s">
        <v>315</v>
      </c>
    </row>
    <row r="22" spans="1:17" x14ac:dyDescent="0.25">
      <c r="A22" s="51" t="s">
        <v>338</v>
      </c>
      <c r="B22" s="64" t="e">
        <f>NA()</f>
        <v>#N/A</v>
      </c>
      <c r="C22" s="64">
        <f>1*90%*((6*12.011/(6*12.011+10*1.0079+5*15.999))/$R$2*$R$3)</f>
        <v>1.4657166646108304</v>
      </c>
      <c r="D22" s="64" t="e">
        <f>NA()</f>
        <v>#N/A</v>
      </c>
      <c r="E22" s="51" t="e">
        <f>NA()</f>
        <v>#N/A</v>
      </c>
      <c r="F22">
        <v>25</v>
      </c>
      <c r="G22">
        <f>AVERAGE(Tabel1[[#This Row],[Min. Density (kg/m3)]],Tabel1[[#This Row],[Max. Density (kg/m3)]])</f>
        <v>35</v>
      </c>
      <c r="H22">
        <v>45</v>
      </c>
      <c r="I22" s="68"/>
      <c r="J22" s="61"/>
      <c r="K22" s="57" t="s">
        <v>314</v>
      </c>
      <c r="L22" s="62" t="s">
        <v>339</v>
      </c>
      <c r="M22" s="3" t="s">
        <v>340</v>
      </c>
      <c r="N22" s="57" t="s">
        <v>314</v>
      </c>
      <c r="O22" s="57" t="s">
        <v>314</v>
      </c>
      <c r="P22" s="63"/>
    </row>
    <row r="23" spans="1:17" x14ac:dyDescent="0.25">
      <c r="A23" s="51" t="s">
        <v>19</v>
      </c>
      <c r="B23" s="64" t="e">
        <f>NA()</f>
        <v>#N/A</v>
      </c>
      <c r="C23" s="64">
        <f>-1.61421319796954*-1</f>
        <v>1.61421319796954</v>
      </c>
      <c r="D23" s="64" t="e">
        <f>NA()</f>
        <v>#N/A</v>
      </c>
      <c r="E23" s="51">
        <v>1</v>
      </c>
      <c r="F23" t="e">
        <f>NA()</f>
        <v>#N/A</v>
      </c>
      <c r="G23" t="e">
        <f>NA()</f>
        <v>#N/A</v>
      </c>
      <c r="H23" t="e">
        <f>NA()</f>
        <v>#N/A</v>
      </c>
      <c r="I23" s="68"/>
      <c r="J23" s="61"/>
      <c r="K23" s="65" t="s">
        <v>3</v>
      </c>
      <c r="L23" s="57" t="s">
        <v>314</v>
      </c>
      <c r="M23" s="57" t="s">
        <v>314</v>
      </c>
      <c r="N23" s="57" t="s">
        <v>314</v>
      </c>
      <c r="O23" s="57" t="s">
        <v>314</v>
      </c>
      <c r="P23" s="63"/>
    </row>
    <row r="24" spans="1:17" x14ac:dyDescent="0.25">
      <c r="A24" s="51" t="s">
        <v>20</v>
      </c>
      <c r="B24" s="64">
        <f>-0.71838*(-C24/-1.05885689424708)*-1</f>
        <v>1.01926682642668</v>
      </c>
      <c r="C24" s="64">
        <f>-1.50234932241882*-1</f>
        <v>1.50234932241882</v>
      </c>
      <c r="D24" s="64">
        <f>-1.37826666666667*(-C24/-1.05885689424708)*-1</f>
        <v>1.9555409272293434</v>
      </c>
      <c r="E24" s="51">
        <v>16</v>
      </c>
      <c r="F24" s="59">
        <v>600</v>
      </c>
      <c r="G24" s="57">
        <f>AVERAGE(F24,H24)</f>
        <v>665</v>
      </c>
      <c r="H24" s="55">
        <v>730</v>
      </c>
      <c r="I24" s="68"/>
      <c r="J24" s="61"/>
      <c r="K24" s="65" t="s">
        <v>3</v>
      </c>
      <c r="L24" s="62" t="s">
        <v>32</v>
      </c>
      <c r="M24" s="57" t="s">
        <v>314</v>
      </c>
      <c r="N24" s="57" t="s">
        <v>314</v>
      </c>
      <c r="O24" s="57" t="s">
        <v>314</v>
      </c>
      <c r="P24" s="63" t="s">
        <v>315</v>
      </c>
    </row>
    <row r="25" spans="1:17" x14ac:dyDescent="0.25">
      <c r="A25" s="51" t="s">
        <v>276</v>
      </c>
      <c r="B25" s="81"/>
      <c r="C25" s="81"/>
      <c r="D25" s="81"/>
      <c r="E25" s="61"/>
      <c r="F25" s="78"/>
      <c r="G25" s="68"/>
      <c r="H25" s="79"/>
      <c r="I25" s="68"/>
      <c r="J25" s="61"/>
      <c r="K25" s="82"/>
      <c r="L25" s="68"/>
      <c r="M25" s="68"/>
      <c r="N25" s="68"/>
      <c r="O25" s="68"/>
      <c r="P25" s="63" t="s">
        <v>315</v>
      </c>
    </row>
    <row r="26" spans="1:17" x14ac:dyDescent="0.25">
      <c r="A26" s="51" t="s">
        <v>21</v>
      </c>
      <c r="B26" s="64">
        <f>-0.579619369369369*(-C26/-0.813016808459653)*-1</f>
        <v>1.1579570273630935</v>
      </c>
      <c r="C26" s="64">
        <f>-1.62423579416344*-1</f>
        <v>1.62423579416344</v>
      </c>
      <c r="D26" s="64">
        <f>-1.28008695652174*(-C26/-0.813016808459653)*-1</f>
        <v>2.5573432588233267</v>
      </c>
      <c r="E26" s="51">
        <v>8</v>
      </c>
      <c r="F26" s="59" t="e">
        <f>NA()</f>
        <v>#N/A</v>
      </c>
      <c r="G26" s="69">
        <f>AVERAGE(754.54,565)</f>
        <v>659.77</v>
      </c>
      <c r="H26" s="55" t="e">
        <f>NA()</f>
        <v>#N/A</v>
      </c>
      <c r="I26" s="68"/>
      <c r="J26" s="61"/>
      <c r="K26" s="65" t="s">
        <v>3</v>
      </c>
      <c r="L26" s="62" t="s">
        <v>246</v>
      </c>
      <c r="M26" s="62" t="s">
        <v>247</v>
      </c>
      <c r="N26" s="57" t="s">
        <v>314</v>
      </c>
      <c r="O26" s="57" t="s">
        <v>314</v>
      </c>
      <c r="P26" s="63" t="s">
        <v>315</v>
      </c>
    </row>
    <row r="27" spans="1:17" x14ac:dyDescent="0.25">
      <c r="A27" s="51" t="s">
        <v>22</v>
      </c>
      <c r="B27" s="64">
        <f>-0.551470588235294*(-C27/-0.814998664671918)*-1</f>
        <v>1.0009475580944498</v>
      </c>
      <c r="C27" s="64">
        <f>-1.47926460749985*-1</f>
        <v>1.4792646074998499</v>
      </c>
      <c r="D27" s="64">
        <f>-1.07180536912752*(-C27/-0.814998664671918)*-1</f>
        <v>1.9453820201250238</v>
      </c>
      <c r="E27" s="51">
        <v>13</v>
      </c>
      <c r="F27" s="59">
        <v>520</v>
      </c>
      <c r="G27" s="57">
        <f>AVERAGE(F27,H27)</f>
        <v>610</v>
      </c>
      <c r="H27" s="55">
        <v>700</v>
      </c>
      <c r="I27" s="68"/>
      <c r="J27" s="61"/>
      <c r="K27" s="65" t="s">
        <v>3</v>
      </c>
      <c r="L27" s="62" t="s">
        <v>32</v>
      </c>
      <c r="M27" s="57" t="s">
        <v>314</v>
      </c>
      <c r="N27" s="57" t="s">
        <v>314</v>
      </c>
      <c r="O27" s="57" t="s">
        <v>314</v>
      </c>
      <c r="P27" s="63" t="s">
        <v>315</v>
      </c>
    </row>
    <row r="28" spans="1:17" ht="15" customHeight="1" x14ac:dyDescent="0.25">
      <c r="A28" s="51" t="s">
        <v>23</v>
      </c>
      <c r="B28" s="64">
        <f>-0.577142857142857*(-C28/-0.982479076381649)*-1</f>
        <v>0.94843343873218833</v>
      </c>
      <c r="C28" s="64">
        <f>-1.61453268867958*-1</f>
        <v>1.6145326886795801</v>
      </c>
      <c r="D28" s="64">
        <f>-1.47658581328985*(-C28/-0.982479076381649)*-1</f>
        <v>2.4265107731117834</v>
      </c>
      <c r="E28" s="51">
        <v>11</v>
      </c>
      <c r="F28">
        <v>400</v>
      </c>
      <c r="G28">
        <f>AVERAGE(F28,H28)</f>
        <v>625</v>
      </c>
      <c r="H28">
        <v>850</v>
      </c>
      <c r="I28" s="68"/>
      <c r="J28" s="61"/>
      <c r="K28" s="65" t="s">
        <v>3</v>
      </c>
      <c r="L28" s="62" t="s">
        <v>32</v>
      </c>
      <c r="M28" s="57" t="s">
        <v>314</v>
      </c>
      <c r="N28" s="57" t="s">
        <v>314</v>
      </c>
      <c r="O28" s="57" t="s">
        <v>314</v>
      </c>
      <c r="P28" s="63" t="s">
        <v>315</v>
      </c>
    </row>
    <row r="29" spans="1:17" x14ac:dyDescent="0.25">
      <c r="A29" s="70" t="s">
        <v>316</v>
      </c>
      <c r="B29" s="64" t="e">
        <f>NA()</f>
        <v>#N/A</v>
      </c>
      <c r="C29" s="64">
        <f>0.5/$R$2*$R$3</f>
        <v>1.8320497876946136</v>
      </c>
      <c r="D29" s="64" t="e">
        <f>NA()</f>
        <v>#N/A</v>
      </c>
      <c r="E29" s="52" t="e">
        <f>NA()</f>
        <v>#N/A</v>
      </c>
      <c r="F29" t="e">
        <f>NA()</f>
        <v>#N/A</v>
      </c>
      <c r="G29" t="e">
        <f>NA()</f>
        <v>#N/A</v>
      </c>
      <c r="H29" t="e">
        <f>NA()</f>
        <v>#N/A</v>
      </c>
      <c r="I29" s="68"/>
      <c r="J29" s="61"/>
      <c r="K29" s="65" t="s">
        <v>317</v>
      </c>
      <c r="L29" s="57" t="s">
        <v>314</v>
      </c>
      <c r="M29" s="57" t="s">
        <v>314</v>
      </c>
      <c r="N29" s="57" t="s">
        <v>314</v>
      </c>
      <c r="O29" s="57" t="s">
        <v>314</v>
      </c>
      <c r="P29" s="63" t="s">
        <v>315</v>
      </c>
    </row>
    <row r="30" spans="1:17" x14ac:dyDescent="0.25">
      <c r="A30" s="70" t="s">
        <v>24</v>
      </c>
      <c r="B30" s="64">
        <f>-0.406*(-C30/-1.29186068188817)*-1</f>
        <v>0.48852697165818665</v>
      </c>
      <c r="C30" s="64">
        <f>-1.55445513972194*-1</f>
        <v>1.5544551397219399</v>
      </c>
      <c r="D30" s="64">
        <f>-1.54643195266272*(-C30/-1.29186068188817)*-1</f>
        <v>1.8607727061817112</v>
      </c>
      <c r="E30" s="51">
        <v>43</v>
      </c>
      <c r="F30">
        <v>230</v>
      </c>
      <c r="G30">
        <f>AVERAGE(F30,H30)</f>
        <v>315</v>
      </c>
      <c r="H30">
        <v>400</v>
      </c>
      <c r="I30" s="68"/>
      <c r="J30" s="61"/>
      <c r="K30" s="65" t="s">
        <v>3</v>
      </c>
      <c r="L30" s="62" t="s">
        <v>32</v>
      </c>
      <c r="M30" s="57" t="s">
        <v>314</v>
      </c>
      <c r="N30" s="57" t="s">
        <v>314</v>
      </c>
      <c r="O30" s="57" t="s">
        <v>314</v>
      </c>
      <c r="P30" s="63" t="s">
        <v>315</v>
      </c>
    </row>
    <row r="31" spans="1:17" x14ac:dyDescent="0.25">
      <c r="A31" s="70" t="s">
        <v>327</v>
      </c>
      <c r="B31" s="64" t="e">
        <f>NA()</f>
        <v>#N/A</v>
      </c>
      <c r="C31" s="64">
        <v>0.55000000000000004</v>
      </c>
      <c r="D31" s="64" t="e">
        <f>NA()</f>
        <v>#N/A</v>
      </c>
      <c r="E31" s="52" t="e">
        <f>NA()</f>
        <v>#N/A</v>
      </c>
      <c r="F31" t="e">
        <f>NA()</f>
        <v>#N/A</v>
      </c>
      <c r="G31">
        <v>1080</v>
      </c>
      <c r="H31" t="e">
        <f>NA()</f>
        <v>#N/A</v>
      </c>
      <c r="I31" s="68"/>
      <c r="J31" s="61"/>
      <c r="K31" s="62" t="s">
        <v>332</v>
      </c>
      <c r="L31" s="62" t="s">
        <v>326</v>
      </c>
      <c r="M31" s="57" t="s">
        <v>314</v>
      </c>
      <c r="N31" s="57" t="s">
        <v>314</v>
      </c>
      <c r="O31" s="57" t="s">
        <v>314</v>
      </c>
      <c r="P31" s="63" t="s">
        <v>315</v>
      </c>
      <c r="Q31" s="63" t="s">
        <v>315</v>
      </c>
    </row>
    <row r="32" spans="1:17" ht="18.75" customHeight="1" x14ac:dyDescent="0.25">
      <c r="A32" s="70" t="s">
        <v>324</v>
      </c>
      <c r="B32" s="64">
        <f>0.4/$R$2*$R$3</f>
        <v>1.465639830155691</v>
      </c>
      <c r="C32" s="64">
        <f>AVERAGE(Tabel1[[#This Row],[Min. CO2-storage (kgCO2/kg)]],Tabel1[[#This Row],[Max. CO2-storage (kgCO2/kg)]])</f>
        <v>1.4828199150778456</v>
      </c>
      <c r="D32" s="64">
        <f>15/10</f>
        <v>1.5</v>
      </c>
      <c r="E32" s="52" t="e">
        <f>NA()</f>
        <v>#N/A</v>
      </c>
      <c r="F32">
        <v>90</v>
      </c>
      <c r="G32">
        <f>AVERAGE(Tabel1[[#This Row],[Min. Density (kg/m3)]],Tabel1[[#This Row],[Max. Density (kg/m3)]])</f>
        <v>105</v>
      </c>
      <c r="H32">
        <v>120</v>
      </c>
      <c r="I32" s="68"/>
      <c r="J32" s="61"/>
      <c r="K32" s="65" t="s">
        <v>68</v>
      </c>
      <c r="L32" s="62" t="s">
        <v>69</v>
      </c>
      <c r="M32" s="62" t="s">
        <v>313</v>
      </c>
      <c r="N32" s="57" t="s">
        <v>314</v>
      </c>
      <c r="O32" s="57" t="s">
        <v>314</v>
      </c>
      <c r="P32" s="63" t="s">
        <v>315</v>
      </c>
    </row>
    <row r="33" spans="1:17" x14ac:dyDescent="0.25">
      <c r="A33" s="70" t="s">
        <v>329</v>
      </c>
      <c r="B33" s="64">
        <f>0.3555/$R$2*$R$3</f>
        <v>1.3025873990508701</v>
      </c>
      <c r="C33" s="64">
        <f>0.3765/$R$2*$R$3</f>
        <v>1.3795334901340441</v>
      </c>
      <c r="D33" s="64">
        <f>0.4068/$R$2*$R$3</f>
        <v>1.4905557072683375</v>
      </c>
      <c r="E33" s="51" t="e">
        <f>NA()</f>
        <v>#N/A</v>
      </c>
      <c r="F33" t="e">
        <f>NA()</f>
        <v>#N/A</v>
      </c>
      <c r="G33">
        <f>39/(1*0.3)</f>
        <v>130</v>
      </c>
      <c r="H33" t="e">
        <f>NA()</f>
        <v>#N/A</v>
      </c>
      <c r="I33" s="68"/>
      <c r="J33" s="61"/>
      <c r="K33" s="62" t="s">
        <v>312</v>
      </c>
      <c r="L33" s="62" t="s">
        <v>313</v>
      </c>
      <c r="M33" s="57" t="s">
        <v>314</v>
      </c>
      <c r="N33" s="57" t="s">
        <v>314</v>
      </c>
      <c r="O33" s="57" t="s">
        <v>314</v>
      </c>
      <c r="P33" s="63" t="s">
        <v>315</v>
      </c>
    </row>
    <row r="34" spans="1:17" x14ac:dyDescent="0.25">
      <c r="A34" s="70" t="s">
        <v>235</v>
      </c>
      <c r="B34" s="64" t="e">
        <f>NA()</f>
        <v>#N/A</v>
      </c>
      <c r="C34" s="64">
        <f>744/Tabel1[[#This Row],[Av. of mid. range Density (kg/m3)]]</f>
        <v>1.7302325581395348</v>
      </c>
      <c r="D34" s="64" t="e">
        <f>NA()</f>
        <v>#N/A</v>
      </c>
      <c r="E34" s="51" t="e">
        <f>NA()</f>
        <v>#N/A</v>
      </c>
      <c r="F34" t="e">
        <f>NA()</f>
        <v>#N/A</v>
      </c>
      <c r="G34">
        <v>430</v>
      </c>
      <c r="H34" t="e">
        <f>NA()</f>
        <v>#N/A</v>
      </c>
      <c r="I34" s="68"/>
      <c r="J34" s="61"/>
      <c r="K34" s="62" t="s">
        <v>237</v>
      </c>
      <c r="L34" s="57" t="s">
        <v>314</v>
      </c>
      <c r="M34" s="57" t="s">
        <v>314</v>
      </c>
      <c r="N34" s="57" t="s">
        <v>314</v>
      </c>
      <c r="O34" s="57" t="s">
        <v>314</v>
      </c>
      <c r="P34" s="63" t="s">
        <v>315</v>
      </c>
      <c r="Q34" s="63" t="s">
        <v>315</v>
      </c>
    </row>
    <row r="35" spans="1:17" x14ac:dyDescent="0.25">
      <c r="A35" s="70" t="s">
        <v>349</v>
      </c>
      <c r="B35" s="64" t="e">
        <f>NA()</f>
        <v>#N/A</v>
      </c>
      <c r="C35" s="64">
        <f>1/(1+(18/100))*AVERAGE(VLOOKUP("Pines (Pinus spp)",'Wood-types'!$A$1:$E$113,3,FALSE),VLOOKUP("Vuren (Picea spp)",'Wood-types'!$A$1:$E$113,3,FALSE))/$R$2*$R$3</f>
        <v>1.5633750285755013</v>
      </c>
      <c r="D35" s="64" t="e">
        <f>NA()</f>
        <v>#N/A</v>
      </c>
      <c r="E35" s="51" t="e">
        <f>NA()</f>
        <v>#N/A</v>
      </c>
      <c r="F35">
        <v>50</v>
      </c>
      <c r="G35">
        <f>AVERAGE(Tabel1[[#This Row],[Min. Density (kg/m3)]],Tabel1[[#This Row],[Max. Density (kg/m3)]])</f>
        <v>175</v>
      </c>
      <c r="H35">
        <v>300</v>
      </c>
      <c r="I35" s="68"/>
      <c r="J35" s="61"/>
      <c r="K35" s="65" t="s">
        <v>350</v>
      </c>
      <c r="L35" s="62" t="s">
        <v>351</v>
      </c>
      <c r="M35" s="57" t="s">
        <v>314</v>
      </c>
      <c r="N35" s="57" t="s">
        <v>314</v>
      </c>
      <c r="O35" s="57" t="s">
        <v>314</v>
      </c>
      <c r="P35" s="63"/>
      <c r="Q35" s="63"/>
    </row>
    <row r="36" spans="1:17" x14ac:dyDescent="0.25">
      <c r="A36" s="51" t="s">
        <v>25</v>
      </c>
      <c r="B36" s="64">
        <f>-1.00558085217219*(-C36/-1.04993831662071)*-1</f>
        <v>1.4684645102748397</v>
      </c>
      <c r="C36" s="64">
        <f>-1.53324036809644*-1</f>
        <v>1.5332403680964399</v>
      </c>
      <c r="D36" s="64">
        <f>-1.16663272104209*(-C36/-1.04993831662071)*-1</f>
        <v>1.7036509234190595</v>
      </c>
      <c r="E36" s="51">
        <v>37</v>
      </c>
      <c r="F36" t="e">
        <f>NA()</f>
        <v>#N/A</v>
      </c>
      <c r="G36" t="e">
        <f>NA()</f>
        <v>#N/A</v>
      </c>
      <c r="H36" t="e">
        <f>NA()</f>
        <v>#N/A</v>
      </c>
      <c r="I36" s="68"/>
      <c r="J36" s="61"/>
      <c r="K36" s="65" t="s">
        <v>3</v>
      </c>
      <c r="L36" s="57" t="s">
        <v>314</v>
      </c>
      <c r="M36" s="57" t="s">
        <v>314</v>
      </c>
      <c r="N36" s="57" t="s">
        <v>314</v>
      </c>
      <c r="O36" s="57" t="s">
        <v>314</v>
      </c>
      <c r="P36" s="63" t="s">
        <v>315</v>
      </c>
    </row>
    <row r="37" spans="1:17" x14ac:dyDescent="0.25">
      <c r="A37" s="51" t="s">
        <v>26</v>
      </c>
      <c r="B37" s="64" t="e">
        <f>NA()</f>
        <v>#N/A</v>
      </c>
      <c r="C37" s="64">
        <f>-0.86*-1</f>
        <v>0.86</v>
      </c>
      <c r="D37" s="64" t="e">
        <f>NA()</f>
        <v>#N/A</v>
      </c>
      <c r="E37" s="51">
        <v>1</v>
      </c>
      <c r="F37" t="e">
        <f>NA()</f>
        <v>#N/A</v>
      </c>
      <c r="G37" t="e">
        <f>NA()</f>
        <v>#N/A</v>
      </c>
      <c r="H37" t="e">
        <f>NA()</f>
        <v>#N/A</v>
      </c>
      <c r="I37" s="68"/>
      <c r="J37" s="61"/>
      <c r="K37" s="65" t="s">
        <v>3</v>
      </c>
      <c r="L37" s="57" t="s">
        <v>314</v>
      </c>
      <c r="M37" s="57" t="s">
        <v>314</v>
      </c>
      <c r="N37" s="57" t="s">
        <v>314</v>
      </c>
      <c r="O37" s="57" t="s">
        <v>314</v>
      </c>
      <c r="P37" s="63" t="s">
        <v>315</v>
      </c>
    </row>
    <row r="38" spans="1:17" x14ac:dyDescent="0.25">
      <c r="E38" s="3"/>
      <c r="H38" s="57"/>
    </row>
    <row r="39" spans="1:17" x14ac:dyDescent="0.25">
      <c r="G39" s="1"/>
    </row>
    <row r="44" spans="1:17" x14ac:dyDescent="0.25">
      <c r="A44" t="s">
        <v>262</v>
      </c>
    </row>
    <row r="48" spans="1:17" x14ac:dyDescent="0.25">
      <c r="I48" s="18"/>
    </row>
  </sheetData>
  <sheetProtection algorithmName="SHA-512" hashValue="2CrAIN0ZW/Mg/r5uk6KnXARx0wQCuI9QRGkj+wijpjwl+K9/3tfzQqNLPECeRfn/G9izbrMWQFvLPaGVekC2EA==" saltValue="CKbxtZnpEmnE0RHXz1ltqw==" spinCount="100000" sheet="1" objects="1" scenarios="1"/>
  <phoneticPr fontId="11" type="noConversion"/>
  <hyperlinks>
    <hyperlink ref="Q15" r:id="rId1" display="https://www.groendak.nl/" xr:uid="{0775A519-BADE-4A5B-86B5-809ED7A0ACA4}"/>
    <hyperlink ref="L24" r:id="rId2" display="https://www.houtdatabase.nl/" xr:uid="{F52F653B-0709-4EA7-88C7-21460DC6C057}"/>
    <hyperlink ref="L28" r:id="rId3" display="https://www.houtdatabase.nl/" xr:uid="{58A11E8B-5BAE-4813-946E-6E5EE37035E0}"/>
    <hyperlink ref="L6" r:id="rId4" display="https://www.houtdatabase.nl/" xr:uid="{6AB4EB99-011A-4987-B9B1-1BDA493F6B2A}"/>
    <hyperlink ref="L14" r:id="rId5" display="https://www.houtdatabase.nl/" xr:uid="{4BB6A454-C945-482E-806A-A202CFF3AF5E}"/>
    <hyperlink ref="L20" r:id="rId6" display="https://www.houtdatabase.nl/" xr:uid="{07CEB81B-F4BB-4ACD-BC9D-078800457684}"/>
    <hyperlink ref="L21" r:id="rId7" display="https://www.houtdatabase.nl/" xr:uid="{B5489018-C6AB-4BBF-9D2B-25B744D22236}"/>
    <hyperlink ref="L27" r:id="rId8" display="https://www.houtdatabase.nl/" xr:uid="{01E914CB-459C-4ED1-91BF-38A944CF1B3D}"/>
    <hyperlink ref="L30" r:id="rId9" display="https://www.houtdatabase.nl/" xr:uid="{9E7730C9-A1BF-45F8-BF45-52684C72B2DA}"/>
    <hyperlink ref="K32" r:id="rId10" xr:uid="{8630DD7F-4696-4C60-9843-F41CD126EE94}"/>
    <hyperlink ref="L32" r:id="rId11" xr:uid="{73CC489D-4C50-4647-92C5-566FCE166F44}"/>
    <hyperlink ref="K9" r:id="rId12" xr:uid="{5CACECCC-3FF4-4363-863D-978B176F2735}"/>
    <hyperlink ref="L13" r:id="rId13" display="https://www.awc.org/pdf/greenbuilding/epd/AWC_EPD_NorthAmericanGluedLaminatedTimber_20200605.pdf" xr:uid="{5B2F955F-BC29-4D75-973B-345A43C91CAF}"/>
    <hyperlink ref="M13" r:id="rId14" display="https://portal.environdec.com/api/api/v1/EPDLibrary/Files/2263eda0-231e-412c-91e4-0a1894bf1a5d/Data" xr:uid="{993F0FF7-3D83-452E-90F6-A49BD8F32C54}"/>
    <hyperlink ref="N13" r:id="rId15" display="https://www.astm.org/CERTIFICATION/DOCS/479.EPD_FOR_Structurlam_Glulam_20200113.pdf" xr:uid="{A70715A3-74A4-417E-AC1E-8440B645558F}"/>
    <hyperlink ref="O13" r:id="rId16" display="https://www.nordic.ca/data/files/datasheet/file/EPD_Nordic_Lam.pdf" xr:uid="{BBCC413F-E2A8-4BB2-A42C-26D03BDF9F78}"/>
    <hyperlink ref="K34" r:id="rId17" display="https://portal.environdec.com/api/api/v1/EPDLibrary/Files/b7b4e26b-41b8-4b7f-802c-08d8e2c71993/Data" xr:uid="{273B224C-03AF-4A1D-BD9D-7A82BBBF32EF}"/>
    <hyperlink ref="K3" r:id="rId18" display="https://www.accoya.com/app/uploads/2020/05/Environmental-Product-Declaration-%E2%80%93-cladding-decking-planed-timber-%E2%80%93-EN-15804.pdf" xr:uid="{D9477BC9-AD32-4E30-B14B-2905AD8FA098}"/>
    <hyperlink ref="K4" r:id="rId19" display="https://www.accoya.com/app/uploads/2020/05/Environmental-Product-Declaration-%E2%80%93-cladding-decking-planed-timber-%E2%80%93-EN-15804.pdf" xr:uid="{B10DADC5-2D20-4DFE-939A-E061C446B63E}"/>
    <hyperlink ref="K2" r:id="rId20" display="https://www.accoya.com/app/uploads/2020/05/Environmental-Product-Declaration-%E2%80%93-cladding-decking-planed-timber-%E2%80%93-EN-15804.pdf" xr:uid="{E4BC79CD-3F04-4578-B370-12755F24DC57}"/>
    <hyperlink ref="L26" r:id="rId21" xr:uid="{1107316B-4E00-4554-9695-1C396C8A7ABB}"/>
    <hyperlink ref="M26" r:id="rId22" display="https://parquet.com/technical-data-sheet/" xr:uid="{36F37E76-B6FE-41CC-8C7D-8E3FFEAD1D46}"/>
    <hyperlink ref="K11" r:id="rId23" xr:uid="{6A84F25A-70ED-4D25-8A47-7282A6E77B79}"/>
    <hyperlink ref="K29" r:id="rId24" xr:uid="{04D7C3A2-EF35-444E-857E-D18FE760AECC}"/>
    <hyperlink ref="K10" r:id="rId25" xr:uid="{E304A99A-4A57-45BC-BAA5-D0EE423DF4D9}"/>
    <hyperlink ref="K5" r:id="rId26" xr:uid="{A108F723-701E-459A-BC75-018C39762221}"/>
    <hyperlink ref="L5" r:id="rId27" display="https://onlinelibrary.wiley.com/doi/abs/10.1111/plb.12435" xr:uid="{BAA536D4-8821-424A-A181-7727A382F06B}"/>
    <hyperlink ref="K31" r:id="rId28" xr:uid="{2C2ED908-8138-462C-B1D3-CA91514ABD23}"/>
    <hyperlink ref="L31" r:id="rId29" display="https://onlinelibrary.wiley.com/doi/abs/10.1111/plb.12435" xr:uid="{9B824C61-43CF-4B79-BCD6-33742D370CE7}"/>
    <hyperlink ref="M5" r:id="rId30" xr:uid="{80951E7B-CFC8-46DA-9B0B-2D11711C5090}"/>
    <hyperlink ref="M32" r:id="rId31" xr:uid="{9E547056-A4C4-4CE8-8DA9-BA0C825A24CE}"/>
    <hyperlink ref="K17" r:id="rId32" xr:uid="{C6CE35E6-9D4B-4A2A-A8A3-71B49CC95A02}"/>
    <hyperlink ref="L17" r:id="rId33" display="https://www.sciencedirect.com/science/article/abs/pii/S0921344912001620" xr:uid="{9698B399-9818-4D79-84D5-185D4D2935CD}"/>
    <hyperlink ref="K33" r:id="rId34" xr:uid="{7C416B8C-8C59-48BA-AA82-BD00FA84C441}"/>
    <hyperlink ref="L33" r:id="rId35" xr:uid="{7FFF9DA2-F0B1-4B20-BA00-811FE70881BE}"/>
    <hyperlink ref="K16" r:id="rId36" xr:uid="{DDF43C07-3139-4226-9D6E-2BF09709CD37}"/>
    <hyperlink ref="L16" r:id="rId37" xr:uid="{F605CFF1-F73D-497F-AF39-DE255B700261}"/>
    <hyperlink ref="M16" r:id="rId38" xr:uid="{8C593FBA-49CB-4EB4-B0CA-10A3C7155BCC}"/>
    <hyperlink ref="N16" r:id="rId39" xr:uid="{F46547F1-65F8-4394-9E26-7428BFBCCB59}"/>
    <hyperlink ref="L22" r:id="rId40" xr:uid="{D5444714-33F8-413D-8294-C33B0886EA2E}"/>
    <hyperlink ref="M22" r:id="rId41" display="https://www.researchgate.net/publication/279246264_A_review_of_unconventional_sustainable_building_insulation_materials" xr:uid="{9C3AD953-8FA8-44EF-9303-2123C3820FDD}"/>
    <hyperlink ref="K35" r:id="rId42" xr:uid="{AA428DFE-BB96-4255-8A10-8BB0F2A0C90A}"/>
    <hyperlink ref="L35" r:id="rId43" display="jdwars@soprema.nl" xr:uid="{447B928D-3D67-4D6E-9885-8B6EE287BE13}"/>
  </hyperlinks>
  <pageMargins left="0.7" right="0.7" top="0.75" bottom="0.75" header="0.3" footer="0.3"/>
  <pageSetup paperSize="9" orientation="portrait" r:id="rId44"/>
  <ignoredErrors>
    <ignoredError sqref="D36 C36:C37 G24:G33 D20:D21 B20:B21 B24:D34 C2:C5 C9:C23 G8 C8 C6 B7:D7 B6 D6 B8 D8 G10 G12:G22" formula="1"/>
  </ignoredErrors>
  <legacyDrawing r:id="rId45"/>
  <tableParts count="1">
    <tablePart r:id="rId4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39C5-CE9B-4ADB-AFF9-745318C41204}">
  <dimension ref="A1:E44"/>
  <sheetViews>
    <sheetView topLeftCell="B1" workbookViewId="0">
      <selection activeCell="I16" sqref="I16"/>
    </sheetView>
  </sheetViews>
  <sheetFormatPr defaultRowHeight="15" x14ac:dyDescent="0.25"/>
  <cols>
    <col min="1" max="1" width="43.85546875" bestFit="1" customWidth="1"/>
    <col min="2" max="2" width="11" style="1" bestFit="1" customWidth="1"/>
    <col min="4" max="4" width="21.140625" bestFit="1" customWidth="1"/>
  </cols>
  <sheetData>
    <row r="1" spans="1:5" ht="18" customHeight="1" x14ac:dyDescent="0.35">
      <c r="A1" t="s">
        <v>8</v>
      </c>
      <c r="B1" s="1" t="s">
        <v>76</v>
      </c>
      <c r="D1" t="s">
        <v>281</v>
      </c>
      <c r="E1" t="s">
        <v>282</v>
      </c>
    </row>
    <row r="2" spans="1:5" ht="18" customHeight="1" x14ac:dyDescent="0.25">
      <c r="A2" t="s">
        <v>244</v>
      </c>
      <c r="D2" s="12" t="s">
        <v>283</v>
      </c>
    </row>
    <row r="3" spans="1:5" ht="18" customHeight="1" x14ac:dyDescent="0.25">
      <c r="A3" t="s">
        <v>242</v>
      </c>
      <c r="D3" s="48" t="s">
        <v>284</v>
      </c>
      <c r="E3">
        <v>1.3260000000000001</v>
      </c>
    </row>
    <row r="4" spans="1:5" ht="18" customHeight="1" x14ac:dyDescent="0.25">
      <c r="A4" t="s">
        <v>243</v>
      </c>
      <c r="D4" s="48" t="s">
        <v>285</v>
      </c>
    </row>
    <row r="5" spans="1:5" x14ac:dyDescent="0.25">
      <c r="A5" t="s">
        <v>7</v>
      </c>
      <c r="B5" s="1">
        <v>0.40016373059707649</v>
      </c>
      <c r="D5" s="47" t="s">
        <v>286</v>
      </c>
      <c r="E5">
        <v>0.36299999999999999</v>
      </c>
    </row>
    <row r="6" spans="1:5" x14ac:dyDescent="0.25">
      <c r="A6" t="s">
        <v>10</v>
      </c>
      <c r="B6" s="1">
        <v>0.45245901639344255</v>
      </c>
      <c r="D6" s="47" t="s">
        <v>287</v>
      </c>
      <c r="E6">
        <v>0.25600000000000001</v>
      </c>
    </row>
    <row r="7" spans="1:5" x14ac:dyDescent="0.25">
      <c r="A7" t="s">
        <v>0</v>
      </c>
      <c r="B7" s="1">
        <v>0.43734447866547282</v>
      </c>
      <c r="D7" s="47" t="s">
        <v>288</v>
      </c>
      <c r="E7">
        <v>0.105</v>
      </c>
    </row>
    <row r="8" spans="1:5" x14ac:dyDescent="0.25">
      <c r="A8" t="s">
        <v>73</v>
      </c>
      <c r="D8" s="47" t="s">
        <v>307</v>
      </c>
      <c r="E8">
        <v>8.7999999999999995E-2</v>
      </c>
    </row>
    <row r="9" spans="1:5" x14ac:dyDescent="0.25">
      <c r="A9" t="s">
        <v>11</v>
      </c>
      <c r="B9" s="1">
        <v>0.71530650204376089</v>
      </c>
      <c r="D9" s="47" t="s">
        <v>289</v>
      </c>
      <c r="E9">
        <v>8.5000000000000006E-2</v>
      </c>
    </row>
    <row r="10" spans="1:5" x14ac:dyDescent="0.25">
      <c r="A10" t="s">
        <v>12</v>
      </c>
      <c r="B10" s="1">
        <v>0.51212704855999303</v>
      </c>
      <c r="D10" s="49" t="s">
        <v>290</v>
      </c>
    </row>
    <row r="11" spans="1:5" x14ac:dyDescent="0.25">
      <c r="A11" s="15" t="s">
        <v>255</v>
      </c>
      <c r="D11" s="47" t="s">
        <v>291</v>
      </c>
      <c r="E11">
        <v>1.7000000000000001E-2</v>
      </c>
    </row>
    <row r="12" spans="1:5" x14ac:dyDescent="0.25">
      <c r="A12" t="s">
        <v>13</v>
      </c>
      <c r="B12" s="1">
        <v>0.81524753573579289</v>
      </c>
      <c r="D12" s="47" t="s">
        <v>292</v>
      </c>
      <c r="E12">
        <v>8.9999999999999993E-3</v>
      </c>
    </row>
    <row r="13" spans="1:5" x14ac:dyDescent="0.25">
      <c r="A13" t="s">
        <v>14</v>
      </c>
      <c r="B13" s="1">
        <v>0.30556054385802639</v>
      </c>
      <c r="D13" s="47" t="s">
        <v>293</v>
      </c>
      <c r="E13">
        <v>1.0999999999999999E-2</v>
      </c>
    </row>
    <row r="14" spans="1:5" x14ac:dyDescent="0.25">
      <c r="A14" t="s">
        <v>28</v>
      </c>
      <c r="D14" s="49" t="s">
        <v>294</v>
      </c>
    </row>
    <row r="15" spans="1:5" x14ac:dyDescent="0.25">
      <c r="A15" t="s">
        <v>15</v>
      </c>
      <c r="B15" s="1">
        <v>0.69776337020332491</v>
      </c>
      <c r="D15" s="47" t="s">
        <v>295</v>
      </c>
      <c r="E15">
        <v>4.1000000000000002E-2</v>
      </c>
    </row>
    <row r="16" spans="1:5" x14ac:dyDescent="0.25">
      <c r="A16" t="s">
        <v>16</v>
      </c>
      <c r="B16" s="1">
        <v>0.50407916618216175</v>
      </c>
      <c r="D16" s="47" t="s">
        <v>296</v>
      </c>
      <c r="E16">
        <v>3.1E-2</v>
      </c>
    </row>
    <row r="17" spans="1:5" x14ac:dyDescent="0.25">
      <c r="A17" t="s">
        <v>17</v>
      </c>
      <c r="B17" s="1">
        <v>0.38980151409700864</v>
      </c>
      <c r="D17" s="47" t="s">
        <v>297</v>
      </c>
      <c r="E17">
        <v>2.1000000000000001E-2</v>
      </c>
    </row>
    <row r="18" spans="1:5" x14ac:dyDescent="0.25">
      <c r="A18" t="s">
        <v>18</v>
      </c>
      <c r="B18" s="1">
        <v>0.8564543216570808</v>
      </c>
      <c r="D18" s="47" t="s">
        <v>298</v>
      </c>
      <c r="E18">
        <v>3.1E-2</v>
      </c>
    </row>
    <row r="19" spans="1:5" x14ac:dyDescent="0.25">
      <c r="A19" t="s">
        <v>19</v>
      </c>
      <c r="B19" s="1">
        <v>0.34517766497461932</v>
      </c>
      <c r="D19" s="49" t="s">
        <v>299</v>
      </c>
    </row>
    <row r="20" spans="1:5" x14ac:dyDescent="0.25">
      <c r="A20" t="s">
        <v>20</v>
      </c>
      <c r="B20" s="1">
        <v>0.45506912144560557</v>
      </c>
      <c r="D20" s="47" t="s">
        <v>300</v>
      </c>
      <c r="E20">
        <v>2.1999999999999999E-2</v>
      </c>
    </row>
    <row r="21" spans="1:5" x14ac:dyDescent="0.25">
      <c r="A21" s="15" t="s">
        <v>276</v>
      </c>
      <c r="D21" s="47" t="s">
        <v>301</v>
      </c>
      <c r="E21">
        <v>7.0000000000000001E-3</v>
      </c>
    </row>
    <row r="22" spans="1:5" x14ac:dyDescent="0.25">
      <c r="A22" t="s">
        <v>21</v>
      </c>
      <c r="B22" s="1">
        <v>0.81121898570378692</v>
      </c>
      <c r="D22" s="47" t="s">
        <v>298</v>
      </c>
      <c r="E22">
        <v>7.0000000000000001E-3</v>
      </c>
    </row>
    <row r="23" spans="1:5" x14ac:dyDescent="0.25">
      <c r="A23" t="s">
        <v>22</v>
      </c>
      <c r="B23" s="1">
        <v>0.66426594282792939</v>
      </c>
      <c r="D23" s="48" t="s">
        <v>302</v>
      </c>
    </row>
    <row r="24" spans="1:5" ht="15" customHeight="1" x14ac:dyDescent="0.25">
      <c r="A24" t="s">
        <v>23</v>
      </c>
      <c r="B24" s="1">
        <v>0.68146428598875564</v>
      </c>
      <c r="D24" s="13" t="s">
        <v>303</v>
      </c>
      <c r="E24">
        <v>0.55000000000000004</v>
      </c>
    </row>
    <row r="25" spans="1:5" x14ac:dyDescent="0.25">
      <c r="A25" t="s">
        <v>24</v>
      </c>
      <c r="B25" s="1">
        <v>0.26259445783377083</v>
      </c>
      <c r="D25" s="12" t="s">
        <v>304</v>
      </c>
    </row>
    <row r="26" spans="1:5" x14ac:dyDescent="0.25">
      <c r="A26" t="s">
        <v>235</v>
      </c>
      <c r="D26" s="48" t="s">
        <v>285</v>
      </c>
    </row>
    <row r="27" spans="1:5" x14ac:dyDescent="0.25">
      <c r="A27" t="s">
        <v>25</v>
      </c>
      <c r="B27" s="1">
        <v>0.48330205147572497</v>
      </c>
      <c r="D27" s="13" t="s">
        <v>305</v>
      </c>
      <c r="E27">
        <v>0.21199999999999999</v>
      </c>
    </row>
    <row r="28" spans="1:5" x14ac:dyDescent="0.25">
      <c r="A28" t="s">
        <v>26</v>
      </c>
      <c r="B28" s="1">
        <v>1.44</v>
      </c>
      <c r="D28" s="13" t="s">
        <v>288</v>
      </c>
      <c r="E28">
        <v>0.122</v>
      </c>
    </row>
    <row r="29" spans="1:5" x14ac:dyDescent="0.25">
      <c r="D29" s="13" t="s">
        <v>306</v>
      </c>
      <c r="E29">
        <v>0.121</v>
      </c>
    </row>
    <row r="30" spans="1:5" x14ac:dyDescent="0.25">
      <c r="D30" s="13" t="s">
        <v>289</v>
      </c>
      <c r="E30">
        <v>0.109</v>
      </c>
    </row>
    <row r="31" spans="1:5" x14ac:dyDescent="0.25">
      <c r="D31" s="48" t="s">
        <v>290</v>
      </c>
    </row>
    <row r="32" spans="1:5" x14ac:dyDescent="0.25">
      <c r="D32" s="13" t="s">
        <v>291</v>
      </c>
      <c r="E32">
        <v>2.7E-2</v>
      </c>
    </row>
    <row r="33" spans="4:5" x14ac:dyDescent="0.25">
      <c r="D33" s="13" t="s">
        <v>292</v>
      </c>
      <c r="E33">
        <v>1.4999999999999999E-2</v>
      </c>
    </row>
    <row r="34" spans="4:5" x14ac:dyDescent="0.25">
      <c r="D34" s="13" t="s">
        <v>293</v>
      </c>
      <c r="E34">
        <v>1.7999999999999999E-2</v>
      </c>
    </row>
    <row r="35" spans="4:5" x14ac:dyDescent="0.25">
      <c r="D35" s="48" t="s">
        <v>294</v>
      </c>
    </row>
    <row r="36" spans="4:5" x14ac:dyDescent="0.25">
      <c r="D36" s="13" t="s">
        <v>308</v>
      </c>
      <c r="E36">
        <v>5.3999999999999999E-2</v>
      </c>
    </row>
    <row r="37" spans="4:5" x14ac:dyDescent="0.25">
      <c r="D37" s="13" t="s">
        <v>309</v>
      </c>
      <c r="E37">
        <v>5.1999999999999998E-2</v>
      </c>
    </row>
    <row r="38" spans="4:5" x14ac:dyDescent="0.25">
      <c r="D38" s="13" t="s">
        <v>310</v>
      </c>
      <c r="E38">
        <v>3.2000000000000001E-2</v>
      </c>
    </row>
    <row r="39" spans="4:5" x14ac:dyDescent="0.25">
      <c r="D39" s="13" t="s">
        <v>311</v>
      </c>
      <c r="E39">
        <v>2.7E-2</v>
      </c>
    </row>
    <row r="40" spans="4:5" x14ac:dyDescent="0.25">
      <c r="D40" s="13" t="s">
        <v>298</v>
      </c>
      <c r="E40">
        <v>3.2000000000000001E-2</v>
      </c>
    </row>
    <row r="41" spans="4:5" x14ac:dyDescent="0.25">
      <c r="D41" s="48" t="s">
        <v>299</v>
      </c>
    </row>
    <row r="42" spans="4:5" x14ac:dyDescent="0.25">
      <c r="D42" s="13" t="s">
        <v>300</v>
      </c>
      <c r="E42">
        <v>3.2000000000000001E-2</v>
      </c>
    </row>
    <row r="43" spans="4:5" x14ac:dyDescent="0.25">
      <c r="D43" s="13" t="s">
        <v>301</v>
      </c>
      <c r="E43">
        <v>1.2E-2</v>
      </c>
    </row>
    <row r="44" spans="4:5" x14ac:dyDescent="0.25">
      <c r="D44" s="13" t="s">
        <v>298</v>
      </c>
      <c r="E44">
        <v>1.2E-2</v>
      </c>
    </row>
  </sheetData>
  <sortState xmlns:xlrd2="http://schemas.microsoft.com/office/spreadsheetml/2017/richdata2" ref="A2:B28">
    <sortCondition ref="A2:A28"/>
  </sortState>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DC7B-F2C1-4181-B94B-90E6626961DD}">
  <dimension ref="A1:P113"/>
  <sheetViews>
    <sheetView zoomScale="110" zoomScaleNormal="110" workbookViewId="0"/>
  </sheetViews>
  <sheetFormatPr defaultRowHeight="15" x14ac:dyDescent="0.25"/>
  <cols>
    <col min="1" max="1" width="41.28515625" bestFit="1" customWidth="1"/>
    <col min="2" max="2" width="30" style="4" bestFit="1" customWidth="1"/>
    <col min="3" max="3" width="13.85546875" style="18" bestFit="1" customWidth="1"/>
    <col min="4" max="4" width="1.7109375" style="18" customWidth="1"/>
    <col min="5" max="7" width="9.140625" style="20"/>
    <col min="9" max="9" width="33.28515625" style="13" bestFit="1" customWidth="1"/>
    <col min="11" max="11" width="2" bestFit="1" customWidth="1"/>
    <col min="12" max="12" width="10.42578125" customWidth="1"/>
    <col min="13" max="13" width="45.7109375" style="13" bestFit="1" customWidth="1"/>
    <col min="15" max="15" width="2" bestFit="1" customWidth="1"/>
    <col min="16" max="16" width="6.140625" bestFit="1" customWidth="1"/>
  </cols>
  <sheetData>
    <row r="1" spans="1:16" x14ac:dyDescent="0.25">
      <c r="A1" s="12" t="s">
        <v>50</v>
      </c>
      <c r="B1" s="99" t="s">
        <v>51</v>
      </c>
      <c r="C1" s="100" t="s">
        <v>125</v>
      </c>
      <c r="D1" s="100"/>
      <c r="E1" s="100"/>
      <c r="F1" s="21" t="s">
        <v>55</v>
      </c>
      <c r="G1" s="21" t="s">
        <v>56</v>
      </c>
      <c r="H1" s="12"/>
      <c r="I1" s="12" t="s">
        <v>122</v>
      </c>
      <c r="J1" s="101" t="s">
        <v>77</v>
      </c>
      <c r="K1" s="101"/>
      <c r="L1" s="101"/>
      <c r="M1" s="12" t="s">
        <v>123</v>
      </c>
      <c r="N1" s="101" t="s">
        <v>77</v>
      </c>
      <c r="O1" s="101"/>
      <c r="P1" s="101"/>
    </row>
    <row r="2" spans="1:16" x14ac:dyDescent="0.25">
      <c r="A2" t="s">
        <v>126</v>
      </c>
      <c r="B2" s="4">
        <v>390</v>
      </c>
      <c r="C2" s="29">
        <v>0.5</v>
      </c>
      <c r="E2" s="24"/>
      <c r="F2" s="31" t="s">
        <v>52</v>
      </c>
      <c r="G2" s="24"/>
      <c r="H2" s="17"/>
      <c r="I2" s="25" t="s">
        <v>81</v>
      </c>
      <c r="J2" s="26">
        <v>0.49640000000000001</v>
      </c>
      <c r="K2" s="27" t="s">
        <v>78</v>
      </c>
      <c r="L2" s="28">
        <v>2.7000000000000001E-3</v>
      </c>
      <c r="M2" s="25" t="s">
        <v>103</v>
      </c>
      <c r="N2" s="26">
        <v>0.48549999999999999</v>
      </c>
      <c r="O2" s="27" t="s">
        <v>78</v>
      </c>
      <c r="P2" s="28">
        <v>9.9000000000000008E-3</v>
      </c>
    </row>
    <row r="3" spans="1:16" x14ac:dyDescent="0.25">
      <c r="A3" t="s">
        <v>127</v>
      </c>
      <c r="B3" s="4">
        <v>1100</v>
      </c>
      <c r="C3" s="29">
        <v>0.5</v>
      </c>
      <c r="F3" s="31" t="s">
        <v>52</v>
      </c>
      <c r="H3" s="1"/>
      <c r="I3" s="25" t="s">
        <v>82</v>
      </c>
      <c r="J3" s="26">
        <v>0.49340000000000001</v>
      </c>
      <c r="K3" s="27" t="s">
        <v>78</v>
      </c>
      <c r="L3" s="28">
        <v>5.3E-3</v>
      </c>
      <c r="M3" s="25" t="s">
        <v>104</v>
      </c>
      <c r="N3" s="26">
        <v>0.50080000000000002</v>
      </c>
      <c r="O3" s="27" t="s">
        <v>78</v>
      </c>
      <c r="P3" s="28">
        <v>4.4999999999999997E-3</v>
      </c>
    </row>
    <row r="4" spans="1:16" x14ac:dyDescent="0.25">
      <c r="A4" t="s">
        <v>128</v>
      </c>
      <c r="B4" s="4">
        <v>950</v>
      </c>
      <c r="C4" s="29">
        <v>0.5</v>
      </c>
      <c r="F4" s="31" t="s">
        <v>52</v>
      </c>
      <c r="I4" s="25" t="s">
        <v>83</v>
      </c>
      <c r="J4" s="26">
        <v>0.4864</v>
      </c>
      <c r="K4" s="27" t="s">
        <v>78</v>
      </c>
      <c r="L4" s="28">
        <v>5.1999999999999998E-3</v>
      </c>
      <c r="M4" s="25" t="s">
        <v>105</v>
      </c>
      <c r="N4" s="26">
        <v>0.52839999999999998</v>
      </c>
      <c r="O4" s="27" t="s">
        <v>78</v>
      </c>
      <c r="P4" s="28">
        <v>5.4999999999999997E-3</v>
      </c>
    </row>
    <row r="5" spans="1:16" x14ac:dyDescent="0.25">
      <c r="A5" t="s">
        <v>129</v>
      </c>
      <c r="B5" s="4">
        <v>785</v>
      </c>
      <c r="C5" s="29">
        <v>0.5</v>
      </c>
      <c r="F5" s="31" t="s">
        <v>52</v>
      </c>
      <c r="I5" s="25" t="s">
        <v>84</v>
      </c>
      <c r="J5" s="26">
        <v>0.49320000000000003</v>
      </c>
      <c r="K5" s="27" t="s">
        <v>78</v>
      </c>
      <c r="L5" s="28">
        <v>1.9E-3</v>
      </c>
      <c r="M5" s="25" t="s">
        <v>106</v>
      </c>
      <c r="N5" s="26">
        <v>0.52139999999999997</v>
      </c>
      <c r="O5" s="27" t="s">
        <v>78</v>
      </c>
      <c r="P5" s="28">
        <v>8.8000000000000005E-3</v>
      </c>
    </row>
    <row r="6" spans="1:16" x14ac:dyDescent="0.25">
      <c r="A6" t="s">
        <v>130</v>
      </c>
      <c r="B6" s="4">
        <v>880</v>
      </c>
      <c r="C6" s="29">
        <v>0.5</v>
      </c>
      <c r="F6" s="31" t="s">
        <v>52</v>
      </c>
      <c r="I6" s="25" t="s">
        <v>85</v>
      </c>
      <c r="J6" s="26">
        <v>0.47699999999999998</v>
      </c>
      <c r="K6" s="27" t="s">
        <v>78</v>
      </c>
      <c r="L6" s="28">
        <v>1.1999999999999999E-3</v>
      </c>
      <c r="M6" s="25" t="s">
        <v>107</v>
      </c>
      <c r="N6" s="26">
        <v>0.47210000000000002</v>
      </c>
      <c r="O6" s="27" t="s">
        <v>78</v>
      </c>
      <c r="P6" s="28">
        <v>3.5000000000000001E-3</v>
      </c>
    </row>
    <row r="7" spans="1:16" x14ac:dyDescent="0.25">
      <c r="A7" s="13" t="s">
        <v>91</v>
      </c>
      <c r="B7" s="4">
        <v>675</v>
      </c>
      <c r="C7" s="18">
        <v>0.48280000000000001</v>
      </c>
      <c r="D7" s="14" t="s">
        <v>78</v>
      </c>
      <c r="E7" s="20">
        <v>3.5999999999999999E-3</v>
      </c>
      <c r="F7" s="3" t="s">
        <v>207</v>
      </c>
      <c r="G7" s="31" t="s">
        <v>27</v>
      </c>
      <c r="I7" s="25" t="s">
        <v>86</v>
      </c>
      <c r="J7" s="26">
        <v>0.4627</v>
      </c>
      <c r="K7" s="27" t="s">
        <v>78</v>
      </c>
      <c r="L7" s="28">
        <v>3.3E-3</v>
      </c>
      <c r="M7" s="25" t="s">
        <v>108</v>
      </c>
      <c r="N7" s="26">
        <v>0.47599999999999998</v>
      </c>
      <c r="O7" s="27" t="s">
        <v>78</v>
      </c>
      <c r="P7" s="28">
        <v>2.0999999999999999E-3</v>
      </c>
    </row>
    <row r="8" spans="1:16" x14ac:dyDescent="0.25">
      <c r="A8" s="13" t="s">
        <v>89</v>
      </c>
      <c r="B8" s="4">
        <v>720</v>
      </c>
      <c r="C8" s="18">
        <v>0.46600000000000003</v>
      </c>
      <c r="D8" s="14" t="s">
        <v>78</v>
      </c>
      <c r="E8" s="20">
        <v>3.8999999999999998E-3</v>
      </c>
      <c r="F8" s="3" t="s">
        <v>232</v>
      </c>
      <c r="G8" s="31" t="s">
        <v>27</v>
      </c>
      <c r="I8" s="25" t="s">
        <v>87</v>
      </c>
      <c r="J8" s="26">
        <v>0.48370000000000002</v>
      </c>
      <c r="K8" s="27" t="s">
        <v>78</v>
      </c>
      <c r="L8" s="28">
        <v>2.0999999999999999E-3</v>
      </c>
      <c r="M8" s="25" t="s">
        <v>109</v>
      </c>
      <c r="N8" s="26">
        <v>0.50390000000000001</v>
      </c>
      <c r="O8" s="27" t="s">
        <v>78</v>
      </c>
      <c r="P8" s="28">
        <v>4.4999999999999997E-3</v>
      </c>
    </row>
    <row r="9" spans="1:16" x14ac:dyDescent="0.25">
      <c r="A9" s="13" t="s">
        <v>107</v>
      </c>
      <c r="B9" s="4">
        <v>595</v>
      </c>
      <c r="C9" s="18">
        <v>0.47210000000000002</v>
      </c>
      <c r="D9" s="14" t="s">
        <v>78</v>
      </c>
      <c r="E9" s="20">
        <v>3.5000000000000001E-3</v>
      </c>
      <c r="F9" s="3" t="s">
        <v>216</v>
      </c>
      <c r="G9" s="31" t="s">
        <v>27</v>
      </c>
      <c r="I9" s="25" t="s">
        <v>88</v>
      </c>
      <c r="J9" s="26">
        <v>0.48470000000000002</v>
      </c>
      <c r="K9" s="27" t="s">
        <v>78</v>
      </c>
      <c r="L9" s="28">
        <v>4.1000000000000003E-3</v>
      </c>
      <c r="M9" s="25" t="s">
        <v>110</v>
      </c>
      <c r="N9" s="26">
        <v>0.4995</v>
      </c>
      <c r="O9" s="27" t="s">
        <v>78</v>
      </c>
      <c r="P9" s="28">
        <v>2.0000000000000001E-4</v>
      </c>
    </row>
    <row r="10" spans="1:16" x14ac:dyDescent="0.25">
      <c r="A10" s="13" t="s">
        <v>101</v>
      </c>
      <c r="B10" s="4">
        <v>540</v>
      </c>
      <c r="C10" s="18">
        <v>0.46429999999999999</v>
      </c>
      <c r="D10" s="14" t="s">
        <v>78</v>
      </c>
      <c r="E10" s="20">
        <v>1.6999999999999999E-3</v>
      </c>
      <c r="F10" s="3" t="s">
        <v>195</v>
      </c>
      <c r="G10" s="31" t="s">
        <v>27</v>
      </c>
      <c r="I10" s="25" t="s">
        <v>89</v>
      </c>
      <c r="J10" s="26">
        <v>0.46600000000000003</v>
      </c>
      <c r="K10" s="27" t="s">
        <v>78</v>
      </c>
      <c r="L10" s="28">
        <v>3.8999999999999998E-3</v>
      </c>
      <c r="M10" s="25" t="s">
        <v>111</v>
      </c>
      <c r="N10" s="26">
        <v>0.504</v>
      </c>
      <c r="O10" s="27" t="s">
        <v>78</v>
      </c>
      <c r="P10" s="28">
        <v>4.3E-3</v>
      </c>
    </row>
    <row r="11" spans="1:16" x14ac:dyDescent="0.25">
      <c r="A11" s="13" t="s">
        <v>94</v>
      </c>
      <c r="B11" s="4">
        <v>545</v>
      </c>
      <c r="C11" s="18">
        <v>0.49969999999999998</v>
      </c>
      <c r="D11" s="14" t="s">
        <v>78</v>
      </c>
      <c r="E11" s="20">
        <v>8.2000000000000007E-3</v>
      </c>
      <c r="F11" s="3" t="s">
        <v>218</v>
      </c>
      <c r="G11" s="31" t="s">
        <v>27</v>
      </c>
      <c r="I11" s="25" t="s">
        <v>91</v>
      </c>
      <c r="J11" s="26">
        <v>0.48280000000000001</v>
      </c>
      <c r="K11" s="27" t="s">
        <v>78</v>
      </c>
      <c r="L11" s="28">
        <v>3.5999999999999999E-3</v>
      </c>
      <c r="M11" s="25" t="s">
        <v>112</v>
      </c>
      <c r="N11" s="26">
        <v>0.50319999999999998</v>
      </c>
      <c r="O11" s="27" t="s">
        <v>78</v>
      </c>
      <c r="P11" s="28">
        <v>4.3E-3</v>
      </c>
    </row>
    <row r="12" spans="1:16" x14ac:dyDescent="0.25">
      <c r="A12" t="s">
        <v>131</v>
      </c>
      <c r="B12" s="4">
        <v>750</v>
      </c>
      <c r="C12" s="29">
        <v>0.5</v>
      </c>
      <c r="F12" s="31" t="s">
        <v>52</v>
      </c>
      <c r="I12" s="25" t="s">
        <v>90</v>
      </c>
      <c r="J12" s="26">
        <v>0.47799999999999998</v>
      </c>
      <c r="K12" s="27" t="s">
        <v>78</v>
      </c>
      <c r="L12" s="28">
        <v>4.7999999999999996E-3</v>
      </c>
      <c r="M12" s="25" t="s">
        <v>113</v>
      </c>
      <c r="N12" s="26">
        <v>0.52470000000000006</v>
      </c>
      <c r="O12" s="27" t="s">
        <v>78</v>
      </c>
      <c r="P12" s="28">
        <v>3.8E-3</v>
      </c>
    </row>
    <row r="13" spans="1:16" x14ac:dyDescent="0.25">
      <c r="A13" t="s">
        <v>132</v>
      </c>
      <c r="B13" s="4">
        <v>1000</v>
      </c>
      <c r="C13" s="29">
        <v>0.5</v>
      </c>
      <c r="F13" s="31" t="s">
        <v>52</v>
      </c>
      <c r="I13" s="25" t="s">
        <v>92</v>
      </c>
      <c r="J13" s="26">
        <v>0.48530000000000001</v>
      </c>
      <c r="K13" s="27" t="s">
        <v>78</v>
      </c>
      <c r="L13" s="28">
        <v>3.5999999999999999E-3</v>
      </c>
      <c r="M13" s="25" t="s">
        <v>114</v>
      </c>
      <c r="N13" s="26">
        <v>0.53280000000000005</v>
      </c>
      <c r="O13" s="27" t="s">
        <v>78</v>
      </c>
      <c r="P13" s="28">
        <v>3.3E-3</v>
      </c>
    </row>
    <row r="14" spans="1:16" x14ac:dyDescent="0.25">
      <c r="A14" t="s">
        <v>133</v>
      </c>
      <c r="B14" s="4">
        <v>900</v>
      </c>
      <c r="C14" s="29">
        <v>0.5</v>
      </c>
      <c r="F14" s="31" t="s">
        <v>52</v>
      </c>
      <c r="I14" s="25" t="s">
        <v>93</v>
      </c>
      <c r="J14" s="26">
        <v>0.49170000000000003</v>
      </c>
      <c r="K14" s="27" t="s">
        <v>78</v>
      </c>
      <c r="L14" s="28">
        <v>1.1999999999999999E-3</v>
      </c>
      <c r="M14" s="25" t="s">
        <v>115</v>
      </c>
      <c r="N14" s="26">
        <v>0.49740000000000001</v>
      </c>
      <c r="O14" s="27" t="s">
        <v>78</v>
      </c>
      <c r="P14" s="28">
        <v>1.6000000000000001E-3</v>
      </c>
    </row>
    <row r="15" spans="1:16" x14ac:dyDescent="0.25">
      <c r="A15" t="s">
        <v>134</v>
      </c>
      <c r="B15" s="4">
        <v>390</v>
      </c>
      <c r="C15" s="29">
        <v>0.5</v>
      </c>
      <c r="F15" s="31" t="s">
        <v>52</v>
      </c>
      <c r="I15" s="25" t="s">
        <v>94</v>
      </c>
      <c r="J15" s="26">
        <v>0.49969999999999998</v>
      </c>
      <c r="K15" s="27" t="s">
        <v>78</v>
      </c>
      <c r="L15" s="28">
        <v>8.2000000000000007E-3</v>
      </c>
      <c r="M15" s="25" t="s">
        <v>116</v>
      </c>
      <c r="N15" s="26">
        <v>0.505</v>
      </c>
      <c r="O15" s="27" t="s">
        <v>78</v>
      </c>
      <c r="P15" s="28">
        <v>3.5999999999999999E-3</v>
      </c>
    </row>
    <row r="16" spans="1:16" x14ac:dyDescent="0.25">
      <c r="A16" t="s">
        <v>135</v>
      </c>
      <c r="B16" s="4">
        <v>1050</v>
      </c>
      <c r="C16" s="29">
        <v>0.5</v>
      </c>
      <c r="F16" s="31" t="s">
        <v>52</v>
      </c>
      <c r="I16" s="25" t="s">
        <v>95</v>
      </c>
      <c r="J16" s="26">
        <v>0.47089999999999999</v>
      </c>
      <c r="K16" s="27" t="s">
        <v>78</v>
      </c>
      <c r="L16" s="28">
        <v>7.4999999999999997E-3</v>
      </c>
      <c r="M16" s="25" t="s">
        <v>117</v>
      </c>
      <c r="N16" s="26">
        <v>0.51719999999999999</v>
      </c>
      <c r="O16" s="27" t="s">
        <v>78</v>
      </c>
      <c r="P16" s="28">
        <v>1.6999999999999999E-3</v>
      </c>
    </row>
    <row r="17" spans="1:16" x14ac:dyDescent="0.25">
      <c r="A17" s="13" t="s">
        <v>104</v>
      </c>
      <c r="B17" s="4">
        <v>400</v>
      </c>
      <c r="C17" s="18">
        <v>0.50080000000000002</v>
      </c>
      <c r="D17" s="14" t="s">
        <v>78</v>
      </c>
      <c r="E17" s="20">
        <v>4.4999999999999997E-3</v>
      </c>
      <c r="F17" s="3" t="s">
        <v>199</v>
      </c>
      <c r="G17" s="31" t="s">
        <v>27</v>
      </c>
      <c r="I17" s="25" t="s">
        <v>96</v>
      </c>
      <c r="J17" s="26">
        <v>0.49249999999999999</v>
      </c>
      <c r="K17" s="27" t="s">
        <v>78</v>
      </c>
      <c r="L17" s="28">
        <v>2.5000000000000001E-3</v>
      </c>
      <c r="M17" s="25" t="s">
        <v>118</v>
      </c>
      <c r="N17" s="26">
        <v>0.51539999999999997</v>
      </c>
      <c r="O17" s="27" t="s">
        <v>78</v>
      </c>
      <c r="P17" s="28">
        <v>3.8E-3</v>
      </c>
    </row>
    <row r="18" spans="1:16" x14ac:dyDescent="0.25">
      <c r="A18" t="s">
        <v>136</v>
      </c>
      <c r="B18" s="4">
        <v>900</v>
      </c>
      <c r="C18" s="29">
        <v>0.5</v>
      </c>
      <c r="F18" s="31" t="s">
        <v>52</v>
      </c>
      <c r="I18" s="25" t="s">
        <v>97</v>
      </c>
      <c r="J18" s="26">
        <v>0.49530000000000002</v>
      </c>
      <c r="K18" s="27" t="s">
        <v>78</v>
      </c>
      <c r="L18" s="28">
        <v>1.8E-3</v>
      </c>
      <c r="M18" s="25" t="s">
        <v>119</v>
      </c>
      <c r="N18" s="26">
        <v>0.50329999999999997</v>
      </c>
      <c r="O18" s="27" t="s">
        <v>78</v>
      </c>
      <c r="P18" s="28">
        <v>3.2000000000000002E-3</v>
      </c>
    </row>
    <row r="19" spans="1:16" x14ac:dyDescent="0.25">
      <c r="A19" t="s">
        <v>137</v>
      </c>
      <c r="B19" s="4">
        <v>750</v>
      </c>
      <c r="C19" s="29">
        <v>0.5</v>
      </c>
      <c r="F19" s="31" t="s">
        <v>52</v>
      </c>
      <c r="I19" s="25" t="s">
        <v>98</v>
      </c>
      <c r="J19" s="26">
        <v>0.49569999999999997</v>
      </c>
      <c r="K19" s="27" t="s">
        <v>78</v>
      </c>
      <c r="L19" s="28">
        <v>2.2000000000000001E-3</v>
      </c>
      <c r="M19" s="25" t="s">
        <v>120</v>
      </c>
      <c r="N19" s="26">
        <v>0.50600000000000001</v>
      </c>
      <c r="O19" s="27" t="s">
        <v>78</v>
      </c>
      <c r="P19" s="28">
        <v>4.4999999999999997E-3</v>
      </c>
    </row>
    <row r="20" spans="1:16" x14ac:dyDescent="0.25">
      <c r="A20" t="s">
        <v>138</v>
      </c>
      <c r="B20" s="4">
        <v>650</v>
      </c>
      <c r="C20" s="39">
        <f>AVERAGE($J$7:$J$8)</f>
        <v>0.47320000000000001</v>
      </c>
      <c r="D20" s="23" t="s">
        <v>78</v>
      </c>
      <c r="E20" s="40">
        <f>AVERAGE($L$7:$L$8)</f>
        <v>2.7000000000000001E-3</v>
      </c>
      <c r="F20" s="31" t="s">
        <v>52</v>
      </c>
      <c r="G20" s="31"/>
      <c r="I20" s="25" t="s">
        <v>99</v>
      </c>
      <c r="J20" s="26">
        <v>0.49630000000000002</v>
      </c>
      <c r="K20" s="27" t="s">
        <v>78</v>
      </c>
      <c r="L20" s="28">
        <v>3.2000000000000002E-3</v>
      </c>
      <c r="M20" s="25" t="s">
        <v>121</v>
      </c>
      <c r="N20" s="26">
        <v>0.55159999999999998</v>
      </c>
      <c r="O20" s="27" t="s">
        <v>78</v>
      </c>
      <c r="P20" s="28">
        <v>5.1999999999999998E-3</v>
      </c>
    </row>
    <row r="21" spans="1:16" x14ac:dyDescent="0.25">
      <c r="A21" t="s">
        <v>139</v>
      </c>
      <c r="B21" s="4">
        <v>680</v>
      </c>
      <c r="C21" s="29">
        <f>$J$10</f>
        <v>0.46600000000000003</v>
      </c>
      <c r="D21" s="29" t="s">
        <v>78</v>
      </c>
      <c r="E21" s="30">
        <f>$L$10</f>
        <v>3.8999999999999998E-3</v>
      </c>
      <c r="F21" s="31" t="s">
        <v>52</v>
      </c>
      <c r="G21" s="31"/>
      <c r="I21" s="25" t="s">
        <v>100</v>
      </c>
      <c r="J21" s="26">
        <v>0.49049999999999999</v>
      </c>
      <c r="K21" s="27" t="s">
        <v>78</v>
      </c>
      <c r="L21" s="28">
        <v>5.7999999999999996E-3</v>
      </c>
      <c r="M21" s="25" t="s">
        <v>79</v>
      </c>
      <c r="N21" s="26">
        <v>0.54659999999999997</v>
      </c>
      <c r="O21" s="27" t="s">
        <v>78</v>
      </c>
      <c r="P21" s="28">
        <v>2.7000000000000001E-3</v>
      </c>
    </row>
    <row r="22" spans="1:16" x14ac:dyDescent="0.25">
      <c r="A22" s="13" t="s">
        <v>81</v>
      </c>
      <c r="B22" s="4">
        <v>545</v>
      </c>
      <c r="C22" s="18">
        <v>0.49640000000000001</v>
      </c>
      <c r="D22" s="14" t="s">
        <v>78</v>
      </c>
      <c r="E22" s="20">
        <v>2.7000000000000001E-3</v>
      </c>
      <c r="F22" s="3" t="s">
        <v>201</v>
      </c>
      <c r="G22" s="31" t="s">
        <v>27</v>
      </c>
      <c r="I22" s="25" t="s">
        <v>101</v>
      </c>
      <c r="J22" s="26">
        <v>0.46429999999999999</v>
      </c>
      <c r="K22" s="27" t="s">
        <v>78</v>
      </c>
      <c r="L22" s="28">
        <v>1.6999999999999999E-3</v>
      </c>
      <c r="M22" s="25" t="s">
        <v>80</v>
      </c>
      <c r="N22" s="26">
        <v>0.5252</v>
      </c>
      <c r="O22" s="27" t="s">
        <v>78</v>
      </c>
      <c r="P22" s="28">
        <v>2.7000000000000001E-3</v>
      </c>
    </row>
    <row r="23" spans="1:16" x14ac:dyDescent="0.25">
      <c r="A23" t="s">
        <v>140</v>
      </c>
      <c r="B23" s="4">
        <v>900</v>
      </c>
      <c r="C23" s="29">
        <v>0.5</v>
      </c>
      <c r="F23" s="31" t="s">
        <v>52</v>
      </c>
      <c r="I23" s="25" t="s">
        <v>102</v>
      </c>
      <c r="J23" s="26">
        <v>0.4632</v>
      </c>
      <c r="K23" s="27" t="s">
        <v>78</v>
      </c>
      <c r="L23" s="28">
        <v>2.7000000000000001E-3</v>
      </c>
    </row>
    <row r="24" spans="1:16" x14ac:dyDescent="0.25">
      <c r="A24" t="s">
        <v>141</v>
      </c>
      <c r="B24" s="4">
        <v>660</v>
      </c>
      <c r="C24" s="29">
        <v>0.5</v>
      </c>
      <c r="F24" s="31" t="s">
        <v>52</v>
      </c>
      <c r="I24" s="10" t="s">
        <v>124</v>
      </c>
      <c r="J24" s="19">
        <f>AVERAGE(J2:J23)</f>
        <v>0.48407727272727269</v>
      </c>
      <c r="K24" s="16" t="s">
        <v>78</v>
      </c>
      <c r="L24" s="21">
        <f>AVERAGE(L2:L23)</f>
        <v>3.5681818181818171E-3</v>
      </c>
      <c r="M24" s="10" t="s">
        <v>124</v>
      </c>
      <c r="N24" s="19">
        <f>AVERAGE(N2:N23)</f>
        <v>0.51047619047619042</v>
      </c>
      <c r="O24" s="22" t="s">
        <v>78</v>
      </c>
      <c r="P24" s="21">
        <f>AVERAGE(P2:P23)</f>
        <v>3.9857142857142843E-3</v>
      </c>
    </row>
    <row r="25" spans="1:16" x14ac:dyDescent="0.25">
      <c r="A25" s="13" t="s">
        <v>90</v>
      </c>
      <c r="B25" s="4">
        <v>545</v>
      </c>
      <c r="C25" s="18">
        <v>0.47799999999999998</v>
      </c>
      <c r="D25" s="14" t="s">
        <v>78</v>
      </c>
      <c r="E25" s="20">
        <v>4.7999999999999996E-3</v>
      </c>
      <c r="F25" s="3" t="s">
        <v>206</v>
      </c>
      <c r="G25" s="31" t="s">
        <v>27</v>
      </c>
      <c r="J25" s="13"/>
      <c r="K25" s="13"/>
      <c r="L25" s="13"/>
      <c r="N25" s="18"/>
      <c r="O25" s="14"/>
      <c r="P25" s="20"/>
    </row>
    <row r="26" spans="1:16" x14ac:dyDescent="0.25">
      <c r="A26" s="13" t="s">
        <v>97</v>
      </c>
      <c r="B26" s="4">
        <v>560</v>
      </c>
      <c r="C26" s="18">
        <v>0.49530000000000002</v>
      </c>
      <c r="D26" s="14" t="s">
        <v>78</v>
      </c>
      <c r="E26" s="20">
        <v>1.8E-3</v>
      </c>
      <c r="F26" s="3" t="s">
        <v>221</v>
      </c>
      <c r="G26" s="31" t="s">
        <v>27</v>
      </c>
    </row>
    <row r="27" spans="1:16" x14ac:dyDescent="0.25">
      <c r="A27" s="13" t="s">
        <v>96</v>
      </c>
      <c r="B27" s="4">
        <v>385</v>
      </c>
      <c r="C27" s="18">
        <v>0.49249999999999999</v>
      </c>
      <c r="D27" s="14" t="s">
        <v>78</v>
      </c>
      <c r="E27" s="20">
        <v>2.5000000000000001E-3</v>
      </c>
      <c r="F27" s="3" t="s">
        <v>219</v>
      </c>
      <c r="G27" s="31" t="s">
        <v>27</v>
      </c>
    </row>
    <row r="28" spans="1:16" x14ac:dyDescent="0.25">
      <c r="A28" t="s">
        <v>142</v>
      </c>
      <c r="B28" s="4">
        <v>700</v>
      </c>
      <c r="C28" s="29">
        <v>0.5</v>
      </c>
      <c r="F28" s="31" t="s">
        <v>52</v>
      </c>
      <c r="I28" s="10"/>
      <c r="J28" s="19"/>
      <c r="K28" s="16"/>
      <c r="L28" s="21"/>
      <c r="M28" s="10"/>
      <c r="N28" s="19"/>
      <c r="O28" s="22"/>
      <c r="P28" s="21"/>
    </row>
    <row r="29" spans="1:16" x14ac:dyDescent="0.25">
      <c r="A29" s="13" t="s">
        <v>202</v>
      </c>
      <c r="B29" s="4">
        <v>485</v>
      </c>
      <c r="C29" s="18">
        <v>0.49340000000000001</v>
      </c>
      <c r="D29" s="14" t="s">
        <v>78</v>
      </c>
      <c r="E29" s="20">
        <v>5.3E-3</v>
      </c>
      <c r="F29" s="3" t="s">
        <v>200</v>
      </c>
      <c r="G29" s="31" t="s">
        <v>27</v>
      </c>
      <c r="I29" s="10"/>
      <c r="J29" s="19"/>
      <c r="K29" s="16"/>
      <c r="L29" s="21"/>
      <c r="M29" s="10"/>
      <c r="N29" s="19"/>
      <c r="O29" s="22"/>
      <c r="P29" s="21"/>
    </row>
    <row r="30" spans="1:16" x14ac:dyDescent="0.25">
      <c r="A30" s="13" t="s">
        <v>92</v>
      </c>
      <c r="B30" s="4">
        <v>435</v>
      </c>
      <c r="C30" s="18">
        <v>0.48530000000000001</v>
      </c>
      <c r="D30" s="14" t="s">
        <v>78</v>
      </c>
      <c r="E30" s="20">
        <v>3.5999999999999999E-3</v>
      </c>
      <c r="F30" s="3" t="s">
        <v>226</v>
      </c>
      <c r="G30" s="31" t="s">
        <v>27</v>
      </c>
      <c r="I30" s="10"/>
      <c r="J30" s="19"/>
      <c r="K30" s="16"/>
      <c r="L30" s="21"/>
      <c r="M30" s="10"/>
      <c r="N30" s="19"/>
      <c r="O30" s="22"/>
      <c r="P30" s="21"/>
    </row>
    <row r="31" spans="1:16" x14ac:dyDescent="0.25">
      <c r="A31" t="s">
        <v>143</v>
      </c>
      <c r="B31" s="4">
        <v>380</v>
      </c>
      <c r="C31" s="39">
        <f>AVERAGE($N$20:$N$22)</f>
        <v>0.54113333333333324</v>
      </c>
      <c r="D31" s="23" t="s">
        <v>78</v>
      </c>
      <c r="E31" s="40">
        <f>AVERAGE($P$20:$P$22)</f>
        <v>3.5333333333333341E-3</v>
      </c>
      <c r="F31" s="31" t="s">
        <v>52</v>
      </c>
      <c r="G31" s="31"/>
      <c r="I31" s="10"/>
      <c r="J31" s="19"/>
      <c r="K31" s="16"/>
      <c r="L31" s="21"/>
      <c r="M31" s="10"/>
      <c r="N31" s="19"/>
      <c r="O31" s="22"/>
      <c r="P31" s="21"/>
    </row>
    <row r="32" spans="1:16" x14ac:dyDescent="0.25">
      <c r="A32" s="13" t="s">
        <v>119</v>
      </c>
      <c r="B32" s="4">
        <v>450</v>
      </c>
      <c r="C32" s="18">
        <v>0.50329999999999997</v>
      </c>
      <c r="D32" s="14" t="s">
        <v>78</v>
      </c>
      <c r="E32" s="20">
        <v>3.2000000000000002E-3</v>
      </c>
      <c r="F32" s="3" t="s">
        <v>228</v>
      </c>
      <c r="G32" s="31" t="s">
        <v>27</v>
      </c>
    </row>
    <row r="33" spans="1:13" x14ac:dyDescent="0.25">
      <c r="A33" t="s">
        <v>144</v>
      </c>
      <c r="B33" s="4">
        <v>550</v>
      </c>
      <c r="C33" s="29">
        <v>0.5</v>
      </c>
      <c r="F33" s="31" t="s">
        <v>52</v>
      </c>
    </row>
    <row r="34" spans="1:13" x14ac:dyDescent="0.25">
      <c r="A34" t="s">
        <v>145</v>
      </c>
      <c r="B34" s="4">
        <v>520</v>
      </c>
      <c r="C34" s="29">
        <v>0.5</v>
      </c>
      <c r="F34" s="31" t="s">
        <v>52</v>
      </c>
    </row>
    <row r="35" spans="1:13" x14ac:dyDescent="0.25">
      <c r="A35" t="s">
        <v>146</v>
      </c>
      <c r="B35" s="4">
        <v>575</v>
      </c>
      <c r="C35" s="29">
        <v>0.5</v>
      </c>
      <c r="F35" s="31" t="s">
        <v>52</v>
      </c>
    </row>
    <row r="36" spans="1:13" x14ac:dyDescent="0.25">
      <c r="A36" t="s">
        <v>147</v>
      </c>
      <c r="B36" s="4">
        <v>900</v>
      </c>
      <c r="C36" s="29">
        <v>0.5</v>
      </c>
      <c r="F36" s="31" t="s">
        <v>52</v>
      </c>
    </row>
    <row r="37" spans="1:13" x14ac:dyDescent="0.25">
      <c r="A37" t="s">
        <v>148</v>
      </c>
      <c r="B37" s="4">
        <v>1050</v>
      </c>
      <c r="C37" s="29">
        <v>0.5</v>
      </c>
      <c r="F37" s="31" t="s">
        <v>52</v>
      </c>
    </row>
    <row r="38" spans="1:13" x14ac:dyDescent="0.25">
      <c r="A38" t="s">
        <v>149</v>
      </c>
      <c r="B38" s="4">
        <v>850</v>
      </c>
      <c r="C38" s="29">
        <v>0.5</v>
      </c>
      <c r="F38" s="31" t="s">
        <v>52</v>
      </c>
    </row>
    <row r="39" spans="1:13" x14ac:dyDescent="0.25">
      <c r="A39" t="s">
        <v>150</v>
      </c>
      <c r="B39" s="4">
        <v>1000</v>
      </c>
      <c r="C39" s="29">
        <v>0.5</v>
      </c>
      <c r="F39" s="31" t="s">
        <v>52</v>
      </c>
    </row>
    <row r="40" spans="1:13" x14ac:dyDescent="0.25">
      <c r="A40" t="s">
        <v>151</v>
      </c>
      <c r="B40" s="4">
        <v>1000</v>
      </c>
      <c r="C40" s="29">
        <v>0.5</v>
      </c>
      <c r="F40" s="31" t="s">
        <v>52</v>
      </c>
    </row>
    <row r="41" spans="1:13" x14ac:dyDescent="0.25">
      <c r="A41" t="s">
        <v>152</v>
      </c>
      <c r="B41" s="4">
        <v>420</v>
      </c>
      <c r="C41" s="39">
        <f>AVERAGE($N$2:$N$3)</f>
        <v>0.49314999999999998</v>
      </c>
      <c r="D41" s="23" t="s">
        <v>78</v>
      </c>
      <c r="E41" s="40">
        <f>AVERAGE($P$2:$P$3)</f>
        <v>7.1999999999999998E-3</v>
      </c>
      <c r="F41" s="31" t="s">
        <v>52</v>
      </c>
      <c r="G41" s="31"/>
    </row>
    <row r="42" spans="1:13" x14ac:dyDescent="0.25">
      <c r="A42" t="s">
        <v>153</v>
      </c>
      <c r="B42" s="4">
        <v>530</v>
      </c>
      <c r="C42" s="18">
        <f>$N$15</f>
        <v>0.505</v>
      </c>
      <c r="D42" s="23" t="s">
        <v>78</v>
      </c>
      <c r="E42" s="20">
        <f>$P$15</f>
        <v>3.5999999999999999E-3</v>
      </c>
      <c r="F42" s="31" t="s">
        <v>52</v>
      </c>
      <c r="G42" s="31" t="s">
        <v>27</v>
      </c>
    </row>
    <row r="43" spans="1:13" x14ac:dyDescent="0.25">
      <c r="A43" s="13" t="s">
        <v>93</v>
      </c>
      <c r="B43" s="4">
        <v>610</v>
      </c>
      <c r="C43" s="18">
        <v>0.49170000000000003</v>
      </c>
      <c r="D43" s="14" t="s">
        <v>78</v>
      </c>
      <c r="E43" s="20">
        <v>1.1999999999999999E-3</v>
      </c>
      <c r="F43" s="3" t="s">
        <v>225</v>
      </c>
      <c r="G43" s="31" t="s">
        <v>27</v>
      </c>
    </row>
    <row r="44" spans="1:13" x14ac:dyDescent="0.25">
      <c r="A44" s="13" t="s">
        <v>102</v>
      </c>
      <c r="B44" s="4">
        <v>650</v>
      </c>
      <c r="C44" s="18">
        <v>0.4632</v>
      </c>
      <c r="D44" s="14" t="s">
        <v>78</v>
      </c>
      <c r="E44" s="20">
        <v>2.7000000000000001E-3</v>
      </c>
      <c r="F44" s="3" t="s">
        <v>195</v>
      </c>
      <c r="G44" s="31" t="s">
        <v>27</v>
      </c>
    </row>
    <row r="45" spans="1:13" x14ac:dyDescent="0.25">
      <c r="A45" t="s">
        <v>154</v>
      </c>
      <c r="B45" s="4">
        <v>560</v>
      </c>
      <c r="C45" s="39">
        <f>AVERAGE($J$2:$J$5)</f>
        <v>0.49235000000000001</v>
      </c>
      <c r="D45" s="23" t="s">
        <v>78</v>
      </c>
      <c r="E45" s="40">
        <f>AVERAGE($L$2:$L$5)</f>
        <v>3.7750000000000001E-3</v>
      </c>
      <c r="F45" s="31" t="s">
        <v>52</v>
      </c>
      <c r="G45" s="31"/>
    </row>
    <row r="46" spans="1:13" x14ac:dyDescent="0.25">
      <c r="A46" t="s">
        <v>155</v>
      </c>
      <c r="B46" s="4">
        <v>690</v>
      </c>
      <c r="C46" s="39">
        <f>AVERAGE($J$11:$J$12)</f>
        <v>0.48039999999999999</v>
      </c>
      <c r="D46" s="23" t="s">
        <v>78</v>
      </c>
      <c r="E46" s="40">
        <f>AVERAGE($L$11:$L$12)</f>
        <v>4.1999999999999997E-3</v>
      </c>
      <c r="F46" s="31" t="s">
        <v>52</v>
      </c>
      <c r="G46" s="31"/>
    </row>
    <row r="47" spans="1:13" x14ac:dyDescent="0.25">
      <c r="A47" t="s">
        <v>156</v>
      </c>
      <c r="B47" s="4">
        <v>680</v>
      </c>
      <c r="C47" s="39">
        <f>AVERAGE($J$19:$J$20)</f>
        <v>0.496</v>
      </c>
      <c r="D47" s="23" t="s">
        <v>78</v>
      </c>
      <c r="E47" s="40">
        <f>AVERAGE($L$19:$L$20)</f>
        <v>2.7000000000000001E-3</v>
      </c>
      <c r="F47" s="31" t="s">
        <v>52</v>
      </c>
      <c r="G47" s="31"/>
    </row>
    <row r="48" spans="1:13" x14ac:dyDescent="0.25">
      <c r="A48" t="s">
        <v>157</v>
      </c>
      <c r="B48" s="4">
        <v>560</v>
      </c>
      <c r="C48" s="29">
        <v>0.5</v>
      </c>
      <c r="F48" s="31" t="s">
        <v>52</v>
      </c>
      <c r="I48"/>
      <c r="M48"/>
    </row>
    <row r="49" spans="1:13" x14ac:dyDescent="0.25">
      <c r="A49" s="13" t="s">
        <v>121</v>
      </c>
      <c r="B49" s="33">
        <v>380</v>
      </c>
      <c r="C49" s="18">
        <v>0.55159999999999998</v>
      </c>
      <c r="D49" s="14" t="s">
        <v>78</v>
      </c>
      <c r="E49" s="20">
        <v>5.1999999999999998E-3</v>
      </c>
      <c r="F49" s="31" t="s">
        <v>27</v>
      </c>
      <c r="I49"/>
      <c r="M49"/>
    </row>
    <row r="50" spans="1:13" x14ac:dyDescent="0.25">
      <c r="A50" t="s">
        <v>158</v>
      </c>
      <c r="B50" s="4">
        <v>900</v>
      </c>
      <c r="C50" s="29">
        <v>0.5</v>
      </c>
      <c r="F50" s="31" t="s">
        <v>52</v>
      </c>
      <c r="I50"/>
      <c r="M50"/>
    </row>
    <row r="51" spans="1:13" x14ac:dyDescent="0.25">
      <c r="A51" t="s">
        <v>159</v>
      </c>
      <c r="B51" s="4">
        <v>510</v>
      </c>
      <c r="C51" s="34">
        <v>0.46939999999999998</v>
      </c>
      <c r="D51" s="14" t="s">
        <v>78</v>
      </c>
      <c r="E51" s="20">
        <v>3.3E-3</v>
      </c>
      <c r="F51" s="31" t="s">
        <v>52</v>
      </c>
      <c r="G51" s="3" t="s">
        <v>234</v>
      </c>
      <c r="I51"/>
      <c r="M51"/>
    </row>
    <row r="52" spans="1:13" x14ac:dyDescent="0.25">
      <c r="A52" t="s">
        <v>160</v>
      </c>
      <c r="B52" s="4">
        <v>630</v>
      </c>
      <c r="C52" s="29">
        <v>0.5</v>
      </c>
      <c r="F52" s="31" t="s">
        <v>52</v>
      </c>
      <c r="I52"/>
      <c r="M52"/>
    </row>
    <row r="53" spans="1:13" x14ac:dyDescent="0.25">
      <c r="A53" s="13" t="s">
        <v>88</v>
      </c>
      <c r="B53" s="36">
        <f>AVERAGE(735,690,770,815,675,800,735,835)</f>
        <v>756.875</v>
      </c>
      <c r="C53" s="18">
        <v>0.48470000000000002</v>
      </c>
      <c r="D53" s="14" t="s">
        <v>78</v>
      </c>
      <c r="E53" s="20">
        <v>4.1000000000000003E-3</v>
      </c>
      <c r="F53" s="3" t="s">
        <v>215</v>
      </c>
      <c r="G53" s="31" t="s">
        <v>27</v>
      </c>
      <c r="I53"/>
      <c r="M53"/>
    </row>
    <row r="54" spans="1:13" x14ac:dyDescent="0.25">
      <c r="A54" t="s">
        <v>161</v>
      </c>
      <c r="B54" s="4">
        <v>1050</v>
      </c>
      <c r="C54" s="29">
        <v>0.5</v>
      </c>
      <c r="F54" s="31" t="s">
        <v>52</v>
      </c>
      <c r="I54"/>
      <c r="M54"/>
    </row>
    <row r="55" spans="1:13" x14ac:dyDescent="0.25">
      <c r="A55" t="s">
        <v>162</v>
      </c>
      <c r="B55" s="4">
        <v>660</v>
      </c>
      <c r="C55" s="29">
        <v>0.5</v>
      </c>
      <c r="F55" s="31" t="s">
        <v>52</v>
      </c>
      <c r="I55"/>
      <c r="M55"/>
    </row>
    <row r="56" spans="1:13" x14ac:dyDescent="0.25">
      <c r="A56" t="s">
        <v>163</v>
      </c>
      <c r="B56" s="4">
        <v>900</v>
      </c>
      <c r="C56" s="29">
        <v>0.5</v>
      </c>
      <c r="F56" s="31" t="s">
        <v>52</v>
      </c>
      <c r="I56"/>
      <c r="M56"/>
    </row>
    <row r="57" spans="1:13" x14ac:dyDescent="0.25">
      <c r="A57" s="13" t="s">
        <v>111</v>
      </c>
      <c r="B57" s="4">
        <v>500</v>
      </c>
      <c r="C57" s="18">
        <v>0.504</v>
      </c>
      <c r="D57" s="14" t="s">
        <v>78</v>
      </c>
      <c r="E57" s="20">
        <v>4.3E-3</v>
      </c>
      <c r="F57" s="3" t="s">
        <v>211</v>
      </c>
      <c r="G57" s="31" t="s">
        <v>27</v>
      </c>
      <c r="I57"/>
      <c r="M57"/>
    </row>
    <row r="58" spans="1:13" x14ac:dyDescent="0.25">
      <c r="A58" t="s">
        <v>164</v>
      </c>
      <c r="B58" s="4">
        <v>850</v>
      </c>
      <c r="C58" s="29">
        <v>0.5</v>
      </c>
      <c r="F58" s="31" t="s">
        <v>52</v>
      </c>
      <c r="I58"/>
      <c r="M58"/>
    </row>
    <row r="59" spans="1:13" x14ac:dyDescent="0.25">
      <c r="A59" t="s">
        <v>165</v>
      </c>
      <c r="B59" s="4">
        <v>650</v>
      </c>
      <c r="C59" s="29">
        <v>0.5</v>
      </c>
      <c r="F59" s="31" t="s">
        <v>52</v>
      </c>
      <c r="I59"/>
      <c r="M59"/>
    </row>
    <row r="60" spans="1:13" x14ac:dyDescent="0.25">
      <c r="A60" t="s">
        <v>166</v>
      </c>
      <c r="B60" s="4">
        <v>550</v>
      </c>
      <c r="C60" s="39">
        <f>AVERAGE($N$6:$N$7)</f>
        <v>0.47404999999999997</v>
      </c>
      <c r="D60" s="23" t="s">
        <v>78</v>
      </c>
      <c r="E60" s="40">
        <f>AVERAGE($P$6:$P$7)</f>
        <v>2.8E-3</v>
      </c>
      <c r="F60" s="31" t="s">
        <v>52</v>
      </c>
      <c r="G60" s="31"/>
      <c r="I60"/>
      <c r="M60"/>
    </row>
    <row r="61" spans="1:13" x14ac:dyDescent="0.25">
      <c r="A61" t="s">
        <v>167</v>
      </c>
      <c r="B61" s="4">
        <v>565</v>
      </c>
      <c r="C61" s="29">
        <v>0.5</v>
      </c>
      <c r="F61" s="31" t="s">
        <v>52</v>
      </c>
      <c r="I61"/>
      <c r="M61"/>
    </row>
    <row r="62" spans="1:13" x14ac:dyDescent="0.25">
      <c r="A62" t="s">
        <v>168</v>
      </c>
      <c r="B62" s="4">
        <v>560</v>
      </c>
      <c r="C62" s="29">
        <v>0.5</v>
      </c>
      <c r="F62" s="31" t="s">
        <v>52</v>
      </c>
      <c r="I62"/>
      <c r="M62"/>
    </row>
    <row r="63" spans="1:13" x14ac:dyDescent="0.25">
      <c r="A63" s="13" t="s">
        <v>112</v>
      </c>
      <c r="B63" s="4">
        <v>465</v>
      </c>
      <c r="C63" s="18">
        <v>0.50319999999999998</v>
      </c>
      <c r="D63" s="14" t="s">
        <v>78</v>
      </c>
      <c r="E63" s="20">
        <v>4.3E-3</v>
      </c>
      <c r="F63" s="3" t="s">
        <v>210</v>
      </c>
      <c r="G63" s="31" t="s">
        <v>27</v>
      </c>
      <c r="I63"/>
      <c r="M63"/>
    </row>
    <row r="64" spans="1:13" x14ac:dyDescent="0.25">
      <c r="A64" t="s">
        <v>169</v>
      </c>
      <c r="B64" s="4">
        <v>625</v>
      </c>
      <c r="C64" s="29">
        <v>0.5</v>
      </c>
      <c r="F64" s="31" t="s">
        <v>52</v>
      </c>
      <c r="I64"/>
      <c r="M64"/>
    </row>
    <row r="65" spans="1:13" x14ac:dyDescent="0.25">
      <c r="A65" t="s">
        <v>170</v>
      </c>
      <c r="B65" s="4">
        <v>655</v>
      </c>
      <c r="C65" s="29">
        <v>0.5</v>
      </c>
      <c r="F65" s="31" t="s">
        <v>52</v>
      </c>
      <c r="I65"/>
      <c r="M65"/>
    </row>
    <row r="66" spans="1:13" x14ac:dyDescent="0.25">
      <c r="A66" t="s">
        <v>171</v>
      </c>
      <c r="B66" s="4">
        <v>950</v>
      </c>
      <c r="C66" s="29">
        <v>0.5</v>
      </c>
      <c r="F66" s="31" t="s">
        <v>52</v>
      </c>
      <c r="I66"/>
      <c r="M66"/>
    </row>
    <row r="67" spans="1:13" x14ac:dyDescent="0.25">
      <c r="A67" t="s">
        <v>172</v>
      </c>
      <c r="B67" s="4">
        <v>950</v>
      </c>
      <c r="C67" s="29">
        <v>0.5</v>
      </c>
      <c r="F67" s="31" t="s">
        <v>52</v>
      </c>
      <c r="I67"/>
      <c r="M67"/>
    </row>
    <row r="68" spans="1:13" x14ac:dyDescent="0.25">
      <c r="A68" t="s">
        <v>173</v>
      </c>
      <c r="B68" s="4">
        <v>500</v>
      </c>
      <c r="C68" s="29">
        <v>0.5</v>
      </c>
      <c r="F68" s="31" t="s">
        <v>52</v>
      </c>
      <c r="I68"/>
      <c r="M68"/>
    </row>
    <row r="69" spans="1:13" x14ac:dyDescent="0.25">
      <c r="A69" t="s">
        <v>174</v>
      </c>
      <c r="B69" s="4">
        <v>800</v>
      </c>
      <c r="C69" s="29">
        <v>0.5</v>
      </c>
      <c r="F69" s="31" t="s">
        <v>52</v>
      </c>
      <c r="I69"/>
      <c r="M69"/>
    </row>
    <row r="70" spans="1:13" x14ac:dyDescent="0.25">
      <c r="A70" t="s">
        <v>175</v>
      </c>
      <c r="B70" s="4">
        <v>820</v>
      </c>
      <c r="C70" s="29">
        <v>0.5</v>
      </c>
      <c r="F70" s="31" t="s">
        <v>52</v>
      </c>
      <c r="I70"/>
      <c r="M70"/>
    </row>
    <row r="71" spans="1:13" x14ac:dyDescent="0.25">
      <c r="A71" s="13" t="s">
        <v>105</v>
      </c>
      <c r="B71" s="4">
        <v>495</v>
      </c>
      <c r="C71" s="18">
        <v>0.52839999999999998</v>
      </c>
      <c r="D71" s="14" t="s">
        <v>78</v>
      </c>
      <c r="E71" s="20">
        <v>5.4999999999999997E-3</v>
      </c>
      <c r="F71" s="3" t="s">
        <v>197</v>
      </c>
      <c r="G71" s="31" t="s">
        <v>27</v>
      </c>
      <c r="I71"/>
      <c r="M71"/>
    </row>
    <row r="72" spans="1:13" x14ac:dyDescent="0.25">
      <c r="A72" s="13" t="s">
        <v>99</v>
      </c>
      <c r="B72" s="4">
        <v>700</v>
      </c>
      <c r="C72" s="18">
        <v>0.49630000000000002</v>
      </c>
      <c r="D72" s="14" t="s">
        <v>78</v>
      </c>
      <c r="E72" s="20">
        <v>3.2000000000000002E-3</v>
      </c>
      <c r="F72" s="3" t="s">
        <v>209</v>
      </c>
      <c r="G72" s="31" t="s">
        <v>27</v>
      </c>
      <c r="I72"/>
      <c r="M72"/>
    </row>
    <row r="73" spans="1:13" x14ac:dyDescent="0.25">
      <c r="A73" s="13" t="s">
        <v>117</v>
      </c>
      <c r="B73" s="4">
        <v>350</v>
      </c>
      <c r="C73" s="18">
        <v>0.51719999999999999</v>
      </c>
      <c r="D73" s="14" t="s">
        <v>78</v>
      </c>
      <c r="E73" s="20">
        <v>1.6999999999999999E-3</v>
      </c>
      <c r="F73" s="3" t="s">
        <v>229</v>
      </c>
      <c r="G73" s="31" t="s">
        <v>27</v>
      </c>
      <c r="I73"/>
      <c r="M73"/>
    </row>
    <row r="74" spans="1:13" x14ac:dyDescent="0.25">
      <c r="A74" t="s">
        <v>176</v>
      </c>
      <c r="B74" s="4">
        <v>920</v>
      </c>
      <c r="C74" s="29">
        <v>0.5</v>
      </c>
      <c r="F74" s="31" t="s">
        <v>52</v>
      </c>
      <c r="I74"/>
      <c r="M74"/>
    </row>
    <row r="75" spans="1:13" x14ac:dyDescent="0.25">
      <c r="A75" t="s">
        <v>177</v>
      </c>
      <c r="B75" s="4">
        <v>440</v>
      </c>
      <c r="C75" s="29">
        <v>0.5</v>
      </c>
      <c r="F75" s="32" t="s">
        <v>64</v>
      </c>
      <c r="H75" s="4"/>
      <c r="I75"/>
      <c r="M75"/>
    </row>
    <row r="76" spans="1:13" x14ac:dyDescent="0.25">
      <c r="A76" s="13" t="s">
        <v>103</v>
      </c>
      <c r="B76" s="4">
        <v>435</v>
      </c>
      <c r="C76" s="18">
        <v>0.48549999999999999</v>
      </c>
      <c r="D76" s="14" t="s">
        <v>78</v>
      </c>
      <c r="E76" s="20">
        <v>9.9000000000000008E-3</v>
      </c>
      <c r="F76" s="3" t="s">
        <v>198</v>
      </c>
      <c r="G76" s="31" t="s">
        <v>27</v>
      </c>
      <c r="I76"/>
      <c r="M76"/>
    </row>
    <row r="77" spans="1:13" x14ac:dyDescent="0.25">
      <c r="A77" s="13" t="s">
        <v>87</v>
      </c>
      <c r="B77" s="4">
        <v>610</v>
      </c>
      <c r="C77" s="18">
        <v>0.48370000000000002</v>
      </c>
      <c r="D77" s="14" t="s">
        <v>78</v>
      </c>
      <c r="E77" s="20">
        <v>2.0999999999999999E-3</v>
      </c>
      <c r="F77" s="3" t="s">
        <v>231</v>
      </c>
      <c r="G77" s="31" t="s">
        <v>27</v>
      </c>
      <c r="I77"/>
      <c r="M77"/>
    </row>
    <row r="78" spans="1:13" x14ac:dyDescent="0.25">
      <c r="A78" t="s">
        <v>233</v>
      </c>
      <c r="B78" s="36">
        <f>AVERAGE(510,500,465,450,545,400)</f>
        <v>478.33333333333331</v>
      </c>
      <c r="C78" s="39">
        <f>AVERAGE($N$10:$N$14,46.94%)</f>
        <v>0.50524999999999998</v>
      </c>
      <c r="F78" s="31"/>
      <c r="I78"/>
      <c r="M78"/>
    </row>
    <row r="79" spans="1:13" x14ac:dyDescent="0.25">
      <c r="A79" t="s">
        <v>178</v>
      </c>
      <c r="B79" s="4">
        <v>800</v>
      </c>
      <c r="C79" s="29">
        <v>0.5</v>
      </c>
      <c r="F79" s="31" t="s">
        <v>52</v>
      </c>
      <c r="I79"/>
      <c r="M79"/>
    </row>
    <row r="80" spans="1:13" x14ac:dyDescent="0.25">
      <c r="A80" s="13" t="s">
        <v>113</v>
      </c>
      <c r="B80" s="4">
        <v>450</v>
      </c>
      <c r="C80" s="18">
        <v>0.52470000000000006</v>
      </c>
      <c r="D80" s="14" t="s">
        <v>78</v>
      </c>
      <c r="E80" s="20">
        <v>3.8E-3</v>
      </c>
      <c r="F80" s="3" t="s">
        <v>212</v>
      </c>
      <c r="G80" s="31" t="s">
        <v>27</v>
      </c>
      <c r="I80"/>
      <c r="M80"/>
    </row>
    <row r="81" spans="1:13" x14ac:dyDescent="0.25">
      <c r="A81" t="s">
        <v>179</v>
      </c>
      <c r="B81" s="4">
        <v>440</v>
      </c>
      <c r="C81" s="39">
        <f>AVERAGE($J$16:$J$17)</f>
        <v>0.48170000000000002</v>
      </c>
      <c r="D81" s="23" t="s">
        <v>78</v>
      </c>
      <c r="E81" s="40">
        <f>AVERAGE($L$16:$L$17)</f>
        <v>5.0000000000000001E-3</v>
      </c>
      <c r="F81" s="31" t="s">
        <v>52</v>
      </c>
      <c r="G81" s="31"/>
      <c r="I81"/>
      <c r="M81"/>
    </row>
    <row r="82" spans="1:13" x14ac:dyDescent="0.25">
      <c r="A82" t="s">
        <v>180</v>
      </c>
      <c r="B82" s="4">
        <v>850</v>
      </c>
      <c r="C82" s="29">
        <v>0.5</v>
      </c>
      <c r="F82" s="31" t="s">
        <v>52</v>
      </c>
      <c r="I82"/>
      <c r="M82"/>
    </row>
    <row r="83" spans="1:13" x14ac:dyDescent="0.25">
      <c r="A83" s="13" t="s">
        <v>95</v>
      </c>
      <c r="B83" s="4">
        <v>415</v>
      </c>
      <c r="C83" s="18">
        <v>0.47089999999999999</v>
      </c>
      <c r="D83" s="14" t="s">
        <v>78</v>
      </c>
      <c r="E83" s="20">
        <v>7.4999999999999997E-3</v>
      </c>
      <c r="F83" s="3" t="s">
        <v>220</v>
      </c>
      <c r="G83" s="31" t="s">
        <v>27</v>
      </c>
      <c r="M83"/>
    </row>
    <row r="84" spans="1:13" x14ac:dyDescent="0.25">
      <c r="A84" t="s">
        <v>181</v>
      </c>
      <c r="B84" s="4">
        <v>510</v>
      </c>
      <c r="C84" s="29">
        <v>0.5</v>
      </c>
      <c r="F84" s="31" t="s">
        <v>52</v>
      </c>
      <c r="M84"/>
    </row>
    <row r="85" spans="1:13" x14ac:dyDescent="0.25">
      <c r="A85" s="13" t="s">
        <v>85</v>
      </c>
      <c r="B85" s="4">
        <v>450</v>
      </c>
      <c r="C85" s="18">
        <v>0.47699999999999998</v>
      </c>
      <c r="D85" s="14" t="s">
        <v>78</v>
      </c>
      <c r="E85" s="20">
        <v>1.1999999999999999E-3</v>
      </c>
      <c r="F85" s="3" t="s">
        <v>205</v>
      </c>
      <c r="G85" s="31" t="s">
        <v>27</v>
      </c>
      <c r="M85"/>
    </row>
    <row r="86" spans="1:13" x14ac:dyDescent="0.25">
      <c r="A86" s="13" t="s">
        <v>106</v>
      </c>
      <c r="B86" s="4">
        <v>370</v>
      </c>
      <c r="C86" s="18">
        <v>0.52139999999999997</v>
      </c>
      <c r="D86" s="14" t="s">
        <v>78</v>
      </c>
      <c r="E86" s="20">
        <v>8.8000000000000005E-3</v>
      </c>
      <c r="F86" s="3" t="s">
        <v>196</v>
      </c>
      <c r="G86" s="31" t="s">
        <v>27</v>
      </c>
      <c r="M86"/>
    </row>
    <row r="87" spans="1:13" x14ac:dyDescent="0.25">
      <c r="A87" s="13" t="s">
        <v>83</v>
      </c>
      <c r="B87" s="4">
        <v>610</v>
      </c>
      <c r="C87" s="18">
        <v>0.4864</v>
      </c>
      <c r="D87" s="14" t="s">
        <v>78</v>
      </c>
      <c r="E87" s="20">
        <v>5.1999999999999998E-3</v>
      </c>
      <c r="F87" s="3" t="s">
        <v>204</v>
      </c>
      <c r="G87" s="31" t="s">
        <v>27</v>
      </c>
      <c r="M87"/>
    </row>
    <row r="88" spans="1:13" x14ac:dyDescent="0.25">
      <c r="A88" s="13" t="s">
        <v>114</v>
      </c>
      <c r="B88" s="4">
        <v>545</v>
      </c>
      <c r="C88" s="18">
        <v>0.53280000000000005</v>
      </c>
      <c r="D88" s="14" t="s">
        <v>78</v>
      </c>
      <c r="E88" s="20">
        <v>3.3E-3</v>
      </c>
      <c r="F88" s="3" t="s">
        <v>213</v>
      </c>
      <c r="G88" s="31" t="s">
        <v>27</v>
      </c>
      <c r="M88"/>
    </row>
    <row r="89" spans="1:13" x14ac:dyDescent="0.25">
      <c r="A89" t="s">
        <v>182</v>
      </c>
      <c r="B89" s="4">
        <v>750</v>
      </c>
      <c r="C89" s="29">
        <v>0.5</v>
      </c>
      <c r="F89" s="31" t="s">
        <v>52</v>
      </c>
      <c r="M89"/>
    </row>
    <row r="90" spans="1:13" x14ac:dyDescent="0.25">
      <c r="A90" t="s">
        <v>183</v>
      </c>
      <c r="B90" s="4">
        <v>650</v>
      </c>
      <c r="C90" s="29">
        <v>0.5</v>
      </c>
      <c r="F90" s="31" t="s">
        <v>52</v>
      </c>
      <c r="M90"/>
    </row>
    <row r="91" spans="1:13" x14ac:dyDescent="0.25">
      <c r="A91" s="13" t="s">
        <v>79</v>
      </c>
      <c r="B91" s="33">
        <v>380</v>
      </c>
      <c r="C91" s="18">
        <v>0.54659999999999997</v>
      </c>
      <c r="D91" s="14" t="s">
        <v>78</v>
      </c>
      <c r="E91" s="20">
        <v>2.7000000000000001E-3</v>
      </c>
      <c r="F91" s="31" t="s">
        <v>27</v>
      </c>
      <c r="M91"/>
    </row>
    <row r="92" spans="1:13" x14ac:dyDescent="0.25">
      <c r="A92" s="13" t="s">
        <v>80</v>
      </c>
      <c r="B92" s="33">
        <v>380</v>
      </c>
      <c r="C92" s="18">
        <v>0.5252</v>
      </c>
      <c r="D92" s="14" t="s">
        <v>78</v>
      </c>
      <c r="E92" s="20">
        <v>2.7000000000000001E-3</v>
      </c>
      <c r="F92" s="31" t="s">
        <v>27</v>
      </c>
      <c r="M92"/>
    </row>
    <row r="93" spans="1:13" x14ac:dyDescent="0.25">
      <c r="A93" t="s">
        <v>184</v>
      </c>
      <c r="B93" s="4">
        <v>510</v>
      </c>
      <c r="C93" s="29">
        <v>0.5</v>
      </c>
      <c r="F93" s="31" t="s">
        <v>52</v>
      </c>
      <c r="M93"/>
    </row>
    <row r="94" spans="1:13" x14ac:dyDescent="0.25">
      <c r="A94" t="s">
        <v>185</v>
      </c>
      <c r="B94" s="4">
        <v>640</v>
      </c>
      <c r="C94" s="29">
        <v>0.5</v>
      </c>
      <c r="F94" s="31" t="s">
        <v>52</v>
      </c>
      <c r="M94"/>
    </row>
    <row r="95" spans="1:13" x14ac:dyDescent="0.25">
      <c r="A95" s="13" t="s">
        <v>110</v>
      </c>
      <c r="B95" s="4">
        <v>425</v>
      </c>
      <c r="C95" s="18">
        <v>0.4995</v>
      </c>
      <c r="D95" s="14" t="s">
        <v>78</v>
      </c>
      <c r="E95" s="20">
        <v>2.0000000000000001E-4</v>
      </c>
      <c r="F95" s="3" t="s">
        <v>222</v>
      </c>
      <c r="G95" s="31" t="s">
        <v>27</v>
      </c>
      <c r="M95"/>
    </row>
    <row r="96" spans="1:13" x14ac:dyDescent="0.25">
      <c r="A96" s="13" t="s">
        <v>84</v>
      </c>
      <c r="B96" s="4">
        <v>705</v>
      </c>
      <c r="C96" s="18">
        <v>0.49320000000000003</v>
      </c>
      <c r="D96" s="14" t="s">
        <v>78</v>
      </c>
      <c r="E96" s="20">
        <v>1.9E-3</v>
      </c>
      <c r="F96" s="3" t="s">
        <v>203</v>
      </c>
      <c r="G96" s="31" t="s">
        <v>27</v>
      </c>
      <c r="M96"/>
    </row>
    <row r="97" spans="1:13" x14ac:dyDescent="0.25">
      <c r="A97" t="s">
        <v>186</v>
      </c>
      <c r="B97" s="4">
        <v>900</v>
      </c>
      <c r="C97" s="29">
        <v>0.5</v>
      </c>
      <c r="F97" s="31" t="s">
        <v>52</v>
      </c>
      <c r="M97"/>
    </row>
    <row r="98" spans="1:13" x14ac:dyDescent="0.25">
      <c r="A98" t="s">
        <v>187</v>
      </c>
      <c r="B98" s="4">
        <v>550</v>
      </c>
      <c r="C98" s="29">
        <v>0.5</v>
      </c>
      <c r="F98" s="31" t="s">
        <v>52</v>
      </c>
      <c r="M98"/>
    </row>
    <row r="99" spans="1:13" x14ac:dyDescent="0.25">
      <c r="A99" t="s">
        <v>188</v>
      </c>
      <c r="B99" s="4">
        <v>800</v>
      </c>
      <c r="C99" s="29">
        <v>0.5</v>
      </c>
      <c r="F99" s="31" t="s">
        <v>52</v>
      </c>
      <c r="M99"/>
    </row>
    <row r="100" spans="1:13" x14ac:dyDescent="0.25">
      <c r="A100" t="s">
        <v>189</v>
      </c>
      <c r="B100" s="4">
        <v>675</v>
      </c>
      <c r="C100" s="29">
        <v>0.5</v>
      </c>
      <c r="F100" s="31" t="s">
        <v>52</v>
      </c>
      <c r="M100"/>
    </row>
    <row r="101" spans="1:13" x14ac:dyDescent="0.25">
      <c r="A101" t="s">
        <v>190</v>
      </c>
      <c r="B101" s="4">
        <v>950</v>
      </c>
      <c r="C101" s="29">
        <v>0.5</v>
      </c>
      <c r="F101" s="31" t="s">
        <v>52</v>
      </c>
      <c r="M101"/>
    </row>
    <row r="102" spans="1:13" x14ac:dyDescent="0.25">
      <c r="A102" t="s">
        <v>254</v>
      </c>
      <c r="B102" s="36">
        <f>AVERAGE(B2:B101,B103:B113)</f>
        <v>641.082957957958</v>
      </c>
      <c r="C102" s="37">
        <f>AVERAGE(C2:C101,C103:C113)</f>
        <v>0.49759039039039027</v>
      </c>
      <c r="F102" s="31"/>
      <c r="M102"/>
    </row>
    <row r="103" spans="1:13" x14ac:dyDescent="0.25">
      <c r="A103" t="s">
        <v>191</v>
      </c>
      <c r="B103" s="4">
        <v>400</v>
      </c>
      <c r="C103" s="39">
        <f>AVERAGE($N$8:$N$9)</f>
        <v>0.50170000000000003</v>
      </c>
      <c r="D103" s="23" t="s">
        <v>78</v>
      </c>
      <c r="E103" s="40">
        <f>AVERAGE($P$8:$P$9)</f>
        <v>2.3499999999999997E-3</v>
      </c>
      <c r="F103" s="31" t="s">
        <v>52</v>
      </c>
      <c r="G103" s="31"/>
      <c r="M103"/>
    </row>
    <row r="104" spans="1:13" x14ac:dyDescent="0.25">
      <c r="A104" t="s">
        <v>192</v>
      </c>
      <c r="B104" s="4">
        <v>550</v>
      </c>
      <c r="C104" s="39">
        <f>AVERAGE($J$13:$J$14)</f>
        <v>0.48850000000000005</v>
      </c>
      <c r="D104" s="23" t="s">
        <v>78</v>
      </c>
      <c r="E104" s="40">
        <f>AVERAGE($L$13:$L$14)</f>
        <v>2.3999999999999998E-3</v>
      </c>
      <c r="F104" s="31" t="s">
        <v>52</v>
      </c>
      <c r="G104" s="31"/>
      <c r="M104"/>
    </row>
    <row r="105" spans="1:13" x14ac:dyDescent="0.25">
      <c r="A105" t="s">
        <v>193</v>
      </c>
      <c r="B105" s="4">
        <v>875</v>
      </c>
      <c r="C105" s="29">
        <v>0.5</v>
      </c>
      <c r="F105" s="31" t="s">
        <v>52</v>
      </c>
      <c r="M105"/>
    </row>
    <row r="106" spans="1:13" x14ac:dyDescent="0.25">
      <c r="A106" s="13" t="s">
        <v>120</v>
      </c>
      <c r="B106" s="4">
        <v>465</v>
      </c>
      <c r="C106" s="18">
        <v>0.50600000000000001</v>
      </c>
      <c r="D106" s="14" t="s">
        <v>78</v>
      </c>
      <c r="E106" s="20">
        <v>4.4999999999999997E-3</v>
      </c>
      <c r="F106" s="3" t="s">
        <v>227</v>
      </c>
      <c r="G106" s="31" t="s">
        <v>27</v>
      </c>
      <c r="M106"/>
    </row>
    <row r="107" spans="1:13" x14ac:dyDescent="0.25">
      <c r="A107" s="13" t="s">
        <v>108</v>
      </c>
      <c r="B107" s="4">
        <v>575</v>
      </c>
      <c r="C107" s="18">
        <v>0.47599999999999998</v>
      </c>
      <c r="D107" s="14" t="s">
        <v>78</v>
      </c>
      <c r="E107" s="20">
        <v>2.0999999999999999E-3</v>
      </c>
      <c r="F107" s="3" t="s">
        <v>217</v>
      </c>
      <c r="G107" s="31" t="s">
        <v>27</v>
      </c>
      <c r="M107"/>
    </row>
    <row r="108" spans="1:13" x14ac:dyDescent="0.25">
      <c r="A108" t="s">
        <v>194</v>
      </c>
      <c r="B108" s="4">
        <v>360</v>
      </c>
      <c r="C108" s="18">
        <f>$N$17</f>
        <v>0.51539999999999997</v>
      </c>
      <c r="D108" s="23" t="s">
        <v>78</v>
      </c>
      <c r="E108" s="20">
        <f>$P$17</f>
        <v>3.8E-3</v>
      </c>
      <c r="F108" s="31" t="s">
        <v>52</v>
      </c>
      <c r="G108" s="31" t="s">
        <v>27</v>
      </c>
      <c r="M108"/>
    </row>
    <row r="109" spans="1:13" x14ac:dyDescent="0.25">
      <c r="A109" s="13" t="s">
        <v>115</v>
      </c>
      <c r="B109" s="4">
        <v>400</v>
      </c>
      <c r="C109" s="18">
        <v>0.49740000000000001</v>
      </c>
      <c r="D109" s="14" t="s">
        <v>78</v>
      </c>
      <c r="E109" s="20">
        <v>1.6000000000000001E-3</v>
      </c>
      <c r="F109" s="3" t="s">
        <v>214</v>
      </c>
      <c r="G109" s="31" t="s">
        <v>27</v>
      </c>
      <c r="I109"/>
      <c r="M109"/>
    </row>
    <row r="110" spans="1:13" x14ac:dyDescent="0.25">
      <c r="A110" s="13" t="s">
        <v>98</v>
      </c>
      <c r="B110" s="4">
        <v>755</v>
      </c>
      <c r="C110" s="18">
        <v>0.49569999999999997</v>
      </c>
      <c r="D110" s="14" t="s">
        <v>78</v>
      </c>
      <c r="E110" s="20">
        <v>2.2000000000000001E-3</v>
      </c>
      <c r="F110" s="3" t="s">
        <v>208</v>
      </c>
      <c r="G110" s="31" t="s">
        <v>27</v>
      </c>
      <c r="I110"/>
      <c r="M110"/>
    </row>
    <row r="111" spans="1:13" x14ac:dyDescent="0.25">
      <c r="A111" s="13" t="s">
        <v>109</v>
      </c>
      <c r="B111" s="4">
        <v>425</v>
      </c>
      <c r="C111" s="18">
        <v>0.50390000000000001</v>
      </c>
      <c r="D111" s="14" t="s">
        <v>78</v>
      </c>
      <c r="E111" s="20">
        <v>4.4999999999999997E-3</v>
      </c>
      <c r="F111" s="3" t="s">
        <v>223</v>
      </c>
      <c r="G111" s="31" t="s">
        <v>27</v>
      </c>
      <c r="I111"/>
      <c r="M111"/>
    </row>
    <row r="112" spans="1:13" x14ac:dyDescent="0.25">
      <c r="A112" s="13" t="s">
        <v>100</v>
      </c>
      <c r="B112" s="38">
        <f>AVERAGE(415,400,430)</f>
        <v>415</v>
      </c>
      <c r="C112" s="18">
        <v>0.49049999999999999</v>
      </c>
      <c r="D112" s="14" t="s">
        <v>78</v>
      </c>
      <c r="E112" s="20">
        <v>5.7999999999999996E-3</v>
      </c>
      <c r="F112" s="3" t="s">
        <v>224</v>
      </c>
      <c r="G112" s="31" t="s">
        <v>27</v>
      </c>
      <c r="I112"/>
      <c r="M112"/>
    </row>
    <row r="113" spans="1:13" x14ac:dyDescent="0.25">
      <c r="A113" s="13" t="s">
        <v>86</v>
      </c>
      <c r="B113" s="4">
        <v>690</v>
      </c>
      <c r="C113" s="18">
        <v>0.4627</v>
      </c>
      <c r="D113" s="14" t="s">
        <v>78</v>
      </c>
      <c r="E113" s="20">
        <v>3.3E-3</v>
      </c>
      <c r="F113" s="3" t="s">
        <v>230</v>
      </c>
      <c r="G113" s="31" t="s">
        <v>27</v>
      </c>
      <c r="I113"/>
      <c r="M113"/>
    </row>
  </sheetData>
  <sheetProtection algorithmName="SHA-512" hashValue="cRhhu4bvwYv52Pkz1+8ZpTYCCw8hIBvfx4wF15bfhJtq5RbD+ZpM/V5JAn3DB08tQCJDZfGO6+I/30pwmV5dag==" saltValue="UsLGYJEw+SYLpK0FDKDMEQ==" spinCount="100000" sheet="1" objects="1" scenarios="1"/>
  <sortState xmlns:xlrd2="http://schemas.microsoft.com/office/spreadsheetml/2017/richdata2" ref="A2:H113">
    <sortCondition ref="A2:A113"/>
  </sortState>
  <mergeCells count="2">
    <mergeCell ref="J1:L1"/>
    <mergeCell ref="N1:P1"/>
  </mergeCells>
  <phoneticPr fontId="11" type="noConversion"/>
  <hyperlinks>
    <hyperlink ref="F2" r:id="rId1" display="https://opslagco2inhout.nl/motivatie" xr:uid="{3BB6AE19-F2EE-4509-91E7-26317DCAE90E}"/>
    <hyperlink ref="F75" r:id="rId2" xr:uid="{E096483A-0479-4335-83AE-28D982EDA62F}"/>
    <hyperlink ref="G113" r:id="rId3" xr:uid="{92CC822B-2488-4C3A-8361-35390202CE86}"/>
    <hyperlink ref="G77" r:id="rId4" xr:uid="{948311D1-7EAA-4AD1-A33B-BEA894BF59F7}"/>
    <hyperlink ref="G8" r:id="rId5" xr:uid="{796AD8A2-104D-405D-9D27-977C455FE4BA}"/>
    <hyperlink ref="G42" r:id="rId6" xr:uid="{F78DE973-92D3-41A0-94AE-901EAE9B5BAB}"/>
    <hyperlink ref="G53" r:id="rId7" xr:uid="{1A8F7C0A-48B7-444C-AF10-561E3279C8FA}"/>
    <hyperlink ref="G108" r:id="rId8" xr:uid="{9998D693-74DB-490B-8BBE-5A632A799254}"/>
    <hyperlink ref="G22" r:id="rId9" xr:uid="{87DEA0C8-6099-4D6C-AE53-F4847F2D0559}"/>
    <hyperlink ref="G29" r:id="rId10" xr:uid="{8A611CE3-3325-4FBC-B1DC-7B3A2F5F1293}"/>
    <hyperlink ref="G87" r:id="rId11" xr:uid="{8F88EBAA-9075-450A-9F9C-4D6ADAEE2320}"/>
    <hyperlink ref="G96" r:id="rId12" xr:uid="{79968D33-C0EA-40D1-8A7F-BA6D7822F0D9}"/>
    <hyperlink ref="G85" r:id="rId13" xr:uid="{389DA615-0477-434B-BE3A-703385DC74D8}"/>
    <hyperlink ref="G7" r:id="rId14" xr:uid="{835A7F1E-9569-4B19-A36D-9CF95952F19B}"/>
    <hyperlink ref="G25" r:id="rId15" xr:uid="{47B31625-2F2F-4E2D-8F6F-E339025736CD}"/>
    <hyperlink ref="G30" r:id="rId16" xr:uid="{D082CFB0-5B2B-4738-8256-675DD2540F21}"/>
    <hyperlink ref="G43" r:id="rId17" xr:uid="{1D91166B-A050-45E7-94C1-DFC981B31792}"/>
    <hyperlink ref="G11" r:id="rId18" xr:uid="{965DA3CE-2FB6-43B5-98CA-75E195512D03}"/>
    <hyperlink ref="G27" r:id="rId19" xr:uid="{E5AEF4E0-D548-4F36-AC19-3F9DAD69938C}"/>
    <hyperlink ref="G83" r:id="rId20" xr:uid="{C245E4D0-B945-4271-9ABF-CB613CEE3504}"/>
    <hyperlink ref="G110" r:id="rId21" xr:uid="{8902272E-7ECB-4079-9E0B-001E05AA9387}"/>
    <hyperlink ref="G72" r:id="rId22" xr:uid="{561C66B5-BC85-4168-8921-A10942917807}"/>
    <hyperlink ref="G26" r:id="rId23" xr:uid="{804BE9F8-9C5C-4526-A4B0-B0A9067477EE}"/>
    <hyperlink ref="G112" r:id="rId24" xr:uid="{DCACE670-7154-486F-B9C5-1AD1B1097E30}"/>
    <hyperlink ref="G10" r:id="rId25" xr:uid="{1F68C26D-8977-4F0B-B0B6-6CE0355673B4}"/>
    <hyperlink ref="G44" r:id="rId26" xr:uid="{6AB13246-8897-484A-824E-268C67615E81}"/>
    <hyperlink ref="G17" r:id="rId27" xr:uid="{2FF8541E-A036-4AFB-B9C8-41CB63C5E608}"/>
    <hyperlink ref="G76" r:id="rId28" xr:uid="{A1EE5E09-1C72-4781-AEFC-FF1C8FE4EC01}"/>
    <hyperlink ref="G107" r:id="rId29" xr:uid="{5347E12C-8A14-43B8-99AC-97E0D4700721}"/>
    <hyperlink ref="G9" r:id="rId30" xr:uid="{7E0FCC7E-84AB-4F3C-A35F-5889EEA859F3}"/>
    <hyperlink ref="G95" r:id="rId31" xr:uid="{5F2DFD41-7E7A-46DD-AD99-97E409BD9278}"/>
    <hyperlink ref="G111" r:id="rId32" xr:uid="{5AD59948-74C0-4665-9457-62A68E5A782F}"/>
    <hyperlink ref="G57" r:id="rId33" xr:uid="{A54A9F90-3435-4570-9B53-885FAE238F6B}"/>
    <hyperlink ref="G59:G62" r:id="rId34" display="https://www.sciencedirect.com/science/article/abs/pii/S0961953403000333" xr:uid="{BFF7EEE5-4F97-484B-9439-853BD0464307}"/>
    <hyperlink ref="G30:G31" r:id="rId35" display="https://www.sciencedirect.com/science/article/abs/pii/S0961953403000333" xr:uid="{6569F027-FAC3-431F-94CF-6A59A1FECA6F}"/>
    <hyperlink ref="G73" r:id="rId36" xr:uid="{06880C2A-2CDE-4FF1-BD07-A7D5052CCFD5}"/>
    <hyperlink ref="G106" r:id="rId37" xr:uid="{3A0FC06A-85C2-45B3-A008-611DF6922A55}"/>
    <hyperlink ref="G32" r:id="rId38" xr:uid="{A5C69646-44A7-4392-8C8D-7E61A81AFE41}"/>
    <hyperlink ref="F49" r:id="rId39" xr:uid="{52442428-9004-4389-9582-C4CD45AD4EF5}"/>
    <hyperlink ref="F91" r:id="rId40" xr:uid="{DEC94E06-810B-4B8E-A6FA-62505B824D31}"/>
    <hyperlink ref="F92" r:id="rId41" xr:uid="{FA59E57C-E867-4048-A7C2-8CBC26384266}"/>
    <hyperlink ref="F10" r:id="rId42" display="https://www.houtinfo.nl/node/224" xr:uid="{80A331B5-5BE4-4FC4-A4D6-68E9E25CE344}"/>
    <hyperlink ref="F44" r:id="rId43" display="https://www.houtinfo.nl/node/255" xr:uid="{7BC04188-9890-45DD-B8C7-5DD386F98327}"/>
    <hyperlink ref="F86" r:id="rId44" display="https://www.wood-database.com/western-red-cedar/" xr:uid="{8132382E-CD3D-4F55-8905-C454415671AE}"/>
    <hyperlink ref="F71" r:id="rId45" display="https://www.wood-database.com/alaskan-yellow-cedar/" xr:uid="{B46569B8-A8C5-46F5-ADF6-891FE9C7A1F4}"/>
    <hyperlink ref="F76" r:id="rId46" display="https://www.wood-database.com/pacific-silver-fir/" xr:uid="{E25B106E-F8F4-4236-BF0B-0ABF2E2E17B9}"/>
    <hyperlink ref="F17" r:id="rId47" display="https://www.wood-database.com/balsam-fir/" xr:uid="{9C538660-D2C7-464B-98BE-1866785CB7E3}"/>
    <hyperlink ref="F29" r:id="rId48" display="https://www.wood-database.com/box-elder/" xr:uid="{D9F22916-6B95-408F-9198-9558FEE23283}"/>
    <hyperlink ref="F22" r:id="rId49" display="https://www.wood-database.com/bigleaf-maple/" xr:uid="{AD68BBF6-6D08-4975-A919-E2DA5C6C359C}"/>
    <hyperlink ref="F96" r:id="rId50" display="https://www.wood-database.com/hard-maple/" xr:uid="{DC19141C-7F24-44DE-82C1-C31A1EDD8C72}"/>
    <hyperlink ref="F87" r:id="rId51" display="https://www.wood-database.com/red-maple/" xr:uid="{3FBFE147-0270-4E75-9E9C-23E7D6E4E9B7}"/>
    <hyperlink ref="F85" r:id="rId52" display="https://www.wood-database.com/red-alder/" xr:uid="{EDD5422A-49A8-424C-AF1B-466664F1CEDC}"/>
    <hyperlink ref="F25" r:id="rId53" display="https://www.wood-database.com/black-ash/" xr:uid="{9D285B07-47C3-4C1F-8E7D-F155DE0BC027}"/>
    <hyperlink ref="F7" r:id="rId54" display="https://www.wood-database.com/white-ash/" xr:uid="{1152E086-8115-4D2C-A40E-2178BE3BD942}"/>
    <hyperlink ref="F110" r:id="rId55" display="https://www.wood-database.com/white-oak/" xr:uid="{EE6AA15A-7C56-4519-B2AA-DF3C2078D1F3}"/>
    <hyperlink ref="F72" r:id="rId56" display="https://www.wood-database.com/red-oak/" xr:uid="{3AB77B5C-BE74-46F1-876C-1CF66AA6C3A3}"/>
    <hyperlink ref="F63" r:id="rId57" display="https://www.wood-database.com/lodgepole-pine/" xr:uid="{9DB936AC-3CBC-4793-834E-193DFB5C44F6}"/>
    <hyperlink ref="F57" r:id="rId58" display="https://www.wood-database.com/jack-pine/" xr:uid="{E3052E0B-7625-4FFC-A4FA-540928315118}"/>
    <hyperlink ref="F80" r:id="rId59" display="https://www.wood-database.com/ponderosa-pine/" xr:uid="{F9F4838F-F222-45D0-8E2D-32AFF9B781B1}"/>
    <hyperlink ref="F88" r:id="rId60" display="https://www.wood-database.com/red-pine/" xr:uid="{9A126274-0EFB-4629-B7AE-D86FAAC3118D}"/>
    <hyperlink ref="F109" r:id="rId61" display="https://www.wood-database.com/eastern-white-pine/" xr:uid="{B8B620BA-EAEA-4A1A-91A8-B404F242C72E}"/>
    <hyperlink ref="F53" r:id="rId62" display="https://www.wood-database.com/?s=carya" xr:uid="{7D37547D-75C4-4093-A062-C81B872D9581}"/>
    <hyperlink ref="F9" r:id="rId63" display="https://www.wood-database.com/tamarack/" xr:uid="{736FE7E4-5FED-455C-AAB6-B00BF6FC05CD}"/>
    <hyperlink ref="F107" r:id="rId64" display="https://www.wood-database.com/western-larch/" xr:uid="{803B4D82-1326-4F8D-99FB-E130AEA1D593}"/>
    <hyperlink ref="F11" r:id="rId65" display="https://www.wood-database.com/sycamore/" xr:uid="{EDB5BAC2-458B-4987-9953-497F7D1069E0}"/>
    <hyperlink ref="F27" r:id="rId66" display="https://www.wood-database.com/black-cottonwood/" xr:uid="{26B78477-3DEB-4A7D-9E81-FEFEA300479A}"/>
    <hyperlink ref="F83" r:id="rId67" display="https://www.wood-database.com/quaking-aspen/" xr:uid="{38DAD106-A95D-4D0B-900E-52173F8BBF94}"/>
    <hyperlink ref="F26" r:id="rId68" display="https://www.wood-database.com/black-cherry/" xr:uid="{E9F4E128-4FD2-4FD8-A7A3-E145FFB210DC}"/>
    <hyperlink ref="F95" r:id="rId69" display="https://www.wood-database.com/sitka-spruce/" xr:uid="{F5A3B799-1AA3-4110-9FC9-78DB56C5CC7D}"/>
    <hyperlink ref="F111" r:id="rId70" display="https://www.wood-database.com/white-spruce/" xr:uid="{6D59DF1A-FB7F-4CFF-9A89-D59B58940271}"/>
    <hyperlink ref="F112" r:id="rId71" display="https://www.wood-database.com/?s=salix" xr:uid="{C4BBD26A-F974-4567-B470-DB6808E8E8AC}"/>
    <hyperlink ref="F43" r:id="rId72" display="https://www.wood-database.com/black-walnut/" xr:uid="{EB73D7DC-9C97-4339-A942-3EE41C674E7E}"/>
    <hyperlink ref="F30" r:id="rId73" display="https://www.wood-database.com/butternut/" xr:uid="{B2356055-A81D-4AF0-B995-66BE7B5DFB4A}"/>
    <hyperlink ref="F106" r:id="rId74" display="https://www.wood-database.com/western-hemlock/" xr:uid="{84C26666-3AA0-4B1E-BAA1-68681806F6A6}"/>
    <hyperlink ref="F32" r:id="rId75" display="https://www.wood-database.com/eastern-hemlock/" xr:uid="{C44A5800-36F9-490F-8476-1DFAE78C65D0}"/>
    <hyperlink ref="F73" r:id="rId76" display="https://www.wood-database.com/northern-white-cedar/" xr:uid="{F76B604F-4F31-4AB6-83C7-76FCD7086EAD}"/>
    <hyperlink ref="F113" r:id="rId77" display="https://www.wood-database.com/yellow-birch/" xr:uid="{E7CDB400-EEA0-41A4-A33C-899A480342EB}"/>
    <hyperlink ref="F77" r:id="rId78" display="https://www.wood-database.com/paper-birch/" xr:uid="{59F0B2B6-D397-4AC2-B4B2-FA62EF8E57AD}"/>
    <hyperlink ref="F8" r:id="rId79" display="https://www.wood-database.com/american-beech/" xr:uid="{76E77B4B-86C4-4E09-B602-639000758827}"/>
    <hyperlink ref="G51" r:id="rId80" display="https://www.researchgate.net/publication/287808853_Carbon_content_in_Juvenile_and_mature_wood_of_Scots_Pine_Pinus_sylyestris_L" xr:uid="{DCC5095E-B045-440C-A3AF-F752FFE1A87F}"/>
  </hyperlinks>
  <pageMargins left="0.7" right="0.7" top="0.75" bottom="0.75" header="0.3" footer="0.3"/>
  <pageSetup paperSize="9" orientation="portrait" horizontalDpi="4294967293" verticalDpi="0" r:id="rId81"/>
  <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D7F1-8E8C-4433-94D5-03B61A15B8B3}">
  <dimension ref="A1:K28"/>
  <sheetViews>
    <sheetView workbookViewId="0"/>
  </sheetViews>
  <sheetFormatPr defaultRowHeight="15" x14ac:dyDescent="0.25"/>
  <cols>
    <col min="7" max="7" width="9.140625" customWidth="1"/>
    <col min="8" max="9" width="43.85546875" bestFit="1" customWidth="1"/>
    <col min="10" max="10" width="43.85546875" customWidth="1"/>
    <col min="11" max="11" width="24.28515625" bestFit="1" customWidth="1"/>
  </cols>
  <sheetData>
    <row r="1" spans="1:11" x14ac:dyDescent="0.25">
      <c r="A1" s="12" t="s">
        <v>33</v>
      </c>
      <c r="B1" s="12" t="s">
        <v>48</v>
      </c>
      <c r="C1" s="12" t="s">
        <v>44</v>
      </c>
      <c r="D1" s="12" t="s">
        <v>0</v>
      </c>
      <c r="E1" s="12" t="s">
        <v>61</v>
      </c>
      <c r="F1" s="12"/>
      <c r="G1" s="12" t="s">
        <v>274</v>
      </c>
      <c r="H1" s="12"/>
    </row>
    <row r="2" spans="1:11" x14ac:dyDescent="0.25">
      <c r="A2" t="s">
        <v>34</v>
      </c>
      <c r="C2" t="s">
        <v>45</v>
      </c>
      <c r="D2" t="s">
        <v>57</v>
      </c>
      <c r="E2" s="8">
        <v>0.05</v>
      </c>
      <c r="G2" s="12" t="s">
        <v>273</v>
      </c>
      <c r="H2" s="12" t="s">
        <v>272</v>
      </c>
      <c r="I2" s="12" t="s">
        <v>253</v>
      </c>
      <c r="J2" s="12" t="s">
        <v>278</v>
      </c>
      <c r="K2" s="45" t="s">
        <v>328</v>
      </c>
    </row>
    <row r="3" spans="1:11" x14ac:dyDescent="0.25">
      <c r="A3" t="s">
        <v>35</v>
      </c>
      <c r="C3" t="s">
        <v>46</v>
      </c>
      <c r="D3" t="s">
        <v>58</v>
      </c>
      <c r="E3" s="8">
        <v>0.1</v>
      </c>
      <c r="G3" s="46" t="s">
        <v>0</v>
      </c>
      <c r="H3" s="46" t="s">
        <v>0</v>
      </c>
      <c r="I3" s="46" t="s">
        <v>73</v>
      </c>
      <c r="J3" s="71" t="s">
        <v>333</v>
      </c>
      <c r="K3" t="s">
        <v>244</v>
      </c>
    </row>
    <row r="4" spans="1:11" ht="17.25" x14ac:dyDescent="0.25">
      <c r="A4" t="s">
        <v>36</v>
      </c>
      <c r="C4" t="s">
        <v>47</v>
      </c>
      <c r="D4" t="s">
        <v>59</v>
      </c>
      <c r="E4" s="8">
        <v>0.15</v>
      </c>
      <c r="G4" s="46" t="s">
        <v>15</v>
      </c>
      <c r="H4" s="46" t="s">
        <v>10</v>
      </c>
      <c r="I4" s="46" t="s">
        <v>324</v>
      </c>
      <c r="J4" s="46" t="s">
        <v>329</v>
      </c>
      <c r="K4" t="s">
        <v>242</v>
      </c>
    </row>
    <row r="5" spans="1:11" x14ac:dyDescent="0.25">
      <c r="A5" t="s">
        <v>37</v>
      </c>
      <c r="E5" s="8">
        <v>0.2</v>
      </c>
      <c r="G5" s="46" t="s">
        <v>21</v>
      </c>
      <c r="H5" s="46" t="s">
        <v>73</v>
      </c>
      <c r="I5" s="46" t="s">
        <v>321</v>
      </c>
      <c r="J5" s="46"/>
      <c r="K5" t="s">
        <v>243</v>
      </c>
    </row>
    <row r="6" spans="1:11" x14ac:dyDescent="0.25">
      <c r="A6" t="s">
        <v>38</v>
      </c>
      <c r="E6" s="8">
        <v>0.25</v>
      </c>
      <c r="G6" s="46" t="s">
        <v>327</v>
      </c>
      <c r="H6" s="46" t="s">
        <v>12</v>
      </c>
      <c r="I6" s="46" t="s">
        <v>316</v>
      </c>
      <c r="J6" s="46"/>
      <c r="K6" t="s">
        <v>7</v>
      </c>
    </row>
    <row r="7" spans="1:11" x14ac:dyDescent="0.25">
      <c r="A7" t="s">
        <v>39</v>
      </c>
      <c r="E7" s="8">
        <v>0.3</v>
      </c>
      <c r="G7" s="46"/>
      <c r="H7" s="46" t="s">
        <v>318</v>
      </c>
      <c r="I7" t="s">
        <v>338</v>
      </c>
      <c r="J7" s="46"/>
      <c r="K7" t="s">
        <v>11</v>
      </c>
    </row>
    <row r="8" spans="1:11" x14ac:dyDescent="0.25">
      <c r="A8" t="s">
        <v>41</v>
      </c>
      <c r="E8" s="8">
        <v>0.35</v>
      </c>
      <c r="G8" s="46"/>
      <c r="H8" s="46" t="s">
        <v>19</v>
      </c>
      <c r="I8" s="46" t="s">
        <v>349</v>
      </c>
      <c r="J8" s="46"/>
      <c r="K8" t="s">
        <v>13</v>
      </c>
    </row>
    <row r="9" spans="1:11" x14ac:dyDescent="0.25">
      <c r="A9" t="s">
        <v>40</v>
      </c>
      <c r="E9" s="8">
        <v>0.4</v>
      </c>
      <c r="G9" s="46"/>
      <c r="H9" s="46" t="s">
        <v>25</v>
      </c>
      <c r="I9" s="46"/>
      <c r="J9" s="46"/>
      <c r="K9" t="s">
        <v>14</v>
      </c>
    </row>
    <row r="10" spans="1:11" x14ac:dyDescent="0.25">
      <c r="A10" t="s">
        <v>65</v>
      </c>
      <c r="E10" s="8">
        <v>0.45</v>
      </c>
      <c r="K10" t="s">
        <v>16</v>
      </c>
    </row>
    <row r="11" spans="1:11" x14ac:dyDescent="0.25">
      <c r="E11" s="8">
        <v>0.5</v>
      </c>
      <c r="K11" t="s">
        <v>17</v>
      </c>
    </row>
    <row r="12" spans="1:11" x14ac:dyDescent="0.25">
      <c r="E12" s="8">
        <v>0.55000000000000004</v>
      </c>
      <c r="K12" t="s">
        <v>18</v>
      </c>
    </row>
    <row r="13" spans="1:11" x14ac:dyDescent="0.25">
      <c r="E13" s="8">
        <v>0.6</v>
      </c>
      <c r="K13" t="s">
        <v>20</v>
      </c>
    </row>
    <row r="14" spans="1:11" x14ac:dyDescent="0.25">
      <c r="E14" s="8">
        <v>0.65</v>
      </c>
      <c r="K14" t="s">
        <v>276</v>
      </c>
    </row>
    <row r="15" spans="1:11" x14ac:dyDescent="0.25">
      <c r="E15" s="8">
        <v>0.7</v>
      </c>
      <c r="K15" t="s">
        <v>22</v>
      </c>
    </row>
    <row r="16" spans="1:11" x14ac:dyDescent="0.25">
      <c r="E16" s="8">
        <v>0.75</v>
      </c>
      <c r="K16" t="s">
        <v>23</v>
      </c>
    </row>
    <row r="17" spans="1:11" x14ac:dyDescent="0.25">
      <c r="E17" s="8">
        <v>0.8</v>
      </c>
      <c r="K17" t="s">
        <v>24</v>
      </c>
    </row>
    <row r="18" spans="1:11" x14ac:dyDescent="0.25">
      <c r="E18" s="8">
        <v>0.85</v>
      </c>
      <c r="K18" t="s">
        <v>235</v>
      </c>
    </row>
    <row r="19" spans="1:11" x14ac:dyDescent="0.25">
      <c r="E19" s="8">
        <v>0.9</v>
      </c>
      <c r="K19" t="s">
        <v>26</v>
      </c>
    </row>
    <row r="20" spans="1:11" x14ac:dyDescent="0.25">
      <c r="E20" s="8">
        <v>0.95</v>
      </c>
      <c r="K20" t="s">
        <v>325</v>
      </c>
    </row>
    <row r="21" spans="1:11" x14ac:dyDescent="0.25">
      <c r="E21" s="8">
        <v>1</v>
      </c>
    </row>
    <row r="24" spans="1:11" x14ac:dyDescent="0.25">
      <c r="A24" s="12" t="s">
        <v>62</v>
      </c>
    </row>
    <row r="25" spans="1:11" x14ac:dyDescent="0.25">
      <c r="A25" s="9" t="s">
        <v>251</v>
      </c>
    </row>
    <row r="26" spans="1:11" x14ac:dyDescent="0.25">
      <c r="A26" s="9" t="s">
        <v>330</v>
      </c>
    </row>
    <row r="27" spans="1:11" x14ac:dyDescent="0.25">
      <c r="A27" t="s">
        <v>277</v>
      </c>
    </row>
    <row r="28" spans="1:11" x14ac:dyDescent="0.25">
      <c r="A28" s="9" t="s">
        <v>279</v>
      </c>
    </row>
  </sheetData>
  <sheetProtection algorithmName="SHA-512" hashValue="GF+h+HxitXrUMZA9aG8m676x42OOS5YjujIWp3i2w25SXqG9LyS+5c+I9Iz9cH+3gTqxcr2jGMwKkr1WA3puag==" saltValue="kXU5hZlJWVCEJfwwW8H3ng==" spinCount="100000" sheet="1" objects="1" scenarios="1"/>
  <sortState xmlns:xlrd2="http://schemas.microsoft.com/office/spreadsheetml/2017/richdata2" ref="H4:H9">
    <sortCondition ref="H3:H9"/>
  </sortState>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12</vt:i4>
      </vt:variant>
    </vt:vector>
  </HeadingPairs>
  <TitlesOfParts>
    <vt:vector size="19" baseType="lpstr">
      <vt:lpstr>Explanation</vt:lpstr>
      <vt:lpstr>Project_data</vt:lpstr>
      <vt:lpstr>Calculation-input</vt:lpstr>
      <vt:lpstr>CO2-storage factors</vt:lpstr>
      <vt:lpstr>Life-cycle emissions</vt:lpstr>
      <vt:lpstr>Wood-types</vt:lpstr>
      <vt:lpstr>Drop-down_lists</vt:lpstr>
      <vt:lpstr>Boards_planks</vt:lpstr>
      <vt:lpstr>CL</vt:lpstr>
      <vt:lpstr>CLT</vt:lpstr>
      <vt:lpstr>Floors</vt:lpstr>
      <vt:lpstr>Frames_walls</vt:lpstr>
      <vt:lpstr>HSC</vt:lpstr>
      <vt:lpstr>Insulation</vt:lpstr>
      <vt:lpstr>P_cat.</vt:lpstr>
      <vt:lpstr>Products</vt:lpstr>
      <vt:lpstr>Roofs</vt:lpstr>
      <vt:lpstr>Unit</vt:lpstr>
      <vt:lpstr>Wtype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vV</dc:creator>
  <cp:lastModifiedBy>Bart v. Valenberg</cp:lastModifiedBy>
  <dcterms:created xsi:type="dcterms:W3CDTF">2021-03-26T07:47:24Z</dcterms:created>
  <dcterms:modified xsi:type="dcterms:W3CDTF">2021-07-07T12:08:22Z</dcterms:modified>
</cp:coreProperties>
</file>