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d.docs.live.net/afdc37fc77bc6a72/Documenten/Werk/Vrijwilligerswerk/Climate Cleanup/BBB/CO2-opslag rekentool/"/>
    </mc:Choice>
  </mc:AlternateContent>
  <xr:revisionPtr revIDLastSave="19" documentId="6_{DAFD84C7-9D8E-48B3-8F95-C06CB817134C}" xr6:coauthVersionLast="47" xr6:coauthVersionMax="47" xr10:uidLastSave="{8EC60C27-B921-4CC1-BCA3-4BE0B45C67BC}"/>
  <bookViews>
    <workbookView xWindow="-120" yWindow="-120" windowWidth="29040" windowHeight="15840" activeTab="6" xr2:uid="{D6663B96-36EA-4B55-A737-54E5E24C0FF1}"/>
  </bookViews>
  <sheets>
    <sheet name="Explanation" sheetId="5" r:id="rId1"/>
    <sheet name="Project_data" sheetId="6" r:id="rId2"/>
    <sheet name="Calculation-input" sheetId="1" r:id="rId3"/>
    <sheet name="CO2-storage factors" sheetId="2" r:id="rId4"/>
    <sheet name="Life-cycle emissions" sheetId="7" state="hidden" r:id="rId5"/>
    <sheet name="Wood-types" sheetId="4" r:id="rId6"/>
    <sheet name="Drop-down_lists" sheetId="3" r:id="rId7"/>
  </sheets>
  <definedNames>
    <definedName name="Boards_planks">'Drop-down_lists'!$K$3:$K$25</definedName>
    <definedName name="CL">'Drop-down_lists'!$A$2:$A$10</definedName>
    <definedName name="CLT">'Drop-down_lists'!$D$2:$D$4</definedName>
    <definedName name="Floors">'Drop-down_lists'!$G$3:$G$6</definedName>
    <definedName name="Frames_walls">'Drop-down_lists'!$H$3:$H$9</definedName>
    <definedName name="HSC">'Drop-down_lists'!$E$2:$E$21</definedName>
    <definedName name="Insulation">'Drop-down_lists'!$I$3:$I$8</definedName>
    <definedName name="P_cat.">'Drop-down_lists'!$G$2:$L$2</definedName>
    <definedName name="Products">'CO2-storage factors'!$A$2:$A$44</definedName>
    <definedName name="Roofs">'Drop-down_lists'!$J$3:$J$4</definedName>
    <definedName name="TCLT">'Drop-down_lists'!#REF!</definedName>
    <definedName name="Unit">'Drop-down_lists'!$C$2:$C$4</definedName>
    <definedName name="Wtype">'Wood-types'!$A$2:$A$113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5" i="1" l="1"/>
  <c r="E45" i="1"/>
  <c r="G45" i="1"/>
  <c r="D26" i="1"/>
  <c r="E26" i="1"/>
  <c r="G26" i="1"/>
  <c r="D27" i="1"/>
  <c r="E27" i="1"/>
  <c r="G27" i="1"/>
  <c r="D28" i="1"/>
  <c r="E28" i="1"/>
  <c r="G28" i="1"/>
  <c r="D29" i="1"/>
  <c r="E29" i="1"/>
  <c r="G29" i="1"/>
  <c r="D30" i="1"/>
  <c r="E30" i="1"/>
  <c r="G30" i="1"/>
  <c r="D31" i="1"/>
  <c r="E31" i="1"/>
  <c r="G31" i="1"/>
  <c r="D32" i="1"/>
  <c r="E32" i="1"/>
  <c r="G32" i="1"/>
  <c r="D33" i="1"/>
  <c r="E33" i="1"/>
  <c r="G33" i="1"/>
  <c r="D34" i="1"/>
  <c r="E34" i="1"/>
  <c r="G34" i="1"/>
  <c r="D35" i="1"/>
  <c r="E35" i="1"/>
  <c r="G35" i="1"/>
  <c r="D36" i="1"/>
  <c r="E36" i="1"/>
  <c r="G36" i="1"/>
  <c r="D37" i="1"/>
  <c r="E37" i="1"/>
  <c r="G37" i="1"/>
  <c r="D38" i="1"/>
  <c r="E38" i="1"/>
  <c r="G38" i="1"/>
  <c r="D39" i="1"/>
  <c r="E39" i="1"/>
  <c r="G39" i="1"/>
  <c r="D40" i="1"/>
  <c r="E40" i="1"/>
  <c r="G40" i="1"/>
  <c r="D41" i="1"/>
  <c r="E41" i="1" s="1"/>
  <c r="G41" i="1"/>
  <c r="D42" i="1"/>
  <c r="E42" i="1"/>
  <c r="G42" i="1"/>
  <c r="D43" i="1"/>
  <c r="E43" i="1"/>
  <c r="G43" i="1"/>
  <c r="D44" i="1"/>
  <c r="E44" i="1"/>
  <c r="G44" i="1"/>
  <c r="D25" i="1"/>
  <c r="G25" i="1"/>
  <c r="E25" i="1"/>
  <c r="H26" i="1"/>
  <c r="H27" i="1"/>
  <c r="H28" i="1"/>
  <c r="H29" i="1"/>
  <c r="H30" i="1"/>
  <c r="H31" i="1"/>
  <c r="H32" i="1"/>
  <c r="H33" i="1"/>
  <c r="H34" i="1"/>
  <c r="H35" i="1"/>
  <c r="H36" i="1"/>
  <c r="H37" i="1"/>
  <c r="H38" i="1"/>
  <c r="H39" i="1"/>
  <c r="H40" i="1"/>
  <c r="H41" i="1"/>
  <c r="H42" i="1"/>
  <c r="H43" i="1"/>
  <c r="H44" i="1"/>
  <c r="H26" i="2"/>
  <c r="H27" i="2"/>
  <c r="H28" i="2"/>
  <c r="H25" i="2"/>
  <c r="H24" i="2"/>
  <c r="F26" i="2"/>
  <c r="F27" i="2"/>
  <c r="F28" i="2"/>
  <c r="F25" i="2"/>
  <c r="F24" i="2"/>
  <c r="E24" i="2"/>
  <c r="E25" i="2"/>
  <c r="E26" i="2"/>
  <c r="E27" i="2"/>
  <c r="E28" i="2"/>
  <c r="D24" i="2"/>
  <c r="D25" i="2"/>
  <c r="D26" i="2"/>
  <c r="D27" i="2"/>
  <c r="D28" i="2"/>
  <c r="B24" i="2"/>
  <c r="B25" i="2"/>
  <c r="B26" i="2"/>
  <c r="B27" i="2"/>
  <c r="B28" i="2"/>
  <c r="H25" i="1" l="1"/>
  <c r="F3" i="1"/>
  <c r="C42" i="2"/>
  <c r="B42" i="2"/>
  <c r="D42" i="2"/>
  <c r="E42" i="2"/>
  <c r="G42" i="2"/>
  <c r="H45" i="1"/>
  <c r="H11" i="2"/>
  <c r="G11" i="2"/>
  <c r="F11" i="2"/>
  <c r="G3" i="1" l="1"/>
  <c r="F4" i="1"/>
  <c r="A6" i="1"/>
  <c r="A7" i="1" s="1"/>
  <c r="H7" i="2"/>
  <c r="G7" i="2"/>
  <c r="F7" i="2"/>
  <c r="F14" i="2"/>
  <c r="G29" i="2"/>
  <c r="H29" i="2"/>
  <c r="F29" i="2"/>
  <c r="D29" i="2"/>
  <c r="B29" i="2"/>
  <c r="D7" i="2"/>
  <c r="B7" i="2"/>
  <c r="C29" i="2"/>
  <c r="C7" i="2"/>
  <c r="F5" i="1" l="1"/>
  <c r="G4" i="1"/>
  <c r="C43" i="2"/>
  <c r="C23" i="2"/>
  <c r="E23" i="2"/>
  <c r="D23" i="2"/>
  <c r="B23" i="2"/>
  <c r="F6" i="1" l="1"/>
  <c r="G6" i="1" s="1"/>
  <c r="G5" i="1"/>
  <c r="G23" i="2"/>
  <c r="F7" i="1" l="1"/>
  <c r="G7" i="1" s="1"/>
  <c r="E39" i="2"/>
  <c r="F19" i="2"/>
  <c r="G19" i="2"/>
  <c r="H19" i="2"/>
  <c r="H18" i="2"/>
  <c r="G18" i="2"/>
  <c r="F18" i="2"/>
  <c r="H33" i="2"/>
  <c r="F33" i="2"/>
  <c r="H44" i="2"/>
  <c r="G44" i="2"/>
  <c r="F44" i="2"/>
  <c r="H43" i="2"/>
  <c r="G43" i="2"/>
  <c r="F43" i="2"/>
  <c r="H36" i="2"/>
  <c r="G36" i="2"/>
  <c r="F36" i="2"/>
  <c r="H41" i="2"/>
  <c r="F41" i="2"/>
  <c r="D44" i="2"/>
  <c r="B44" i="2"/>
  <c r="E41" i="2"/>
  <c r="D41" i="2"/>
  <c r="B41" i="2"/>
  <c r="H12" i="2"/>
  <c r="G12" i="2"/>
  <c r="F12" i="2"/>
  <c r="H10" i="2"/>
  <c r="G10" i="2"/>
  <c r="F10" i="2"/>
  <c r="H9" i="2"/>
  <c r="F9" i="2"/>
  <c r="H8" i="2"/>
  <c r="F8" i="2"/>
  <c r="H4" i="2"/>
  <c r="F4" i="2"/>
  <c r="H3" i="2"/>
  <c r="F3" i="2"/>
  <c r="H2" i="2"/>
  <c r="F2" i="2"/>
  <c r="H40" i="2"/>
  <c r="F40" i="2"/>
  <c r="E40" i="2"/>
  <c r="H38" i="2"/>
  <c r="F38" i="2"/>
  <c r="E38" i="2"/>
  <c r="D38" i="2"/>
  <c r="B38" i="2"/>
  <c r="E36" i="2"/>
  <c r="D36" i="2"/>
  <c r="B36" i="2"/>
  <c r="D22" i="2"/>
  <c r="B22" i="2"/>
  <c r="D19" i="2"/>
  <c r="B19" i="2"/>
  <c r="G16" i="2"/>
  <c r="D16" i="2"/>
  <c r="B16" i="2"/>
  <c r="D14" i="2"/>
  <c r="B14" i="2"/>
  <c r="E11" i="2"/>
  <c r="B11" i="2"/>
  <c r="E10" i="2"/>
  <c r="D10" i="2"/>
  <c r="B10" i="2"/>
  <c r="E9" i="2"/>
  <c r="B9" i="2"/>
  <c r="E5" i="2"/>
  <c r="D5" i="2"/>
  <c r="B5" i="2"/>
  <c r="B3" i="2"/>
  <c r="B4" i="2"/>
  <c r="B2" i="2"/>
  <c r="D3" i="2"/>
  <c r="D4" i="2"/>
  <c r="D2" i="2"/>
  <c r="E3" i="2"/>
  <c r="E4" i="2"/>
  <c r="E2" i="2"/>
  <c r="C11" i="2"/>
  <c r="V8" i="2"/>
  <c r="G15" i="2"/>
  <c r="F8" i="1" l="1"/>
  <c r="G8" i="1" s="1"/>
  <c r="C16" i="2"/>
  <c r="G5" i="2"/>
  <c r="G39" i="2"/>
  <c r="B39" i="2"/>
  <c r="C10" i="2"/>
  <c r="D39" i="2"/>
  <c r="G17" i="2"/>
  <c r="D17" i="2"/>
  <c r="C17" i="2"/>
  <c r="B17" i="2"/>
  <c r="C36" i="2"/>
  <c r="D40" i="2"/>
  <c r="C40" i="2"/>
  <c r="B40" i="2"/>
  <c r="G40" i="2"/>
  <c r="F9" i="1" l="1"/>
  <c r="C39" i="2"/>
  <c r="F10" i="1" l="1"/>
  <c r="G10" i="1" s="1"/>
  <c r="G9" i="1"/>
  <c r="V3" i="2"/>
  <c r="V4" i="2"/>
  <c r="V2" i="2"/>
  <c r="F11" i="1" l="1"/>
  <c r="C3" i="1"/>
  <c r="D3" i="1" s="1"/>
  <c r="F12" i="1" l="1"/>
  <c r="G11" i="1"/>
  <c r="C4" i="1"/>
  <c r="C5" i="1" l="1"/>
  <c r="D5" i="1" s="1"/>
  <c r="D4" i="1"/>
  <c r="F13" i="1"/>
  <c r="G12" i="1"/>
  <c r="G33" i="2"/>
  <c r="C2" i="2"/>
  <c r="C4" i="2"/>
  <c r="C3" i="2"/>
  <c r="C41" i="2"/>
  <c r="G13" i="2"/>
  <c r="C6" i="1" l="1"/>
  <c r="D6" i="1" s="1"/>
  <c r="F14" i="1"/>
  <c r="G13" i="1"/>
  <c r="C78" i="4"/>
  <c r="B78" i="4"/>
  <c r="E104" i="4"/>
  <c r="E103" i="4"/>
  <c r="E81" i="4"/>
  <c r="E60" i="4"/>
  <c r="E47" i="4"/>
  <c r="E46" i="4"/>
  <c r="E45" i="4"/>
  <c r="E42" i="4"/>
  <c r="E41" i="4"/>
  <c r="E31" i="4"/>
  <c r="C21" i="4"/>
  <c r="E21" i="4"/>
  <c r="E20" i="4"/>
  <c r="E108" i="4"/>
  <c r="C108" i="4"/>
  <c r="C104" i="4"/>
  <c r="C103" i="4"/>
  <c r="C81" i="4"/>
  <c r="C60" i="4"/>
  <c r="C47" i="4"/>
  <c r="C46" i="4"/>
  <c r="C45" i="4"/>
  <c r="C42" i="4"/>
  <c r="C41" i="4"/>
  <c r="C31" i="4"/>
  <c r="C20" i="4"/>
  <c r="B112" i="4"/>
  <c r="B53" i="4"/>
  <c r="B102" i="4" s="1"/>
  <c r="L24" i="4"/>
  <c r="P24" i="4"/>
  <c r="N24" i="4"/>
  <c r="J24" i="4"/>
  <c r="C9" i="2"/>
  <c r="C7" i="1" l="1"/>
  <c r="D7" i="1" s="1"/>
  <c r="F15" i="1"/>
  <c r="G14" i="1"/>
  <c r="C102" i="4"/>
  <c r="G8" i="2"/>
  <c r="C8" i="1" l="1"/>
  <c r="D8" i="1" s="1"/>
  <c r="F16" i="1"/>
  <c r="G15" i="1"/>
  <c r="G6" i="2"/>
  <c r="G22" i="2"/>
  <c r="G14" i="2"/>
  <c r="G37" i="2"/>
  <c r="G20" i="2"/>
  <c r="G34" i="2"/>
  <c r="G35" i="2"/>
  <c r="G30" i="2"/>
  <c r="C9" i="1" l="1"/>
  <c r="D9" i="1" s="1"/>
  <c r="F17" i="1"/>
  <c r="G16" i="1"/>
  <c r="C44" i="2"/>
  <c r="D43" i="2"/>
  <c r="C37" i="2"/>
  <c r="D37" i="2" s="1"/>
  <c r="C35" i="2"/>
  <c r="C34" i="2"/>
  <c r="D34" i="2" s="1"/>
  <c r="C33" i="2"/>
  <c r="C30" i="2"/>
  <c r="C22" i="2"/>
  <c r="C20" i="2"/>
  <c r="D20" i="2" s="1"/>
  <c r="C19" i="2"/>
  <c r="C18" i="2"/>
  <c r="D18" i="2" s="1"/>
  <c r="C15" i="2"/>
  <c r="D15" i="2" s="1"/>
  <c r="C14" i="2"/>
  <c r="C13" i="2"/>
  <c r="C12" i="2"/>
  <c r="B12" i="2" s="1"/>
  <c r="C6" i="2"/>
  <c r="D6" i="2" s="1"/>
  <c r="C8" i="2"/>
  <c r="D8" i="2" s="1"/>
  <c r="C10" i="1" l="1"/>
  <c r="D10" i="1" s="1"/>
  <c r="F18" i="1"/>
  <c r="G17" i="1"/>
  <c r="D13" i="2"/>
  <c r="B30" i="2"/>
  <c r="D33" i="2"/>
  <c r="B35" i="2"/>
  <c r="B20" i="2"/>
  <c r="D30" i="2"/>
  <c r="D12" i="2"/>
  <c r="B13" i="2"/>
  <c r="D35" i="2"/>
  <c r="B15" i="2"/>
  <c r="B33" i="2"/>
  <c r="B43" i="2"/>
  <c r="B6" i="2"/>
  <c r="B37" i="2"/>
  <c r="B18" i="2"/>
  <c r="B34" i="2"/>
  <c r="B8" i="2"/>
  <c r="C11" i="1" l="1"/>
  <c r="D11" i="1" s="1"/>
  <c r="F19" i="1"/>
  <c r="G18" i="1"/>
  <c r="A8" i="1"/>
  <c r="C12" i="1" l="1"/>
  <c r="D12" i="1" s="1"/>
  <c r="F20" i="1"/>
  <c r="G19" i="1"/>
  <c r="C13" i="1" l="1"/>
  <c r="D13" i="1" s="1"/>
  <c r="F21" i="1"/>
  <c r="G20" i="1"/>
  <c r="C14" i="1" l="1"/>
  <c r="D14" i="1" s="1"/>
  <c r="F22" i="1"/>
  <c r="G21" i="1"/>
  <c r="C15" i="1" l="1"/>
  <c r="D15" i="1" s="1"/>
  <c r="F23" i="1"/>
  <c r="G23" i="1" s="1"/>
  <c r="G22" i="1"/>
  <c r="C16" i="1" l="1"/>
  <c r="D16" i="1" s="1"/>
  <c r="C17" i="1" l="1"/>
  <c r="D17" i="1" s="1"/>
  <c r="C18" i="1" l="1"/>
  <c r="D18" i="1" s="1"/>
  <c r="C19" i="1" l="1"/>
  <c r="D19" i="1" s="1"/>
  <c r="C20" i="1" l="1"/>
  <c r="D20" i="1" s="1"/>
  <c r="C21" i="1" l="1"/>
  <c r="D21" i="1" s="1"/>
  <c r="C22" i="1" l="1"/>
  <c r="C23" i="1" l="1"/>
  <c r="D23" i="1" s="1"/>
  <c r="D2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Bart vV</author>
  </authors>
  <commentList>
    <comment ref="C1" authorId="0" shapeId="0" xr:uid="{9B8277E9-F6F7-4438-B142-8C07F4740F61}">
      <text>
        <r>
          <rPr>
            <b/>
            <sz val="9"/>
            <color indexed="81"/>
            <rFont val="Tahoma"/>
            <family val="2"/>
          </rPr>
          <t>Bart vV:</t>
        </r>
        <r>
          <rPr>
            <sz val="9"/>
            <color indexed="81"/>
            <rFont val="Tahoma"/>
            <family val="2"/>
          </rPr>
          <t xml:space="preserve">
Unit is kgCO2/kg, unless otherwise specified in column D.</t>
        </r>
      </text>
    </comment>
    <comment ref="G9" authorId="0" shapeId="0" xr:uid="{34CDFD81-9287-4C48-93AB-BC0CB214BD13}">
      <text>
        <r>
          <rPr>
            <b/>
            <sz val="9"/>
            <color indexed="81"/>
            <rFont val="Tahoma"/>
            <family val="2"/>
          </rPr>
          <t>Bart vV:</t>
        </r>
        <r>
          <rPr>
            <sz val="9"/>
            <color indexed="81"/>
            <rFont val="Tahoma"/>
            <family val="2"/>
          </rPr>
          <t xml:space="preserve">
Is only the density of the compressed straw part of a panel. The carbon content is for an average panel including wooden beams.</t>
        </r>
      </text>
    </comment>
    <comment ref="C23" authorId="0" shapeId="0" xr:uid="{DBC4E759-2CA8-4DFE-98F0-F9B5F0A254A3}">
      <text>
        <r>
          <rPr>
            <b/>
            <sz val="9"/>
            <color indexed="81"/>
            <rFont val="Tahoma"/>
            <charset val="1"/>
          </rPr>
          <t>Bart vV:</t>
        </r>
        <r>
          <rPr>
            <sz val="9"/>
            <color indexed="81"/>
            <rFont val="Tahoma"/>
            <charset val="1"/>
          </rPr>
          <t xml:space="preserve">
Assumes it consists of 90% cotton and cotton consists of pure (100%) cellulose.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Bart vV</author>
  </authors>
  <commentList>
    <comment ref="D4" authorId="0" shapeId="0" xr:uid="{4C4BA098-A825-4BA0-A473-9E17E51BD13F}">
      <text>
        <r>
          <rPr>
            <b/>
            <sz val="9"/>
            <color indexed="81"/>
            <rFont val="Tahoma"/>
            <family val="2"/>
          </rPr>
          <t>Bart vV:</t>
        </r>
        <r>
          <rPr>
            <sz val="9"/>
            <color indexed="81"/>
            <rFont val="Tahoma"/>
            <family val="2"/>
          </rPr>
          <t xml:space="preserve">
Weight classes are total, hence including both load and vehicle.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Bart vV</author>
  </authors>
  <commentList>
    <comment ref="E1" authorId="0" shapeId="0" xr:uid="{C41B0A49-914C-40FC-BFDA-363FDB9BCB6C}">
      <text>
        <r>
          <rPr>
            <b/>
            <sz val="9"/>
            <color indexed="81"/>
            <rFont val="Tahoma"/>
            <family val="2"/>
          </rPr>
          <t>Bart vV:</t>
        </r>
        <r>
          <rPr>
            <sz val="9"/>
            <color indexed="81"/>
            <rFont val="Tahoma"/>
            <family val="2"/>
          </rPr>
          <t xml:space="preserve">
Hemp-Shives Content</t>
        </r>
      </text>
    </comment>
    <comment ref="K7" authorId="0" shapeId="0" xr:uid="{A43D7DFE-ACC9-4B01-A393-58B695873494}">
      <text>
        <r>
          <rPr>
            <b/>
            <sz val="9"/>
            <color indexed="81"/>
            <rFont val="Tahoma"/>
            <family val="2"/>
          </rPr>
          <t>Bart vV:</t>
        </r>
        <r>
          <rPr>
            <sz val="9"/>
            <color indexed="81"/>
            <rFont val="Tahoma"/>
            <family val="2"/>
          </rPr>
          <t xml:space="preserve">
?? is a grade of paperboard typically made from layers of waste paper or recycled fibers. Most often it comes with two to three layers of coating on the top and one layer on the reverse side. Because of its recycled content it will be grey from the inside.</t>
        </r>
      </text>
    </comment>
    <comment ref="K21" authorId="0" shapeId="0" xr:uid="{37EDD9EE-4F6B-4E2D-9FC5-792738C8D0A5}">
      <text>
        <r>
          <rPr>
            <b/>
            <sz val="9"/>
            <color indexed="81"/>
            <rFont val="Tahoma"/>
            <family val="2"/>
          </rPr>
          <t>Bart vV:</t>
        </r>
        <r>
          <rPr>
            <sz val="9"/>
            <color indexed="81"/>
            <rFont val="Tahoma"/>
            <family val="2"/>
          </rPr>
          <t xml:space="preserve">
Particle board, also known as chipboard, is an engineered wood product manufactured from wood chips or jute-stick chips and a synthetic resin or other suitable binder, which is pressed and extruded.</t>
        </r>
      </text>
    </comment>
    <comment ref="K22" authorId="0" shapeId="0" xr:uid="{6C1B776D-108E-468D-A299-D0DAD900BA07}">
      <text>
        <r>
          <rPr>
            <b/>
            <sz val="9"/>
            <color indexed="81"/>
            <rFont val="Tahoma"/>
            <family val="2"/>
          </rPr>
          <t>Bart vV:</t>
        </r>
        <r>
          <rPr>
            <sz val="9"/>
            <color indexed="81"/>
            <rFont val="Tahoma"/>
            <family val="2"/>
          </rPr>
          <t xml:space="preserve">
Plywood is a material manufactured from thin layers or "plies" of wood veneer that are glued together with adjacent layers having their wood grain rotated up to 90 degrees to one another.</t>
        </r>
      </text>
    </comment>
  </commentList>
</comments>
</file>

<file path=xl/sharedStrings.xml><?xml version="1.0" encoding="utf-8"?>
<sst xmlns="http://schemas.openxmlformats.org/spreadsheetml/2006/main" count="912" uniqueCount="363">
  <si>
    <t>CLT</t>
  </si>
  <si>
    <r>
      <t>Min. CO</t>
    </r>
    <r>
      <rPr>
        <vertAlign val="subscript"/>
        <sz val="11"/>
        <color theme="1"/>
        <rFont val="Calibri"/>
        <family val="2"/>
        <scheme val="minor"/>
      </rPr>
      <t>2</t>
    </r>
    <r>
      <rPr>
        <sz val="11"/>
        <color theme="1"/>
        <rFont val="Calibri"/>
        <family val="2"/>
        <scheme val="minor"/>
      </rPr>
      <t>-storage (kgCO</t>
    </r>
    <r>
      <rPr>
        <vertAlign val="subscript"/>
        <sz val="11"/>
        <color theme="1"/>
        <rFont val="Calibri"/>
        <family val="2"/>
        <scheme val="minor"/>
      </rPr>
      <t>2</t>
    </r>
    <r>
      <rPr>
        <sz val="11"/>
        <color theme="1"/>
        <rFont val="Calibri"/>
        <family val="2"/>
        <scheme val="minor"/>
      </rPr>
      <t>/kg)</t>
    </r>
  </si>
  <si>
    <r>
      <t>Max. CO</t>
    </r>
    <r>
      <rPr>
        <vertAlign val="subscript"/>
        <sz val="11"/>
        <color theme="1"/>
        <rFont val="Calibri"/>
        <family val="2"/>
        <scheme val="minor"/>
      </rPr>
      <t>2</t>
    </r>
    <r>
      <rPr>
        <sz val="11"/>
        <color theme="1"/>
        <rFont val="Calibri"/>
        <family val="2"/>
        <scheme val="minor"/>
      </rPr>
      <t>-storage (kgCO</t>
    </r>
    <r>
      <rPr>
        <vertAlign val="subscript"/>
        <sz val="11"/>
        <color theme="1"/>
        <rFont val="Calibri"/>
        <family val="2"/>
        <scheme val="minor"/>
      </rPr>
      <t>2</t>
    </r>
    <r>
      <rPr>
        <sz val="11"/>
        <color theme="1"/>
        <rFont val="Calibri"/>
        <family val="2"/>
        <scheme val="minor"/>
      </rPr>
      <t>/kg)</t>
    </r>
  </si>
  <si>
    <t>ICE database</t>
  </si>
  <si>
    <r>
      <t>Av. Density from spruces (kg/m</t>
    </r>
    <r>
      <rPr>
        <vertAlign val="superscript"/>
        <sz val="11"/>
        <color theme="1"/>
        <rFont val="Calibri"/>
        <family val="2"/>
        <scheme val="minor"/>
      </rPr>
      <t>3</t>
    </r>
    <r>
      <rPr>
        <sz val="11"/>
        <color theme="1"/>
        <rFont val="Calibri"/>
        <family val="2"/>
        <scheme val="minor"/>
      </rPr>
      <t>)</t>
    </r>
  </si>
  <si>
    <r>
      <t>Av. Density from larchs (kg/m</t>
    </r>
    <r>
      <rPr>
        <vertAlign val="superscript"/>
        <sz val="11"/>
        <color theme="1"/>
        <rFont val="Calibri"/>
        <family val="2"/>
        <scheme val="minor"/>
      </rPr>
      <t>3</t>
    </r>
    <r>
      <rPr>
        <sz val="11"/>
        <color theme="1"/>
        <rFont val="Calibri"/>
        <family val="2"/>
        <scheme val="minor"/>
      </rPr>
      <t>)</t>
    </r>
  </si>
  <si>
    <t>CLT Technical detail SBR.1 (crosslamtimber.com.au)</t>
  </si>
  <si>
    <t>Chipboard</t>
  </si>
  <si>
    <t>Product</t>
  </si>
  <si>
    <t>n datapoints</t>
  </si>
  <si>
    <t>Closed panel timber frame system</t>
  </si>
  <si>
    <t>Fibreboard</t>
  </si>
  <si>
    <t>Glulam</t>
  </si>
  <si>
    <t>Hardboard</t>
  </si>
  <si>
    <t>Hardwood</t>
  </si>
  <si>
    <t>Laminate</t>
  </si>
  <si>
    <t>Laminated strand lumber</t>
  </si>
  <si>
    <t>Laminated veneer lumber</t>
  </si>
  <si>
    <t>MDF</t>
  </si>
  <si>
    <t>Open panel timber frame system</t>
  </si>
  <si>
    <t>OSB</t>
  </si>
  <si>
    <t>Parquet</t>
  </si>
  <si>
    <t>Particle board</t>
  </si>
  <si>
    <t>Plywood</t>
  </si>
  <si>
    <t>Softwood</t>
  </si>
  <si>
    <t>Wood I-beam</t>
  </si>
  <si>
    <t>Wood-plastic composite</t>
  </si>
  <si>
    <t>https://www.sciencedirect.com/science/article/abs/pii/S0961953403000333</t>
  </si>
  <si>
    <t>Hemp-shives containing products</t>
  </si>
  <si>
    <r>
      <t>Av. of mid. range Density (kg/m</t>
    </r>
    <r>
      <rPr>
        <vertAlign val="superscript"/>
        <sz val="11"/>
        <color theme="1"/>
        <rFont val="Calibri"/>
        <family val="2"/>
        <scheme val="minor"/>
      </rPr>
      <t>3</t>
    </r>
    <r>
      <rPr>
        <sz val="11"/>
        <color theme="1"/>
        <rFont val="Calibri"/>
        <family val="2"/>
        <scheme val="minor"/>
      </rPr>
      <t>)</t>
    </r>
  </si>
  <si>
    <r>
      <t>Min. Density (kg/m</t>
    </r>
    <r>
      <rPr>
        <vertAlign val="superscript"/>
        <sz val="11"/>
        <color theme="1"/>
        <rFont val="Calibri"/>
        <family val="2"/>
        <scheme val="minor"/>
      </rPr>
      <t>3</t>
    </r>
    <r>
      <rPr>
        <sz val="11"/>
        <color theme="1"/>
        <rFont val="Calibri"/>
        <family val="2"/>
        <scheme val="minor"/>
      </rPr>
      <t>)</t>
    </r>
  </si>
  <si>
    <r>
      <t>Max. Density (kg/m</t>
    </r>
    <r>
      <rPr>
        <vertAlign val="superscript"/>
        <sz val="11"/>
        <color theme="1"/>
        <rFont val="Calibri"/>
        <family val="2"/>
        <scheme val="minor"/>
      </rPr>
      <t>3</t>
    </r>
    <r>
      <rPr>
        <sz val="11"/>
        <color theme="1"/>
        <rFont val="Calibri"/>
        <family val="2"/>
        <scheme val="minor"/>
      </rPr>
      <t>)</t>
    </r>
  </si>
  <si>
    <t>Houtdatabase | Houtdatabase</t>
  </si>
  <si>
    <t>Construction level</t>
  </si>
  <si>
    <t>Foundation</t>
  </si>
  <si>
    <t>Basement</t>
  </si>
  <si>
    <t>Ground floor</t>
  </si>
  <si>
    <t>1st floor</t>
  </si>
  <si>
    <t>2nd floor</t>
  </si>
  <si>
    <t>3nd floor</t>
  </si>
  <si>
    <t>Roof</t>
  </si>
  <si>
    <t>Next floor(s)</t>
  </si>
  <si>
    <t>Biobased products</t>
  </si>
  <si>
    <t>Quantity of product</t>
  </si>
  <si>
    <t>Unit</t>
  </si>
  <si>
    <t>kg</t>
  </si>
  <si>
    <t>ton</t>
  </si>
  <si>
    <r>
      <t>m</t>
    </r>
    <r>
      <rPr>
        <vertAlign val="superscript"/>
        <sz val="11"/>
        <color theme="1"/>
        <rFont val="Calibri"/>
        <family val="2"/>
        <scheme val="minor"/>
      </rPr>
      <t>3</t>
    </r>
  </si>
  <si>
    <t>Biobased product</t>
  </si>
  <si>
    <t>Additional information</t>
  </si>
  <si>
    <t>Wood type</t>
  </si>
  <si>
    <t>Density w 12% moisture (kg/m³)</t>
  </si>
  <si>
    <t>Motivatie | Centrum hout co2 calculator (opslagco2inhout.nl)</t>
  </si>
  <si>
    <r>
      <t>Average density (kg/m</t>
    </r>
    <r>
      <rPr>
        <vertAlign val="superscript"/>
        <sz val="11"/>
        <color theme="1"/>
        <rFont val="Calibri"/>
        <family val="2"/>
        <scheme val="minor"/>
      </rPr>
      <t>3</t>
    </r>
    <r>
      <rPr>
        <sz val="11"/>
        <color theme="1"/>
        <rFont val="Calibri"/>
        <family val="2"/>
        <scheme val="minor"/>
      </rPr>
      <t>)</t>
    </r>
  </si>
  <si>
    <t>Calculation</t>
  </si>
  <si>
    <t>Source1</t>
  </si>
  <si>
    <t>Source2</t>
  </si>
  <si>
    <t>Spruces</t>
  </si>
  <si>
    <t>Larchs</t>
  </si>
  <si>
    <t>Unknown/mix</t>
  </si>
  <si>
    <r>
      <t>tCO</t>
    </r>
    <r>
      <rPr>
        <vertAlign val="subscript"/>
        <sz val="11"/>
        <color theme="1"/>
        <rFont val="Calibri"/>
        <family val="2"/>
        <scheme val="minor"/>
      </rPr>
      <t>2</t>
    </r>
    <r>
      <rPr>
        <sz val="11"/>
        <color theme="1"/>
        <rFont val="Calibri"/>
        <family val="2"/>
        <scheme val="minor"/>
      </rPr>
      <t xml:space="preserve"> stored</t>
    </r>
  </si>
  <si>
    <t>HSC</t>
  </si>
  <si>
    <t>Conditional drop-down list formula</t>
  </si>
  <si>
    <t>https://www.houtinfo.nl/node/190</t>
  </si>
  <si>
    <t>Other</t>
  </si>
  <si>
    <t>C =</t>
  </si>
  <si>
    <r>
      <t>CO</t>
    </r>
    <r>
      <rPr>
        <vertAlign val="subscript"/>
        <sz val="11"/>
        <color theme="1"/>
        <rFont val="Calibri"/>
        <family val="2"/>
        <scheme val="minor"/>
      </rPr>
      <t>2</t>
    </r>
    <r>
      <rPr>
        <sz val="11"/>
        <color theme="1"/>
        <rFont val="Calibri"/>
        <family val="2"/>
        <scheme val="minor"/>
      </rPr>
      <t xml:space="preserve"> =</t>
    </r>
  </si>
  <si>
    <t>https://www.academia.edu/39298982/STRAWBALE_CONSTRUCTION_A_LEAST_EMBODIED_ENERGY_MATERIAL</t>
  </si>
  <si>
    <t>https://materialspalette.org/straw-bale/</t>
  </si>
  <si>
    <t>https://ecococon.eu/assets/downloads/ecococon_brochure.pdf</t>
  </si>
  <si>
    <t>Source3</t>
  </si>
  <si>
    <r>
      <t>(kgCO</t>
    </r>
    <r>
      <rPr>
        <vertAlign val="subscript"/>
        <sz val="11"/>
        <color theme="1"/>
        <rFont val="Calibri"/>
        <family val="2"/>
        <scheme val="minor"/>
      </rPr>
      <t>2</t>
    </r>
    <r>
      <rPr>
        <sz val="11"/>
        <color theme="1"/>
        <rFont val="Calibri"/>
        <family val="2"/>
        <scheme val="minor"/>
      </rPr>
      <t>/m</t>
    </r>
    <r>
      <rPr>
        <vertAlign val="superscript"/>
        <sz val="11"/>
        <color theme="1"/>
        <rFont val="Calibri"/>
        <family val="2"/>
        <scheme val="minor"/>
      </rPr>
      <t>3</t>
    </r>
    <r>
      <rPr>
        <sz val="11"/>
        <color theme="1"/>
        <rFont val="Calibri"/>
        <family val="2"/>
        <scheme val="minor"/>
      </rPr>
      <t>)</t>
    </r>
  </si>
  <si>
    <t>EcoCocon (straw frame timber beams included)</t>
  </si>
  <si>
    <t>g/mol</t>
  </si>
  <si>
    <t>Warning</t>
  </si>
  <si>
    <r>
      <t>kgCO</t>
    </r>
    <r>
      <rPr>
        <vertAlign val="subscript"/>
        <sz val="11"/>
        <color theme="1"/>
        <rFont val="Calibri"/>
        <family val="2"/>
        <scheme val="minor"/>
      </rPr>
      <t>2-eq</t>
    </r>
    <r>
      <rPr>
        <sz val="11"/>
        <color theme="1"/>
        <rFont val="Calibri"/>
        <family val="2"/>
        <scheme val="minor"/>
      </rPr>
      <t>/kg</t>
    </r>
  </si>
  <si>
    <t>C-%</t>
  </si>
  <si>
    <t>±</t>
  </si>
  <si>
    <t>Sequoiadendron giganteum (sw)</t>
  </si>
  <si>
    <t>Sequoiadendron giganteum (tz)</t>
  </si>
  <si>
    <r>
      <rPr>
        <sz val="11"/>
        <color theme="1"/>
        <rFont val="Calibri"/>
        <family val="2"/>
        <scheme val="minor"/>
      </rPr>
      <t>Bigleaf maple</t>
    </r>
    <r>
      <rPr>
        <i/>
        <sz val="11"/>
        <color theme="1"/>
        <rFont val="Calibri"/>
        <family val="2"/>
        <scheme val="minor"/>
      </rPr>
      <t xml:space="preserve"> (Acer macrophyllum </t>
    </r>
    <r>
      <rPr>
        <sz val="11"/>
        <color theme="1"/>
        <rFont val="Calibri"/>
        <family val="2"/>
        <scheme val="minor"/>
      </rPr>
      <t>Pursh)</t>
    </r>
  </si>
  <si>
    <r>
      <rPr>
        <sz val="11"/>
        <color theme="1"/>
        <rFont val="Calibri"/>
        <family val="2"/>
        <scheme val="minor"/>
      </rPr>
      <t>Manitoba maple</t>
    </r>
    <r>
      <rPr>
        <i/>
        <sz val="11"/>
        <color theme="1"/>
        <rFont val="Calibri"/>
        <family val="2"/>
        <scheme val="minor"/>
      </rPr>
      <t xml:space="preserve"> (Acer negundo </t>
    </r>
    <r>
      <rPr>
        <sz val="11"/>
        <color theme="1"/>
        <rFont val="Calibri"/>
        <family val="2"/>
        <scheme val="minor"/>
      </rPr>
      <t>L.)</t>
    </r>
  </si>
  <si>
    <r>
      <rPr>
        <sz val="11"/>
        <color theme="1"/>
        <rFont val="Calibri"/>
        <family val="2"/>
        <scheme val="minor"/>
      </rPr>
      <t>Red maple</t>
    </r>
    <r>
      <rPr>
        <i/>
        <sz val="11"/>
        <color theme="1"/>
        <rFont val="Calibri"/>
        <family val="2"/>
        <scheme val="minor"/>
      </rPr>
      <t xml:space="preserve"> (Acer rubrum </t>
    </r>
    <r>
      <rPr>
        <sz val="11"/>
        <color theme="1"/>
        <rFont val="Calibri"/>
        <family val="2"/>
        <scheme val="minor"/>
      </rPr>
      <t>L.)</t>
    </r>
  </si>
  <si>
    <r>
      <rPr>
        <sz val="11"/>
        <color theme="1"/>
        <rFont val="Calibri"/>
        <family val="2"/>
        <scheme val="minor"/>
      </rPr>
      <t>Sugar maple</t>
    </r>
    <r>
      <rPr>
        <i/>
        <sz val="11"/>
        <color theme="1"/>
        <rFont val="Calibri"/>
        <family val="2"/>
        <scheme val="minor"/>
      </rPr>
      <t xml:space="preserve"> (Acer saccharum </t>
    </r>
    <r>
      <rPr>
        <sz val="11"/>
        <color theme="1"/>
        <rFont val="Calibri"/>
        <family val="2"/>
        <scheme val="minor"/>
      </rPr>
      <t>Marsh.)</t>
    </r>
  </si>
  <si>
    <r>
      <rPr>
        <sz val="11"/>
        <color theme="1"/>
        <rFont val="Calibri"/>
        <family val="2"/>
        <scheme val="minor"/>
      </rPr>
      <t>Red alder</t>
    </r>
    <r>
      <rPr>
        <i/>
        <sz val="11"/>
        <color theme="1"/>
        <rFont val="Calibri"/>
        <family val="2"/>
        <scheme val="minor"/>
      </rPr>
      <t xml:space="preserve"> (Alnus rubra </t>
    </r>
    <r>
      <rPr>
        <sz val="11"/>
        <color theme="1"/>
        <rFont val="Calibri"/>
        <family val="2"/>
        <scheme val="minor"/>
      </rPr>
      <t>Bong.)</t>
    </r>
  </si>
  <si>
    <r>
      <rPr>
        <sz val="11"/>
        <color theme="1"/>
        <rFont val="Calibri"/>
        <family val="2"/>
        <scheme val="minor"/>
      </rPr>
      <t xml:space="preserve">Yellow birch </t>
    </r>
    <r>
      <rPr>
        <i/>
        <sz val="11"/>
        <color theme="1"/>
        <rFont val="Calibri"/>
        <family val="2"/>
        <scheme val="minor"/>
      </rPr>
      <t xml:space="preserve">(Betula alleghaniesis </t>
    </r>
    <r>
      <rPr>
        <sz val="11"/>
        <color theme="1"/>
        <rFont val="Calibri"/>
        <family val="2"/>
        <scheme val="minor"/>
      </rPr>
      <t>Britton)</t>
    </r>
  </si>
  <si>
    <r>
      <rPr>
        <sz val="11"/>
        <color theme="1"/>
        <rFont val="Calibri"/>
        <family val="2"/>
        <scheme val="minor"/>
      </rPr>
      <t xml:space="preserve">Paper birch </t>
    </r>
    <r>
      <rPr>
        <i/>
        <sz val="11"/>
        <color theme="1"/>
        <rFont val="Calibri"/>
        <family val="2"/>
        <scheme val="minor"/>
      </rPr>
      <t xml:space="preserve">(Betula papyrifera </t>
    </r>
    <r>
      <rPr>
        <sz val="11"/>
        <color theme="1"/>
        <rFont val="Calibri"/>
        <family val="2"/>
        <scheme val="minor"/>
      </rPr>
      <t xml:space="preserve"> Marsh.)</t>
    </r>
  </si>
  <si>
    <r>
      <rPr>
        <sz val="11"/>
        <color theme="1"/>
        <rFont val="Calibri"/>
        <family val="2"/>
        <scheme val="minor"/>
      </rPr>
      <t>Hickory</t>
    </r>
    <r>
      <rPr>
        <i/>
        <sz val="11"/>
        <color theme="1"/>
        <rFont val="Calibri"/>
        <family val="2"/>
        <scheme val="minor"/>
      </rPr>
      <t xml:space="preserve"> (Carya </t>
    </r>
    <r>
      <rPr>
        <sz val="11"/>
        <color theme="1"/>
        <rFont val="Calibri"/>
        <family val="2"/>
        <scheme val="minor"/>
      </rPr>
      <t>Nutt.)</t>
    </r>
  </si>
  <si>
    <r>
      <rPr>
        <sz val="11"/>
        <color theme="1"/>
        <rFont val="Calibri"/>
        <family val="2"/>
        <scheme val="minor"/>
      </rPr>
      <t xml:space="preserve">American beech </t>
    </r>
    <r>
      <rPr>
        <i/>
        <sz val="11"/>
        <color theme="1"/>
        <rFont val="Calibri"/>
        <family val="2"/>
        <scheme val="minor"/>
      </rPr>
      <t xml:space="preserve">(Fagus grandifolia </t>
    </r>
    <r>
      <rPr>
        <sz val="11"/>
        <color theme="1"/>
        <rFont val="Calibri"/>
        <family val="2"/>
        <scheme val="minor"/>
      </rPr>
      <t>Ehrh.)</t>
    </r>
  </si>
  <si>
    <r>
      <rPr>
        <sz val="11"/>
        <color theme="1"/>
        <rFont val="Calibri"/>
        <family val="2"/>
        <scheme val="minor"/>
      </rPr>
      <t xml:space="preserve">Black ash </t>
    </r>
    <r>
      <rPr>
        <i/>
        <sz val="11"/>
        <color theme="1"/>
        <rFont val="Calibri"/>
        <family val="2"/>
        <scheme val="minor"/>
      </rPr>
      <t xml:space="preserve">(Fraxinus nigra </t>
    </r>
    <r>
      <rPr>
        <sz val="11"/>
        <color theme="1"/>
        <rFont val="Calibri"/>
        <family val="2"/>
        <scheme val="minor"/>
      </rPr>
      <t>Marsh.)</t>
    </r>
  </si>
  <si>
    <r>
      <rPr>
        <sz val="11"/>
        <color theme="1"/>
        <rFont val="Calibri"/>
        <family val="2"/>
        <scheme val="minor"/>
      </rPr>
      <t>American ash</t>
    </r>
    <r>
      <rPr>
        <i/>
        <sz val="11"/>
        <color theme="1"/>
        <rFont val="Calibri"/>
        <family val="2"/>
        <scheme val="minor"/>
      </rPr>
      <t xml:space="preserve"> (Fraxinus americana </t>
    </r>
    <r>
      <rPr>
        <sz val="11"/>
        <color theme="1"/>
        <rFont val="Calibri"/>
        <family val="2"/>
        <scheme val="minor"/>
      </rPr>
      <t xml:space="preserve"> L.)</t>
    </r>
  </si>
  <si>
    <r>
      <rPr>
        <sz val="11"/>
        <color theme="1"/>
        <rFont val="Calibri"/>
        <family val="2"/>
        <scheme val="minor"/>
      </rPr>
      <t>Butternut</t>
    </r>
    <r>
      <rPr>
        <i/>
        <sz val="11"/>
        <color theme="1"/>
        <rFont val="Calibri"/>
        <family val="2"/>
        <scheme val="minor"/>
      </rPr>
      <t xml:space="preserve"> (Juglans cinerea</t>
    </r>
    <r>
      <rPr>
        <sz val="11"/>
        <color theme="1"/>
        <rFont val="Calibri"/>
        <family val="2"/>
        <scheme val="minor"/>
      </rPr>
      <t xml:space="preserve"> L.)</t>
    </r>
  </si>
  <si>
    <r>
      <rPr>
        <sz val="11"/>
        <color theme="1"/>
        <rFont val="Calibri"/>
        <family val="2"/>
        <scheme val="minor"/>
      </rPr>
      <t>Eastern black walnut</t>
    </r>
    <r>
      <rPr>
        <i/>
        <sz val="11"/>
        <color theme="1"/>
        <rFont val="Calibri"/>
        <family val="2"/>
        <scheme val="minor"/>
      </rPr>
      <t xml:space="preserve"> (Juglans nigra</t>
    </r>
    <r>
      <rPr>
        <sz val="11"/>
        <color theme="1"/>
        <rFont val="Calibri"/>
        <family val="2"/>
        <scheme val="minor"/>
      </rPr>
      <t xml:space="preserve"> L.)</t>
    </r>
  </si>
  <si>
    <r>
      <rPr>
        <sz val="11"/>
        <color theme="1"/>
        <rFont val="Calibri"/>
        <family val="2"/>
        <scheme val="minor"/>
      </rPr>
      <t>American sycamore</t>
    </r>
    <r>
      <rPr>
        <i/>
        <sz val="11"/>
        <color theme="1"/>
        <rFont val="Calibri"/>
        <family val="2"/>
        <scheme val="minor"/>
      </rPr>
      <t xml:space="preserve"> (Platanus occidentalis </t>
    </r>
    <r>
      <rPr>
        <sz val="11"/>
        <color theme="1"/>
        <rFont val="Calibri"/>
        <family val="2"/>
        <scheme val="minor"/>
      </rPr>
      <t>L.)</t>
    </r>
  </si>
  <si>
    <r>
      <rPr>
        <sz val="11"/>
        <color theme="1"/>
        <rFont val="Calibri"/>
        <family val="2"/>
        <scheme val="minor"/>
      </rPr>
      <t xml:space="preserve">Quaking aspen </t>
    </r>
    <r>
      <rPr>
        <i/>
        <sz val="11"/>
        <color theme="1"/>
        <rFont val="Calibri"/>
        <family val="2"/>
        <scheme val="minor"/>
      </rPr>
      <t>(Populus tremuloides</t>
    </r>
    <r>
      <rPr>
        <sz val="11"/>
        <color theme="1"/>
        <rFont val="Calibri"/>
        <family val="2"/>
        <scheme val="minor"/>
      </rPr>
      <t xml:space="preserve"> Michx.)</t>
    </r>
  </si>
  <si>
    <r>
      <rPr>
        <sz val="11"/>
        <color theme="1"/>
        <rFont val="Calibri"/>
        <family val="2"/>
        <scheme val="minor"/>
      </rPr>
      <t>Black cottonwood</t>
    </r>
    <r>
      <rPr>
        <i/>
        <sz val="11"/>
        <color theme="1"/>
        <rFont val="Calibri"/>
        <family val="2"/>
        <scheme val="minor"/>
      </rPr>
      <t xml:space="preserve"> (Populus trichocarpa</t>
    </r>
    <r>
      <rPr>
        <sz val="11"/>
        <color theme="1"/>
        <rFont val="Calibri"/>
        <family val="2"/>
        <scheme val="minor"/>
      </rPr>
      <t xml:space="preserve"> Torr. &amp; Gray)</t>
    </r>
  </si>
  <si>
    <r>
      <rPr>
        <sz val="11"/>
        <color theme="1"/>
        <rFont val="Calibri"/>
        <family val="2"/>
        <scheme val="minor"/>
      </rPr>
      <t>Black cherry</t>
    </r>
    <r>
      <rPr>
        <i/>
        <sz val="11"/>
        <color theme="1"/>
        <rFont val="Calibri"/>
        <family val="2"/>
        <scheme val="minor"/>
      </rPr>
      <t xml:space="preserve"> (Prunus serotina </t>
    </r>
    <r>
      <rPr>
        <sz val="11"/>
        <color theme="1"/>
        <rFont val="Calibri"/>
        <family val="2"/>
        <scheme val="minor"/>
      </rPr>
      <t>Ehrh.)</t>
    </r>
  </si>
  <si>
    <r>
      <rPr>
        <sz val="11"/>
        <color theme="1"/>
        <rFont val="Calibri"/>
        <family val="2"/>
        <scheme val="minor"/>
      </rPr>
      <t>White oak</t>
    </r>
    <r>
      <rPr>
        <i/>
        <sz val="11"/>
        <color theme="1"/>
        <rFont val="Calibri"/>
        <family val="2"/>
        <scheme val="minor"/>
      </rPr>
      <t xml:space="preserve"> (Quercus alba</t>
    </r>
    <r>
      <rPr>
        <sz val="11"/>
        <color theme="1"/>
        <rFont val="Calibri"/>
        <family val="2"/>
        <scheme val="minor"/>
      </rPr>
      <t xml:space="preserve"> L.)</t>
    </r>
  </si>
  <si>
    <r>
      <rPr>
        <sz val="11"/>
        <color theme="1"/>
        <rFont val="Calibri"/>
        <family val="2"/>
        <scheme val="minor"/>
      </rPr>
      <t>Northern red oak</t>
    </r>
    <r>
      <rPr>
        <i/>
        <sz val="11"/>
        <color theme="1"/>
        <rFont val="Calibri"/>
        <family val="2"/>
        <scheme val="minor"/>
      </rPr>
      <t xml:space="preserve"> (Quercus rubra</t>
    </r>
    <r>
      <rPr>
        <sz val="11"/>
        <color theme="1"/>
        <rFont val="Calibri"/>
        <family val="2"/>
        <scheme val="minor"/>
      </rPr>
      <t xml:space="preserve"> L.)</t>
    </r>
  </si>
  <si>
    <r>
      <rPr>
        <sz val="11"/>
        <color theme="1"/>
        <rFont val="Calibri"/>
        <family val="2"/>
        <scheme val="minor"/>
      </rPr>
      <t xml:space="preserve">Willow </t>
    </r>
    <r>
      <rPr>
        <i/>
        <sz val="11"/>
        <color theme="1"/>
        <rFont val="Calibri"/>
        <family val="2"/>
        <scheme val="minor"/>
      </rPr>
      <t xml:space="preserve">(Salix </t>
    </r>
    <r>
      <rPr>
        <sz val="11"/>
        <color theme="1"/>
        <rFont val="Calibri"/>
        <family val="2"/>
        <scheme val="minor"/>
      </rPr>
      <t>L.)</t>
    </r>
  </si>
  <si>
    <r>
      <rPr>
        <sz val="11"/>
        <color theme="1"/>
        <rFont val="Calibri"/>
        <family val="2"/>
        <scheme val="minor"/>
      </rPr>
      <t xml:space="preserve">American linden </t>
    </r>
    <r>
      <rPr>
        <i/>
        <sz val="11"/>
        <color theme="1"/>
        <rFont val="Calibri"/>
        <family val="2"/>
        <scheme val="minor"/>
      </rPr>
      <t>(Tilia americana</t>
    </r>
    <r>
      <rPr>
        <sz val="11"/>
        <color theme="1"/>
        <rFont val="Calibri"/>
        <family val="2"/>
        <scheme val="minor"/>
      </rPr>
      <t xml:space="preserve"> L.)</t>
    </r>
  </si>
  <si>
    <r>
      <rPr>
        <sz val="11"/>
        <color theme="1"/>
        <rFont val="Calibri"/>
        <family val="2"/>
        <scheme val="minor"/>
      </rPr>
      <t xml:space="preserve">Elm </t>
    </r>
    <r>
      <rPr>
        <i/>
        <sz val="11"/>
        <color theme="1"/>
        <rFont val="Calibri"/>
        <family val="2"/>
        <scheme val="minor"/>
      </rPr>
      <t>(Ulmus</t>
    </r>
    <r>
      <rPr>
        <sz val="11"/>
        <color theme="1"/>
        <rFont val="Calibri"/>
        <family val="2"/>
        <scheme val="minor"/>
      </rPr>
      <t xml:space="preserve"> L.)</t>
    </r>
  </si>
  <si>
    <r>
      <rPr>
        <sz val="11"/>
        <color theme="1"/>
        <rFont val="Calibri"/>
        <family val="2"/>
        <scheme val="minor"/>
      </rPr>
      <t>Pacific silver fir</t>
    </r>
    <r>
      <rPr>
        <i/>
        <sz val="11"/>
        <color theme="1"/>
        <rFont val="Calibri"/>
        <family val="2"/>
        <scheme val="minor"/>
      </rPr>
      <t xml:space="preserve"> (Abies amabilis</t>
    </r>
    <r>
      <rPr>
        <sz val="11"/>
        <color theme="1"/>
        <rFont val="Calibri"/>
        <family val="2"/>
        <scheme val="minor"/>
      </rPr>
      <t xml:space="preserve"> (Dougl.) Forbes)</t>
    </r>
  </si>
  <si>
    <r>
      <rPr>
        <sz val="11"/>
        <color theme="1"/>
        <rFont val="Calibri"/>
        <family val="2"/>
        <scheme val="minor"/>
      </rPr>
      <t xml:space="preserve">Balsam fir </t>
    </r>
    <r>
      <rPr>
        <i/>
        <sz val="11"/>
        <color theme="1"/>
        <rFont val="Calibri"/>
        <family val="2"/>
        <scheme val="minor"/>
      </rPr>
      <t>(Abies balsamea</t>
    </r>
    <r>
      <rPr>
        <sz val="11"/>
        <color theme="1"/>
        <rFont val="Calibri"/>
        <family val="2"/>
        <scheme val="minor"/>
      </rPr>
      <t xml:space="preserve"> (L.) Mill.)</t>
    </r>
  </si>
  <si>
    <r>
      <rPr>
        <sz val="11"/>
        <color theme="1"/>
        <rFont val="Calibri"/>
        <family val="2"/>
        <scheme val="minor"/>
      </rPr>
      <t xml:space="preserve">Nootka cypress </t>
    </r>
    <r>
      <rPr>
        <i/>
        <sz val="11"/>
        <color theme="1"/>
        <rFont val="Calibri"/>
        <family val="2"/>
        <scheme val="minor"/>
      </rPr>
      <t>(Chamaecyparis nootkatensis</t>
    </r>
    <r>
      <rPr>
        <sz val="11"/>
        <color theme="1"/>
        <rFont val="Calibri"/>
        <family val="2"/>
        <scheme val="minor"/>
      </rPr>
      <t xml:space="preserve"> (D. Don) Spach)</t>
    </r>
  </si>
  <si>
    <r>
      <rPr>
        <sz val="11"/>
        <color theme="1"/>
        <rFont val="Calibri"/>
        <family val="2"/>
        <scheme val="minor"/>
      </rPr>
      <t>Red cedar</t>
    </r>
    <r>
      <rPr>
        <i/>
        <sz val="11"/>
        <color theme="1"/>
        <rFont val="Calibri"/>
        <family val="2"/>
        <scheme val="minor"/>
      </rPr>
      <t xml:space="preserve"> (Juniperus virginiana </t>
    </r>
    <r>
      <rPr>
        <sz val="11"/>
        <color theme="1"/>
        <rFont val="Calibri"/>
        <family val="2"/>
        <scheme val="minor"/>
      </rPr>
      <t>L.)</t>
    </r>
  </si>
  <si>
    <r>
      <rPr>
        <sz val="11"/>
        <color theme="1"/>
        <rFont val="Calibri"/>
        <family val="2"/>
        <scheme val="minor"/>
      </rPr>
      <t xml:space="preserve">American larch </t>
    </r>
    <r>
      <rPr>
        <i/>
        <sz val="11"/>
        <color theme="1"/>
        <rFont val="Calibri"/>
        <family val="2"/>
        <scheme val="minor"/>
      </rPr>
      <t>(Larix laricina</t>
    </r>
    <r>
      <rPr>
        <sz val="11"/>
        <color theme="1"/>
        <rFont val="Calibri"/>
        <family val="2"/>
        <scheme val="minor"/>
      </rPr>
      <t xml:space="preserve"> (Du Roi) K. Koch)</t>
    </r>
  </si>
  <si>
    <r>
      <rPr>
        <sz val="11"/>
        <color theme="1"/>
        <rFont val="Calibri"/>
        <family val="2"/>
        <scheme val="minor"/>
      </rPr>
      <t xml:space="preserve">Western larch </t>
    </r>
    <r>
      <rPr>
        <i/>
        <sz val="11"/>
        <color theme="1"/>
        <rFont val="Calibri"/>
        <family val="2"/>
        <scheme val="minor"/>
      </rPr>
      <t>(Larix occidentalis</t>
    </r>
    <r>
      <rPr>
        <sz val="11"/>
        <color theme="1"/>
        <rFont val="Calibri"/>
        <family val="2"/>
        <scheme val="minor"/>
      </rPr>
      <t xml:space="preserve"> Nutt.)</t>
    </r>
  </si>
  <si>
    <r>
      <rPr>
        <sz val="11"/>
        <color theme="1"/>
        <rFont val="Calibri"/>
        <family val="2"/>
        <scheme val="minor"/>
      </rPr>
      <t xml:space="preserve">White spruce </t>
    </r>
    <r>
      <rPr>
        <i/>
        <sz val="11"/>
        <color theme="1"/>
        <rFont val="Calibri"/>
        <family val="2"/>
        <scheme val="minor"/>
      </rPr>
      <t>(Picea glauca</t>
    </r>
    <r>
      <rPr>
        <sz val="11"/>
        <color theme="1"/>
        <rFont val="Calibri"/>
        <family val="2"/>
        <scheme val="minor"/>
      </rPr>
      <t xml:space="preserve"> (Moench) Voss)</t>
    </r>
  </si>
  <si>
    <r>
      <rPr>
        <sz val="11"/>
        <color theme="1"/>
        <rFont val="Calibri"/>
        <family val="2"/>
        <scheme val="minor"/>
      </rPr>
      <t xml:space="preserve">Sitka spruce </t>
    </r>
    <r>
      <rPr>
        <i/>
        <sz val="11"/>
        <color theme="1"/>
        <rFont val="Calibri"/>
        <family val="2"/>
        <scheme val="minor"/>
      </rPr>
      <t>(Picea sitchensis</t>
    </r>
    <r>
      <rPr>
        <sz val="11"/>
        <color theme="1"/>
        <rFont val="Calibri"/>
        <family val="2"/>
        <scheme val="minor"/>
      </rPr>
      <t xml:space="preserve"> (Bong.) Carr.)</t>
    </r>
  </si>
  <si>
    <r>
      <rPr>
        <sz val="11"/>
        <color theme="1"/>
        <rFont val="Calibri"/>
        <family val="2"/>
        <scheme val="minor"/>
      </rPr>
      <t xml:space="preserve">Jack pine </t>
    </r>
    <r>
      <rPr>
        <i/>
        <sz val="11"/>
        <color theme="1"/>
        <rFont val="Calibri"/>
        <family val="2"/>
        <scheme val="minor"/>
      </rPr>
      <t>(Pinus banksiana</t>
    </r>
    <r>
      <rPr>
        <sz val="11"/>
        <color theme="1"/>
        <rFont val="Calibri"/>
        <family val="2"/>
        <scheme val="minor"/>
      </rPr>
      <t xml:space="preserve"> Lamb.)</t>
    </r>
  </si>
  <si>
    <r>
      <rPr>
        <sz val="11"/>
        <color theme="1"/>
        <rFont val="Calibri"/>
        <family val="2"/>
        <scheme val="minor"/>
      </rPr>
      <t xml:space="preserve">Lodgepole pine </t>
    </r>
    <r>
      <rPr>
        <i/>
        <sz val="11"/>
        <color theme="1"/>
        <rFont val="Calibri"/>
        <family val="2"/>
        <scheme val="minor"/>
      </rPr>
      <t>(Pinus contorta</t>
    </r>
    <r>
      <rPr>
        <sz val="11"/>
        <color theme="1"/>
        <rFont val="Calibri"/>
        <family val="2"/>
        <scheme val="minor"/>
      </rPr>
      <t xml:space="preserve"> Dougl.)</t>
    </r>
  </si>
  <si>
    <r>
      <rPr>
        <sz val="11"/>
        <color theme="1"/>
        <rFont val="Calibri"/>
        <family val="2"/>
        <scheme val="minor"/>
      </rPr>
      <t xml:space="preserve">Ponderosa pine </t>
    </r>
    <r>
      <rPr>
        <i/>
        <sz val="11"/>
        <color theme="1"/>
        <rFont val="Calibri"/>
        <family val="2"/>
        <scheme val="minor"/>
      </rPr>
      <t>(Pinus ponderosa</t>
    </r>
    <r>
      <rPr>
        <sz val="11"/>
        <color theme="1"/>
        <rFont val="Calibri"/>
        <family val="2"/>
        <scheme val="minor"/>
      </rPr>
      <t xml:space="preserve"> Laws.)</t>
    </r>
  </si>
  <si>
    <r>
      <rPr>
        <sz val="11"/>
        <color theme="1"/>
        <rFont val="Calibri"/>
        <family val="2"/>
        <scheme val="minor"/>
      </rPr>
      <t xml:space="preserve">Red pine </t>
    </r>
    <r>
      <rPr>
        <i/>
        <sz val="11"/>
        <color theme="1"/>
        <rFont val="Calibri"/>
        <family val="2"/>
        <scheme val="minor"/>
      </rPr>
      <t>(Pinus resinosa</t>
    </r>
    <r>
      <rPr>
        <sz val="11"/>
        <color theme="1"/>
        <rFont val="Calibri"/>
        <family val="2"/>
        <scheme val="minor"/>
      </rPr>
      <t xml:space="preserve"> Ait.)</t>
    </r>
  </si>
  <si>
    <r>
      <rPr>
        <sz val="11"/>
        <color theme="1"/>
        <rFont val="Calibri"/>
        <family val="2"/>
        <scheme val="minor"/>
      </rPr>
      <t xml:space="preserve">Weymouth pine </t>
    </r>
    <r>
      <rPr>
        <i/>
        <sz val="11"/>
        <color theme="1"/>
        <rFont val="Calibri"/>
        <family val="2"/>
        <scheme val="minor"/>
      </rPr>
      <t>(Pinus strobus</t>
    </r>
    <r>
      <rPr>
        <sz val="11"/>
        <color theme="1"/>
        <rFont val="Calibri"/>
        <family val="2"/>
        <scheme val="minor"/>
      </rPr>
      <t xml:space="preserve"> L.)</t>
    </r>
  </si>
  <si>
    <r>
      <rPr>
        <sz val="11"/>
        <color theme="1"/>
        <rFont val="Calibri"/>
        <family val="2"/>
        <scheme val="minor"/>
      </rPr>
      <t xml:space="preserve">Douglas fir </t>
    </r>
    <r>
      <rPr>
        <i/>
        <sz val="11"/>
        <color theme="1"/>
        <rFont val="Calibri"/>
        <family val="2"/>
        <scheme val="minor"/>
      </rPr>
      <t>(Pseudotsuga menziesii</t>
    </r>
    <r>
      <rPr>
        <sz val="11"/>
        <color theme="1"/>
        <rFont val="Calibri"/>
        <family val="2"/>
        <scheme val="minor"/>
      </rPr>
      <t xml:space="preserve"> (Mirb.) Franco)</t>
    </r>
  </si>
  <si>
    <r>
      <rPr>
        <sz val="11"/>
        <color theme="1"/>
        <rFont val="Calibri"/>
        <family val="2"/>
        <scheme val="minor"/>
      </rPr>
      <t xml:space="preserve">Northern white cedar </t>
    </r>
    <r>
      <rPr>
        <i/>
        <sz val="11"/>
        <color theme="1"/>
        <rFont val="Calibri"/>
        <family val="2"/>
        <scheme val="minor"/>
      </rPr>
      <t>(Thuja occidentalis</t>
    </r>
    <r>
      <rPr>
        <sz val="11"/>
        <color theme="1"/>
        <rFont val="Calibri"/>
        <family val="2"/>
        <scheme val="minor"/>
      </rPr>
      <t xml:space="preserve"> L.)</t>
    </r>
  </si>
  <si>
    <r>
      <rPr>
        <sz val="11"/>
        <color theme="1"/>
        <rFont val="Calibri"/>
        <family val="2"/>
        <scheme val="minor"/>
      </rPr>
      <t xml:space="preserve">Western red cedar </t>
    </r>
    <r>
      <rPr>
        <i/>
        <sz val="11"/>
        <color theme="1"/>
        <rFont val="Calibri"/>
        <family val="2"/>
        <scheme val="minor"/>
      </rPr>
      <t>(Thuja plicata</t>
    </r>
    <r>
      <rPr>
        <sz val="11"/>
        <color theme="1"/>
        <rFont val="Calibri"/>
        <family val="2"/>
        <scheme val="minor"/>
      </rPr>
      <t xml:space="preserve"> Donn)</t>
    </r>
  </si>
  <si>
    <r>
      <rPr>
        <sz val="11"/>
        <color theme="1"/>
        <rFont val="Calibri"/>
        <family val="2"/>
        <scheme val="minor"/>
      </rPr>
      <t xml:space="preserve">Canadian hemlock </t>
    </r>
    <r>
      <rPr>
        <i/>
        <sz val="11"/>
        <color theme="1"/>
        <rFont val="Calibri"/>
        <family val="2"/>
        <scheme val="minor"/>
      </rPr>
      <t>(Tsuga canadensis</t>
    </r>
    <r>
      <rPr>
        <sz val="11"/>
        <color theme="1"/>
        <rFont val="Calibri"/>
        <family val="2"/>
        <scheme val="minor"/>
      </rPr>
      <t xml:space="preserve"> (L.))</t>
    </r>
  </si>
  <si>
    <r>
      <rPr>
        <sz val="11"/>
        <color theme="1"/>
        <rFont val="Calibri"/>
        <family val="2"/>
        <scheme val="minor"/>
      </rPr>
      <t xml:space="preserve">Western hemlock </t>
    </r>
    <r>
      <rPr>
        <i/>
        <sz val="11"/>
        <color theme="1"/>
        <rFont val="Calibri"/>
        <family val="2"/>
        <scheme val="minor"/>
      </rPr>
      <t>(Tsuga heterophylla</t>
    </r>
    <r>
      <rPr>
        <sz val="11"/>
        <color theme="1"/>
        <rFont val="Calibri"/>
        <family val="2"/>
        <scheme val="minor"/>
      </rPr>
      <t xml:space="preserve"> (Raf.) Sarg.)</t>
    </r>
  </si>
  <si>
    <r>
      <rPr>
        <sz val="11"/>
        <color theme="1"/>
        <rFont val="Calibri"/>
        <family val="2"/>
        <scheme val="minor"/>
      </rPr>
      <t xml:space="preserve">Giant redwood </t>
    </r>
    <r>
      <rPr>
        <i/>
        <sz val="11"/>
        <color theme="1"/>
        <rFont val="Calibri"/>
        <family val="2"/>
        <scheme val="minor"/>
      </rPr>
      <t>(Sequoiadendron giganteum</t>
    </r>
    <r>
      <rPr>
        <sz val="11"/>
        <color theme="1"/>
        <rFont val="Calibri"/>
        <family val="2"/>
        <scheme val="minor"/>
      </rPr>
      <t xml:space="preserve"> (Lindl.) Bucholz (hw))</t>
    </r>
  </si>
  <si>
    <t xml:space="preserve">Deciduous trees </t>
  </si>
  <si>
    <t>Coniferous trees</t>
  </si>
  <si>
    <t>Average:</t>
  </si>
  <si>
    <t>Estimated C-%</t>
  </si>
  <si>
    <r>
      <t>Abachi (</t>
    </r>
    <r>
      <rPr>
        <i/>
        <sz val="11"/>
        <color theme="1"/>
        <rFont val="Calibri"/>
        <family val="2"/>
        <scheme val="minor"/>
      </rPr>
      <t>Triplchiton scleroxylon</t>
    </r>
    <r>
      <rPr>
        <sz val="11"/>
        <color theme="1"/>
        <rFont val="Calibri"/>
        <family val="2"/>
        <scheme val="minor"/>
      </rPr>
      <t>)</t>
    </r>
  </si>
  <si>
    <r>
      <t>Abuirana (</t>
    </r>
    <r>
      <rPr>
        <i/>
        <sz val="11"/>
        <color theme="1"/>
        <rFont val="Calibri"/>
        <family val="2"/>
        <scheme val="minor"/>
      </rPr>
      <t>Pouteria spp</t>
    </r>
    <r>
      <rPr>
        <sz val="11"/>
        <color theme="1"/>
        <rFont val="Calibri"/>
        <family val="2"/>
        <scheme val="minor"/>
      </rPr>
      <t>)</t>
    </r>
  </si>
  <si>
    <r>
      <t>Acapu / Bruinhart (</t>
    </r>
    <r>
      <rPr>
        <i/>
        <sz val="11"/>
        <color theme="1"/>
        <rFont val="Calibri"/>
        <family val="2"/>
        <scheme val="minor"/>
      </rPr>
      <t>Vouacapoua americana</t>
    </r>
    <r>
      <rPr>
        <sz val="11"/>
        <color theme="1"/>
        <rFont val="Calibri"/>
        <family val="2"/>
        <scheme val="minor"/>
      </rPr>
      <t>)</t>
    </r>
  </si>
  <si>
    <r>
      <t>Afzelia - Doussié (</t>
    </r>
    <r>
      <rPr>
        <i/>
        <sz val="11"/>
        <color theme="1"/>
        <rFont val="Calibri"/>
        <family val="2"/>
        <scheme val="minor"/>
      </rPr>
      <t>Afzelia bipindensis</t>
    </r>
    <r>
      <rPr>
        <sz val="11"/>
        <color theme="1"/>
        <rFont val="Calibri"/>
        <family val="2"/>
        <scheme val="minor"/>
      </rPr>
      <t>)</t>
    </r>
  </si>
  <si>
    <r>
      <t>Aldina / Sucupira vermelho (</t>
    </r>
    <r>
      <rPr>
        <i/>
        <sz val="11"/>
        <color theme="1"/>
        <rFont val="Calibri"/>
        <family val="2"/>
        <scheme val="minor"/>
      </rPr>
      <t>Aldina heterophylla</t>
    </r>
    <r>
      <rPr>
        <sz val="11"/>
        <color theme="1"/>
        <rFont val="Calibri"/>
        <family val="2"/>
        <scheme val="minor"/>
      </rPr>
      <t>)</t>
    </r>
  </si>
  <si>
    <r>
      <t>Angelim pedra / Sapupira (</t>
    </r>
    <r>
      <rPr>
        <i/>
        <sz val="11"/>
        <color theme="1"/>
        <rFont val="Calibri"/>
        <family val="2"/>
        <scheme val="minor"/>
      </rPr>
      <t>Hymenolobium spp.</t>
    </r>
    <r>
      <rPr>
        <sz val="11"/>
        <color theme="1"/>
        <rFont val="Calibri"/>
        <family val="2"/>
        <scheme val="minor"/>
      </rPr>
      <t>)</t>
    </r>
  </si>
  <si>
    <r>
      <t>Angelim vermelho (</t>
    </r>
    <r>
      <rPr>
        <i/>
        <sz val="11"/>
        <color theme="1"/>
        <rFont val="Calibri"/>
        <family val="2"/>
        <scheme val="minor"/>
      </rPr>
      <t>Dinizia spp.</t>
    </r>
    <r>
      <rPr>
        <sz val="11"/>
        <color theme="1"/>
        <rFont val="Calibri"/>
        <family val="2"/>
        <scheme val="minor"/>
      </rPr>
      <t>)</t>
    </r>
  </si>
  <si>
    <r>
      <t>Araracanga (</t>
    </r>
    <r>
      <rPr>
        <i/>
        <sz val="11"/>
        <color theme="1"/>
        <rFont val="Calibri"/>
        <family val="2"/>
        <scheme val="minor"/>
      </rPr>
      <t>Aspidosperma spp.</t>
    </r>
    <r>
      <rPr>
        <sz val="11"/>
        <color theme="1"/>
        <rFont val="Calibri"/>
        <family val="2"/>
        <scheme val="minor"/>
      </rPr>
      <t>)</t>
    </r>
  </si>
  <si>
    <r>
      <t>Ayous (</t>
    </r>
    <r>
      <rPr>
        <i/>
        <sz val="11"/>
        <color theme="1"/>
        <rFont val="Calibri"/>
        <family val="2"/>
        <scheme val="minor"/>
      </rPr>
      <t>Triplchiton scleroxylon</t>
    </r>
    <r>
      <rPr>
        <sz val="11"/>
        <color theme="1"/>
        <rFont val="Calibri"/>
        <family val="2"/>
        <scheme val="minor"/>
      </rPr>
      <t>)</t>
    </r>
  </si>
  <si>
    <r>
      <t>Azobé (</t>
    </r>
    <r>
      <rPr>
        <i/>
        <sz val="11"/>
        <color theme="1"/>
        <rFont val="Calibri"/>
        <family val="2"/>
        <scheme val="minor"/>
      </rPr>
      <t>Lophira alata</t>
    </r>
    <r>
      <rPr>
        <sz val="11"/>
        <color theme="1"/>
        <rFont val="Calibri"/>
        <family val="2"/>
        <scheme val="minor"/>
      </rPr>
      <t>)</t>
    </r>
  </si>
  <si>
    <r>
      <t>Bangkirai (</t>
    </r>
    <r>
      <rPr>
        <i/>
        <sz val="11"/>
        <color theme="1"/>
        <rFont val="Calibri"/>
        <family val="2"/>
        <scheme val="minor"/>
      </rPr>
      <t>Shorea spp.</t>
    </r>
    <r>
      <rPr>
        <sz val="11"/>
        <color theme="1"/>
        <rFont val="Calibri"/>
        <family val="2"/>
        <scheme val="minor"/>
      </rPr>
      <t>)</t>
    </r>
  </si>
  <si>
    <r>
      <t>Basralocus (</t>
    </r>
    <r>
      <rPr>
        <i/>
        <sz val="11"/>
        <color theme="1"/>
        <rFont val="Calibri"/>
        <family val="2"/>
        <scheme val="minor"/>
      </rPr>
      <t>Dycorinia guianensis</t>
    </r>
    <r>
      <rPr>
        <sz val="11"/>
        <color theme="1"/>
        <rFont val="Calibri"/>
        <family val="2"/>
        <scheme val="minor"/>
      </rPr>
      <t>)</t>
    </r>
  </si>
  <si>
    <r>
      <t>Berken (</t>
    </r>
    <r>
      <rPr>
        <i/>
        <sz val="11"/>
        <color theme="1"/>
        <rFont val="Calibri"/>
        <family val="2"/>
        <scheme val="minor"/>
      </rPr>
      <t>Betula spp.</t>
    </r>
    <r>
      <rPr>
        <sz val="11"/>
        <color theme="1"/>
        <rFont val="Calibri"/>
        <family val="2"/>
        <scheme val="minor"/>
      </rPr>
      <t>)</t>
    </r>
  </si>
  <si>
    <r>
      <t>Beuken (</t>
    </r>
    <r>
      <rPr>
        <i/>
        <sz val="11"/>
        <color theme="1"/>
        <rFont val="Calibri"/>
        <family val="2"/>
        <scheme val="minor"/>
      </rPr>
      <t>Fagus sylvatica</t>
    </r>
    <r>
      <rPr>
        <sz val="11"/>
        <color theme="1"/>
        <rFont val="Calibri"/>
        <family val="2"/>
        <scheme val="minor"/>
      </rPr>
      <t>)</t>
    </r>
  </si>
  <si>
    <r>
      <t>Bilinga (</t>
    </r>
    <r>
      <rPr>
        <i/>
        <sz val="11"/>
        <color theme="1"/>
        <rFont val="Calibri"/>
        <family val="2"/>
        <scheme val="minor"/>
      </rPr>
      <t>Nauclea spec. div.</t>
    </r>
    <r>
      <rPr>
        <sz val="11"/>
        <color theme="1"/>
        <rFont val="Calibri"/>
        <family val="2"/>
        <scheme val="minor"/>
      </rPr>
      <t>)</t>
    </r>
  </si>
  <si>
    <r>
      <t>Bintangor (</t>
    </r>
    <r>
      <rPr>
        <i/>
        <sz val="11"/>
        <color theme="1"/>
        <rFont val="Calibri"/>
        <family val="2"/>
        <scheme val="minor"/>
      </rPr>
      <t>Calophyllum spp.</t>
    </r>
    <r>
      <rPr>
        <sz val="11"/>
        <color theme="1"/>
        <rFont val="Calibri"/>
        <family val="2"/>
        <scheme val="minor"/>
      </rPr>
      <t>)</t>
    </r>
  </si>
  <si>
    <r>
      <t>Bossé (</t>
    </r>
    <r>
      <rPr>
        <i/>
        <sz val="11"/>
        <color theme="1"/>
        <rFont val="Calibri"/>
        <family val="2"/>
        <scheme val="minor"/>
      </rPr>
      <t>Guarea cedrata</t>
    </r>
    <r>
      <rPr>
        <sz val="11"/>
        <color theme="1"/>
        <rFont val="Calibri"/>
        <family val="2"/>
        <scheme val="minor"/>
      </rPr>
      <t>)</t>
    </r>
  </si>
  <si>
    <r>
      <t>Californian redwood (</t>
    </r>
    <r>
      <rPr>
        <i/>
        <sz val="11"/>
        <color theme="1"/>
        <rFont val="Calibri"/>
        <family val="2"/>
        <scheme val="minor"/>
      </rPr>
      <t>Sequoia sempervirens</t>
    </r>
    <r>
      <rPr>
        <sz val="11"/>
        <color theme="1"/>
        <rFont val="Calibri"/>
        <family val="2"/>
        <scheme val="minor"/>
      </rPr>
      <t>)</t>
    </r>
  </si>
  <si>
    <r>
      <t>Ceder (</t>
    </r>
    <r>
      <rPr>
        <i/>
        <sz val="11"/>
        <color theme="1"/>
        <rFont val="Calibri"/>
        <family val="2"/>
        <scheme val="minor"/>
      </rPr>
      <t>Cedrela odorata</t>
    </r>
    <r>
      <rPr>
        <sz val="11"/>
        <color theme="1"/>
        <rFont val="Calibri"/>
        <family val="2"/>
        <scheme val="minor"/>
      </rPr>
      <t>)</t>
    </r>
  </si>
  <si>
    <r>
      <t>Cedrorana (</t>
    </r>
    <r>
      <rPr>
        <i/>
        <sz val="11"/>
        <color theme="1"/>
        <rFont val="Calibri"/>
        <family val="2"/>
        <scheme val="minor"/>
      </rPr>
      <t>Cedrelinga catenaeformis</t>
    </r>
    <r>
      <rPr>
        <sz val="11"/>
        <color theme="1"/>
        <rFont val="Calibri"/>
        <family val="2"/>
        <scheme val="minor"/>
      </rPr>
      <t>)</t>
    </r>
  </si>
  <si>
    <r>
      <t>Congo Khaya (</t>
    </r>
    <r>
      <rPr>
        <i/>
        <sz val="11"/>
        <color theme="1"/>
        <rFont val="Calibri"/>
        <family val="2"/>
        <scheme val="minor"/>
      </rPr>
      <t>Khaya grandifoliola</t>
    </r>
    <r>
      <rPr>
        <sz val="11"/>
        <color theme="1"/>
        <rFont val="Calibri"/>
        <family val="2"/>
        <scheme val="minor"/>
      </rPr>
      <t>)</t>
    </r>
  </si>
  <si>
    <r>
      <t>Courbaril / Jatoba (</t>
    </r>
    <r>
      <rPr>
        <i/>
        <sz val="11"/>
        <color theme="1"/>
        <rFont val="Calibri"/>
        <family val="2"/>
        <scheme val="minor"/>
      </rPr>
      <t>Hymynea spp.</t>
    </r>
    <r>
      <rPr>
        <sz val="11"/>
        <color theme="1"/>
        <rFont val="Calibri"/>
        <family val="2"/>
        <scheme val="minor"/>
      </rPr>
      <t>)</t>
    </r>
  </si>
  <si>
    <r>
      <t>Cumaru (</t>
    </r>
    <r>
      <rPr>
        <i/>
        <sz val="11"/>
        <color theme="1"/>
        <rFont val="Calibri"/>
        <family val="2"/>
        <scheme val="minor"/>
      </rPr>
      <t>Dypteryx odorata</t>
    </r>
    <r>
      <rPr>
        <sz val="11"/>
        <color theme="1"/>
        <rFont val="Calibri"/>
        <family val="2"/>
        <scheme val="minor"/>
      </rPr>
      <t>)</t>
    </r>
  </si>
  <si>
    <r>
      <t>Cupiúba /Kopie (</t>
    </r>
    <r>
      <rPr>
        <i/>
        <sz val="11"/>
        <color theme="1"/>
        <rFont val="Calibri"/>
        <family val="2"/>
        <scheme val="minor"/>
      </rPr>
      <t>Goupia glabra</t>
    </r>
    <r>
      <rPr>
        <sz val="11"/>
        <color theme="1"/>
        <rFont val="Calibri"/>
        <family val="2"/>
        <scheme val="minor"/>
      </rPr>
      <t>)</t>
    </r>
  </si>
  <si>
    <r>
      <t>Curupay (</t>
    </r>
    <r>
      <rPr>
        <i/>
        <sz val="11"/>
        <color theme="1"/>
        <rFont val="Calibri"/>
        <family val="2"/>
        <scheme val="minor"/>
      </rPr>
      <t>Anadenanthera colubrina</t>
    </r>
    <r>
      <rPr>
        <sz val="11"/>
        <color theme="1"/>
        <rFont val="Calibri"/>
        <family val="2"/>
        <scheme val="minor"/>
      </rPr>
      <t>)</t>
    </r>
  </si>
  <si>
    <r>
      <t>Demerare groenhart (</t>
    </r>
    <r>
      <rPr>
        <i/>
        <sz val="11"/>
        <color theme="1"/>
        <rFont val="Calibri"/>
        <family val="2"/>
        <scheme val="minor"/>
      </rPr>
      <t>Chlorocardium rodiei</t>
    </r>
    <r>
      <rPr>
        <sz val="11"/>
        <color theme="1"/>
        <rFont val="Calibri"/>
        <family val="2"/>
        <scheme val="minor"/>
      </rPr>
      <t>)</t>
    </r>
  </si>
  <si>
    <r>
      <t>Dennen (</t>
    </r>
    <r>
      <rPr>
        <i/>
        <sz val="11"/>
        <color theme="1"/>
        <rFont val="Calibri"/>
        <family val="2"/>
        <scheme val="minor"/>
      </rPr>
      <t>Abies spp</t>
    </r>
    <r>
      <rPr>
        <sz val="11"/>
        <color theme="1"/>
        <rFont val="Calibri"/>
        <family val="2"/>
        <scheme val="minor"/>
      </rPr>
      <t>)</t>
    </r>
  </si>
  <si>
    <r>
      <t>Douglas (</t>
    </r>
    <r>
      <rPr>
        <i/>
        <sz val="11"/>
        <color theme="1"/>
        <rFont val="Calibri"/>
        <family val="2"/>
        <scheme val="minor"/>
      </rPr>
      <t>Pseudotsuga menziesii</t>
    </r>
    <r>
      <rPr>
        <sz val="11"/>
        <color theme="1"/>
        <rFont val="Calibri"/>
        <family val="2"/>
        <scheme val="minor"/>
      </rPr>
      <t>)</t>
    </r>
  </si>
  <si>
    <r>
      <t>Esdoorn (</t>
    </r>
    <r>
      <rPr>
        <i/>
        <sz val="11"/>
        <color theme="1"/>
        <rFont val="Calibri"/>
        <family val="2"/>
        <scheme val="minor"/>
      </rPr>
      <t>Acer spp.</t>
    </r>
    <r>
      <rPr>
        <sz val="11"/>
        <color theme="1"/>
        <rFont val="Calibri"/>
        <family val="2"/>
        <scheme val="minor"/>
      </rPr>
      <t>)</t>
    </r>
  </si>
  <si>
    <r>
      <t>Essen (</t>
    </r>
    <r>
      <rPr>
        <i/>
        <sz val="11"/>
        <color theme="1"/>
        <rFont val="Calibri"/>
        <family val="2"/>
        <scheme val="minor"/>
      </rPr>
      <t>Fraxinus spp</t>
    </r>
    <r>
      <rPr>
        <sz val="11"/>
        <color theme="1"/>
        <rFont val="Calibri"/>
        <family val="2"/>
        <scheme val="minor"/>
      </rPr>
      <t>)</t>
    </r>
  </si>
  <si>
    <r>
      <t>Europees eiken (</t>
    </r>
    <r>
      <rPr>
        <i/>
        <sz val="11"/>
        <color theme="1"/>
        <rFont val="Calibri"/>
        <family val="2"/>
        <scheme val="minor"/>
      </rPr>
      <t>Quercus spp.</t>
    </r>
    <r>
      <rPr>
        <sz val="11"/>
        <color theme="1"/>
        <rFont val="Calibri"/>
        <family val="2"/>
        <scheme val="minor"/>
      </rPr>
      <t>)</t>
    </r>
  </si>
  <si>
    <r>
      <t>Fraké (</t>
    </r>
    <r>
      <rPr>
        <i/>
        <sz val="11"/>
        <color theme="1"/>
        <rFont val="Calibri"/>
        <family val="2"/>
        <scheme val="minor"/>
      </rPr>
      <t>Terminalia superba</t>
    </r>
    <r>
      <rPr>
        <sz val="11"/>
        <color theme="1"/>
        <rFont val="Calibri"/>
        <family val="2"/>
        <scheme val="minor"/>
      </rPr>
      <t>)</t>
    </r>
  </si>
  <si>
    <r>
      <t>Gonsalo alves (</t>
    </r>
    <r>
      <rPr>
        <i/>
        <sz val="11"/>
        <color theme="1"/>
        <rFont val="Calibri"/>
        <family val="2"/>
        <scheme val="minor"/>
      </rPr>
      <t>Astrionium spp.</t>
    </r>
    <r>
      <rPr>
        <sz val="11"/>
        <color theme="1"/>
        <rFont val="Calibri"/>
        <family val="2"/>
        <scheme val="minor"/>
      </rPr>
      <t>)</t>
    </r>
  </si>
  <si>
    <r>
      <t>Grenen (</t>
    </r>
    <r>
      <rPr>
        <i/>
        <sz val="11"/>
        <color theme="1"/>
        <rFont val="Calibri"/>
        <family val="2"/>
        <scheme val="minor"/>
      </rPr>
      <t>Pinus sylvestris</t>
    </r>
    <r>
      <rPr>
        <sz val="11"/>
        <color theme="1"/>
        <rFont val="Calibri"/>
        <family val="2"/>
        <scheme val="minor"/>
      </rPr>
      <t>)</t>
    </r>
  </si>
  <si>
    <r>
      <t>Guariuba (</t>
    </r>
    <r>
      <rPr>
        <i/>
        <sz val="11"/>
        <color theme="1"/>
        <rFont val="Calibri"/>
        <family val="2"/>
        <scheme val="minor"/>
      </rPr>
      <t>Clarisia racemosa</t>
    </r>
    <r>
      <rPr>
        <sz val="11"/>
        <color theme="1"/>
        <rFont val="Calibri"/>
        <family val="2"/>
        <scheme val="minor"/>
      </rPr>
      <t>)</t>
    </r>
  </si>
  <si>
    <r>
      <t>Ipé (</t>
    </r>
    <r>
      <rPr>
        <i/>
        <sz val="11"/>
        <color theme="1"/>
        <rFont val="Calibri"/>
        <family val="2"/>
        <scheme val="minor"/>
      </rPr>
      <t>Handroanthus spec. div.</t>
    </r>
    <r>
      <rPr>
        <sz val="11"/>
        <color theme="1"/>
        <rFont val="Calibri"/>
        <family val="2"/>
        <scheme val="minor"/>
      </rPr>
      <t>)</t>
    </r>
  </si>
  <si>
    <r>
      <t>Iroko (</t>
    </r>
    <r>
      <rPr>
        <i/>
        <sz val="11"/>
        <color theme="1"/>
        <rFont val="Calibri"/>
        <family val="2"/>
        <scheme val="minor"/>
      </rPr>
      <t>Milicia excelsa, M. regia</t>
    </r>
    <r>
      <rPr>
        <sz val="11"/>
        <color theme="1"/>
        <rFont val="Calibri"/>
        <family val="2"/>
        <scheme val="minor"/>
      </rPr>
      <t>)</t>
    </r>
  </si>
  <si>
    <r>
      <t>Itauba (</t>
    </r>
    <r>
      <rPr>
        <i/>
        <sz val="11"/>
        <color theme="1"/>
        <rFont val="Calibri"/>
        <family val="2"/>
        <scheme val="minor"/>
      </rPr>
      <t>Mezilaurus ita-uba</t>
    </r>
    <r>
      <rPr>
        <sz val="11"/>
        <color theme="1"/>
        <rFont val="Calibri"/>
        <family val="2"/>
        <scheme val="minor"/>
      </rPr>
      <t>)</t>
    </r>
  </si>
  <si>
    <r>
      <t>Karri (</t>
    </r>
    <r>
      <rPr>
        <i/>
        <sz val="11"/>
        <color theme="1"/>
        <rFont val="Calibri"/>
        <family val="2"/>
        <scheme val="minor"/>
      </rPr>
      <t>Eucalyptus diversicolor</t>
    </r>
    <r>
      <rPr>
        <sz val="11"/>
        <color theme="1"/>
        <rFont val="Calibri"/>
        <family val="2"/>
        <scheme val="minor"/>
      </rPr>
      <t>)</t>
    </r>
  </si>
  <si>
    <r>
      <t>Kosipo(-mahonie) (</t>
    </r>
    <r>
      <rPr>
        <i/>
        <sz val="11"/>
        <color theme="1"/>
        <rFont val="Calibri"/>
        <family val="2"/>
        <scheme val="minor"/>
      </rPr>
      <t>Entandrophragma candollei</t>
    </r>
    <r>
      <rPr>
        <sz val="11"/>
        <color theme="1"/>
        <rFont val="Calibri"/>
        <family val="2"/>
        <scheme val="minor"/>
      </rPr>
      <t>)</t>
    </r>
  </si>
  <si>
    <r>
      <t>Lariks (</t>
    </r>
    <r>
      <rPr>
        <i/>
        <sz val="11"/>
        <color theme="1"/>
        <rFont val="Calibri"/>
        <family val="2"/>
        <scheme val="minor"/>
      </rPr>
      <t>Larix decidua</t>
    </r>
    <r>
      <rPr>
        <sz val="11"/>
        <color theme="1"/>
        <rFont val="Calibri"/>
        <family val="2"/>
        <scheme val="minor"/>
      </rPr>
      <t>)</t>
    </r>
  </si>
  <si>
    <r>
      <t>Lauan, red (</t>
    </r>
    <r>
      <rPr>
        <i/>
        <sz val="11"/>
        <color theme="1"/>
        <rFont val="Calibri"/>
        <family val="2"/>
        <scheme val="minor"/>
      </rPr>
      <t>Shorea negrosensis</t>
    </r>
    <r>
      <rPr>
        <sz val="11"/>
        <color theme="1"/>
        <rFont val="Calibri"/>
        <family val="2"/>
        <scheme val="minor"/>
      </rPr>
      <t>)</t>
    </r>
  </si>
  <si>
    <r>
      <t>Limba (</t>
    </r>
    <r>
      <rPr>
        <i/>
        <sz val="11"/>
        <color theme="1"/>
        <rFont val="Calibri"/>
        <family val="2"/>
        <scheme val="minor"/>
      </rPr>
      <t>Terminalia superba</t>
    </r>
    <r>
      <rPr>
        <sz val="11"/>
        <color theme="1"/>
        <rFont val="Calibri"/>
        <family val="2"/>
        <scheme val="minor"/>
      </rPr>
      <t>)</t>
    </r>
  </si>
  <si>
    <r>
      <t>Louro gamela / Louro vermelho (</t>
    </r>
    <r>
      <rPr>
        <i/>
        <sz val="11"/>
        <color theme="1"/>
        <rFont val="Calibri"/>
        <family val="2"/>
        <scheme val="minor"/>
      </rPr>
      <t>Sextonia rubra</t>
    </r>
    <r>
      <rPr>
        <sz val="11"/>
        <color theme="1"/>
        <rFont val="Calibri"/>
        <family val="2"/>
        <scheme val="minor"/>
      </rPr>
      <t>)</t>
    </r>
  </si>
  <si>
    <r>
      <t>Makoré (</t>
    </r>
    <r>
      <rPr>
        <i/>
        <sz val="11"/>
        <color theme="1"/>
        <rFont val="Calibri"/>
        <family val="2"/>
        <scheme val="minor"/>
      </rPr>
      <t>Tieghemella heckelii</t>
    </r>
    <r>
      <rPr>
        <sz val="11"/>
        <color theme="1"/>
        <rFont val="Calibri"/>
        <family val="2"/>
        <scheme val="minor"/>
      </rPr>
      <t>)</t>
    </r>
  </si>
  <si>
    <r>
      <t>Manbarklak (</t>
    </r>
    <r>
      <rPr>
        <i/>
        <sz val="11"/>
        <color theme="1"/>
        <rFont val="Calibri"/>
        <family val="2"/>
        <scheme val="minor"/>
      </rPr>
      <t>Eschweilera spp.</t>
    </r>
    <r>
      <rPr>
        <sz val="11"/>
        <color theme="1"/>
        <rFont val="Calibri"/>
        <family val="2"/>
        <scheme val="minor"/>
      </rPr>
      <t>)</t>
    </r>
  </si>
  <si>
    <r>
      <t>Massaranduba (</t>
    </r>
    <r>
      <rPr>
        <i/>
        <sz val="11"/>
        <color theme="1"/>
        <rFont val="Calibri"/>
        <family val="2"/>
        <scheme val="minor"/>
      </rPr>
      <t>Manilkara bidentata</t>
    </r>
    <r>
      <rPr>
        <sz val="11"/>
        <color theme="1"/>
        <rFont val="Calibri"/>
        <family val="2"/>
        <scheme val="minor"/>
      </rPr>
      <t>)</t>
    </r>
  </si>
  <si>
    <r>
      <t>Meranti, donker rood (</t>
    </r>
    <r>
      <rPr>
        <i/>
        <sz val="11"/>
        <color theme="1"/>
        <rFont val="Calibri"/>
        <family val="2"/>
        <scheme val="minor"/>
      </rPr>
      <t>Shorea spp.</t>
    </r>
    <r>
      <rPr>
        <sz val="11"/>
        <color theme="1"/>
        <rFont val="Calibri"/>
        <family val="2"/>
        <scheme val="minor"/>
      </rPr>
      <t>)</t>
    </r>
  </si>
  <si>
    <r>
      <t>Merbau (</t>
    </r>
    <r>
      <rPr>
        <i/>
        <sz val="11"/>
        <color theme="1"/>
        <rFont val="Calibri"/>
        <family val="2"/>
        <scheme val="minor"/>
      </rPr>
      <t>Intsia buijuga</t>
    </r>
    <r>
      <rPr>
        <sz val="11"/>
        <color theme="1"/>
        <rFont val="Calibri"/>
        <family val="2"/>
        <scheme val="minor"/>
      </rPr>
      <t>)</t>
    </r>
  </si>
  <si>
    <r>
      <t>Moabi (</t>
    </r>
    <r>
      <rPr>
        <i/>
        <sz val="11"/>
        <color theme="1"/>
        <rFont val="Calibri"/>
        <family val="2"/>
        <scheme val="minor"/>
      </rPr>
      <t>Baillonella toxisperma</t>
    </r>
    <r>
      <rPr>
        <sz val="11"/>
        <color theme="1"/>
        <rFont val="Calibri"/>
        <family val="2"/>
        <scheme val="minor"/>
      </rPr>
      <t>)</t>
    </r>
  </si>
  <si>
    <r>
      <t>Okan (</t>
    </r>
    <r>
      <rPr>
        <i/>
        <sz val="11"/>
        <color theme="1"/>
        <rFont val="Calibri"/>
        <family val="2"/>
        <scheme val="minor"/>
      </rPr>
      <t>Cylicodiscus gabunensis</t>
    </r>
    <r>
      <rPr>
        <sz val="11"/>
        <color theme="1"/>
        <rFont val="Calibri"/>
        <family val="2"/>
        <scheme val="minor"/>
      </rPr>
      <t>)</t>
    </r>
  </si>
  <si>
    <r>
      <t>Okoumé (</t>
    </r>
    <r>
      <rPr>
        <i/>
        <sz val="11"/>
        <color theme="1"/>
        <rFont val="Calibri"/>
        <family val="2"/>
        <scheme val="minor"/>
      </rPr>
      <t>Aucoumea klaineana</t>
    </r>
    <r>
      <rPr>
        <sz val="11"/>
        <color theme="1"/>
        <rFont val="Calibri"/>
        <family val="2"/>
        <scheme val="minor"/>
      </rPr>
      <t>)</t>
    </r>
  </si>
  <si>
    <r>
      <t>Piquia (</t>
    </r>
    <r>
      <rPr>
        <i/>
        <sz val="11"/>
        <color theme="1"/>
        <rFont val="Calibri"/>
        <family val="2"/>
        <scheme val="minor"/>
      </rPr>
      <t>Caryocar villosum</t>
    </r>
    <r>
      <rPr>
        <sz val="11"/>
        <color theme="1"/>
        <rFont val="Calibri"/>
        <family val="2"/>
        <scheme val="minor"/>
      </rPr>
      <t>)</t>
    </r>
  </si>
  <si>
    <r>
      <t>Populier (</t>
    </r>
    <r>
      <rPr>
        <i/>
        <sz val="11"/>
        <color theme="1"/>
        <rFont val="Calibri"/>
        <family val="2"/>
        <scheme val="minor"/>
      </rPr>
      <t>Populus spp.</t>
    </r>
    <r>
      <rPr>
        <sz val="11"/>
        <color theme="1"/>
        <rFont val="Calibri"/>
        <family val="2"/>
        <scheme val="minor"/>
      </rPr>
      <t>)</t>
    </r>
  </si>
  <si>
    <r>
      <t>Purperhart (</t>
    </r>
    <r>
      <rPr>
        <i/>
        <sz val="11"/>
        <color theme="1"/>
        <rFont val="Calibri"/>
        <family val="2"/>
        <scheme val="minor"/>
      </rPr>
      <t>Peltogyne spp.</t>
    </r>
    <r>
      <rPr>
        <sz val="11"/>
        <color theme="1"/>
        <rFont val="Calibri"/>
        <family val="2"/>
        <scheme val="minor"/>
      </rPr>
      <t>)</t>
    </r>
  </si>
  <si>
    <r>
      <t>Radiata pine (</t>
    </r>
    <r>
      <rPr>
        <i/>
        <sz val="11"/>
        <color theme="1"/>
        <rFont val="Calibri"/>
        <family val="2"/>
        <scheme val="minor"/>
      </rPr>
      <t>Pinus radiata</t>
    </r>
    <r>
      <rPr>
        <sz val="11"/>
        <color theme="1"/>
        <rFont val="Calibri"/>
        <family val="2"/>
        <scheme val="minor"/>
      </rPr>
      <t xml:space="preserve"> - Accoya)</t>
    </r>
  </si>
  <si>
    <r>
      <t>Robinia (</t>
    </r>
    <r>
      <rPr>
        <i/>
        <sz val="11"/>
        <color theme="1"/>
        <rFont val="Calibri"/>
        <family val="2"/>
        <scheme val="minor"/>
      </rPr>
      <t>Robinia pseudoacacia</t>
    </r>
    <r>
      <rPr>
        <sz val="11"/>
        <color theme="1"/>
        <rFont val="Calibri"/>
        <family val="2"/>
        <scheme val="minor"/>
      </rPr>
      <t>)</t>
    </r>
  </si>
  <si>
    <r>
      <t>Sapeli(-mahonie) (</t>
    </r>
    <r>
      <rPr>
        <i/>
        <sz val="11"/>
        <color theme="1"/>
        <rFont val="Calibri"/>
        <family val="2"/>
        <scheme val="minor"/>
      </rPr>
      <t>Entandrophragma cylindricum</t>
    </r>
    <r>
      <rPr>
        <sz val="11"/>
        <color theme="1"/>
        <rFont val="Calibri"/>
        <family val="2"/>
        <scheme val="minor"/>
      </rPr>
      <t>)</t>
    </r>
  </si>
  <si>
    <r>
      <t>Serraya, White (</t>
    </r>
    <r>
      <rPr>
        <i/>
        <sz val="11"/>
        <color theme="1"/>
        <rFont val="Calibri"/>
        <family val="2"/>
        <scheme val="minor"/>
      </rPr>
      <t>Parashorea malaanonan</t>
    </r>
    <r>
      <rPr>
        <sz val="11"/>
        <color theme="1"/>
        <rFont val="Calibri"/>
        <family val="2"/>
        <scheme val="minor"/>
      </rPr>
      <t>)</t>
    </r>
  </si>
  <si>
    <r>
      <t>Sipo(-mahonie) (</t>
    </r>
    <r>
      <rPr>
        <i/>
        <sz val="11"/>
        <color theme="1"/>
        <rFont val="Calibri"/>
        <family val="2"/>
        <scheme val="minor"/>
      </rPr>
      <t>Entandrophragma utile</t>
    </r>
    <r>
      <rPr>
        <sz val="11"/>
        <color theme="1"/>
        <rFont val="Calibri"/>
        <family val="2"/>
        <scheme val="minor"/>
      </rPr>
      <t>)</t>
    </r>
  </si>
  <si>
    <r>
      <t>Tali (</t>
    </r>
    <r>
      <rPr>
        <i/>
        <sz val="11"/>
        <color theme="1"/>
        <rFont val="Calibri"/>
        <family val="2"/>
        <scheme val="minor"/>
      </rPr>
      <t>Erythrophleum spec.</t>
    </r>
    <r>
      <rPr>
        <sz val="11"/>
        <color theme="1"/>
        <rFont val="Calibri"/>
        <family val="2"/>
        <scheme val="minor"/>
      </rPr>
      <t xml:space="preserve"> div.)</t>
    </r>
  </si>
  <si>
    <r>
      <t>Tamme kastanje (</t>
    </r>
    <r>
      <rPr>
        <i/>
        <sz val="11"/>
        <color theme="1"/>
        <rFont val="Calibri"/>
        <family val="2"/>
        <scheme val="minor"/>
      </rPr>
      <t>Castanea sativa</t>
    </r>
    <r>
      <rPr>
        <sz val="11"/>
        <color theme="1"/>
        <rFont val="Calibri"/>
        <family val="2"/>
        <scheme val="minor"/>
      </rPr>
      <t>)</t>
    </r>
  </si>
  <si>
    <r>
      <t>Tatajuba (</t>
    </r>
    <r>
      <rPr>
        <i/>
        <sz val="11"/>
        <color theme="1"/>
        <rFont val="Calibri"/>
        <family val="2"/>
        <scheme val="minor"/>
      </rPr>
      <t>Bagassa guianensis</t>
    </r>
    <r>
      <rPr>
        <sz val="11"/>
        <color theme="1"/>
        <rFont val="Calibri"/>
        <family val="2"/>
        <scheme val="minor"/>
      </rPr>
      <t>)</t>
    </r>
  </si>
  <si>
    <r>
      <t>Teak (</t>
    </r>
    <r>
      <rPr>
        <i/>
        <sz val="11"/>
        <color theme="1"/>
        <rFont val="Calibri"/>
        <family val="2"/>
        <scheme val="minor"/>
      </rPr>
      <t>Tectona grandis</t>
    </r>
    <r>
      <rPr>
        <sz val="11"/>
        <color theme="1"/>
        <rFont val="Calibri"/>
        <family val="2"/>
        <scheme val="minor"/>
      </rPr>
      <t>)</t>
    </r>
  </si>
  <si>
    <r>
      <t>Uchi torrado (</t>
    </r>
    <r>
      <rPr>
        <i/>
        <sz val="11"/>
        <color theme="1"/>
        <rFont val="Calibri"/>
        <family val="2"/>
        <scheme val="minor"/>
      </rPr>
      <t>Sacoglottis/Vantanea</t>
    </r>
    <r>
      <rPr>
        <sz val="11"/>
        <color theme="1"/>
        <rFont val="Calibri"/>
        <family val="2"/>
        <scheme val="minor"/>
      </rPr>
      <t>)</t>
    </r>
  </si>
  <si>
    <r>
      <t>Vuren (</t>
    </r>
    <r>
      <rPr>
        <i/>
        <sz val="11"/>
        <color theme="1"/>
        <rFont val="Calibri"/>
        <family val="2"/>
        <scheme val="minor"/>
      </rPr>
      <t>Picea spp</t>
    </r>
    <r>
      <rPr>
        <sz val="11"/>
        <color theme="1"/>
        <rFont val="Calibri"/>
        <family val="2"/>
        <scheme val="minor"/>
      </rPr>
      <t>)</t>
    </r>
  </si>
  <si>
    <r>
      <t>Walnoot (</t>
    </r>
    <r>
      <rPr>
        <i/>
        <sz val="11"/>
        <color theme="1"/>
        <rFont val="Calibri"/>
        <family val="2"/>
        <scheme val="minor"/>
      </rPr>
      <t>Juglans spp</t>
    </r>
    <r>
      <rPr>
        <sz val="11"/>
        <color theme="1"/>
        <rFont val="Calibri"/>
        <family val="2"/>
        <scheme val="minor"/>
      </rPr>
      <t>)</t>
    </r>
  </si>
  <si>
    <r>
      <t>Wengé (</t>
    </r>
    <r>
      <rPr>
        <i/>
        <sz val="11"/>
        <color theme="1"/>
        <rFont val="Calibri"/>
        <family val="2"/>
        <scheme val="minor"/>
      </rPr>
      <t>Millettia laurentii</t>
    </r>
    <r>
      <rPr>
        <sz val="11"/>
        <color theme="1"/>
        <rFont val="Calibri"/>
        <family val="2"/>
        <scheme val="minor"/>
      </rPr>
      <t>)</t>
    </r>
  </si>
  <si>
    <r>
      <t>Western red cedar (</t>
    </r>
    <r>
      <rPr>
        <i/>
        <sz val="11"/>
        <color theme="1"/>
        <rFont val="Calibri"/>
        <family val="2"/>
        <scheme val="minor"/>
      </rPr>
      <t>Thuja plicata</t>
    </r>
    <r>
      <rPr>
        <sz val="11"/>
        <color theme="1"/>
        <rFont val="Calibri"/>
        <family val="2"/>
        <scheme val="minor"/>
      </rPr>
      <t>)</t>
    </r>
  </si>
  <si>
    <t>Houtinfo</t>
  </si>
  <si>
    <t>Western Red Cedar | The Wood Database - Lumber Identification (Softwood) (wood-database.com)</t>
  </si>
  <si>
    <t>Alaskan Yellow Cedar | The Wood Database - Lumber Identification (Softwood) (wood-database.com)</t>
  </si>
  <si>
    <t>Pacific Silver Fir | The Wood Database - Lumber Identification (Softwood) (wood-database.com)</t>
  </si>
  <si>
    <t>Balsam Fir | The Wood Database - Lumber Identification (Softwood) (wood-database.com)</t>
  </si>
  <si>
    <t>Box Elder | The Wood Database - Lumber Identification (Hardwood) (wood-database.com)</t>
  </si>
  <si>
    <t>Bigleaf maple | The Wood Database - Lumber Identification (Hardwood) (wood-database.com)</t>
  </si>
  <si>
    <r>
      <rPr>
        <sz val="11"/>
        <color theme="1"/>
        <rFont val="Calibri"/>
        <family val="2"/>
        <scheme val="minor"/>
      </rPr>
      <t>Box elder</t>
    </r>
    <r>
      <rPr>
        <i/>
        <sz val="11"/>
        <color theme="1"/>
        <rFont val="Calibri"/>
        <family val="2"/>
        <scheme val="minor"/>
      </rPr>
      <t xml:space="preserve"> (Acer negundo </t>
    </r>
    <r>
      <rPr>
        <sz val="11"/>
        <color theme="1"/>
        <rFont val="Calibri"/>
        <family val="2"/>
        <scheme val="minor"/>
      </rPr>
      <t>L.)</t>
    </r>
  </si>
  <si>
    <t>Hard maple | The Wood Database - Lumber Identification (Hardwood) (wood-database.com)</t>
  </si>
  <si>
    <t>Red maple | The Wood Database - Lumber Identification (Hardwood) (wood-database.com)</t>
  </si>
  <si>
    <t>Red alder | The Wood Database - Lumber Identification (Hardwood) (wood-database.com)</t>
  </si>
  <si>
    <t>Black Ash | The Wood Database - Lumber Identification (Hardwood) (wood-database.com)</t>
  </si>
  <si>
    <t>White Ash | The Wood Database - Lumber Identification (Hardwood) (wood-database.com)</t>
  </si>
  <si>
    <t>White Oak | The Wood Database - Lumber Identification (Hardwood) (wood-database.com)</t>
  </si>
  <si>
    <t>Red Oak | The Wood Database - Lumber Identification (Hardwood) (wood-database.com)</t>
  </si>
  <si>
    <t>Lodgepole Pine | The Wood Database - Lumber Identification (Softwood) (wood-database.com)</t>
  </si>
  <si>
    <t>Jack Pine | The Wood Database - Lumber Identification (Softwood) (wood-database.com)</t>
  </si>
  <si>
    <t>Ponderosa Pine | The Wood Database - Lumber Identification (Softwood) (wood-database.com)</t>
  </si>
  <si>
    <t>Red Pine | The Wood Database - Lumber Identification (Softwood) (wood-database.com)</t>
  </si>
  <si>
    <t>Eastern White Pine | The Wood Database - Lumber Identification (Softwood) (wood-database.com)</t>
  </si>
  <si>
    <t>You searched for carya - The Wood Database (wood-database.com)</t>
  </si>
  <si>
    <t>Tamarack | The Wood Database - Lumber Identification (Softwood) (wood-database.com)</t>
  </si>
  <si>
    <t>Western Larch | The Wood Database - Lumber Identification (Softwood) (wood-database.com)</t>
  </si>
  <si>
    <t>Sycamore | The Wood Database - Lumber Identification (Hardwood) (wood-database.com)</t>
  </si>
  <si>
    <t>Black Cottonwood | The Wood Database - Lumber Identification (Hardwood) (wood-database.com)</t>
  </si>
  <si>
    <t>Quaking Aspen | The Wood Database - Lumber Identification (Hardwood) (wood-database.com)</t>
  </si>
  <si>
    <t>Black Cherry | The Wood Database - Lumber Identification (Hardwood) (wood-database.com)</t>
  </si>
  <si>
    <t>Sitka Spruce | The Wood Database - Lumber Identification (Softwood) (wood-database.com)</t>
  </si>
  <si>
    <t>White Spruce | The Wood Database - Lumber Identification (Softwood) (wood-database.com)</t>
  </si>
  <si>
    <t>You searched for salix - The Wood Database (wood-database.com)</t>
  </si>
  <si>
    <t>Black Walnut | The Wood Database - Lumber Identification (Hardwood) (wood-database.com)</t>
  </si>
  <si>
    <t>Butternut | The Wood Database - Lumber Identification (Hardwood) (wood-database.com)</t>
  </si>
  <si>
    <t>Western Hemlock | The Wood Database - Lumber Identification (Softwood) (wood-database.com)</t>
  </si>
  <si>
    <t>Eastern Hemlock | The Wood Database - Lumber Identification (Softwood) (wood-database.com)</t>
  </si>
  <si>
    <t>Northern White Cedar | The Wood Database - Lumber Identification (Softwood) (wood-database.com)</t>
  </si>
  <si>
    <t>Yellow Birch | The Wood Database - Lumber Identification (Hardwood) (wood-database.com)</t>
  </si>
  <si>
    <t>Paper Birch | The Wood Database - Lumber Identification (Hardwood) (wood-database.com)</t>
  </si>
  <si>
    <t>American Beech | The Wood Database - Lumber Identification (Hardwood) (wood-database.com)</t>
  </si>
  <si>
    <r>
      <t>Pines (</t>
    </r>
    <r>
      <rPr>
        <i/>
        <sz val="11"/>
        <color theme="1"/>
        <rFont val="Calibri"/>
        <family val="2"/>
        <scheme val="minor"/>
      </rPr>
      <t>Pinus spp</t>
    </r>
    <r>
      <rPr>
        <sz val="11"/>
        <color theme="1"/>
        <rFont val="Calibri"/>
        <family val="2"/>
        <scheme val="minor"/>
      </rPr>
      <t>)</t>
    </r>
  </si>
  <si>
    <t>(1) (PDF) Carbon content in Juvenile and mature wood of Scots Pine (Pinus sylyestris L.) (researchgate.net)</t>
  </si>
  <si>
    <t>Thermo wood</t>
  </si>
  <si>
    <t>North American Glued Laminated Timber – Environmental Product Declaration (awc.org)</t>
  </si>
  <si>
    <t>Data (environdec.com)</t>
  </si>
  <si>
    <t>479.EPD_FOR_Structurlam_Glulam_20200113.pdf (astm.org)</t>
  </si>
  <si>
    <t>Source4</t>
  </si>
  <si>
    <t>EPD_Nordic_Lam.pdf</t>
  </si>
  <si>
    <t>Source5</t>
  </si>
  <si>
    <t>Accoya (Radiata Pine)</t>
  </si>
  <si>
    <t>Accoya (Scots Pine)</t>
  </si>
  <si>
    <t>Accoya (Beech)</t>
  </si>
  <si>
    <t>Environmental-Product-Declaration-–-cladding-decking-planed-timber-–-EN-15804.pdf (accoya.com)</t>
  </si>
  <si>
    <t>https://epd-online.com/EmbeddedEpdList/Download/5751</t>
  </si>
  <si>
    <t>Technical Data Sheet | Parquet by Dian</t>
  </si>
  <si>
    <t>Number of residencies:</t>
  </si>
  <si>
    <t>=ALS(B6="CLT";CLT;ALS(B6="Hemp-shives containing products";HSC;ALS(B6="Wood material";Wtype;'Drop-down_lists'!$D$9)))</t>
  </si>
  <si>
    <t>Bart van Valenberg | LinkedIn</t>
  </si>
  <si>
    <t>Insulation</t>
  </si>
  <si>
    <t>Unknown (average wood density)</t>
  </si>
  <si>
    <t>Green roof</t>
  </si>
  <si>
    <r>
      <t>Av. CO</t>
    </r>
    <r>
      <rPr>
        <vertAlign val="subscript"/>
        <sz val="11"/>
        <color theme="1"/>
        <rFont val="Calibri"/>
        <family val="2"/>
        <scheme val="minor"/>
      </rPr>
      <t>2</t>
    </r>
    <r>
      <rPr>
        <sz val="11"/>
        <color theme="1"/>
        <rFont val="Calibri"/>
        <family val="2"/>
        <scheme val="minor"/>
      </rPr>
      <t>-storage (kgCO</t>
    </r>
    <r>
      <rPr>
        <vertAlign val="subscript"/>
        <sz val="11"/>
        <color theme="1"/>
        <rFont val="Calibri"/>
        <family val="2"/>
        <scheme val="minor"/>
      </rPr>
      <t>2</t>
    </r>
    <r>
      <rPr>
        <sz val="11"/>
        <color theme="1"/>
        <rFont val="Calibri"/>
        <family val="2"/>
        <scheme val="minor"/>
      </rPr>
      <t>/kg)*</t>
    </r>
  </si>
  <si>
    <r>
      <t>kgCO</t>
    </r>
    <r>
      <rPr>
        <vertAlign val="subscript"/>
        <sz val="11"/>
        <color theme="1"/>
        <rFont val="Calibri"/>
        <family val="2"/>
        <scheme val="minor"/>
      </rPr>
      <t>2</t>
    </r>
    <r>
      <rPr>
        <sz val="11"/>
        <color theme="1"/>
        <rFont val="Calibri"/>
        <family val="2"/>
        <scheme val="minor"/>
      </rPr>
      <t>/m</t>
    </r>
    <r>
      <rPr>
        <vertAlign val="superscript"/>
        <sz val="11"/>
        <color theme="1"/>
        <rFont val="Calibri"/>
        <family val="2"/>
        <scheme val="minor"/>
      </rPr>
      <t>2</t>
    </r>
  </si>
  <si>
    <t>https://www.researchgate.net/publication/38028912_Carbon_Sequestration_Potential_of_Extensive_Green_Roofs</t>
  </si>
  <si>
    <t>Groendak | Aanleggen en leveren van groene daken</t>
  </si>
  <si>
    <t>Solar Sedum</t>
  </si>
  <si>
    <t>kerto, kerto ripa, agepan</t>
  </si>
  <si>
    <t>Fixed unit</t>
  </si>
  <si>
    <t>Green roof type</t>
  </si>
  <si>
    <t>Herbaceous perennials and grasses</t>
  </si>
  <si>
    <t>Native prairie mix</t>
  </si>
  <si>
    <t>Succulent rock garden</t>
  </si>
  <si>
    <t>Vegetable and herb garden</t>
  </si>
  <si>
    <t>Carbon content of soil or substrate (kg/m2)</t>
  </si>
  <si>
    <t>CO2 stored of soil or substrate (kg/m2)</t>
  </si>
  <si>
    <t>cm thick substrate layer</t>
  </si>
  <si>
    <t>Frames and walls</t>
  </si>
  <si>
    <t>Floors</t>
  </si>
  <si>
    <t>Product categories</t>
  </si>
  <si>
    <t>Product category</t>
  </si>
  <si>
    <t>Other wood material</t>
  </si>
  <si>
    <t>Please select product category first</t>
  </si>
  <si>
    <t>Roofs</t>
  </si>
  <si>
    <t>=ALS(B6="Floors";Floors;ALS(B6="Frames and walls";Frames_walls;ALS(B6="Insulation";Insulation;ALS(B6="Wood boards/planks";Wood_boards;'Drop-down_lists'!$A$27))))</t>
  </si>
  <si>
    <t>2,97kgCO2/m2 omgezet in O2</t>
  </si>
  <si>
    <t>Mode of transport</t>
  </si>
  <si>
    <r>
      <t>kgCO</t>
    </r>
    <r>
      <rPr>
        <vertAlign val="subscript"/>
        <sz val="11"/>
        <color theme="1"/>
        <rFont val="Calibri"/>
        <family val="2"/>
        <scheme val="minor"/>
      </rPr>
      <t>2</t>
    </r>
    <r>
      <rPr>
        <sz val="11"/>
        <color theme="1"/>
        <rFont val="Calibri"/>
        <family val="2"/>
        <scheme val="minor"/>
      </rPr>
      <t>/tonkilometer (Well to Wheel)</t>
    </r>
  </si>
  <si>
    <t>Bulk and general cargo</t>
  </si>
  <si>
    <t>Delivery van</t>
  </si>
  <si>
    <t>Lorry/truck</t>
  </si>
  <si>
    <t>10 ton</t>
  </si>
  <si>
    <t>10-20 ton</t>
  </si>
  <si>
    <t>&gt;20 ton + trailer</t>
  </si>
  <si>
    <t>LZV</t>
  </si>
  <si>
    <t>Train</t>
  </si>
  <si>
    <t>Diesel</t>
  </si>
  <si>
    <t>Electric</t>
  </si>
  <si>
    <t>Combination</t>
  </si>
  <si>
    <t>Inland shipping</t>
  </si>
  <si>
    <t>300-600 ton</t>
  </si>
  <si>
    <t>1500-3000 ton</t>
  </si>
  <si>
    <t>5000-11000 ton</t>
  </si>
  <si>
    <t>Average shipping</t>
  </si>
  <si>
    <t>Maritime shipping</t>
  </si>
  <si>
    <t>Short sea shipping</t>
  </si>
  <si>
    <t>Deep Sea</t>
  </si>
  <si>
    <t>Aviation</t>
  </si>
  <si>
    <t>Long-haul</t>
  </si>
  <si>
    <t>Containers</t>
  </si>
  <si>
    <t>&gt;20 ton</t>
  </si>
  <si>
    <t>Heavy load tuck + trialer</t>
  </si>
  <si>
    <t>Heavy load truck + trailer</t>
  </si>
  <si>
    <t>40 TEU</t>
  </si>
  <si>
    <t>96 TEU</t>
  </si>
  <si>
    <t>208 TEU</t>
  </si>
  <si>
    <t>348 TEU</t>
  </si>
  <si>
    <t>https://llufb.llu.lv/conference/NJF/NJF_2015_Proceedings_Latvia-156-160.pdf</t>
  </si>
  <si>
    <t>https://www.hollandhoutland.nl/wp-content/uploads/2021/03/HH_Biobased-Bouwen-Bedrijvengids_BOOK_19-03_web.pdf</t>
  </si>
  <si>
    <t>-</t>
  </si>
  <si>
    <t>.</t>
  </si>
  <si>
    <t>Sheep wool</t>
  </si>
  <si>
    <t>https://iwto.org/sustainability/carbon-cycle/</t>
  </si>
  <si>
    <t>Hemp-lime blocks (non-load bearing)</t>
  </si>
  <si>
    <t>https://www.researchgate.net/publication/313961941_Life_cycle_assessment_of_natural_building_materials_the_role_of_carbonation_mixture_components_and_transport_in_the_environmental_impacts_of_hempcrete_blocks</t>
  </si>
  <si>
    <t>Life cycle greenhouse gas emissions of hemp–lime wall constructions in the UK - ScienceDirect</t>
  </si>
  <si>
    <t>Hemp insulation</t>
  </si>
  <si>
    <t>Elephant grass</t>
  </si>
  <si>
    <t>https://www.carbontrap.org/about-miscanthus</t>
  </si>
  <si>
    <t>Straw</t>
  </si>
  <si>
    <t>Bamboo plywood</t>
  </si>
  <si>
    <t>Carbon dioxide emission from bamboo culms - Zachariah - 2016 - Plant Biology - Wiley Online Library</t>
  </si>
  <si>
    <t>Strand woven bamboo</t>
  </si>
  <si>
    <t>Boards/planks</t>
  </si>
  <si>
    <t>Thatch/reed roof</t>
  </si>
  <si>
    <t>=ALS(B6="Floors";Floors;ALS(B6="Frames and walls";Frames_walls;ALS(B6="Insulation";Insulation;ALS(B6="Roofs";Roofs;ALS(B6="Boards/planks";Boards_planks;'Drop-down_lists'!$A$27)))))</t>
  </si>
  <si>
    <t>https://www.isolatie-info.nl/isolatiemateriaal/hennep</t>
  </si>
  <si>
    <t>https://www.researchgate.net/publication/263268778_Carbon_sequestration_in_LCA_a_proposal_for_a_new_approach_based_on_the_global_carbon_cycle_Cases_on_wood_and_on_bamboo</t>
  </si>
  <si>
    <t>Extensive green roof (sedum)</t>
  </si>
  <si>
    <t>https://www.groenebouwmaterialen.nl/thermo-hennep-premium-hennep-isolatie.html</t>
  </si>
  <si>
    <t>https://www.hempitecture.com/hempwool</t>
  </si>
  <si>
    <t>https://innovativebuildingmaterials.com/hemp-insulation/</t>
  </si>
  <si>
    <t>Project name:</t>
  </si>
  <si>
    <t>Métisse</t>
  </si>
  <si>
    <t>https://www.eco-bouwmaterialen.nl/isolatie/</t>
  </si>
  <si>
    <t>(6) (PDF) A review of unconventional sustainable building insulation materials (researchgate.net)</t>
  </si>
  <si>
    <t>abc / 123</t>
  </si>
  <si>
    <t>Input cell</t>
  </si>
  <si>
    <t>Invalid value</t>
  </si>
  <si>
    <t>!@#$</t>
  </si>
  <si>
    <t>Legend</t>
  </si>
  <si>
    <t>bart@climatecleanup.org</t>
  </si>
  <si>
    <t>Developed by:</t>
  </si>
  <si>
    <t>https://passiefhuismarkt.nl/passiefhuis-producten/houtflex-standard/</t>
  </si>
  <si>
    <r>
      <rPr>
        <sz val="11"/>
        <rFont val="Calibri"/>
        <family val="2"/>
        <scheme val="minor"/>
      </rPr>
      <t xml:space="preserve">Mail contact met: </t>
    </r>
    <r>
      <rPr>
        <u/>
        <sz val="11"/>
        <color theme="10"/>
        <rFont val="Calibri"/>
        <family val="2"/>
        <scheme val="minor"/>
      </rPr>
      <t>jdwars@soprema.nl</t>
    </r>
  </si>
  <si>
    <t>Wood fibre insulation</t>
  </si>
  <si>
    <t>Paper wool</t>
  </si>
  <si>
    <t>Linoleum</t>
  </si>
  <si>
    <t>MOSO Bamboo Side/Plain Pressed</t>
  </si>
  <si>
    <t>MOSO Bamboo High Density (SWB)</t>
  </si>
  <si>
    <t>MOSO Bamboo UltraDensity</t>
  </si>
  <si>
    <t>MOSO Bamboo X-treme</t>
  </si>
  <si>
    <t>MOSO Bamboo N-durance</t>
  </si>
  <si>
    <t>MOSO® Bamboo | Bamboo flooring, decking, beams, panels and veneer (moso-bamboo.com)</t>
  </si>
  <si>
    <t>Custom</t>
  </si>
  <si>
    <r>
      <t>tCO</t>
    </r>
    <r>
      <rPr>
        <vertAlign val="subscript"/>
        <sz val="11"/>
        <color theme="0"/>
        <rFont val="Calibri"/>
        <family val="2"/>
        <scheme val="minor"/>
      </rPr>
      <t>2</t>
    </r>
    <r>
      <rPr>
        <sz val="11"/>
        <color theme="0"/>
        <rFont val="Calibri"/>
        <family val="2"/>
        <scheme val="minor"/>
      </rPr>
      <t xml:space="preserve"> stored</t>
    </r>
  </si>
  <si>
    <t>Results:</t>
  </si>
  <si>
    <r>
      <t>total tons of stored CO</t>
    </r>
    <r>
      <rPr>
        <b/>
        <vertAlign val="subscript"/>
        <sz val="11"/>
        <color theme="1"/>
        <rFont val="Calibri"/>
        <family val="2"/>
        <scheme val="minor"/>
      </rPr>
      <t>2</t>
    </r>
  </si>
  <si>
    <r>
      <t>tCO</t>
    </r>
    <r>
      <rPr>
        <vertAlign val="subscript"/>
        <sz val="11"/>
        <color theme="1"/>
        <rFont val="Calibri"/>
        <family val="2"/>
        <scheme val="minor"/>
      </rPr>
      <t>2</t>
    </r>
    <r>
      <rPr>
        <sz val="11"/>
        <color theme="1"/>
        <rFont val="Calibri"/>
        <family val="2"/>
        <scheme val="minor"/>
      </rPr>
      <t xml:space="preserve"> stored per residency</t>
    </r>
  </si>
  <si>
    <r>
      <t>tCO</t>
    </r>
    <r>
      <rPr>
        <vertAlign val="subscript"/>
        <sz val="11"/>
        <color theme="1"/>
        <rFont val="Calibri"/>
        <family val="2"/>
        <scheme val="minor"/>
      </rPr>
      <t>2</t>
    </r>
    <r>
      <rPr>
        <sz val="11"/>
        <color theme="1"/>
        <rFont val="Calibri"/>
        <family val="2"/>
        <scheme val="minor"/>
      </rPr>
      <t xml:space="preserve"> stored per 120m</t>
    </r>
    <r>
      <rPr>
        <vertAlign val="superscript"/>
        <sz val="11"/>
        <color theme="1"/>
        <rFont val="Calibri"/>
        <family val="2"/>
        <scheme val="minor"/>
      </rPr>
      <t>2</t>
    </r>
  </si>
  <si>
    <r>
      <t>Livable m</t>
    </r>
    <r>
      <rPr>
        <vertAlign val="superscript"/>
        <sz val="11"/>
        <color theme="1"/>
        <rFont val="Calibri"/>
        <family val="2"/>
        <scheme val="minor"/>
      </rPr>
      <t>2</t>
    </r>
    <r>
      <rPr>
        <sz val="11"/>
        <color theme="1"/>
        <rFont val="Calibri"/>
        <family val="2"/>
        <scheme val="minor"/>
      </rPr>
      <t>/residency:</t>
    </r>
  </si>
  <si>
    <r>
      <rPr>
        <b/>
        <sz val="11"/>
        <color theme="1"/>
        <rFont val="Calibri"/>
        <family val="2"/>
        <scheme val="minor"/>
      </rPr>
      <t>Introduction</t>
    </r>
    <r>
      <rPr>
        <sz val="11"/>
        <color theme="1"/>
        <rFont val="Calibri"/>
        <family val="2"/>
        <scheme val="minor"/>
      </rPr>
      <t xml:space="preserve">
This is an open-source calculation-tool to calculate the CO2 storage of construction works with biobased building materials (a.k.a. products). Sources are transparently reported in the data worksheet '</t>
    </r>
    <r>
      <rPr>
        <b/>
        <sz val="11"/>
        <color theme="1"/>
        <rFont val="Calibri"/>
        <family val="2"/>
        <scheme val="minor"/>
      </rPr>
      <t>CO2-storage factors</t>
    </r>
    <r>
      <rPr>
        <sz val="11"/>
        <color theme="1"/>
        <rFont val="Calibri"/>
        <family val="2"/>
        <scheme val="minor"/>
      </rPr>
      <t xml:space="preserve">'. Calculations can be transparently reviewed wherever they are used. However, all worksheets are protected from editting to protect the intigrity of the tool. Only the fields where input is required are unprotected. There are a few columns that both contain Excel-formulas and can require input, it is therefore useful to be careful when filling in required input. However, when you like to reverse the input either use Ctrl+z or select and copy a cell in the same column with the Excel-formula still in place. If there are any questions, or you like me (the developer of the tool) to complete the calculation, feel free to contact me.
</t>
    </r>
    <r>
      <rPr>
        <b/>
        <sz val="11"/>
        <color theme="1"/>
        <rFont val="Calibri"/>
        <family val="2"/>
        <scheme val="minor"/>
      </rPr>
      <t>Project_data</t>
    </r>
    <r>
      <rPr>
        <sz val="11"/>
        <color theme="1"/>
        <rFont val="Calibri"/>
        <family val="2"/>
        <scheme val="minor"/>
      </rPr>
      <t xml:space="preserve">
This is an empty worksheet available to you to put in all your required project data needed for the '</t>
    </r>
    <r>
      <rPr>
        <b/>
        <sz val="11"/>
        <color theme="1"/>
        <rFont val="Calibri"/>
        <family val="2"/>
        <scheme val="minor"/>
      </rPr>
      <t>Calculation-input</t>
    </r>
    <r>
      <rPr>
        <sz val="11"/>
        <color theme="1"/>
        <rFont val="Calibri"/>
        <family val="2"/>
        <scheme val="minor"/>
      </rPr>
      <t xml:space="preserve">' worksheet. This should make it easier for you to fill in/work with your data in this tool rather then working in two separate Excel-files. It also avoids that there are references created to external and/or not local Excel-files which can cause errors when the tool is shared with others.
</t>
    </r>
    <r>
      <rPr>
        <b/>
        <sz val="11"/>
        <color theme="1"/>
        <rFont val="Calibri"/>
        <family val="2"/>
        <scheme val="minor"/>
      </rPr>
      <t>Calculation-input</t>
    </r>
    <r>
      <rPr>
        <sz val="11"/>
        <color theme="1"/>
        <rFont val="Calibri"/>
        <family val="2"/>
        <scheme val="minor"/>
      </rPr>
      <t xml:space="preserve">
This is basically the only sheet in which you work. Here you find columns with input-cells, this is where you are required to fill in particular information. You can fill in the project name, the number of residencies (this is 1 by default) and the (average) living area of the residency/ies. 
In </t>
    </r>
    <r>
      <rPr>
        <u/>
        <sz val="11"/>
        <color theme="1"/>
        <rFont val="Calibri"/>
        <family val="2"/>
        <scheme val="minor"/>
      </rPr>
      <t>column A</t>
    </r>
    <r>
      <rPr>
        <sz val="11"/>
        <color theme="1"/>
        <rFont val="Calibri"/>
        <family val="2"/>
        <scheme val="minor"/>
      </rPr>
      <t xml:space="preserve"> of the table, you can select the construction level (this is optional);
In </t>
    </r>
    <r>
      <rPr>
        <u/>
        <sz val="11"/>
        <color theme="1"/>
        <rFont val="Calibri"/>
        <family val="2"/>
        <scheme val="minor"/>
      </rPr>
      <t>column B</t>
    </r>
    <r>
      <rPr>
        <sz val="11"/>
        <color theme="1"/>
        <rFont val="Calibri"/>
        <family val="2"/>
        <scheme val="minor"/>
      </rPr>
      <t>, you have to select a product category. If you are not sure to which category your desired product belongs to, you can check the worksheet '</t>
    </r>
    <r>
      <rPr>
        <b/>
        <sz val="11"/>
        <color theme="1"/>
        <rFont val="Calibri"/>
        <family val="2"/>
        <scheme val="minor"/>
      </rPr>
      <t>Drop-down_lists</t>
    </r>
    <r>
      <rPr>
        <sz val="11"/>
        <color theme="1"/>
        <rFont val="Calibri"/>
        <family val="2"/>
        <scheme val="minor"/>
      </rPr>
      <t xml:space="preserve">'; 
In </t>
    </r>
    <r>
      <rPr>
        <u/>
        <sz val="11"/>
        <color theme="1"/>
        <rFont val="Calibri"/>
        <family val="2"/>
        <scheme val="minor"/>
      </rPr>
      <t>column C</t>
    </r>
    <r>
      <rPr>
        <sz val="11"/>
        <color theme="1"/>
        <rFont val="Calibri"/>
        <family val="2"/>
        <scheme val="minor"/>
      </rPr>
      <t xml:space="preserve">, you can finally select the biobased builiding material;
In </t>
    </r>
    <r>
      <rPr>
        <u/>
        <sz val="11"/>
        <color theme="1"/>
        <rFont val="Calibri"/>
        <family val="2"/>
        <scheme val="minor"/>
      </rPr>
      <t>column D</t>
    </r>
    <r>
      <rPr>
        <sz val="11"/>
        <color theme="1"/>
        <rFont val="Calibri"/>
        <family val="2"/>
        <scheme val="minor"/>
      </rPr>
      <t xml:space="preserve">, cells will format as input cell whenever more information is required. Cells can also provide important additional information, it is therefore a good idea to read the text appearing in these cells closely;
In </t>
    </r>
    <r>
      <rPr>
        <u/>
        <sz val="11"/>
        <color theme="1"/>
        <rFont val="Calibri"/>
        <family val="2"/>
        <scheme val="minor"/>
      </rPr>
      <t>column E</t>
    </r>
    <r>
      <rPr>
        <sz val="11"/>
        <color theme="1"/>
        <rFont val="Calibri"/>
        <family val="2"/>
        <scheme val="minor"/>
      </rPr>
      <t>, the average density of the product is retrieved from the worksheet '</t>
    </r>
    <r>
      <rPr>
        <b/>
        <sz val="11"/>
        <color theme="1"/>
        <rFont val="Calibri"/>
        <family val="2"/>
        <scheme val="minor"/>
      </rPr>
      <t>CO2-storage factors</t>
    </r>
    <r>
      <rPr>
        <sz val="11"/>
        <color theme="1"/>
        <rFont val="Calibri"/>
        <family val="2"/>
        <scheme val="minor"/>
      </rPr>
      <t xml:space="preserve">' and shown in here. You are allowed to replace or add (if missing) the density or the product. </t>
    </r>
    <r>
      <rPr>
        <i/>
        <sz val="11"/>
        <color theme="1"/>
        <rFont val="Calibri"/>
        <family val="2"/>
        <scheme val="minor"/>
      </rPr>
      <t xml:space="preserve">It is important to note that whenever there is no density available and the cell in column E remains empty, you cannot use quantity of products in volumetric units (i.e. m3) which are selected in </t>
    </r>
    <r>
      <rPr>
        <i/>
        <u/>
        <sz val="11"/>
        <color theme="1"/>
        <rFont val="Calibri"/>
        <family val="2"/>
        <scheme val="minor"/>
      </rPr>
      <t>column G</t>
    </r>
    <r>
      <rPr>
        <i/>
        <sz val="11"/>
        <color theme="1"/>
        <rFont val="Calibri"/>
        <family val="2"/>
        <scheme val="minor"/>
      </rPr>
      <t>;</t>
    </r>
    <r>
      <rPr>
        <sz val="11"/>
        <color theme="1"/>
        <rFont val="Calibri"/>
        <family val="2"/>
        <scheme val="minor"/>
      </rPr>
      <t xml:space="preserve">
In </t>
    </r>
    <r>
      <rPr>
        <u/>
        <sz val="11"/>
        <color theme="1"/>
        <rFont val="Calibri"/>
        <family val="2"/>
        <scheme val="minor"/>
      </rPr>
      <t>column F</t>
    </r>
    <r>
      <rPr>
        <sz val="11"/>
        <color theme="1"/>
        <rFont val="Calibri"/>
        <family val="2"/>
        <scheme val="minor"/>
      </rPr>
      <t xml:space="preserve">, the quantity of the product you selected in column C can be filled in here;
In </t>
    </r>
    <r>
      <rPr>
        <u/>
        <sz val="11"/>
        <color theme="1"/>
        <rFont val="Calibri"/>
        <family val="2"/>
        <scheme val="minor"/>
      </rPr>
      <t>column G</t>
    </r>
    <r>
      <rPr>
        <sz val="11"/>
        <color theme="1"/>
        <rFont val="Calibri"/>
        <family val="2"/>
        <scheme val="minor"/>
      </rPr>
      <t xml:space="preserve">, you select the unit that corresponds to the quantity filled in column F. With some products there is a fixed unit and you should not change the pre-input unit unless you have filled-in the density and the pre-input unit is "kg"; and finally
In </t>
    </r>
    <r>
      <rPr>
        <u/>
        <sz val="11"/>
        <color theme="1"/>
        <rFont val="Calibri"/>
        <family val="2"/>
        <scheme val="minor"/>
      </rPr>
      <t>column H</t>
    </r>
    <r>
      <rPr>
        <sz val="11"/>
        <color theme="1"/>
        <rFont val="Calibri"/>
        <family val="2"/>
        <scheme val="minor"/>
      </rPr>
      <t xml:space="preserve">, the CO2 stored in the quantity of selected product is calculated.
In cell </t>
    </r>
    <r>
      <rPr>
        <u/>
        <sz val="11"/>
        <color theme="1"/>
        <rFont val="Calibri"/>
        <family val="2"/>
        <scheme val="minor"/>
      </rPr>
      <t>G1</t>
    </r>
    <r>
      <rPr>
        <sz val="11"/>
        <color theme="1"/>
        <rFont val="Calibri"/>
        <family val="2"/>
        <scheme val="minor"/>
      </rPr>
      <t xml:space="preserve">, the total stored CO2 is calculated. In cell </t>
    </r>
    <r>
      <rPr>
        <u/>
        <sz val="11"/>
        <color theme="1"/>
        <rFont val="Calibri"/>
        <family val="2"/>
        <scheme val="minor"/>
      </rPr>
      <t>G2</t>
    </r>
    <r>
      <rPr>
        <sz val="11"/>
        <color theme="1"/>
        <rFont val="Calibri"/>
        <family val="2"/>
        <scheme val="minor"/>
      </rPr>
      <t xml:space="preserve">, the CO2 stored per residency is calculated and in cell </t>
    </r>
    <r>
      <rPr>
        <u/>
        <sz val="11"/>
        <color theme="1"/>
        <rFont val="Calibri"/>
        <family val="2"/>
        <scheme val="minor"/>
      </rPr>
      <t>G3</t>
    </r>
    <r>
      <rPr>
        <sz val="11"/>
        <color theme="1"/>
        <rFont val="Calibri"/>
        <family val="2"/>
        <scheme val="minor"/>
      </rPr>
      <t xml:space="preserve">, the CO2 stored per 120m2 is calculated. The CO2 stored per 120m2 serves as a comparison unit enabling to compare it with a modale residency (and other projects calculated using this tool). 
</t>
    </r>
    <r>
      <rPr>
        <i/>
        <u/>
        <sz val="11"/>
        <color theme="1"/>
        <rFont val="Calibri"/>
        <family val="2"/>
        <scheme val="minor"/>
      </rPr>
      <t xml:space="preserve">Add custom biobased products
</t>
    </r>
    <r>
      <rPr>
        <sz val="11"/>
        <color theme="1"/>
        <rFont val="Calibri"/>
        <family val="2"/>
        <scheme val="minor"/>
      </rPr>
      <t>It is possible to add custom biobased products (or biobased products that are not yet included or have better performance than the products included in the '</t>
    </r>
    <r>
      <rPr>
        <b/>
        <sz val="11"/>
        <color theme="1"/>
        <rFont val="Calibri"/>
        <family val="2"/>
        <scheme val="minor"/>
      </rPr>
      <t>CO2-storage factors</t>
    </r>
    <r>
      <rPr>
        <sz val="11"/>
        <color theme="1"/>
        <rFont val="Calibri"/>
        <family val="2"/>
        <scheme val="minor"/>
      </rPr>
      <t xml:space="preserve">' worksheet/table). </t>
    </r>
    <r>
      <rPr>
        <i/>
        <sz val="11"/>
        <color rgb="FFFA7D00"/>
        <rFont val="Calibri"/>
        <family val="2"/>
        <scheme val="minor"/>
      </rPr>
      <t>Please note that, when you decide to add a custom product, you are required to possess all required data (CO2 storage/kg product and density).</t>
    </r>
    <r>
      <rPr>
        <sz val="11"/>
        <color theme="1"/>
        <rFont val="Calibri"/>
        <family val="2"/>
        <scheme val="minor"/>
      </rPr>
      <t xml:space="preserve"> If you like to add a custom biobased product, it is important to follow the instructions provided below and in the '</t>
    </r>
    <r>
      <rPr>
        <b/>
        <sz val="11"/>
        <color theme="1"/>
        <rFont val="Calibri"/>
        <family val="2"/>
        <scheme val="minor"/>
      </rPr>
      <t>Calculation-input</t>
    </r>
    <r>
      <rPr>
        <sz val="11"/>
        <color theme="1"/>
        <rFont val="Calibri"/>
        <family val="2"/>
        <scheme val="minor"/>
      </rPr>
      <t>' worksheet. You can follow the following steps:
1) Select '</t>
    </r>
    <r>
      <rPr>
        <i/>
        <sz val="11"/>
        <color theme="1"/>
        <rFont val="Calibri"/>
        <family val="2"/>
        <scheme val="minor"/>
      </rPr>
      <t>Custom</t>
    </r>
    <r>
      <rPr>
        <sz val="11"/>
        <color theme="1"/>
        <rFont val="Calibri"/>
        <family val="2"/>
        <scheme val="minor"/>
      </rPr>
      <t xml:space="preserve">' in </t>
    </r>
    <r>
      <rPr>
        <u/>
        <sz val="11"/>
        <color theme="1"/>
        <rFont val="Calibri"/>
        <family val="2"/>
        <scheme val="minor"/>
      </rPr>
      <t>column B</t>
    </r>
    <r>
      <rPr>
        <sz val="11"/>
        <color theme="1"/>
        <rFont val="Calibri"/>
        <family val="2"/>
        <scheme val="minor"/>
      </rPr>
      <t xml:space="preserve"> under '</t>
    </r>
    <r>
      <rPr>
        <i/>
        <sz val="11"/>
        <color theme="1"/>
        <rFont val="Calibri"/>
        <family val="2"/>
        <scheme val="minor"/>
      </rPr>
      <t>Product category</t>
    </r>
    <r>
      <rPr>
        <sz val="11"/>
        <color theme="1"/>
        <rFont val="Calibri"/>
        <family val="2"/>
        <scheme val="minor"/>
      </rPr>
      <t xml:space="preserve">';
2) Provide a name in </t>
    </r>
    <r>
      <rPr>
        <u/>
        <sz val="11"/>
        <color theme="1"/>
        <rFont val="Calibri"/>
        <family val="2"/>
        <scheme val="minor"/>
      </rPr>
      <t>column C</t>
    </r>
    <r>
      <rPr>
        <sz val="11"/>
        <color theme="1"/>
        <rFont val="Calibri"/>
        <family val="2"/>
        <scheme val="minor"/>
      </rPr>
      <t xml:space="preserve">;
3) Provide the amount of CO2 stored in kgCO2/kg product in </t>
    </r>
    <r>
      <rPr>
        <u/>
        <sz val="11"/>
        <color theme="1"/>
        <rFont val="Calibri"/>
        <family val="2"/>
        <scheme val="minor"/>
      </rPr>
      <t>column D</t>
    </r>
    <r>
      <rPr>
        <sz val="11"/>
        <color theme="1"/>
        <rFont val="Calibri"/>
        <family val="2"/>
        <scheme val="minor"/>
      </rPr>
      <t xml:space="preserve">;
4) In </t>
    </r>
    <r>
      <rPr>
        <u/>
        <sz val="11"/>
        <color theme="1"/>
        <rFont val="Calibri"/>
        <family val="2"/>
        <scheme val="minor"/>
      </rPr>
      <t>column E</t>
    </r>
    <r>
      <rPr>
        <sz val="11"/>
        <color theme="1"/>
        <rFont val="Calibri"/>
        <family val="2"/>
        <scheme val="minor"/>
      </rPr>
      <t>, provide the density of the product in kg/m3;
5) Fill in the rest of the columns as described previously in '</t>
    </r>
    <r>
      <rPr>
        <b/>
        <sz val="11"/>
        <color theme="1"/>
        <rFont val="Calibri"/>
        <family val="2"/>
        <scheme val="minor"/>
      </rPr>
      <t>Calculation-input</t>
    </r>
    <r>
      <rPr>
        <sz val="11"/>
        <color theme="1"/>
        <rFont val="Calibri"/>
        <family val="2"/>
        <scheme val="minor"/>
      </rPr>
      <t xml:space="preserve">'. 
</t>
    </r>
    <r>
      <rPr>
        <b/>
        <sz val="11"/>
        <color theme="1"/>
        <rFont val="Calibri"/>
        <family val="2"/>
        <scheme val="minor"/>
      </rPr>
      <t xml:space="preserve">CO2-storage factors
</t>
    </r>
    <r>
      <rPr>
        <sz val="11"/>
        <color theme="1"/>
        <rFont val="Calibri"/>
        <family val="2"/>
        <scheme val="minor"/>
      </rPr>
      <t xml:space="preserve">This worksheet contains the data required behind the calculations, data of CO2 storage and density of products. If you have products that you like to be added to the data-list, please tell me by contacting </t>
    </r>
    <r>
      <rPr>
        <u/>
        <sz val="11"/>
        <color rgb="FF0070C0"/>
        <rFont val="Calibri"/>
        <family val="2"/>
        <scheme val="minor"/>
      </rPr>
      <t>bart@climatecleanup.org</t>
    </r>
    <r>
      <rPr>
        <sz val="11"/>
        <color theme="1"/>
        <rFont val="Calibri"/>
        <family val="2"/>
        <scheme val="minor"/>
      </rPr>
      <t xml:space="preserve">. Next to the name of the product and what it is used for, if possible/known also provide the amount of CO2 storage and density with a source!
</t>
    </r>
    <r>
      <rPr>
        <b/>
        <sz val="11"/>
        <color theme="1"/>
        <rFont val="Calibri"/>
        <family val="2"/>
        <scheme val="minor"/>
      </rPr>
      <t>Wood-types
This worksheet</t>
    </r>
    <r>
      <rPr>
        <sz val="11"/>
        <color theme="1"/>
        <rFont val="Calibri"/>
        <family val="2"/>
        <scheme val="minor"/>
      </rPr>
      <t xml:space="preserve"> contains wood densities of a wide variety of wood types that could be used for calculating CO2 storage in the respective wood type. Sequestration is based on the wood densities and calculated according to the NEN 16449. The equation used to calculated the CO2 storage of the wood is also shown on this worksheet.
</t>
    </r>
    <r>
      <rPr>
        <b/>
        <sz val="11"/>
        <color theme="1"/>
        <rFont val="Calibri"/>
        <family val="2"/>
        <scheme val="minor"/>
      </rPr>
      <t>Drop-down_lists</t>
    </r>
    <r>
      <rPr>
        <sz val="11"/>
        <color theme="1"/>
        <rFont val="Calibri"/>
        <family val="2"/>
        <scheme val="minor"/>
      </rPr>
      <t xml:space="preserve">
Simply contains the information required for generating the drop-down lists that are used in the '</t>
    </r>
    <r>
      <rPr>
        <b/>
        <sz val="11"/>
        <color theme="1"/>
        <rFont val="Calibri"/>
        <family val="2"/>
        <scheme val="minor"/>
      </rPr>
      <t>Calculation-input</t>
    </r>
    <r>
      <rPr>
        <sz val="11"/>
        <color theme="1"/>
        <rFont val="Calibri"/>
        <family val="2"/>
        <scheme val="minor"/>
      </rPr>
      <t>' worksheet.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</si>
</sst>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27" x14ac:knownFonts="1">
    <font>
      <sz val="11"/>
      <color theme="1"/>
      <name val="Calibri"/>
      <family val="2"/>
      <scheme val="minor"/>
    </font>
    <font>
      <sz val="11"/>
      <color rgb="FF9C0006"/>
      <name val="Calibri"/>
      <family val="2"/>
      <scheme val="minor"/>
    </font>
    <font>
      <vertAlign val="subscript"/>
      <sz val="11"/>
      <color theme="1"/>
      <name val="Calibri"/>
      <family val="2"/>
      <scheme val="minor"/>
    </font>
    <font>
      <u/>
      <sz val="11"/>
      <color theme="10"/>
      <name val="Calibri"/>
      <family val="2"/>
      <scheme val="minor"/>
    </font>
    <font>
      <vertAlign val="superscript"/>
      <sz val="11"/>
      <color theme="1"/>
      <name val="Calibri"/>
      <family val="2"/>
      <scheme val="minor"/>
    </font>
    <font>
      <sz val="9"/>
      <color indexed="81"/>
      <name val="Tahoma"/>
      <family val="2"/>
    </font>
    <font>
      <b/>
      <sz val="9"/>
      <color indexed="81"/>
      <name val="Tahoma"/>
      <family val="2"/>
    </font>
    <font>
      <sz val="11"/>
      <color rgb="FF3F3F76"/>
      <name val="Calibri"/>
      <family val="2"/>
      <scheme val="minor"/>
    </font>
    <font>
      <b/>
      <sz val="11"/>
      <color rgb="FFFA7D00"/>
      <name val="Calibri"/>
      <family val="2"/>
      <scheme val="minor"/>
    </font>
    <font>
      <b/>
      <sz val="11"/>
      <color theme="1"/>
      <name val="Calibri"/>
      <family val="2"/>
      <scheme val="minor"/>
    </font>
    <font>
      <b/>
      <vertAlign val="subscript"/>
      <sz val="11"/>
      <color theme="1"/>
      <name val="Calibri"/>
      <family val="2"/>
      <scheme val="minor"/>
    </font>
    <font>
      <sz val="8"/>
      <name val="Calibri"/>
      <family val="2"/>
      <scheme val="minor"/>
    </font>
    <font>
      <sz val="11"/>
      <color rgb="FFFF0000"/>
      <name val="Calibri"/>
      <family val="2"/>
      <scheme val="minor"/>
    </font>
    <font>
      <sz val="11"/>
      <color theme="1"/>
      <name val="Calibri"/>
      <family val="2"/>
      <scheme val="minor"/>
    </font>
    <font>
      <i/>
      <sz val="11"/>
      <color theme="1"/>
      <name val="Calibri"/>
      <family val="2"/>
      <scheme val="minor"/>
    </font>
    <font>
      <sz val="11"/>
      <color theme="1"/>
      <name val="Calibri"/>
      <family val="2"/>
    </font>
    <font>
      <b/>
      <sz val="11"/>
      <color theme="1"/>
      <name val="Calibri"/>
      <family val="2"/>
    </font>
    <font>
      <sz val="11"/>
      <name val="Calibri"/>
      <family val="2"/>
      <scheme val="minor"/>
    </font>
    <font>
      <u/>
      <sz val="11"/>
      <color theme="1"/>
      <name val="Calibri"/>
      <family val="2"/>
      <scheme val="minor"/>
    </font>
    <font>
      <sz val="11"/>
      <color theme="0"/>
      <name val="Calibri"/>
      <family val="2"/>
      <scheme val="minor"/>
    </font>
    <font>
      <sz val="11"/>
      <color rgb="FF9C5700"/>
      <name val="Calibri"/>
      <family val="2"/>
      <scheme val="minor"/>
    </font>
    <font>
      <sz val="9"/>
      <color indexed="81"/>
      <name val="Tahoma"/>
      <charset val="1"/>
    </font>
    <font>
      <b/>
      <sz val="9"/>
      <color indexed="81"/>
      <name val="Tahoma"/>
      <charset val="1"/>
    </font>
    <font>
      <i/>
      <u/>
      <sz val="11"/>
      <color theme="1"/>
      <name val="Calibri"/>
      <family val="2"/>
      <scheme val="minor"/>
    </font>
    <font>
      <u/>
      <sz val="11"/>
      <color rgb="FF0070C0"/>
      <name val="Calibri"/>
      <family val="2"/>
      <scheme val="minor"/>
    </font>
    <font>
      <vertAlign val="subscript"/>
      <sz val="11"/>
      <color theme="0"/>
      <name val="Calibri"/>
      <family val="2"/>
      <scheme val="minor"/>
    </font>
    <font>
      <i/>
      <sz val="11"/>
      <color rgb="FFFA7D00"/>
      <name val="Calibri"/>
      <family val="2"/>
      <scheme val="minor"/>
    </font>
  </fonts>
  <fills count="12">
    <fill>
      <patternFill patternType="none"/>
    </fill>
    <fill>
      <patternFill patternType="gray125"/>
    </fill>
    <fill>
      <patternFill patternType="solid">
        <fgColor rgb="FFFFC7CE"/>
      </patternFill>
    </fill>
    <fill>
      <patternFill patternType="solid">
        <fgColor rgb="FFFFCC99"/>
      </patternFill>
    </fill>
    <fill>
      <patternFill patternType="solid">
        <fgColor rgb="FFF2F2F2"/>
      </patternFill>
    </fill>
    <fill>
      <patternFill patternType="solid">
        <fgColor rgb="FFFFFFCC"/>
        <bgColor indexed="64"/>
      </patternFill>
    </fill>
    <fill>
      <patternFill patternType="solid">
        <fgColor rgb="FFFFFF00"/>
        <bgColor indexed="64"/>
      </patternFill>
    </fill>
    <fill>
      <patternFill patternType="solid">
        <fgColor rgb="FF7F7F7F"/>
        <bgColor indexed="64"/>
      </patternFill>
    </fill>
    <fill>
      <patternFill patternType="darkUp"/>
    </fill>
    <fill>
      <patternFill patternType="solid">
        <fgColor rgb="FFFFEB9C"/>
      </patternFill>
    </fill>
    <fill>
      <patternFill patternType="solid">
        <fgColor rgb="FFFFCC99"/>
        <bgColor indexed="64"/>
      </patternFill>
    </fill>
    <fill>
      <patternFill patternType="solid">
        <fgColor theme="0"/>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right style="double">
        <color indexed="64"/>
      </right>
      <top/>
      <bottom/>
      <diagonal/>
    </border>
    <border>
      <left/>
      <right style="mediumDashed">
        <color indexed="64"/>
      </right>
      <top/>
      <bottom/>
      <diagonal/>
    </border>
    <border>
      <left style="double">
        <color indexed="64"/>
      </left>
      <right/>
      <top/>
      <bottom/>
      <diagonal/>
    </border>
  </borders>
  <cellStyleXfs count="8">
    <xf numFmtId="0" fontId="0" fillId="0" borderId="0"/>
    <xf numFmtId="0" fontId="1" fillId="2" borderId="0" applyNumberFormat="0" applyBorder="0" applyAlignment="0" applyProtection="0"/>
    <xf numFmtId="0" fontId="3" fillId="0" borderId="0" applyNumberFormat="0" applyFill="0" applyBorder="0" applyAlignment="0" applyProtection="0"/>
    <xf numFmtId="0" fontId="7" fillId="3" borderId="1" applyNumberFormat="0" applyAlignment="0" applyProtection="0"/>
    <xf numFmtId="0" fontId="8" fillId="4" borderId="1" applyNumberFormat="0" applyAlignment="0" applyProtection="0"/>
    <xf numFmtId="0" fontId="12" fillId="0" borderId="0" applyNumberFormat="0" applyFill="0" applyBorder="0" applyAlignment="0" applyProtection="0"/>
    <xf numFmtId="9" fontId="13" fillId="0" borderId="0" applyFont="0" applyFill="0" applyBorder="0" applyAlignment="0" applyProtection="0"/>
    <xf numFmtId="0" fontId="20" fillId="9" borderId="0" applyNumberFormat="0" applyBorder="0" applyAlignment="0" applyProtection="0"/>
  </cellStyleXfs>
  <cellXfs count="119">
    <xf numFmtId="0" fontId="0" fillId="0" borderId="0" xfId="0"/>
    <xf numFmtId="2" fontId="0" fillId="0" borderId="0" xfId="0" applyNumberFormat="1"/>
    <xf numFmtId="0" fontId="0" fillId="0" borderId="0" xfId="0" applyAlignment="1">
      <alignment wrapText="1"/>
    </xf>
    <xf numFmtId="0" fontId="3" fillId="0" borderId="0" xfId="2"/>
    <xf numFmtId="0" fontId="0" fillId="0" borderId="0" xfId="0" applyAlignment="1">
      <alignment horizontal="right"/>
    </xf>
    <xf numFmtId="0" fontId="8" fillId="4" borderId="1" xfId="4"/>
    <xf numFmtId="164" fontId="0" fillId="0" borderId="0" xfId="0" applyNumberFormat="1"/>
    <xf numFmtId="9" fontId="0" fillId="0" borderId="0" xfId="0" applyNumberFormat="1"/>
    <xf numFmtId="0" fontId="0" fillId="0" borderId="0" xfId="0" quotePrefix="1"/>
    <xf numFmtId="0" fontId="9" fillId="0" borderId="0" xfId="0" applyFont="1" applyAlignment="1">
      <alignment horizontal="right"/>
    </xf>
    <xf numFmtId="0" fontId="9" fillId="0" borderId="0" xfId="0" applyFont="1"/>
    <xf numFmtId="0" fontId="14" fillId="0" borderId="0" xfId="0" applyFont="1"/>
    <xf numFmtId="0" fontId="15" fillId="0" borderId="0" xfId="0" applyFont="1"/>
    <xf numFmtId="0" fontId="0" fillId="0" borderId="0" xfId="0" applyFont="1"/>
    <xf numFmtId="0" fontId="16" fillId="0" borderId="0" xfId="0" applyFont="1"/>
    <xf numFmtId="165" fontId="0" fillId="0" borderId="0" xfId="0" quotePrefix="1" applyNumberFormat="1" applyAlignment="1"/>
    <xf numFmtId="10" fontId="0" fillId="0" borderId="0" xfId="6" applyNumberFormat="1" applyFont="1"/>
    <xf numFmtId="10" fontId="9" fillId="0" borderId="0" xfId="6" applyNumberFormat="1" applyFont="1"/>
    <xf numFmtId="10" fontId="0" fillId="0" borderId="0" xfId="6" applyNumberFormat="1" applyFont="1" applyAlignment="1">
      <alignment horizontal="left"/>
    </xf>
    <xf numFmtId="10" fontId="9" fillId="0" borderId="0" xfId="6" applyNumberFormat="1" applyFont="1" applyAlignment="1">
      <alignment horizontal="left"/>
    </xf>
    <xf numFmtId="10" fontId="16" fillId="0" borderId="0" xfId="6" applyNumberFormat="1" applyFont="1"/>
    <xf numFmtId="10" fontId="15" fillId="0" borderId="0" xfId="6" applyNumberFormat="1" applyFont="1"/>
    <xf numFmtId="10" fontId="0" fillId="0" borderId="0" xfId="6" quotePrefix="1" applyNumberFormat="1" applyFont="1" applyAlignment="1">
      <alignment horizontal="left"/>
    </xf>
    <xf numFmtId="0" fontId="14" fillId="6" borderId="0" xfId="0" applyFont="1" applyFill="1"/>
    <xf numFmtId="10" fontId="0" fillId="6" borderId="0" xfId="6" applyNumberFormat="1" applyFont="1" applyFill="1"/>
    <xf numFmtId="0" fontId="15" fillId="6" borderId="0" xfId="0" applyFont="1" applyFill="1"/>
    <xf numFmtId="10" fontId="0" fillId="6" borderId="0" xfId="6" applyNumberFormat="1" applyFont="1" applyFill="1" applyAlignment="1">
      <alignment horizontal="left"/>
    </xf>
    <xf numFmtId="10" fontId="12" fillId="0" borderId="0" xfId="5" applyNumberFormat="1"/>
    <xf numFmtId="10" fontId="12" fillId="0" borderId="0" xfId="5" applyNumberFormat="1" applyAlignment="1">
      <alignment horizontal="left"/>
    </xf>
    <xf numFmtId="0" fontId="3" fillId="0" borderId="0" xfId="2" applyAlignment="1">
      <alignment horizontal="left"/>
    </xf>
    <xf numFmtId="0" fontId="3" fillId="0" borderId="0" xfId="2" applyFont="1" applyAlignment="1">
      <alignment horizontal="left"/>
    </xf>
    <xf numFmtId="0" fontId="12" fillId="0" borderId="0" xfId="0" applyFont="1" applyAlignment="1">
      <alignment horizontal="right"/>
    </xf>
    <xf numFmtId="10" fontId="17" fillId="0" borderId="0" xfId="5" applyNumberFormat="1" applyFont="1"/>
    <xf numFmtId="164" fontId="8" fillId="4" borderId="1" xfId="4" applyNumberFormat="1"/>
    <xf numFmtId="1" fontId="8" fillId="4" borderId="1" xfId="4" applyNumberFormat="1" applyAlignment="1">
      <alignment horizontal="right"/>
    </xf>
    <xf numFmtId="10" fontId="8" fillId="4" borderId="1" xfId="6" applyNumberFormat="1" applyFont="1" applyFill="1" applyBorder="1" applyAlignment="1">
      <alignment horizontal="right"/>
    </xf>
    <xf numFmtId="0" fontId="8" fillId="4" borderId="1" xfId="4" applyAlignment="1">
      <alignment horizontal="right"/>
    </xf>
    <xf numFmtId="10" fontId="8" fillId="4" borderId="1" xfId="4" applyNumberFormat="1"/>
    <xf numFmtId="10" fontId="8" fillId="4" borderId="1" xfId="4" applyNumberFormat="1" applyAlignment="1">
      <alignment horizontal="left"/>
    </xf>
    <xf numFmtId="165" fontId="0" fillId="0" borderId="0" xfId="0" applyNumberFormat="1"/>
    <xf numFmtId="0" fontId="8" fillId="7" borderId="1" xfId="4" applyFill="1"/>
    <xf numFmtId="0" fontId="9" fillId="0" borderId="0" xfId="0" applyFont="1" applyAlignment="1"/>
    <xf numFmtId="0" fontId="0" fillId="0" borderId="0" xfId="0" applyFill="1"/>
    <xf numFmtId="0" fontId="14" fillId="0" borderId="0" xfId="0" applyFont="1" applyAlignment="1"/>
    <xf numFmtId="0" fontId="18" fillId="0" borderId="0" xfId="0" applyFont="1"/>
    <xf numFmtId="0" fontId="18" fillId="0" borderId="0" xfId="0" applyFont="1" applyAlignment="1"/>
    <xf numFmtId="0" fontId="0" fillId="0" borderId="2" xfId="0" applyBorder="1" applyAlignment="1">
      <alignment wrapText="1"/>
    </xf>
    <xf numFmtId="0" fontId="0" fillId="0" borderId="2" xfId="0" applyBorder="1"/>
    <xf numFmtId="2" fontId="0" fillId="0" borderId="2" xfId="0" applyNumberFormat="1" applyBorder="1"/>
    <xf numFmtId="1" fontId="0" fillId="0" borderId="2" xfId="0" applyNumberFormat="1" applyBorder="1"/>
    <xf numFmtId="0" fontId="0" fillId="0" borderId="3" xfId="0" applyBorder="1" applyAlignment="1">
      <alignment wrapText="1"/>
    </xf>
    <xf numFmtId="0" fontId="0" fillId="0" borderId="3" xfId="0" applyBorder="1"/>
    <xf numFmtId="1" fontId="0" fillId="0" borderId="3" xfId="0" applyNumberFormat="1" applyBorder="1"/>
    <xf numFmtId="0" fontId="0" fillId="0" borderId="0" xfId="0" applyBorder="1"/>
    <xf numFmtId="0" fontId="0" fillId="0" borderId="4" xfId="0" applyBorder="1" applyAlignment="1">
      <alignment wrapText="1"/>
    </xf>
    <xf numFmtId="0" fontId="0" fillId="0" borderId="4" xfId="0" applyBorder="1"/>
    <xf numFmtId="1" fontId="0" fillId="0" borderId="4" xfId="0" applyNumberFormat="1" applyBorder="1"/>
    <xf numFmtId="0" fontId="0" fillId="8" borderId="2" xfId="0" applyFill="1" applyBorder="1"/>
    <xf numFmtId="0" fontId="3" fillId="0" borderId="0" xfId="2" applyBorder="1"/>
    <xf numFmtId="0" fontId="19" fillId="0" borderId="0" xfId="0" applyFont="1"/>
    <xf numFmtId="2" fontId="0" fillId="0" borderId="0" xfId="0" applyNumberFormat="1" applyBorder="1"/>
    <xf numFmtId="0" fontId="3" fillId="0" borderId="0" xfId="2" applyBorder="1" applyAlignment="1"/>
    <xf numFmtId="0" fontId="0" fillId="0" borderId="0" xfId="0" applyBorder="1" applyAlignment="1">
      <alignment wrapText="1"/>
    </xf>
    <xf numFmtId="2" fontId="0" fillId="0" borderId="0" xfId="0" applyNumberFormat="1" applyBorder="1" applyAlignment="1">
      <alignment wrapText="1"/>
    </xf>
    <xf numFmtId="0" fontId="0" fillId="8" borderId="0" xfId="0" applyFill="1" applyBorder="1"/>
    <xf numFmtId="1" fontId="0" fillId="0" borderId="0" xfId="0" applyNumberFormat="1" applyBorder="1"/>
    <xf numFmtId="0" fontId="17" fillId="0" borderId="2" xfId="0" applyFont="1" applyBorder="1"/>
    <xf numFmtId="0" fontId="0" fillId="0" borderId="0" xfId="0" applyFont="1" applyFill="1"/>
    <xf numFmtId="0" fontId="20" fillId="9" borderId="2" xfId="7" applyBorder="1"/>
    <xf numFmtId="2" fontId="20" fillId="9" borderId="0" xfId="7" applyNumberFormat="1" applyBorder="1"/>
    <xf numFmtId="2" fontId="20" fillId="9" borderId="2" xfId="7" applyNumberFormat="1" applyBorder="1"/>
    <xf numFmtId="0" fontId="20" fillId="9" borderId="0" xfId="7" applyBorder="1"/>
    <xf numFmtId="1" fontId="20" fillId="9" borderId="3" xfId="7" applyNumberFormat="1" applyBorder="1"/>
    <xf numFmtId="0" fontId="20" fillId="9" borderId="0" xfId="7" applyBorder="1" applyAlignment="1"/>
    <xf numFmtId="0" fontId="0" fillId="8" borderId="4" xfId="0" applyFill="1" applyBorder="1"/>
    <xf numFmtId="0" fontId="0" fillId="8" borderId="3" xfId="0" applyFill="1" applyBorder="1"/>
    <xf numFmtId="0" fontId="20" fillId="9" borderId="4" xfId="7" applyBorder="1"/>
    <xf numFmtId="2" fontId="0" fillId="8" borderId="0" xfId="0" applyNumberFormat="1" applyFill="1" applyBorder="1"/>
    <xf numFmtId="0" fontId="3" fillId="8" borderId="0" xfId="2" applyFill="1" applyBorder="1" applyAlignment="1"/>
    <xf numFmtId="1" fontId="0" fillId="0" borderId="0" xfId="0" applyNumberFormat="1"/>
    <xf numFmtId="0" fontId="7" fillId="3" borderId="1" xfId="3" applyAlignment="1">
      <alignment horizontal="right"/>
    </xf>
    <xf numFmtId="0" fontId="1" fillId="2" borderId="0" xfId="1" applyAlignment="1">
      <alignment horizontal="right"/>
    </xf>
    <xf numFmtId="0" fontId="12" fillId="0" borderId="0" xfId="5" applyAlignment="1">
      <alignment horizontal="right"/>
    </xf>
    <xf numFmtId="0" fontId="0" fillId="5" borderId="0" xfId="0" quotePrefix="1" applyFill="1" applyBorder="1"/>
    <xf numFmtId="0" fontId="7" fillId="3" borderId="1" xfId="3" applyAlignment="1" applyProtection="1">
      <alignment horizontal="left" vertical="center" wrapText="1"/>
      <protection locked="0"/>
    </xf>
    <xf numFmtId="0" fontId="0" fillId="0" borderId="0" xfId="0" applyAlignment="1" applyProtection="1">
      <alignment horizontal="left" vertical="center" wrapText="1"/>
      <protection locked="0"/>
    </xf>
    <xf numFmtId="1" fontId="8" fillId="10" borderId="1" xfId="0" applyNumberFormat="1" applyFont="1" applyFill="1" applyBorder="1" applyAlignment="1" applyProtection="1">
      <alignment horizontal="center" vertical="center" wrapText="1"/>
      <protection locked="0"/>
    </xf>
    <xf numFmtId="164" fontId="7" fillId="3" borderId="1" xfId="3" applyNumberFormat="1" applyAlignment="1" applyProtection="1">
      <alignment horizontal="right" vertical="center" wrapText="1"/>
      <protection locked="0"/>
    </xf>
    <xf numFmtId="4" fontId="8" fillId="4" borderId="1" xfId="4" applyNumberFormat="1" applyAlignment="1">
      <alignment horizontal="center" vertical="center" wrapText="1"/>
    </xf>
    <xf numFmtId="0" fontId="0" fillId="0" borderId="0" xfId="0" applyAlignment="1" applyProtection="1">
      <protection locked="0"/>
    </xf>
    <xf numFmtId="164" fontId="0" fillId="0" borderId="0" xfId="0" applyNumberFormat="1" applyAlignment="1" applyProtection="1">
      <protection locked="0"/>
    </xf>
    <xf numFmtId="0" fontId="9" fillId="0" borderId="0" xfId="0" applyFont="1" applyAlignment="1">
      <alignment horizontal="left"/>
    </xf>
    <xf numFmtId="10" fontId="9" fillId="0" borderId="0" xfId="6" applyNumberFormat="1" applyFont="1" applyAlignment="1"/>
    <xf numFmtId="2" fontId="0" fillId="0" borderId="0" xfId="0" applyNumberFormat="1" applyFill="1" applyBorder="1"/>
    <xf numFmtId="0" fontId="0" fillId="0" borderId="2" xfId="0" applyFill="1" applyBorder="1"/>
    <xf numFmtId="0" fontId="0" fillId="0" borderId="4" xfId="0" applyFill="1" applyBorder="1"/>
    <xf numFmtId="0" fontId="0" fillId="0" borderId="0" xfId="0" applyFill="1" applyBorder="1"/>
    <xf numFmtId="0" fontId="0" fillId="0" borderId="3" xfId="0" applyFill="1" applyBorder="1"/>
    <xf numFmtId="0" fontId="3" fillId="0" borderId="0" xfId="2" applyFill="1" applyBorder="1" applyAlignment="1"/>
    <xf numFmtId="0" fontId="0" fillId="11" borderId="0" xfId="0" applyFill="1"/>
    <xf numFmtId="0" fontId="3" fillId="11" borderId="0" xfId="2" applyFill="1"/>
    <xf numFmtId="0" fontId="0" fillId="11" borderId="0" xfId="0" applyFill="1" applyAlignment="1">
      <alignment vertical="top" wrapText="1"/>
    </xf>
    <xf numFmtId="0" fontId="0" fillId="11" borderId="0" xfId="0" applyFill="1" applyAlignment="1">
      <alignment vertical="top"/>
    </xf>
    <xf numFmtId="164" fontId="8" fillId="4" borderId="1" xfId="4" applyNumberFormat="1" applyFont="1" applyAlignment="1">
      <alignment horizontal="right"/>
    </xf>
    <xf numFmtId="3" fontId="7" fillId="3" borderId="1" xfId="3" applyNumberFormat="1" applyAlignment="1" applyProtection="1">
      <alignment horizontal="right"/>
      <protection locked="0"/>
    </xf>
    <xf numFmtId="164" fontId="8" fillId="4" borderId="1" xfId="4" applyNumberFormat="1" applyAlignment="1">
      <alignment horizontal="right"/>
    </xf>
    <xf numFmtId="0" fontId="0" fillId="0" borderId="0" xfId="0" applyFont="1" applyFill="1" applyBorder="1"/>
    <xf numFmtId="0" fontId="0" fillId="11" borderId="0" xfId="0" applyFill="1" applyAlignment="1">
      <alignment horizontal="right"/>
    </xf>
    <xf numFmtId="0" fontId="19" fillId="11" borderId="0" xfId="0" applyFont="1" applyFill="1"/>
    <xf numFmtId="0" fontId="9" fillId="11" borderId="0" xfId="0" applyFont="1" applyFill="1"/>
    <xf numFmtId="164" fontId="0" fillId="11" borderId="0" xfId="0" applyNumberFormat="1" applyFill="1"/>
    <xf numFmtId="164" fontId="19" fillId="11" borderId="0" xfId="0" applyNumberFormat="1" applyFont="1" applyFill="1"/>
    <xf numFmtId="165" fontId="19" fillId="11" borderId="0" xfId="0" applyNumberFormat="1" applyFont="1" applyFill="1"/>
    <xf numFmtId="164" fontId="19" fillId="11" borderId="0" xfId="0" quotePrefix="1" applyNumberFormat="1" applyFont="1" applyFill="1"/>
    <xf numFmtId="0" fontId="0" fillId="0" borderId="0" xfId="0" applyFill="1" applyAlignment="1">
      <alignment vertical="top" wrapText="1"/>
    </xf>
    <xf numFmtId="0" fontId="0" fillId="0" borderId="0" xfId="0" applyAlignment="1">
      <alignment horizontal="left" vertical="top" wrapText="1"/>
    </xf>
    <xf numFmtId="0" fontId="0" fillId="11" borderId="0" xfId="0" applyFill="1"/>
    <xf numFmtId="0" fontId="7" fillId="3" borderId="1" xfId="3" applyAlignment="1" applyProtection="1">
      <alignment horizontal="left"/>
      <protection locked="0"/>
    </xf>
    <xf numFmtId="0" fontId="9" fillId="0" borderId="0" xfId="0" applyFont="1" applyAlignment="1">
      <alignment horizontal="center"/>
    </xf>
  </cellXfs>
  <cellStyles count="8">
    <cellStyle name="Berekening" xfId="4" builtinId="22"/>
    <cellStyle name="Hyperlink" xfId="2" builtinId="8"/>
    <cellStyle name="Invoer" xfId="3" builtinId="20"/>
    <cellStyle name="Neutraal" xfId="7" builtinId="28"/>
    <cellStyle name="Ongeldig" xfId="1" builtinId="27"/>
    <cellStyle name="Procent" xfId="6" builtinId="5"/>
    <cellStyle name="Standaard" xfId="0" builtinId="0"/>
    <cellStyle name="Waarschuwingstekst" xfId="5" builtinId="11"/>
  </cellStyles>
  <dxfs count="40">
    <dxf>
      <alignment horizontal="general" vertical="bottom" textRotation="0" wrapText="0" indent="0" justifyLastLine="0" shrinkToFit="0" readingOrder="0"/>
    </dxf>
    <dxf>
      <border diagonalUp="0" diagonalDown="0">
        <left/>
        <right style="double">
          <color indexed="64"/>
        </right>
        <top/>
        <bottom/>
        <vertical/>
        <horizontal/>
      </border>
    </dxf>
    <dxf>
      <border diagonalUp="0" diagonalDown="0">
        <left/>
        <right style="mediumDashed">
          <color indexed="64"/>
        </right>
        <top/>
        <bottom/>
        <vertical/>
        <horizontal/>
      </border>
    </dxf>
    <dxf>
      <border diagonalUp="0" diagonalDown="0">
        <left style="double">
          <color indexed="64"/>
        </left>
        <right/>
        <top/>
        <bottom/>
        <vertical/>
        <horizontal/>
      </border>
    </dxf>
    <dxf>
      <border diagonalUp="0" diagonalDown="0">
        <left/>
        <right style="double">
          <color indexed="64"/>
        </right>
        <top/>
        <bottom/>
        <vertical/>
        <horizontal/>
      </border>
    </dxf>
    <dxf>
      <numFmt numFmtId="2" formatCode="0.00"/>
    </dxf>
    <dxf>
      <numFmt numFmtId="2" formatCode="0.00"/>
    </dxf>
    <dxf>
      <numFmt numFmtId="2" formatCode="0.00"/>
    </dxf>
    <dxf>
      <border diagonalUp="0" diagonalDown="0">
        <left/>
        <right style="double">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numFmt numFmtId="4" formatCode="#,##0.00"/>
      <alignment horizontal="center" vertical="center" textRotation="0" wrapText="1" indent="0" justifyLastLine="0" shrinkToFit="0" readingOrder="0"/>
      <border>
        <left style="thin">
          <color rgb="FF7F7F7F"/>
        </left>
      </border>
    </dxf>
    <dxf>
      <numFmt numFmtId="0" formatCode="General"/>
      <alignment horizontal="left" vertical="center" textRotation="0" wrapText="1" indent="0" justifyLastLine="0" shrinkToFit="0" readingOrder="0"/>
      <border>
        <left style="thin">
          <color rgb="FF7F7F7F"/>
        </left>
        <right style="thin">
          <color rgb="FF7F7F7F"/>
        </right>
      </border>
      <protection locked="0" hidden="0"/>
    </dxf>
    <dxf>
      <numFmt numFmtId="164" formatCode="#,##0.0"/>
      <alignment horizontal="right" vertical="center" textRotation="0" wrapText="1" indent="0" justifyLastLine="0" shrinkToFit="0" readingOrder="0"/>
      <border>
        <left style="thin">
          <color rgb="FF7F7F7F"/>
        </left>
        <right style="thin">
          <color rgb="FF7F7F7F"/>
        </right>
      </border>
      <protection locked="0" hidden="0"/>
    </dxf>
    <dxf>
      <font>
        <b/>
        <i val="0"/>
        <strike val="0"/>
        <condense val="0"/>
        <extend val="0"/>
        <outline val="0"/>
        <shadow val="0"/>
        <u val="none"/>
        <vertAlign val="baseline"/>
        <sz val="11"/>
        <color rgb="FFFA7D00"/>
        <name val="Calibri"/>
        <family val="2"/>
        <scheme val="minor"/>
      </font>
      <numFmt numFmtId="1" formatCode="0"/>
      <fill>
        <patternFill patternType="solid">
          <fgColor indexed="64"/>
          <bgColor rgb="FFFFCC99"/>
        </patternFill>
      </fill>
      <alignment horizontal="center" vertical="center" textRotation="0" wrapText="1" indent="0" justifyLastLine="0" shrinkToFit="0" readingOrder="0"/>
      <border diagonalUp="0" diagonalDown="0">
        <left style="thin">
          <color rgb="FF7F7F7F"/>
        </left>
        <right style="thin">
          <color rgb="FF7F7F7F"/>
        </right>
        <top style="thin">
          <color rgb="FF7F7F7F"/>
        </top>
        <bottom style="thin">
          <color rgb="FF7F7F7F"/>
        </bottom>
      </border>
      <protection locked="0" hidden="0"/>
    </dxf>
    <dxf>
      <numFmt numFmtId="0" formatCode="General"/>
      <alignment horizontal="left" vertical="center" textRotation="0" wrapText="1" indent="0" justifyLastLine="0" shrinkToFit="0" readingOrder="0"/>
      <border>
        <right style="thin">
          <color rgb="FF7F7F7F"/>
        </right>
      </border>
      <protection locked="0" hidden="0"/>
    </dxf>
    <dxf>
      <alignment horizontal="left" vertical="center" textRotation="0" wrapText="1" indent="0" justifyLastLine="0" shrinkToFit="0" readingOrder="0"/>
      <protection locked="0" hidden="0"/>
    </dxf>
    <dxf>
      <alignment horizontal="left" vertical="center" textRotation="0" wrapText="1" indent="0" justifyLastLine="0" shrinkToFit="0" readingOrder="0"/>
      <protection locked="0" hidden="0"/>
    </dxf>
    <dxf>
      <alignment horizontal="left" vertical="center" textRotation="0" wrapText="1" indent="0" justifyLastLine="0" shrinkToFit="0" readingOrder="0"/>
      <protection locked="0" hidden="0"/>
    </dxf>
    <dxf>
      <alignment horizontal="general" vertical="center" textRotation="0" wrapText="1" indent="0" justifyLastLine="0" shrinkToFit="0" readingOrder="0"/>
    </dxf>
    <dxf>
      <alignment horizontal="general" vertical="bottom" textRotation="0" wrapText="0" indent="0" justifyLastLine="0" shrinkToFit="0" readingOrder="0"/>
    </dxf>
    <dxf>
      <font>
        <color theme="1"/>
      </font>
      <fill>
        <patternFill>
          <bgColor rgb="FFFFFFCC"/>
        </patternFill>
      </fill>
      <border>
        <left style="thin">
          <color rgb="FF7F7F7F"/>
        </left>
        <right style="thin">
          <color rgb="FF7F7F7F"/>
        </right>
        <top style="thin">
          <color rgb="FF7F7F7F"/>
        </top>
        <bottom style="thin">
          <color rgb="FF7F7F7F"/>
        </bottom>
        <vertical/>
        <horizontal/>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font>
        <b/>
        <i val="0"/>
        <color theme="5"/>
      </font>
      <fill>
        <patternFill>
          <bgColor rgb="FF7F7F7F"/>
        </patternFill>
      </fill>
    </dxf>
    <dxf>
      <font>
        <b/>
        <i val="0"/>
        <color theme="5"/>
      </font>
      <fill>
        <patternFill>
          <bgColor rgb="FF7F7F7F"/>
        </patternFill>
      </fill>
    </dxf>
    <dxf>
      <font>
        <b/>
        <i val="0"/>
        <color theme="5"/>
      </font>
      <fill>
        <patternFill>
          <bgColor rgb="FF7F7F7F"/>
        </patternFill>
      </fill>
    </dxf>
    <dxf>
      <font>
        <b/>
        <i val="0"/>
        <color theme="5"/>
      </font>
      <fill>
        <patternFill>
          <bgColor rgb="FF7F7F7F"/>
        </patternFill>
      </fill>
    </dxf>
    <dxf>
      <font>
        <b/>
        <i val="0"/>
        <color theme="5"/>
      </font>
      <fill>
        <patternFill>
          <bgColor rgb="FF7F7F7F"/>
        </patternFill>
      </fill>
    </dxf>
    <dxf>
      <font>
        <b/>
        <i val="0"/>
        <color theme="5"/>
      </font>
      <fill>
        <patternFill>
          <bgColor rgb="FF7F7F7F"/>
        </patternFill>
      </fill>
    </dxf>
    <dxf>
      <font>
        <b/>
        <i val="0"/>
        <color theme="5"/>
      </font>
      <fill>
        <patternFill>
          <bgColor rgb="FF7F7F7F"/>
        </patternFill>
      </fill>
    </dxf>
    <dxf>
      <font>
        <b/>
        <i val="0"/>
        <color theme="5"/>
      </font>
      <fill>
        <patternFill>
          <bgColor rgb="FF7F7F7F"/>
        </patternFill>
      </fill>
    </dxf>
    <dxf>
      <font>
        <b/>
        <i val="0"/>
        <color theme="5"/>
      </font>
      <fill>
        <patternFill>
          <bgColor rgb="FF7F7F7F"/>
        </patternFill>
      </fill>
    </dxf>
    <dxf>
      <font>
        <b/>
        <i val="0"/>
        <color theme="5"/>
      </font>
      <fill>
        <patternFill>
          <bgColor rgb="FF7F7F7F"/>
        </patternFill>
      </fill>
    </dxf>
    <dxf>
      <font>
        <color rgb="FF9C0006"/>
      </font>
      <fill>
        <patternFill>
          <bgColor rgb="FFFFC7CE"/>
        </patternFill>
      </fill>
    </dxf>
    <dxf>
      <font>
        <color rgb="FF3F3F76"/>
      </font>
      <fill>
        <patternFill>
          <bgColor rgb="FFFFCC99"/>
        </patternFill>
      </fill>
      <border>
        <left style="thin">
          <color rgb="FF7F7F7F"/>
        </left>
        <right style="thin">
          <color rgb="FF7F7F7F"/>
        </right>
        <top style="thin">
          <color rgb="FF7F7F7F"/>
        </top>
        <bottom style="thin">
          <color rgb="FF7F7F7F"/>
        </bottom>
      </border>
    </dxf>
    <dxf>
      <font>
        <color rgb="FF3F3F76"/>
      </font>
      <fill>
        <patternFill>
          <bgColor rgb="FFFFCC99"/>
        </patternFill>
      </fill>
      <border>
        <left style="thin">
          <color rgb="FF7F7F7F"/>
        </left>
        <right style="thin">
          <color rgb="FF7F7F7F"/>
        </right>
        <top style="thin">
          <color rgb="FF7F7F7F"/>
        </top>
        <bottom style="thin">
          <color rgb="FF7F7F7F"/>
        </bottom>
      </border>
    </dxf>
    <dxf>
      <font>
        <color rgb="FF3F3F76"/>
      </font>
      <fill>
        <patternFill>
          <bgColor rgb="FFFFCC99"/>
        </patternFill>
      </fill>
      <border>
        <left style="thin">
          <color rgb="FF7F7F7F"/>
        </left>
        <right style="thin">
          <color rgb="FF7F7F7F"/>
        </right>
        <top style="thin">
          <color rgb="FF7F7F7F"/>
        </top>
        <bottom style="thin">
          <color rgb="FF7F7F7F"/>
        </bottom>
      </border>
    </dxf>
    <dxf>
      <font>
        <b/>
        <i val="0"/>
      </font>
      <fill>
        <patternFill>
          <bgColor theme="2"/>
        </patternFill>
      </fill>
    </dxf>
    <dxf>
      <border>
        <left style="thin">
          <color rgb="FF7F7F7F"/>
        </left>
        <right style="thin">
          <color rgb="FF7F7F7F"/>
        </right>
        <top style="thin">
          <color rgb="FF7F7F7F"/>
        </top>
        <bottom style="thin">
          <color rgb="FF7F7F7F"/>
        </bottom>
        <vertical style="thin">
          <color rgb="FF7F7F7F"/>
        </vertical>
        <horizontal style="thin">
          <color rgb="FF7F7F7F"/>
        </horizontal>
      </border>
    </dxf>
  </dxfs>
  <tableStyles count="1" defaultTableStyle="TableStyleMedium2" defaultPivotStyle="PivotStyleLight16">
    <tableStyle name="Tabelstijl 1" pivot="0" count="2" xr9:uid="{275DBBE2-AEBC-4F7C-877A-C1F31DCE234F}">
      <tableStyleElement type="wholeTable" dxfId="39"/>
      <tableStyleElement type="headerRow" dxfId="38"/>
    </tableStyle>
  </tableStyles>
  <colors>
    <mruColors>
      <color rgb="FFFA7D00"/>
      <color rgb="FF7F7F7F"/>
      <color rgb="FFFFFFCC"/>
      <color rgb="FFFFCC99"/>
      <color rgb="FFFF6565"/>
      <color rgb="FF3F3F76"/>
      <color rgb="FFC48A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ton CO2 stored by product</a:t>
            </a:r>
          </a:p>
        </c:rich>
      </c:tx>
      <c:layout>
        <c:manualLayout>
          <c:xMode val="edge"/>
          <c:yMode val="edge"/>
          <c:x val="0.26060653132644135"/>
          <c:y val="2.5940342522818819E-3"/>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nl-NL"/>
        </a:p>
      </c:txPr>
    </c:title>
    <c:autoTitleDeleted val="0"/>
    <c:plotArea>
      <c:layout/>
      <c:pieChart>
        <c:varyColors val="1"/>
        <c:ser>
          <c:idx val="1"/>
          <c:order val="0"/>
          <c:tx>
            <c:strRef>
              <c:f>'Calculation-input'!$D$2</c:f>
              <c:strCache>
                <c:ptCount val="1"/>
                <c:pt idx="0">
                  <c:v>tCO2 stored</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0CFD-4A77-9338-23D6ADD49120}"/>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0CFD-4A77-9338-23D6ADD49120}"/>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0CFD-4A77-9338-23D6ADD49120}"/>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0CFD-4A77-9338-23D6ADD49120}"/>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0CFD-4A77-9338-23D6ADD49120}"/>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0CFD-4A77-9338-23D6ADD49120}"/>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0CFD-4A77-9338-23D6ADD49120}"/>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0CFD-4A77-9338-23D6ADD49120}"/>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0CFD-4A77-9338-23D6ADD49120}"/>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0CFD-4A77-9338-23D6ADD49120}"/>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0CFD-4A77-9338-23D6ADD49120}"/>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0CFD-4A77-9338-23D6ADD49120}"/>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0CFD-4A77-9338-23D6ADD49120}"/>
              </c:ext>
            </c:extLst>
          </c:dPt>
          <c:dPt>
            <c:idx val="13"/>
            <c:bubble3D val="0"/>
            <c:spPr>
              <a:solidFill>
                <a:schemeClr val="accent2">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0-0CFD-4A77-9338-23D6ADD49120}"/>
              </c:ext>
            </c:extLst>
          </c:dPt>
          <c:dPt>
            <c:idx val="14"/>
            <c:bubble3D val="0"/>
            <c:spPr>
              <a:solidFill>
                <a:schemeClr val="accent3">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0CFD-4A77-9338-23D6ADD49120}"/>
              </c:ext>
            </c:extLst>
          </c:dPt>
          <c:dPt>
            <c:idx val="15"/>
            <c:bubble3D val="0"/>
            <c:spPr>
              <a:solidFill>
                <a:schemeClr val="accent4">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2-0CFD-4A77-9338-23D6ADD49120}"/>
              </c:ext>
            </c:extLst>
          </c:dPt>
          <c:dPt>
            <c:idx val="16"/>
            <c:bubble3D val="0"/>
            <c:spPr>
              <a:solidFill>
                <a:schemeClr val="accent5">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3-0CFD-4A77-9338-23D6ADD49120}"/>
              </c:ext>
            </c:extLst>
          </c:dPt>
          <c:dPt>
            <c:idx val="17"/>
            <c:bubble3D val="0"/>
            <c:spPr>
              <a:solidFill>
                <a:schemeClr val="accent6">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4-0CFD-4A77-9338-23D6ADD49120}"/>
              </c:ext>
            </c:extLst>
          </c:dPt>
          <c:dPt>
            <c:idx val="18"/>
            <c:bubble3D val="0"/>
            <c:spPr>
              <a:solidFill>
                <a:schemeClr val="accent1">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5-0CFD-4A77-9338-23D6ADD49120}"/>
              </c:ext>
            </c:extLst>
          </c:dPt>
          <c:dPt>
            <c:idx val="19"/>
            <c:bubble3D val="0"/>
            <c:spPr>
              <a:solidFill>
                <a:schemeClr val="accent2">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6-0CFD-4A77-9338-23D6ADD49120}"/>
              </c:ext>
            </c:extLst>
          </c:dPt>
          <c:dPt>
            <c:idx val="20"/>
            <c:bubble3D val="0"/>
            <c:spPr>
              <a:solidFill>
                <a:schemeClr val="accent3">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7-0CFD-4A77-9338-23D6ADD49120}"/>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3-0CFD-4A77-9338-23D6ADD49120}"/>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4-0CFD-4A77-9338-23D6ADD49120}"/>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5-0CFD-4A77-9338-23D6ADD49120}"/>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6-0CFD-4A77-9338-23D6ADD49120}"/>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7-0CFD-4A77-9338-23D6ADD49120}"/>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8-0CFD-4A77-9338-23D6ADD49120}"/>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9-0CFD-4A77-9338-23D6ADD49120}"/>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A-0CFD-4A77-9338-23D6ADD49120}"/>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B-0CFD-4A77-9338-23D6ADD49120}"/>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C-0CFD-4A77-9338-23D6ADD49120}"/>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D-0CFD-4A77-9338-23D6ADD49120}"/>
                </c:ext>
              </c:extLst>
            </c:dLbl>
            <c:dLbl>
              <c:idx val="1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E-0CFD-4A77-9338-23D6ADD49120}"/>
                </c:ext>
              </c:extLst>
            </c:dLbl>
            <c:dLbl>
              <c:idx val="1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lumOff val="2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0F-0CFD-4A77-9338-23D6ADD49120}"/>
                </c:ext>
              </c:extLst>
            </c:dLbl>
            <c:dLbl>
              <c:idx val="1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80000"/>
                          <a:lumOff val="2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10-0CFD-4A77-9338-23D6ADD49120}"/>
                </c:ext>
              </c:extLst>
            </c:dLbl>
            <c:dLbl>
              <c:idx val="1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80000"/>
                          <a:lumOff val="2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11-0CFD-4A77-9338-23D6ADD49120}"/>
                </c:ext>
              </c:extLst>
            </c:dLbl>
            <c:dLbl>
              <c:idx val="1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80000"/>
                          <a:lumOff val="2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12-0CFD-4A77-9338-23D6ADD49120}"/>
                </c:ext>
              </c:extLst>
            </c:dLbl>
            <c:dLbl>
              <c:idx val="1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80000"/>
                          <a:lumOff val="2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13-0CFD-4A77-9338-23D6ADD49120}"/>
                </c:ext>
              </c:extLst>
            </c:dLbl>
            <c:dLbl>
              <c:idx val="1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80000"/>
                          <a:lumOff val="2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14-0CFD-4A77-9338-23D6ADD49120}"/>
                </c:ext>
              </c:extLst>
            </c:dLbl>
            <c:dLbl>
              <c:idx val="1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15-0CFD-4A77-9338-23D6ADD49120}"/>
                </c:ext>
              </c:extLst>
            </c:dLbl>
            <c:dLbl>
              <c:idx val="1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8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16-0CFD-4A77-9338-23D6ADD49120}"/>
                </c:ext>
              </c:extLst>
            </c:dLbl>
            <c:dLbl>
              <c:idx val="2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80000"/>
                        </a:schemeClr>
                      </a:solidFill>
                      <a:latin typeface="+mn-lt"/>
                      <a:ea typeface="+mn-ea"/>
                      <a:cs typeface="+mn-cs"/>
                    </a:defRPr>
                  </a:pPr>
                  <a:endParaRPr lang="nl-NL"/>
                </a:p>
              </c:txPr>
              <c:dLblPos val="outEnd"/>
              <c:showLegendKey val="0"/>
              <c:showVal val="1"/>
              <c:showCatName val="1"/>
              <c:showSerName val="0"/>
              <c:showPercent val="1"/>
              <c:showBubbleSize val="0"/>
              <c:extLst>
                <c:ext xmlns:c16="http://schemas.microsoft.com/office/drawing/2014/chart" uri="{C3380CC4-5D6E-409C-BE32-E72D297353CC}">
                  <c16:uniqueId val="{00000017-0CFD-4A77-9338-23D6ADD49120}"/>
                </c:ext>
              </c:extLst>
            </c:dLbl>
            <c:spPr>
              <a:noFill/>
              <a:ln>
                <a:noFill/>
              </a:ln>
              <a:effectLst/>
            </c:sp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'Calculation-input'!$C$3:$C$23</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cat>
          <c:val>
            <c:numRef>
              <c:f>'Calculation-input'!$D$3:$D$23</c:f>
              <c:numCache>
                <c:formatCode>0.0</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1-0CFD-4A77-9338-23D6ADD49120}"/>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nl-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ton CO2 stored by category</a:t>
            </a:r>
          </a:p>
        </c:rich>
      </c:tx>
      <c:layout>
        <c:manualLayout>
          <c:xMode val="edge"/>
          <c:yMode val="edge"/>
          <c:x val="0.26060653132644135"/>
          <c:y val="2.5940342522818819E-3"/>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nl-NL"/>
        </a:p>
      </c:txPr>
    </c:title>
    <c:autoTitleDeleted val="0"/>
    <c:plotArea>
      <c:layout/>
      <c:pieChart>
        <c:varyColors val="1"/>
        <c:ser>
          <c:idx val="1"/>
          <c:order val="0"/>
          <c:tx>
            <c:strRef>
              <c:f>'Calculation-input'!$D$2</c:f>
              <c:strCache>
                <c:ptCount val="1"/>
                <c:pt idx="0">
                  <c:v>tCO2 stored</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7FCB-4876-A06C-2DF8AA120133}"/>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7FCB-4876-A06C-2DF8AA120133}"/>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7FCB-4876-A06C-2DF8AA120133}"/>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7FCB-4876-A06C-2DF8AA120133}"/>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7FCB-4876-A06C-2DF8AA120133}"/>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7FCB-4876-A06C-2DF8AA120133}"/>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7FCB-4876-A06C-2DF8AA120133}"/>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7FCB-4876-A06C-2DF8AA120133}"/>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7FCB-4876-A06C-2DF8AA120133}"/>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3-7FCB-4876-A06C-2DF8AA120133}"/>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5-7FCB-4876-A06C-2DF8AA120133}"/>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7-7FCB-4876-A06C-2DF8AA120133}"/>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9-7FCB-4876-A06C-2DF8AA120133}"/>
              </c:ext>
            </c:extLst>
          </c:dPt>
          <c:dPt>
            <c:idx val="13"/>
            <c:bubble3D val="0"/>
            <c:spPr>
              <a:solidFill>
                <a:schemeClr val="accent2">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B-7FCB-4876-A06C-2DF8AA120133}"/>
              </c:ext>
            </c:extLst>
          </c:dPt>
          <c:dPt>
            <c:idx val="14"/>
            <c:bubble3D val="0"/>
            <c:spPr>
              <a:solidFill>
                <a:schemeClr val="accent3">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D-7FCB-4876-A06C-2DF8AA120133}"/>
              </c:ext>
            </c:extLst>
          </c:dPt>
          <c:dPt>
            <c:idx val="15"/>
            <c:bubble3D val="0"/>
            <c:spPr>
              <a:solidFill>
                <a:schemeClr val="accent4">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F-7FCB-4876-A06C-2DF8AA120133}"/>
              </c:ext>
            </c:extLst>
          </c:dPt>
          <c:dPt>
            <c:idx val="16"/>
            <c:bubble3D val="0"/>
            <c:spPr>
              <a:solidFill>
                <a:schemeClr val="accent5">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1-7FCB-4876-A06C-2DF8AA120133}"/>
              </c:ext>
            </c:extLst>
          </c:dPt>
          <c:dPt>
            <c:idx val="17"/>
            <c:bubble3D val="0"/>
            <c:spPr>
              <a:solidFill>
                <a:schemeClr val="accent6">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3-7FCB-4876-A06C-2DF8AA120133}"/>
              </c:ext>
            </c:extLst>
          </c:dPt>
          <c:dPt>
            <c:idx val="18"/>
            <c:bubble3D val="0"/>
            <c:spPr>
              <a:solidFill>
                <a:schemeClr val="accent1">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5-7FCB-4876-A06C-2DF8AA120133}"/>
              </c:ext>
            </c:extLst>
          </c:dPt>
          <c:dPt>
            <c:idx val="19"/>
            <c:bubble3D val="0"/>
            <c:spPr>
              <a:solidFill>
                <a:schemeClr val="accent2">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7-7FCB-4876-A06C-2DF8AA120133}"/>
              </c:ext>
            </c:extLst>
          </c:dPt>
          <c:dPt>
            <c:idx val="20"/>
            <c:bubble3D val="0"/>
            <c:spPr>
              <a:solidFill>
                <a:schemeClr val="accent3">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9-7FCB-4876-A06C-2DF8AA120133}"/>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01-7FCB-4876-A06C-2DF8AA120133}"/>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03-7FCB-4876-A06C-2DF8AA120133}"/>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05-7FCB-4876-A06C-2DF8AA120133}"/>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07-7FCB-4876-A06C-2DF8AA120133}"/>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09-7FCB-4876-A06C-2DF8AA120133}"/>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0B-7FCB-4876-A06C-2DF8AA120133}"/>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0D-7FCB-4876-A06C-2DF8AA120133}"/>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0F-7FCB-4876-A06C-2DF8AA120133}"/>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11-7FCB-4876-A06C-2DF8AA120133}"/>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13-7FCB-4876-A06C-2DF8AA120133}"/>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15-7FCB-4876-A06C-2DF8AA120133}"/>
                </c:ext>
              </c:extLst>
            </c:dLbl>
            <c:dLbl>
              <c:idx val="1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17-7FCB-4876-A06C-2DF8AA120133}"/>
                </c:ext>
              </c:extLst>
            </c:dLbl>
            <c:dLbl>
              <c:idx val="1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lumOff val="20000"/>
                        </a:schemeClr>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19-7FCB-4876-A06C-2DF8AA120133}"/>
                </c:ext>
              </c:extLst>
            </c:dLbl>
            <c:dLbl>
              <c:idx val="1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80000"/>
                          <a:lumOff val="20000"/>
                        </a:schemeClr>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1B-7FCB-4876-A06C-2DF8AA120133}"/>
                </c:ext>
              </c:extLst>
            </c:dLbl>
            <c:dLbl>
              <c:idx val="1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80000"/>
                          <a:lumOff val="20000"/>
                        </a:schemeClr>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1D-7FCB-4876-A06C-2DF8AA120133}"/>
                </c:ext>
              </c:extLst>
            </c:dLbl>
            <c:dLbl>
              <c:idx val="1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80000"/>
                          <a:lumOff val="20000"/>
                        </a:schemeClr>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1F-7FCB-4876-A06C-2DF8AA120133}"/>
                </c:ext>
              </c:extLst>
            </c:dLbl>
            <c:dLbl>
              <c:idx val="1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80000"/>
                          <a:lumOff val="20000"/>
                        </a:schemeClr>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21-7FCB-4876-A06C-2DF8AA120133}"/>
                </c:ext>
              </c:extLst>
            </c:dLbl>
            <c:dLbl>
              <c:idx val="1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80000"/>
                          <a:lumOff val="20000"/>
                        </a:schemeClr>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23-7FCB-4876-A06C-2DF8AA120133}"/>
                </c:ext>
              </c:extLst>
            </c:dLbl>
            <c:dLbl>
              <c:idx val="1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schemeClr>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25-7FCB-4876-A06C-2DF8AA120133}"/>
                </c:ext>
              </c:extLst>
            </c:dLbl>
            <c:dLbl>
              <c:idx val="1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80000"/>
                        </a:schemeClr>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27-7FCB-4876-A06C-2DF8AA120133}"/>
                </c:ext>
              </c:extLst>
            </c:dLbl>
            <c:dLbl>
              <c:idx val="2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80000"/>
                        </a:schemeClr>
                      </a:solidFill>
                      <a:latin typeface="+mn-lt"/>
                      <a:ea typeface="+mn-ea"/>
                      <a:cs typeface="+mn-cs"/>
                    </a:defRPr>
                  </a:pPr>
                  <a:endParaRPr lang="nl-NL"/>
                </a:p>
              </c:txPr>
              <c:dLblPos val="outEnd"/>
              <c:showLegendKey val="0"/>
              <c:showVal val="0"/>
              <c:showCatName val="1"/>
              <c:showSerName val="0"/>
              <c:showPercent val="0"/>
              <c:showBubbleSize val="0"/>
              <c:extLst>
                <c:ext xmlns:c16="http://schemas.microsoft.com/office/drawing/2014/chart" uri="{C3380CC4-5D6E-409C-BE32-E72D297353CC}">
                  <c16:uniqueId val="{00000029-7FCB-4876-A06C-2DF8AA120133}"/>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'Calculation-input'!$F$3:$F$23</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cat>
          <c:val>
            <c:numRef>
              <c:f>'Calculation-input'!$G$3:$G$23</c:f>
              <c:numCache>
                <c:formatCode>0.0</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2A-7FCB-4876-A06C-2DF8AA120133}"/>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nl-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1</xdr:rowOff>
    </xdr:from>
    <xdr:to>
      <xdr:col>3</xdr:col>
      <xdr:colOff>4320000</xdr:colOff>
      <xdr:row>22</xdr:row>
      <xdr:rowOff>129001</xdr:rowOff>
    </xdr:to>
    <xdr:graphicFrame macro="">
      <xdr:nvGraphicFramePr>
        <xdr:cNvPr id="3" name="Grafiek 2">
          <a:extLst>
            <a:ext uri="{FF2B5EF4-FFF2-40B4-BE49-F238E27FC236}">
              <a16:creationId xmlns:a16="http://schemas.microsoft.com/office/drawing/2014/main" id="{F4B0A993-B777-4AFD-87D4-AA1E8D4E0F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5200649</xdr:colOff>
      <xdr:row>1</xdr:row>
      <xdr:rowOff>0</xdr:rowOff>
    </xdr:from>
    <xdr:to>
      <xdr:col>5</xdr:col>
      <xdr:colOff>1233899</xdr:colOff>
      <xdr:row>22</xdr:row>
      <xdr:rowOff>129000</xdr:rowOff>
    </xdr:to>
    <xdr:graphicFrame macro="">
      <xdr:nvGraphicFramePr>
        <xdr:cNvPr id="4" name="Grafiek 3">
          <a:extLst>
            <a:ext uri="{FF2B5EF4-FFF2-40B4-BE49-F238E27FC236}">
              <a16:creationId xmlns:a16="http://schemas.microsoft.com/office/drawing/2014/main" id="{B706DA70-E489-4989-BDCD-6AB4320A16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415464</xdr:colOff>
      <xdr:row>24</xdr:row>
      <xdr:rowOff>175780</xdr:rowOff>
    </xdr:from>
    <xdr:to>
      <xdr:col>16</xdr:col>
      <xdr:colOff>174</xdr:colOff>
      <xdr:row>31</xdr:row>
      <xdr:rowOff>124345</xdr:rowOff>
    </xdr:to>
    <xdr:pic>
      <xdr:nvPicPr>
        <xdr:cNvPr id="2" name="Afbeelding 1">
          <a:extLst>
            <a:ext uri="{FF2B5EF4-FFF2-40B4-BE49-F238E27FC236}">
              <a16:creationId xmlns:a16="http://schemas.microsoft.com/office/drawing/2014/main" id="{D244B6F5-ED31-4DB4-AE11-5CEC4062ED80}"/>
            </a:ext>
          </a:extLst>
        </xdr:cNvPr>
        <xdr:cNvPicPr>
          <a:picLocks noChangeAspect="1" noChangeArrowheads="1"/>
        </xdr:cNvPicPr>
      </xdr:nvPicPr>
      <xdr:blipFill>
        <a:blip xmlns:r="http://schemas.openxmlformats.org/officeDocument/2006/relationships" r:embed="rId1">
          <a:grayscl/>
          <a:extLst>
            <a:ext uri="{BEBA8EAE-BF5A-486C-A8C5-ECC9F3942E4B}">
              <a14:imgProps xmlns:a14="http://schemas.microsoft.com/office/drawing/2010/main">
                <a14:imgLayer r:embed="rId2">
                  <a14:imgEffect>
                    <a14:sharpenSoften amount="50000"/>
                  </a14:imgEffect>
                  <a14:imgEffect>
                    <a14:saturation sat="0"/>
                  </a14:imgEffect>
                  <a14:imgEffect>
                    <a14:brightnessContrast bright="-40000" contrast="40000"/>
                  </a14:imgEffect>
                </a14:imgLayer>
              </a14:imgProps>
            </a:ext>
            <a:ext uri="{28A0092B-C50C-407E-A947-70E740481C1C}">
              <a14:useLocalDpi xmlns:a14="http://schemas.microsoft.com/office/drawing/2010/main" val="0"/>
            </a:ext>
          </a:extLst>
        </a:blip>
        <a:srcRect/>
        <a:stretch>
          <a:fillRect/>
        </a:stretch>
      </xdr:blipFill>
      <xdr:spPr bwMode="auto">
        <a:xfrm>
          <a:off x="11403850" y="4938280"/>
          <a:ext cx="4468438" cy="12820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37934F-8227-4EF9-BCD9-F20BF5609D94}" name="Tabel2" displayName="Tabel2" ref="A24:H45" totalsRowShown="0" headerRowDxfId="20" dataDxfId="19">
  <autoFilter ref="A24:H45" xr:uid="{D537934F-8227-4EF9-BCD9-F20BF5609D94}"/>
  <tableColumns count="8">
    <tableColumn id="1" xr3:uid="{6A3292E4-E561-4E45-856A-BE6BB2B5527B}" name="Construction level" dataDxfId="18" dataCellStyle="Invoer"/>
    <tableColumn id="2" xr3:uid="{F952D010-A14A-4914-9CA9-50840D5A5E23}" name="Product category" dataDxfId="17" dataCellStyle="Invoer"/>
    <tableColumn id="3" xr3:uid="{D230AA74-F2BA-4D27-99C7-7922F2919409}" name="Biobased products" dataDxfId="16" dataCellStyle="Invoer"/>
    <tableColumn id="4" xr3:uid="{5EC3B66C-BF3F-4CE8-8331-B7EC437A7530}" name="Additional information" dataDxfId="15">
      <calculatedColumnFormula>IF(Tabel2[[#This Row],[Biobased products]]="CLT","Select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calculatedColumnFormula>
    </tableColumn>
    <tableColumn id="5" xr3:uid="{78E62C93-3CBA-434B-AF42-1A841B8E6344}" name="Average density (kg/m3)" dataDxfId="14">
      <calculatedColumnFormula>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calculatedColumnFormula>
    </tableColumn>
    <tableColumn id="6" xr3:uid="{F4B71CBB-7B8B-4CE3-8F4B-EDECEC1D6F2D}" name="Quantity of product" dataDxfId="13" dataCellStyle="Invoer"/>
    <tableColumn id="7" xr3:uid="{A622A85A-7579-4D2C-A757-47065BC44B9A}" name="Unit" dataDxfId="12" dataCellStyle="Invoer">
      <calculatedColumnFormula>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calculatedColumnFormula>
    </tableColumn>
    <tableColumn id="8" xr3:uid="{A66896B5-834D-47F3-93AD-5728E2823AD2}" name="tCO2 stored" dataDxfId="11" dataCellStyle="Berekening">
      <calculatedColumnFormula>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calculatedColumnFormula>
    </tableColumn>
  </tableColumns>
  <tableStyleInfo name="Tabelstijl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BFF975-0F68-48A5-880A-9CED6B322BD1}" name="Tabel1" displayName="Tabel1" ref="A1:O44" totalsRowShown="0" headerRowDxfId="10" tableBorderDxfId="9">
  <autoFilter ref="A1:O44" xr:uid="{B6F89086-9B82-4A0F-9028-DAB52B16992D}"/>
  <sortState xmlns:xlrd2="http://schemas.microsoft.com/office/spreadsheetml/2017/richdata2" ref="A2:O44">
    <sortCondition ref="A1:A44"/>
  </sortState>
  <tableColumns count="15">
    <tableColumn id="1" xr3:uid="{2081E066-29DB-4673-B755-D9CA2FDEA7B4}" name="Product" dataDxfId="8"/>
    <tableColumn id="2" xr3:uid="{5320F8A3-4657-46BB-9BF5-133202804871}" name="Min. CO2-storage (kgCO2/kg)" dataDxfId="7"/>
    <tableColumn id="3" xr3:uid="{3F84CEF9-74C5-4A9C-ADFC-980A2E21AB29}" name="Av. CO2-storage (kgCO2/kg)*" dataDxfId="6"/>
    <tableColumn id="4" xr3:uid="{1712F483-5B99-4987-B8C8-DDBC0E95BAC9}" name="Max. CO2-storage (kgCO2/kg)" dataDxfId="5"/>
    <tableColumn id="5" xr3:uid="{28341A7D-ED4F-4946-8FE3-1459FD01D80D}" name="n datapoints" dataDxfId="4"/>
    <tableColumn id="6" xr3:uid="{6C5756FF-C428-446E-B5B4-FCB4E45DCE5D}" name="Min. Density (kg/m3)" dataDxfId="3"/>
    <tableColumn id="7" xr3:uid="{7462E52B-6144-4452-96D0-97498D1F9D24}" name="Av. of mid. range Density (kg/m3)"/>
    <tableColumn id="8" xr3:uid="{E3291A64-CDF8-4728-B2CC-F820CF8EBB96}" name="Max. Density (kg/m3)" dataDxfId="2"/>
    <tableColumn id="9" xr3:uid="{70F553E0-396E-45E9-84A4-FE5E396F418C}" name="Av. Density from spruces (kg/m3)"/>
    <tableColumn id="10" xr3:uid="{C7060F08-ECAA-4A90-A62D-29D1C8A71489}" name="Av. Density from larchs (kg/m3)" dataDxfId="1"/>
    <tableColumn id="11" xr3:uid="{B8D8C81E-F0B4-4A51-9411-668548B59B94}" name="Source1" dataDxfId="0" dataCellStyle="Hyperlink"/>
    <tableColumn id="12" xr3:uid="{A3994771-2EC8-469D-A98B-320F40B67788}" name="Source2"/>
    <tableColumn id="13" xr3:uid="{DD1AB8C1-4C76-4EA4-A82A-D5CC8993182A}" name="Source3"/>
    <tableColumn id="14" xr3:uid="{0B502E4A-B33D-4136-A7D9-10A9115BC1E6}" name="Source4"/>
    <tableColumn id="15" xr3:uid="{BB3ED56F-FA5B-4336-AA8B-5B3726C811DC}" name="Source5"/>
  </tableColumns>
  <tableStyleInfo name="TableStyleLight1"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bart@climatecleanup.org" TargetMode="External"/><Relationship Id="rId1" Type="http://schemas.openxmlformats.org/officeDocument/2006/relationships/hyperlink" Target="https://www.linkedin.com/in/bart-van-valenberg-6-201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s://www.awc.org/pdf/greenbuilding/epd/AWC_EPD_NorthAmericanGluedLaminatedTimber_20200605.pdf" TargetMode="External"/><Relationship Id="rId18" Type="http://schemas.openxmlformats.org/officeDocument/2006/relationships/hyperlink" Target="https://www.accoya.com/app/uploads/2020/05/Environmental-Product-Declaration-%E2%80%93-cladding-decking-planed-timber-%E2%80%93-EN-15804.pdf" TargetMode="External"/><Relationship Id="rId26" Type="http://schemas.openxmlformats.org/officeDocument/2006/relationships/hyperlink" Target="https://www.researchgate.net/publication/263268778_Carbon_sequestration_in_LCA_a_proposal_for_a_new_approach_based_on_the_global_carbon_cycle_Cases_on_wood_and_on_bamboo" TargetMode="External"/><Relationship Id="rId39" Type="http://schemas.openxmlformats.org/officeDocument/2006/relationships/hyperlink" Target="https://innovativebuildingmaterials.com/hemp-insulation/" TargetMode="External"/><Relationship Id="rId21" Type="http://schemas.openxmlformats.org/officeDocument/2006/relationships/hyperlink" Target="https://epd-online.com/EmbeddedEpdList/Download/5751" TargetMode="External"/><Relationship Id="rId34" Type="http://schemas.openxmlformats.org/officeDocument/2006/relationships/hyperlink" Target="https://llufb.llu.lv/conference/NJF/NJF_2015_Proceedings_Latvia-156-160.pdf" TargetMode="External"/><Relationship Id="rId42" Type="http://schemas.openxmlformats.org/officeDocument/2006/relationships/hyperlink" Target="https://passiefhuismarkt.nl/passiefhuis-producten/houtflex-standard/" TargetMode="External"/><Relationship Id="rId47" Type="http://schemas.openxmlformats.org/officeDocument/2006/relationships/hyperlink" Target="https://www.moso-bamboo.com/" TargetMode="External"/><Relationship Id="rId50" Type="http://schemas.openxmlformats.org/officeDocument/2006/relationships/vmlDrawing" Target="../drawings/vmlDrawing1.vml"/><Relationship Id="rId7" Type="http://schemas.openxmlformats.org/officeDocument/2006/relationships/hyperlink" Target="https://www.houtdatabase.nl/" TargetMode="External"/><Relationship Id="rId2" Type="http://schemas.openxmlformats.org/officeDocument/2006/relationships/hyperlink" Target="https://www.houtdatabase.nl/" TargetMode="External"/><Relationship Id="rId16" Type="http://schemas.openxmlformats.org/officeDocument/2006/relationships/hyperlink" Target="https://www.nordic.ca/data/files/datasheet/file/EPD_Nordic_Lam.pdf" TargetMode="External"/><Relationship Id="rId29" Type="http://schemas.openxmlformats.org/officeDocument/2006/relationships/hyperlink" Target="https://onlinelibrary.wiley.com/doi/abs/10.1111/plb.12435" TargetMode="External"/><Relationship Id="rId11" Type="http://schemas.openxmlformats.org/officeDocument/2006/relationships/hyperlink" Target="https://materialspalette.org/straw-bale/" TargetMode="External"/><Relationship Id="rId24" Type="http://schemas.openxmlformats.org/officeDocument/2006/relationships/hyperlink" Target="https://iwto.org/sustainability/carbon-cycle/" TargetMode="External"/><Relationship Id="rId32" Type="http://schemas.openxmlformats.org/officeDocument/2006/relationships/hyperlink" Target="https://www.researchgate.net/publication/313961941_Life_cycle_assessment_of_natural_building_materials_the_role_of_carbonation_mixture_components_and_transport_in_the_environmental_impacts_of_hempcrete_blocks" TargetMode="External"/><Relationship Id="rId37" Type="http://schemas.openxmlformats.org/officeDocument/2006/relationships/hyperlink" Target="https://www.groenebouwmaterialen.nl/thermo-hennep-premium-hennep-isolatie.html" TargetMode="External"/><Relationship Id="rId40" Type="http://schemas.openxmlformats.org/officeDocument/2006/relationships/hyperlink" Target="https://www.eco-bouwmaterialen.nl/isolatie/" TargetMode="External"/><Relationship Id="rId45" Type="http://schemas.openxmlformats.org/officeDocument/2006/relationships/hyperlink" Target="https://www.moso-bamboo.com/" TargetMode="External"/><Relationship Id="rId5" Type="http://schemas.openxmlformats.org/officeDocument/2006/relationships/hyperlink" Target="https://www.houtdatabase.nl/" TargetMode="External"/><Relationship Id="rId15" Type="http://schemas.openxmlformats.org/officeDocument/2006/relationships/hyperlink" Target="https://www.astm.org/CERTIFICATION/DOCS/479.EPD_FOR_Structurlam_Glulam_20200113.pdf" TargetMode="External"/><Relationship Id="rId23" Type="http://schemas.openxmlformats.org/officeDocument/2006/relationships/hyperlink" Target="https://www.researchgate.net/publication/38028912_Carbon_Sequestration_Potential_of_Extensive_Green_Roofs" TargetMode="External"/><Relationship Id="rId28" Type="http://schemas.openxmlformats.org/officeDocument/2006/relationships/hyperlink" Target="https://www.researchgate.net/publication/263268778_Carbon_sequestration_in_LCA_a_proposal_for_a_new_approach_based_on_the_global_carbon_cycle_Cases_on_wood_and_on_bamboo" TargetMode="External"/><Relationship Id="rId36" Type="http://schemas.openxmlformats.org/officeDocument/2006/relationships/hyperlink" Target="https://www.isolatie-info.nl/isolatiemateriaal/hennep" TargetMode="External"/><Relationship Id="rId49" Type="http://schemas.openxmlformats.org/officeDocument/2006/relationships/printerSettings" Target="../printerSettings/printerSettings4.bin"/><Relationship Id="rId10" Type="http://schemas.openxmlformats.org/officeDocument/2006/relationships/hyperlink" Target="https://www.academia.edu/39298982/STRAWBALE_CONSTRUCTION_A_LEAST_EMBODIED_ENERGY_MATERIAL" TargetMode="External"/><Relationship Id="rId19" Type="http://schemas.openxmlformats.org/officeDocument/2006/relationships/hyperlink" Target="https://www.accoya.com/app/uploads/2020/05/Environmental-Product-Declaration-%E2%80%93-cladding-decking-planed-timber-%E2%80%93-EN-15804.pdf" TargetMode="External"/><Relationship Id="rId31" Type="http://schemas.openxmlformats.org/officeDocument/2006/relationships/hyperlink" Target="https://www.hollandhoutland.nl/wp-content/uploads/2021/03/HH_Biobased-Bouwen-Bedrijvengids_BOOK_19-03_web.pdf" TargetMode="External"/><Relationship Id="rId44" Type="http://schemas.openxmlformats.org/officeDocument/2006/relationships/hyperlink" Target="https://www.moso-bamboo.com/" TargetMode="External"/><Relationship Id="rId52" Type="http://schemas.openxmlformats.org/officeDocument/2006/relationships/comments" Target="../comments1.xml"/><Relationship Id="rId4" Type="http://schemas.openxmlformats.org/officeDocument/2006/relationships/hyperlink" Target="https://www.houtdatabase.nl/" TargetMode="External"/><Relationship Id="rId9" Type="http://schemas.openxmlformats.org/officeDocument/2006/relationships/hyperlink" Target="https://www.houtdatabase.nl/" TargetMode="External"/><Relationship Id="rId14" Type="http://schemas.openxmlformats.org/officeDocument/2006/relationships/hyperlink" Target="https://portal.environdec.com/api/api/v1/EPDLibrary/Files/2263eda0-231e-412c-91e4-0a1894bf1a5d/Data" TargetMode="External"/><Relationship Id="rId22" Type="http://schemas.openxmlformats.org/officeDocument/2006/relationships/hyperlink" Target="https://parquet.com/technical-data-sheet/" TargetMode="External"/><Relationship Id="rId27" Type="http://schemas.openxmlformats.org/officeDocument/2006/relationships/hyperlink" Target="https://onlinelibrary.wiley.com/doi/abs/10.1111/plb.12435" TargetMode="External"/><Relationship Id="rId30" Type="http://schemas.openxmlformats.org/officeDocument/2006/relationships/hyperlink" Target="https://www.hollandhoutland.nl/wp-content/uploads/2021/03/HH_Biobased-Bouwen-Bedrijvengids_BOOK_19-03_web.pdf" TargetMode="External"/><Relationship Id="rId35" Type="http://schemas.openxmlformats.org/officeDocument/2006/relationships/hyperlink" Target="https://www.hollandhoutland.nl/wp-content/uploads/2021/03/HH_Biobased-Bouwen-Bedrijvengids_BOOK_19-03_web.pdf" TargetMode="External"/><Relationship Id="rId43" Type="http://schemas.openxmlformats.org/officeDocument/2006/relationships/hyperlink" Target="mailto:jdwars@soprema.nl" TargetMode="External"/><Relationship Id="rId48" Type="http://schemas.openxmlformats.org/officeDocument/2006/relationships/hyperlink" Target="https://www.moso-bamboo.com/" TargetMode="External"/><Relationship Id="rId8" Type="http://schemas.openxmlformats.org/officeDocument/2006/relationships/hyperlink" Target="https://www.houtdatabase.nl/" TargetMode="External"/><Relationship Id="rId51" Type="http://schemas.openxmlformats.org/officeDocument/2006/relationships/table" Target="../tables/table2.xml"/><Relationship Id="rId3" Type="http://schemas.openxmlformats.org/officeDocument/2006/relationships/hyperlink" Target="https://www.houtdatabase.nl/" TargetMode="External"/><Relationship Id="rId12" Type="http://schemas.openxmlformats.org/officeDocument/2006/relationships/hyperlink" Target="https://ecococon.eu/assets/downloads/ecococon_brochure.pdf" TargetMode="External"/><Relationship Id="rId17" Type="http://schemas.openxmlformats.org/officeDocument/2006/relationships/hyperlink" Target="https://portal.environdec.com/api/api/v1/EPDLibrary/Files/b7b4e26b-41b8-4b7f-802c-08d8e2c71993/Data" TargetMode="External"/><Relationship Id="rId25" Type="http://schemas.openxmlformats.org/officeDocument/2006/relationships/hyperlink" Target="https://www.carbontrap.org/about-miscanthus" TargetMode="External"/><Relationship Id="rId33" Type="http://schemas.openxmlformats.org/officeDocument/2006/relationships/hyperlink" Target="https://www.sciencedirect.com/science/article/abs/pii/S0921344912001620" TargetMode="External"/><Relationship Id="rId38" Type="http://schemas.openxmlformats.org/officeDocument/2006/relationships/hyperlink" Target="https://www.hempitecture.com/hempwool" TargetMode="External"/><Relationship Id="rId46" Type="http://schemas.openxmlformats.org/officeDocument/2006/relationships/hyperlink" Target="https://www.moso-bamboo.com/" TargetMode="External"/><Relationship Id="rId20" Type="http://schemas.openxmlformats.org/officeDocument/2006/relationships/hyperlink" Target="https://www.accoya.com/app/uploads/2020/05/Environmental-Product-Declaration-%E2%80%93-cladding-decking-planed-timber-%E2%80%93-EN-15804.pdf" TargetMode="External"/><Relationship Id="rId41" Type="http://schemas.openxmlformats.org/officeDocument/2006/relationships/hyperlink" Target="https://www.researchgate.net/publication/279246264_A_review_of_unconventional_sustainable_building_insulation_materials" TargetMode="External"/><Relationship Id="rId1" Type="http://schemas.openxmlformats.org/officeDocument/2006/relationships/hyperlink" Target="https://www.groendak.nl/" TargetMode="External"/><Relationship Id="rId6" Type="http://schemas.openxmlformats.org/officeDocument/2006/relationships/hyperlink" Target="https://www.houtdatabase.nl/"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6" Type="http://schemas.openxmlformats.org/officeDocument/2006/relationships/hyperlink" Target="https://www.sciencedirect.com/science/article/abs/pii/S0961953403000333" TargetMode="External"/><Relationship Id="rId21" Type="http://schemas.openxmlformats.org/officeDocument/2006/relationships/hyperlink" Target="https://www.sciencedirect.com/science/article/abs/pii/S0961953403000333" TargetMode="External"/><Relationship Id="rId42" Type="http://schemas.openxmlformats.org/officeDocument/2006/relationships/hyperlink" Target="https://www.houtinfo.nl/node/224" TargetMode="External"/><Relationship Id="rId47" Type="http://schemas.openxmlformats.org/officeDocument/2006/relationships/hyperlink" Target="https://www.wood-database.com/balsam-fir/" TargetMode="External"/><Relationship Id="rId63" Type="http://schemas.openxmlformats.org/officeDocument/2006/relationships/hyperlink" Target="https://www.wood-database.com/tamarack/" TargetMode="External"/><Relationship Id="rId68" Type="http://schemas.openxmlformats.org/officeDocument/2006/relationships/hyperlink" Target="https://www.wood-database.com/black-cherry/" TargetMode="External"/><Relationship Id="rId16" Type="http://schemas.openxmlformats.org/officeDocument/2006/relationships/hyperlink" Target="https://www.sciencedirect.com/science/article/abs/pii/S0961953403000333" TargetMode="External"/><Relationship Id="rId11" Type="http://schemas.openxmlformats.org/officeDocument/2006/relationships/hyperlink" Target="https://www.sciencedirect.com/science/article/abs/pii/S0961953403000333" TargetMode="External"/><Relationship Id="rId32" Type="http://schemas.openxmlformats.org/officeDocument/2006/relationships/hyperlink" Target="https://www.sciencedirect.com/science/article/abs/pii/S0961953403000333" TargetMode="External"/><Relationship Id="rId37" Type="http://schemas.openxmlformats.org/officeDocument/2006/relationships/hyperlink" Target="https://www.sciencedirect.com/science/article/abs/pii/S0961953403000333" TargetMode="External"/><Relationship Id="rId53" Type="http://schemas.openxmlformats.org/officeDocument/2006/relationships/hyperlink" Target="https://www.wood-database.com/black-ash/" TargetMode="External"/><Relationship Id="rId58" Type="http://schemas.openxmlformats.org/officeDocument/2006/relationships/hyperlink" Target="https://www.wood-database.com/jack-pine/" TargetMode="External"/><Relationship Id="rId74" Type="http://schemas.openxmlformats.org/officeDocument/2006/relationships/hyperlink" Target="https://www.wood-database.com/western-hemlock/" TargetMode="External"/><Relationship Id="rId79" Type="http://schemas.openxmlformats.org/officeDocument/2006/relationships/hyperlink" Target="https://www.wood-database.com/american-beech/" TargetMode="External"/><Relationship Id="rId5" Type="http://schemas.openxmlformats.org/officeDocument/2006/relationships/hyperlink" Target="https://www.sciencedirect.com/science/article/abs/pii/S0961953403000333" TargetMode="External"/><Relationship Id="rId61" Type="http://schemas.openxmlformats.org/officeDocument/2006/relationships/hyperlink" Target="https://www.wood-database.com/eastern-white-pine/" TargetMode="External"/><Relationship Id="rId82" Type="http://schemas.openxmlformats.org/officeDocument/2006/relationships/drawing" Target="../drawings/drawing2.xml"/><Relationship Id="rId19" Type="http://schemas.openxmlformats.org/officeDocument/2006/relationships/hyperlink" Target="https://www.sciencedirect.com/science/article/abs/pii/S0961953403000333" TargetMode="External"/><Relationship Id="rId14" Type="http://schemas.openxmlformats.org/officeDocument/2006/relationships/hyperlink" Target="https://www.sciencedirect.com/science/article/abs/pii/S0961953403000333" TargetMode="External"/><Relationship Id="rId22" Type="http://schemas.openxmlformats.org/officeDocument/2006/relationships/hyperlink" Target="https://www.sciencedirect.com/science/article/abs/pii/S0961953403000333" TargetMode="External"/><Relationship Id="rId27" Type="http://schemas.openxmlformats.org/officeDocument/2006/relationships/hyperlink" Target="https://www.sciencedirect.com/science/article/abs/pii/S0961953403000333" TargetMode="External"/><Relationship Id="rId30" Type="http://schemas.openxmlformats.org/officeDocument/2006/relationships/hyperlink" Target="https://www.sciencedirect.com/science/article/abs/pii/S0961953403000333" TargetMode="External"/><Relationship Id="rId35" Type="http://schemas.openxmlformats.org/officeDocument/2006/relationships/hyperlink" Target="https://www.sciencedirect.com/science/article/abs/pii/S0961953403000333" TargetMode="External"/><Relationship Id="rId43" Type="http://schemas.openxmlformats.org/officeDocument/2006/relationships/hyperlink" Target="https://www.houtinfo.nl/node/255" TargetMode="External"/><Relationship Id="rId48" Type="http://schemas.openxmlformats.org/officeDocument/2006/relationships/hyperlink" Target="https://www.wood-database.com/box-elder/" TargetMode="External"/><Relationship Id="rId56" Type="http://schemas.openxmlformats.org/officeDocument/2006/relationships/hyperlink" Target="https://www.wood-database.com/red-oak/" TargetMode="External"/><Relationship Id="rId64" Type="http://schemas.openxmlformats.org/officeDocument/2006/relationships/hyperlink" Target="https://www.wood-database.com/western-larch/" TargetMode="External"/><Relationship Id="rId69" Type="http://schemas.openxmlformats.org/officeDocument/2006/relationships/hyperlink" Target="https://www.wood-database.com/sitka-spruce/" TargetMode="External"/><Relationship Id="rId77" Type="http://schemas.openxmlformats.org/officeDocument/2006/relationships/hyperlink" Target="https://www.wood-database.com/yellow-birch/" TargetMode="External"/><Relationship Id="rId8" Type="http://schemas.openxmlformats.org/officeDocument/2006/relationships/hyperlink" Target="https://www.sciencedirect.com/science/article/abs/pii/S0961953403000333" TargetMode="External"/><Relationship Id="rId51" Type="http://schemas.openxmlformats.org/officeDocument/2006/relationships/hyperlink" Target="https://www.wood-database.com/red-maple/" TargetMode="External"/><Relationship Id="rId72" Type="http://schemas.openxmlformats.org/officeDocument/2006/relationships/hyperlink" Target="https://www.wood-database.com/black-walnut/" TargetMode="External"/><Relationship Id="rId80" Type="http://schemas.openxmlformats.org/officeDocument/2006/relationships/hyperlink" Target="https://www.researchgate.net/publication/287808853_Carbon_content_in_Juvenile_and_mature_wood_of_Scots_Pine_Pinus_sylyestris_L" TargetMode="External"/><Relationship Id="rId3" Type="http://schemas.openxmlformats.org/officeDocument/2006/relationships/hyperlink" Target="https://www.sciencedirect.com/science/article/abs/pii/S0961953403000333" TargetMode="External"/><Relationship Id="rId12" Type="http://schemas.openxmlformats.org/officeDocument/2006/relationships/hyperlink" Target="https://www.sciencedirect.com/science/article/abs/pii/S0961953403000333" TargetMode="External"/><Relationship Id="rId17" Type="http://schemas.openxmlformats.org/officeDocument/2006/relationships/hyperlink" Target="https://www.sciencedirect.com/science/article/abs/pii/S0961953403000333" TargetMode="External"/><Relationship Id="rId25" Type="http://schemas.openxmlformats.org/officeDocument/2006/relationships/hyperlink" Target="https://www.sciencedirect.com/science/article/abs/pii/S0961953403000333" TargetMode="External"/><Relationship Id="rId33" Type="http://schemas.openxmlformats.org/officeDocument/2006/relationships/hyperlink" Target="https://www.sciencedirect.com/science/article/abs/pii/S0961953403000333" TargetMode="External"/><Relationship Id="rId38" Type="http://schemas.openxmlformats.org/officeDocument/2006/relationships/hyperlink" Target="https://www.sciencedirect.com/science/article/abs/pii/S0961953403000333" TargetMode="External"/><Relationship Id="rId46" Type="http://schemas.openxmlformats.org/officeDocument/2006/relationships/hyperlink" Target="https://www.wood-database.com/pacific-silver-fir/" TargetMode="External"/><Relationship Id="rId59" Type="http://schemas.openxmlformats.org/officeDocument/2006/relationships/hyperlink" Target="https://www.wood-database.com/ponderosa-pine/" TargetMode="External"/><Relationship Id="rId67" Type="http://schemas.openxmlformats.org/officeDocument/2006/relationships/hyperlink" Target="https://www.wood-database.com/quaking-aspen/" TargetMode="External"/><Relationship Id="rId20" Type="http://schemas.openxmlformats.org/officeDocument/2006/relationships/hyperlink" Target="https://www.sciencedirect.com/science/article/abs/pii/S0961953403000333" TargetMode="External"/><Relationship Id="rId41" Type="http://schemas.openxmlformats.org/officeDocument/2006/relationships/hyperlink" Target="https://www.sciencedirect.com/science/article/abs/pii/S0961953403000333" TargetMode="External"/><Relationship Id="rId54" Type="http://schemas.openxmlformats.org/officeDocument/2006/relationships/hyperlink" Target="https://www.wood-database.com/white-ash/" TargetMode="External"/><Relationship Id="rId62" Type="http://schemas.openxmlformats.org/officeDocument/2006/relationships/hyperlink" Target="https://www.wood-database.com/?s=carya" TargetMode="External"/><Relationship Id="rId70" Type="http://schemas.openxmlformats.org/officeDocument/2006/relationships/hyperlink" Target="https://www.wood-database.com/white-spruce/" TargetMode="External"/><Relationship Id="rId75" Type="http://schemas.openxmlformats.org/officeDocument/2006/relationships/hyperlink" Target="https://www.wood-database.com/eastern-hemlock/" TargetMode="External"/><Relationship Id="rId1" Type="http://schemas.openxmlformats.org/officeDocument/2006/relationships/hyperlink" Target="https://opslagco2inhout.nl/motivatie" TargetMode="External"/><Relationship Id="rId6" Type="http://schemas.openxmlformats.org/officeDocument/2006/relationships/hyperlink" Target="https://www.sciencedirect.com/science/article/abs/pii/S0961953403000333" TargetMode="External"/><Relationship Id="rId15" Type="http://schemas.openxmlformats.org/officeDocument/2006/relationships/hyperlink" Target="https://www.sciencedirect.com/science/article/abs/pii/S0961953403000333" TargetMode="External"/><Relationship Id="rId23" Type="http://schemas.openxmlformats.org/officeDocument/2006/relationships/hyperlink" Target="https://www.sciencedirect.com/science/article/abs/pii/S0961953403000333" TargetMode="External"/><Relationship Id="rId28" Type="http://schemas.openxmlformats.org/officeDocument/2006/relationships/hyperlink" Target="https://www.sciencedirect.com/science/article/abs/pii/S0961953403000333" TargetMode="External"/><Relationship Id="rId36" Type="http://schemas.openxmlformats.org/officeDocument/2006/relationships/hyperlink" Target="https://www.sciencedirect.com/science/article/abs/pii/S0961953403000333" TargetMode="External"/><Relationship Id="rId49" Type="http://schemas.openxmlformats.org/officeDocument/2006/relationships/hyperlink" Target="https://www.wood-database.com/bigleaf-maple/" TargetMode="External"/><Relationship Id="rId57" Type="http://schemas.openxmlformats.org/officeDocument/2006/relationships/hyperlink" Target="https://www.wood-database.com/lodgepole-pine/" TargetMode="External"/><Relationship Id="rId10" Type="http://schemas.openxmlformats.org/officeDocument/2006/relationships/hyperlink" Target="https://www.sciencedirect.com/science/article/abs/pii/S0961953403000333" TargetMode="External"/><Relationship Id="rId31" Type="http://schemas.openxmlformats.org/officeDocument/2006/relationships/hyperlink" Target="https://www.sciencedirect.com/science/article/abs/pii/S0961953403000333" TargetMode="External"/><Relationship Id="rId44" Type="http://schemas.openxmlformats.org/officeDocument/2006/relationships/hyperlink" Target="https://www.wood-database.com/western-red-cedar/" TargetMode="External"/><Relationship Id="rId52" Type="http://schemas.openxmlformats.org/officeDocument/2006/relationships/hyperlink" Target="https://www.wood-database.com/red-alder/" TargetMode="External"/><Relationship Id="rId60" Type="http://schemas.openxmlformats.org/officeDocument/2006/relationships/hyperlink" Target="https://www.wood-database.com/red-pine/" TargetMode="External"/><Relationship Id="rId65" Type="http://schemas.openxmlformats.org/officeDocument/2006/relationships/hyperlink" Target="https://www.wood-database.com/sycamore/" TargetMode="External"/><Relationship Id="rId73" Type="http://schemas.openxmlformats.org/officeDocument/2006/relationships/hyperlink" Target="https://www.wood-database.com/butternut/" TargetMode="External"/><Relationship Id="rId78" Type="http://schemas.openxmlformats.org/officeDocument/2006/relationships/hyperlink" Target="https://www.wood-database.com/paper-birch/" TargetMode="External"/><Relationship Id="rId81" Type="http://schemas.openxmlformats.org/officeDocument/2006/relationships/printerSettings" Target="../printerSettings/printerSettings6.bin"/><Relationship Id="rId4" Type="http://schemas.openxmlformats.org/officeDocument/2006/relationships/hyperlink" Target="https://www.sciencedirect.com/science/article/abs/pii/S0961953403000333" TargetMode="External"/><Relationship Id="rId9" Type="http://schemas.openxmlformats.org/officeDocument/2006/relationships/hyperlink" Target="https://www.sciencedirect.com/science/article/abs/pii/S0961953403000333" TargetMode="External"/><Relationship Id="rId13" Type="http://schemas.openxmlformats.org/officeDocument/2006/relationships/hyperlink" Target="https://www.sciencedirect.com/science/article/abs/pii/S0961953403000333" TargetMode="External"/><Relationship Id="rId18" Type="http://schemas.openxmlformats.org/officeDocument/2006/relationships/hyperlink" Target="https://www.sciencedirect.com/science/article/abs/pii/S0961953403000333" TargetMode="External"/><Relationship Id="rId39" Type="http://schemas.openxmlformats.org/officeDocument/2006/relationships/hyperlink" Target="https://www.sciencedirect.com/science/article/abs/pii/S0961953403000333" TargetMode="External"/><Relationship Id="rId34" Type="http://schemas.openxmlformats.org/officeDocument/2006/relationships/hyperlink" Target="https://www.sciencedirect.com/science/article/abs/pii/S0961953403000333" TargetMode="External"/><Relationship Id="rId50" Type="http://schemas.openxmlformats.org/officeDocument/2006/relationships/hyperlink" Target="https://www.wood-database.com/hard-maple/" TargetMode="External"/><Relationship Id="rId55" Type="http://schemas.openxmlformats.org/officeDocument/2006/relationships/hyperlink" Target="https://www.wood-database.com/white-oak/" TargetMode="External"/><Relationship Id="rId76" Type="http://schemas.openxmlformats.org/officeDocument/2006/relationships/hyperlink" Target="https://www.wood-database.com/northern-white-cedar/" TargetMode="External"/><Relationship Id="rId7" Type="http://schemas.openxmlformats.org/officeDocument/2006/relationships/hyperlink" Target="https://www.sciencedirect.com/science/article/abs/pii/S0961953403000333" TargetMode="External"/><Relationship Id="rId71" Type="http://schemas.openxmlformats.org/officeDocument/2006/relationships/hyperlink" Target="https://www.wood-database.com/?s=salix" TargetMode="External"/><Relationship Id="rId2" Type="http://schemas.openxmlformats.org/officeDocument/2006/relationships/hyperlink" Target="https://www.houtinfo.nl/node/190" TargetMode="External"/><Relationship Id="rId29" Type="http://schemas.openxmlformats.org/officeDocument/2006/relationships/hyperlink" Target="https://www.sciencedirect.com/science/article/abs/pii/S0961953403000333" TargetMode="External"/><Relationship Id="rId24" Type="http://schemas.openxmlformats.org/officeDocument/2006/relationships/hyperlink" Target="https://www.sciencedirect.com/science/article/abs/pii/S0961953403000333" TargetMode="External"/><Relationship Id="rId40" Type="http://schemas.openxmlformats.org/officeDocument/2006/relationships/hyperlink" Target="https://www.sciencedirect.com/science/article/abs/pii/S0961953403000333" TargetMode="External"/><Relationship Id="rId45" Type="http://schemas.openxmlformats.org/officeDocument/2006/relationships/hyperlink" Target="https://www.wood-database.com/alaskan-yellow-cedar/" TargetMode="External"/><Relationship Id="rId66" Type="http://schemas.openxmlformats.org/officeDocument/2006/relationships/hyperlink" Target="https://www.wood-database.com/black-cottonwood/"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20326-C3AA-4A79-B1AE-6D2F9AA2A4C5}">
  <dimension ref="A1:W48"/>
  <sheetViews>
    <sheetView topLeftCell="A4" workbookViewId="0">
      <selection activeCell="D1" sqref="D1:W48"/>
    </sheetView>
  </sheetViews>
  <sheetFormatPr defaultRowHeight="15" x14ac:dyDescent="0.25"/>
  <cols>
    <col min="1" max="1" width="10.5703125" style="99" customWidth="1"/>
    <col min="2" max="16384" width="9.140625" style="99"/>
  </cols>
  <sheetData>
    <row r="1" spans="1:23" x14ac:dyDescent="0.25">
      <c r="A1" s="99" t="s">
        <v>341</v>
      </c>
      <c r="D1" s="115" t="s">
        <v>362</v>
      </c>
      <c r="E1" s="115"/>
      <c r="F1" s="115"/>
      <c r="G1" s="115"/>
      <c r="H1" s="115"/>
      <c r="I1" s="115"/>
      <c r="J1" s="115"/>
      <c r="K1" s="115"/>
      <c r="L1" s="115"/>
      <c r="M1" s="115"/>
      <c r="N1" s="115"/>
      <c r="O1" s="115"/>
      <c r="P1" s="115"/>
      <c r="Q1" s="115"/>
      <c r="R1" s="115"/>
      <c r="S1" s="115"/>
      <c r="T1" s="115"/>
      <c r="U1" s="115"/>
      <c r="V1" s="115"/>
      <c r="W1" s="115"/>
    </row>
    <row r="2" spans="1:23" x14ac:dyDescent="0.25">
      <c r="A2" s="80" t="s">
        <v>337</v>
      </c>
      <c r="B2" s="99" t="s">
        <v>338</v>
      </c>
      <c r="D2" s="115"/>
      <c r="E2" s="115"/>
      <c r="F2" s="115"/>
      <c r="G2" s="115"/>
      <c r="H2" s="115"/>
      <c r="I2" s="115"/>
      <c r="J2" s="115"/>
      <c r="K2" s="115"/>
      <c r="L2" s="115"/>
      <c r="M2" s="115"/>
      <c r="N2" s="115"/>
      <c r="O2" s="115"/>
      <c r="P2" s="115"/>
      <c r="Q2" s="115"/>
      <c r="R2" s="115"/>
      <c r="S2" s="115"/>
      <c r="T2" s="115"/>
      <c r="U2" s="115"/>
      <c r="V2" s="115"/>
      <c r="W2" s="115"/>
    </row>
    <row r="3" spans="1:23" x14ac:dyDescent="0.25">
      <c r="A3" s="5">
        <v>123</v>
      </c>
      <c r="B3" s="99" t="s">
        <v>54</v>
      </c>
      <c r="D3" s="115"/>
      <c r="E3" s="115"/>
      <c r="F3" s="115"/>
      <c r="G3" s="115"/>
      <c r="H3" s="115"/>
      <c r="I3" s="115"/>
      <c r="J3" s="115"/>
      <c r="K3" s="115"/>
      <c r="L3" s="115"/>
      <c r="M3" s="115"/>
      <c r="N3" s="115"/>
      <c r="O3" s="115"/>
      <c r="P3" s="115"/>
      <c r="Q3" s="115"/>
      <c r="R3" s="115"/>
      <c r="S3" s="115"/>
      <c r="T3" s="115"/>
      <c r="U3" s="115"/>
      <c r="V3" s="115"/>
      <c r="W3" s="115"/>
    </row>
    <row r="4" spans="1:23" x14ac:dyDescent="0.25">
      <c r="A4" s="40">
        <v>123</v>
      </c>
      <c r="B4" s="99" t="s">
        <v>259</v>
      </c>
      <c r="D4" s="115"/>
      <c r="E4" s="115"/>
      <c r="F4" s="115"/>
      <c r="G4" s="115"/>
      <c r="H4" s="115"/>
      <c r="I4" s="115"/>
      <c r="J4" s="115"/>
      <c r="K4" s="115"/>
      <c r="L4" s="115"/>
      <c r="M4" s="115"/>
      <c r="N4" s="115"/>
      <c r="O4" s="115"/>
      <c r="P4" s="115"/>
      <c r="Q4" s="115"/>
      <c r="R4" s="115"/>
      <c r="S4" s="115"/>
      <c r="T4" s="115"/>
      <c r="U4" s="115"/>
      <c r="V4" s="115"/>
      <c r="W4" s="115"/>
    </row>
    <row r="5" spans="1:23" x14ac:dyDescent="0.25">
      <c r="A5" s="82" t="s">
        <v>337</v>
      </c>
      <c r="B5" s="99" t="s">
        <v>74</v>
      </c>
      <c r="D5" s="115"/>
      <c r="E5" s="115"/>
      <c r="F5" s="115"/>
      <c r="G5" s="115"/>
      <c r="H5" s="115"/>
      <c r="I5" s="115"/>
      <c r="J5" s="115"/>
      <c r="K5" s="115"/>
      <c r="L5" s="115"/>
      <c r="M5" s="115"/>
      <c r="N5" s="115"/>
      <c r="O5" s="115"/>
      <c r="P5" s="115"/>
      <c r="Q5" s="115"/>
      <c r="R5" s="115"/>
      <c r="S5" s="115"/>
      <c r="T5" s="115"/>
      <c r="U5" s="115"/>
      <c r="V5" s="115"/>
      <c r="W5" s="115"/>
    </row>
    <row r="6" spans="1:23" s="102" customFormat="1" x14ac:dyDescent="0.25">
      <c r="A6" s="81" t="s">
        <v>340</v>
      </c>
      <c r="B6" s="99" t="s">
        <v>339</v>
      </c>
      <c r="C6" s="101"/>
      <c r="D6" s="115"/>
      <c r="E6" s="115"/>
      <c r="F6" s="115"/>
      <c r="G6" s="115"/>
      <c r="H6" s="115"/>
      <c r="I6" s="115"/>
      <c r="J6" s="115"/>
      <c r="K6" s="115"/>
      <c r="L6" s="115"/>
      <c r="M6" s="115"/>
      <c r="N6" s="115"/>
      <c r="O6" s="115"/>
      <c r="P6" s="115"/>
      <c r="Q6" s="115"/>
      <c r="R6" s="115"/>
      <c r="S6" s="115"/>
      <c r="T6" s="115"/>
      <c r="U6" s="115"/>
      <c r="V6" s="115"/>
      <c r="W6" s="115"/>
    </row>
    <row r="7" spans="1:23" x14ac:dyDescent="0.25">
      <c r="D7" s="115"/>
      <c r="E7" s="115"/>
      <c r="F7" s="115"/>
      <c r="G7" s="115"/>
      <c r="H7" s="115"/>
      <c r="I7" s="115"/>
      <c r="J7" s="115"/>
      <c r="K7" s="115"/>
      <c r="L7" s="115"/>
      <c r="M7" s="115"/>
      <c r="N7" s="115"/>
      <c r="O7" s="115"/>
      <c r="P7" s="115"/>
      <c r="Q7" s="115"/>
      <c r="R7" s="115"/>
      <c r="S7" s="115"/>
      <c r="T7" s="115"/>
      <c r="U7" s="115"/>
      <c r="V7" s="115"/>
      <c r="W7" s="115"/>
    </row>
    <row r="8" spans="1:23" x14ac:dyDescent="0.25">
      <c r="A8" s="99" t="s">
        <v>343</v>
      </c>
      <c r="D8" s="115"/>
      <c r="E8" s="115"/>
      <c r="F8" s="115"/>
      <c r="G8" s="115"/>
      <c r="H8" s="115"/>
      <c r="I8" s="115"/>
      <c r="J8" s="115"/>
      <c r="K8" s="115"/>
      <c r="L8" s="115"/>
      <c r="M8" s="115"/>
      <c r="N8" s="115"/>
      <c r="O8" s="115"/>
      <c r="P8" s="115"/>
      <c r="Q8" s="115"/>
      <c r="R8" s="115"/>
      <c r="S8" s="115"/>
      <c r="T8" s="115"/>
      <c r="U8" s="115"/>
      <c r="V8" s="115"/>
      <c r="W8" s="115"/>
    </row>
    <row r="9" spans="1:23" x14ac:dyDescent="0.25">
      <c r="A9" s="100" t="s">
        <v>249</v>
      </c>
      <c r="D9" s="115"/>
      <c r="E9" s="115"/>
      <c r="F9" s="115"/>
      <c r="G9" s="115"/>
      <c r="H9" s="115"/>
      <c r="I9" s="115"/>
      <c r="J9" s="115"/>
      <c r="K9" s="115"/>
      <c r="L9" s="115"/>
      <c r="M9" s="115"/>
      <c r="N9" s="115"/>
      <c r="O9" s="115"/>
      <c r="P9" s="115"/>
      <c r="Q9" s="115"/>
      <c r="R9" s="115"/>
      <c r="S9" s="115"/>
      <c r="T9" s="115"/>
      <c r="U9" s="115"/>
      <c r="V9" s="115"/>
      <c r="W9" s="115"/>
    </row>
    <row r="10" spans="1:23" x14ac:dyDescent="0.25">
      <c r="A10" s="100" t="s">
        <v>342</v>
      </c>
      <c r="D10" s="115"/>
      <c r="E10" s="115"/>
      <c r="F10" s="115"/>
      <c r="G10" s="115"/>
      <c r="H10" s="115"/>
      <c r="I10" s="115"/>
      <c r="J10" s="115"/>
      <c r="K10" s="115"/>
      <c r="L10" s="115"/>
      <c r="M10" s="115"/>
      <c r="N10" s="115"/>
      <c r="O10" s="115"/>
      <c r="P10" s="115"/>
      <c r="Q10" s="115"/>
      <c r="R10" s="115"/>
      <c r="S10" s="115"/>
      <c r="T10" s="115"/>
      <c r="U10" s="115"/>
      <c r="V10" s="115"/>
      <c r="W10" s="115"/>
    </row>
    <row r="11" spans="1:23" x14ac:dyDescent="0.25">
      <c r="D11" s="115"/>
      <c r="E11" s="115"/>
      <c r="F11" s="115"/>
      <c r="G11" s="115"/>
      <c r="H11" s="115"/>
      <c r="I11" s="115"/>
      <c r="J11" s="115"/>
      <c r="K11" s="115"/>
      <c r="L11" s="115"/>
      <c r="M11" s="115"/>
      <c r="N11" s="115"/>
      <c r="O11" s="115"/>
      <c r="P11" s="115"/>
      <c r="Q11" s="115"/>
      <c r="R11" s="115"/>
      <c r="S11" s="115"/>
      <c r="T11" s="115"/>
      <c r="U11" s="115"/>
      <c r="V11" s="115"/>
      <c r="W11" s="115"/>
    </row>
    <row r="12" spans="1:23" x14ac:dyDescent="0.25">
      <c r="D12" s="115"/>
      <c r="E12" s="115"/>
      <c r="F12" s="115"/>
      <c r="G12" s="115"/>
      <c r="H12" s="115"/>
      <c r="I12" s="115"/>
      <c r="J12" s="115"/>
      <c r="K12" s="115"/>
      <c r="L12" s="115"/>
      <c r="M12" s="115"/>
      <c r="N12" s="115"/>
      <c r="O12" s="115"/>
      <c r="P12" s="115"/>
      <c r="Q12" s="115"/>
      <c r="R12" s="115"/>
      <c r="S12" s="115"/>
      <c r="T12" s="115"/>
      <c r="U12" s="115"/>
      <c r="V12" s="115"/>
      <c r="W12" s="115"/>
    </row>
    <row r="13" spans="1:23" x14ac:dyDescent="0.25">
      <c r="D13" s="115"/>
      <c r="E13" s="115"/>
      <c r="F13" s="115"/>
      <c r="G13" s="115"/>
      <c r="H13" s="115"/>
      <c r="I13" s="115"/>
      <c r="J13" s="115"/>
      <c r="K13" s="115"/>
      <c r="L13" s="115"/>
      <c r="M13" s="115"/>
      <c r="N13" s="115"/>
      <c r="O13" s="115"/>
      <c r="P13" s="115"/>
      <c r="Q13" s="115"/>
      <c r="R13" s="115"/>
      <c r="S13" s="115"/>
      <c r="T13" s="115"/>
      <c r="U13" s="115"/>
      <c r="V13" s="115"/>
      <c r="W13" s="115"/>
    </row>
    <row r="14" spans="1:23" x14ac:dyDescent="0.25">
      <c r="D14" s="115"/>
      <c r="E14" s="115"/>
      <c r="F14" s="115"/>
      <c r="G14" s="115"/>
      <c r="H14" s="115"/>
      <c r="I14" s="115"/>
      <c r="J14" s="115"/>
      <c r="K14" s="115"/>
      <c r="L14" s="115"/>
      <c r="M14" s="115"/>
      <c r="N14" s="115"/>
      <c r="O14" s="115"/>
      <c r="P14" s="115"/>
      <c r="Q14" s="115"/>
      <c r="R14" s="115"/>
      <c r="S14" s="115"/>
      <c r="T14" s="115"/>
      <c r="U14" s="115"/>
      <c r="V14" s="115"/>
      <c r="W14" s="115"/>
    </row>
    <row r="15" spans="1:23" x14ac:dyDescent="0.25">
      <c r="D15" s="115"/>
      <c r="E15" s="115"/>
      <c r="F15" s="115"/>
      <c r="G15" s="115"/>
      <c r="H15" s="115"/>
      <c r="I15" s="115"/>
      <c r="J15" s="115"/>
      <c r="K15" s="115"/>
      <c r="L15" s="115"/>
      <c r="M15" s="115"/>
      <c r="N15" s="115"/>
      <c r="O15" s="115"/>
      <c r="P15" s="115"/>
      <c r="Q15" s="115"/>
      <c r="R15" s="115"/>
      <c r="S15" s="115"/>
      <c r="T15" s="115"/>
      <c r="U15" s="115"/>
      <c r="V15" s="115"/>
      <c r="W15" s="115"/>
    </row>
    <row r="16" spans="1:23" x14ac:dyDescent="0.25">
      <c r="D16" s="115"/>
      <c r="E16" s="115"/>
      <c r="F16" s="115"/>
      <c r="G16" s="115"/>
      <c r="H16" s="115"/>
      <c r="I16" s="115"/>
      <c r="J16" s="115"/>
      <c r="K16" s="115"/>
      <c r="L16" s="115"/>
      <c r="M16" s="115"/>
      <c r="N16" s="115"/>
      <c r="O16" s="115"/>
      <c r="P16" s="115"/>
      <c r="Q16" s="115"/>
      <c r="R16" s="115"/>
      <c r="S16" s="115"/>
      <c r="T16" s="115"/>
      <c r="U16" s="115"/>
      <c r="V16" s="115"/>
      <c r="W16" s="115"/>
    </row>
    <row r="17" spans="4:23" x14ac:dyDescent="0.25">
      <c r="D17" s="115"/>
      <c r="E17" s="115"/>
      <c r="F17" s="115"/>
      <c r="G17" s="115"/>
      <c r="H17" s="115"/>
      <c r="I17" s="115"/>
      <c r="J17" s="115"/>
      <c r="K17" s="115"/>
      <c r="L17" s="115"/>
      <c r="M17" s="115"/>
      <c r="N17" s="115"/>
      <c r="O17" s="115"/>
      <c r="P17" s="115"/>
      <c r="Q17" s="115"/>
      <c r="R17" s="115"/>
      <c r="S17" s="115"/>
      <c r="T17" s="115"/>
      <c r="U17" s="115"/>
      <c r="V17" s="115"/>
      <c r="W17" s="115"/>
    </row>
    <row r="18" spans="4:23" x14ac:dyDescent="0.25">
      <c r="D18" s="115"/>
      <c r="E18" s="115"/>
      <c r="F18" s="115"/>
      <c r="G18" s="115"/>
      <c r="H18" s="115"/>
      <c r="I18" s="115"/>
      <c r="J18" s="115"/>
      <c r="K18" s="115"/>
      <c r="L18" s="115"/>
      <c r="M18" s="115"/>
      <c r="N18" s="115"/>
      <c r="O18" s="115"/>
      <c r="P18" s="115"/>
      <c r="Q18" s="115"/>
      <c r="R18" s="115"/>
      <c r="S18" s="115"/>
      <c r="T18" s="115"/>
      <c r="U18" s="115"/>
      <c r="V18" s="115"/>
      <c r="W18" s="115"/>
    </row>
    <row r="19" spans="4:23" x14ac:dyDescent="0.25">
      <c r="D19" s="115"/>
      <c r="E19" s="115"/>
      <c r="F19" s="115"/>
      <c r="G19" s="115"/>
      <c r="H19" s="115"/>
      <c r="I19" s="115"/>
      <c r="J19" s="115"/>
      <c r="K19" s="115"/>
      <c r="L19" s="115"/>
      <c r="M19" s="115"/>
      <c r="N19" s="115"/>
      <c r="O19" s="115"/>
      <c r="P19" s="115"/>
      <c r="Q19" s="115"/>
      <c r="R19" s="115"/>
      <c r="S19" s="115"/>
      <c r="T19" s="115"/>
      <c r="U19" s="115"/>
      <c r="V19" s="115"/>
      <c r="W19" s="115"/>
    </row>
    <row r="20" spans="4:23" x14ac:dyDescent="0.25">
      <c r="D20" s="115"/>
      <c r="E20" s="115"/>
      <c r="F20" s="115"/>
      <c r="G20" s="115"/>
      <c r="H20" s="115"/>
      <c r="I20" s="115"/>
      <c r="J20" s="115"/>
      <c r="K20" s="115"/>
      <c r="L20" s="115"/>
      <c r="M20" s="115"/>
      <c r="N20" s="115"/>
      <c r="O20" s="115"/>
      <c r="P20" s="115"/>
      <c r="Q20" s="115"/>
      <c r="R20" s="115"/>
      <c r="S20" s="115"/>
      <c r="T20" s="115"/>
      <c r="U20" s="115"/>
      <c r="V20" s="115"/>
      <c r="W20" s="115"/>
    </row>
    <row r="21" spans="4:23" x14ac:dyDescent="0.25">
      <c r="D21" s="115"/>
      <c r="E21" s="115"/>
      <c r="F21" s="115"/>
      <c r="G21" s="115"/>
      <c r="H21" s="115"/>
      <c r="I21" s="115"/>
      <c r="J21" s="115"/>
      <c r="K21" s="115"/>
      <c r="L21" s="115"/>
      <c r="M21" s="115"/>
      <c r="N21" s="115"/>
      <c r="O21" s="115"/>
      <c r="P21" s="115"/>
      <c r="Q21" s="115"/>
      <c r="R21" s="115"/>
      <c r="S21" s="115"/>
      <c r="T21" s="115"/>
      <c r="U21" s="115"/>
      <c r="V21" s="115"/>
      <c r="W21" s="115"/>
    </row>
    <row r="22" spans="4:23" x14ac:dyDescent="0.25">
      <c r="D22" s="115"/>
      <c r="E22" s="115"/>
      <c r="F22" s="115"/>
      <c r="G22" s="115"/>
      <c r="H22" s="115"/>
      <c r="I22" s="115"/>
      <c r="J22" s="115"/>
      <c r="K22" s="115"/>
      <c r="L22" s="115"/>
      <c r="M22" s="115"/>
      <c r="N22" s="115"/>
      <c r="O22" s="115"/>
      <c r="P22" s="115"/>
      <c r="Q22" s="115"/>
      <c r="R22" s="115"/>
      <c r="S22" s="115"/>
      <c r="T22" s="115"/>
      <c r="U22" s="115"/>
      <c r="V22" s="115"/>
      <c r="W22" s="115"/>
    </row>
    <row r="23" spans="4:23" x14ac:dyDescent="0.25">
      <c r="D23" s="115"/>
      <c r="E23" s="115"/>
      <c r="F23" s="115"/>
      <c r="G23" s="115"/>
      <c r="H23" s="115"/>
      <c r="I23" s="115"/>
      <c r="J23" s="115"/>
      <c r="K23" s="115"/>
      <c r="L23" s="115"/>
      <c r="M23" s="115"/>
      <c r="N23" s="115"/>
      <c r="O23" s="115"/>
      <c r="P23" s="115"/>
      <c r="Q23" s="115"/>
      <c r="R23" s="115"/>
      <c r="S23" s="115"/>
      <c r="T23" s="115"/>
      <c r="U23" s="115"/>
      <c r="V23" s="115"/>
      <c r="W23" s="115"/>
    </row>
    <row r="24" spans="4:23" x14ac:dyDescent="0.25">
      <c r="D24" s="115"/>
      <c r="E24" s="115"/>
      <c r="F24" s="115"/>
      <c r="G24" s="115"/>
      <c r="H24" s="115"/>
      <c r="I24" s="115"/>
      <c r="J24" s="115"/>
      <c r="K24" s="115"/>
      <c r="L24" s="115"/>
      <c r="M24" s="115"/>
      <c r="N24" s="115"/>
      <c r="O24" s="115"/>
      <c r="P24" s="115"/>
      <c r="Q24" s="115"/>
      <c r="R24" s="115"/>
      <c r="S24" s="115"/>
      <c r="T24" s="115"/>
      <c r="U24" s="115"/>
      <c r="V24" s="115"/>
      <c r="W24" s="115"/>
    </row>
    <row r="25" spans="4:23" x14ac:dyDescent="0.25">
      <c r="D25" s="115"/>
      <c r="E25" s="115"/>
      <c r="F25" s="115"/>
      <c r="G25" s="115"/>
      <c r="H25" s="115"/>
      <c r="I25" s="115"/>
      <c r="J25" s="115"/>
      <c r="K25" s="115"/>
      <c r="L25" s="115"/>
      <c r="M25" s="115"/>
      <c r="N25" s="115"/>
      <c r="O25" s="115"/>
      <c r="P25" s="115"/>
      <c r="Q25" s="115"/>
      <c r="R25" s="115"/>
      <c r="S25" s="115"/>
      <c r="T25" s="115"/>
      <c r="U25" s="115"/>
      <c r="V25" s="115"/>
      <c r="W25" s="115"/>
    </row>
    <row r="26" spans="4:23" x14ac:dyDescent="0.25">
      <c r="D26" s="115"/>
      <c r="E26" s="115"/>
      <c r="F26" s="115"/>
      <c r="G26" s="115"/>
      <c r="H26" s="115"/>
      <c r="I26" s="115"/>
      <c r="J26" s="115"/>
      <c r="K26" s="115"/>
      <c r="L26" s="115"/>
      <c r="M26" s="115"/>
      <c r="N26" s="115"/>
      <c r="O26" s="115"/>
      <c r="P26" s="115"/>
      <c r="Q26" s="115"/>
      <c r="R26" s="115"/>
      <c r="S26" s="115"/>
      <c r="T26" s="115"/>
      <c r="U26" s="115"/>
      <c r="V26" s="115"/>
      <c r="W26" s="115"/>
    </row>
    <row r="27" spans="4:23" x14ac:dyDescent="0.25">
      <c r="D27" s="115"/>
      <c r="E27" s="115"/>
      <c r="F27" s="115"/>
      <c r="G27" s="115"/>
      <c r="H27" s="115"/>
      <c r="I27" s="115"/>
      <c r="J27" s="115"/>
      <c r="K27" s="115"/>
      <c r="L27" s="115"/>
      <c r="M27" s="115"/>
      <c r="N27" s="115"/>
      <c r="O27" s="115"/>
      <c r="P27" s="115"/>
      <c r="Q27" s="115"/>
      <c r="R27" s="115"/>
      <c r="S27" s="115"/>
      <c r="T27" s="115"/>
      <c r="U27" s="115"/>
      <c r="V27" s="115"/>
      <c r="W27" s="115"/>
    </row>
    <row r="28" spans="4:23" x14ac:dyDescent="0.25">
      <c r="D28" s="115"/>
      <c r="E28" s="115"/>
      <c r="F28" s="115"/>
      <c r="G28" s="115"/>
      <c r="H28" s="115"/>
      <c r="I28" s="115"/>
      <c r="J28" s="115"/>
      <c r="K28" s="115"/>
      <c r="L28" s="115"/>
      <c r="M28" s="115"/>
      <c r="N28" s="115"/>
      <c r="O28" s="115"/>
      <c r="P28" s="115"/>
      <c r="Q28" s="115"/>
      <c r="R28" s="115"/>
      <c r="S28" s="115"/>
      <c r="T28" s="115"/>
      <c r="U28" s="115"/>
      <c r="V28" s="115"/>
      <c r="W28" s="115"/>
    </row>
    <row r="29" spans="4:23" x14ac:dyDescent="0.25">
      <c r="D29" s="115"/>
      <c r="E29" s="115"/>
      <c r="F29" s="115"/>
      <c r="G29" s="115"/>
      <c r="H29" s="115"/>
      <c r="I29" s="115"/>
      <c r="J29" s="115"/>
      <c r="K29" s="115"/>
      <c r="L29" s="115"/>
      <c r="M29" s="115"/>
      <c r="N29" s="115"/>
      <c r="O29" s="115"/>
      <c r="P29" s="115"/>
      <c r="Q29" s="115"/>
      <c r="R29" s="115"/>
      <c r="S29" s="115"/>
      <c r="T29" s="115"/>
      <c r="U29" s="115"/>
      <c r="V29" s="115"/>
      <c r="W29" s="115"/>
    </row>
    <row r="30" spans="4:23" x14ac:dyDescent="0.25">
      <c r="D30" s="115"/>
      <c r="E30" s="115"/>
      <c r="F30" s="115"/>
      <c r="G30" s="115"/>
      <c r="H30" s="115"/>
      <c r="I30" s="115"/>
      <c r="J30" s="115"/>
      <c r="K30" s="115"/>
      <c r="L30" s="115"/>
      <c r="M30" s="115"/>
      <c r="N30" s="115"/>
      <c r="O30" s="115"/>
      <c r="P30" s="115"/>
      <c r="Q30" s="115"/>
      <c r="R30" s="115"/>
      <c r="S30" s="115"/>
      <c r="T30" s="115"/>
      <c r="U30" s="115"/>
      <c r="V30" s="115"/>
      <c r="W30" s="115"/>
    </row>
    <row r="31" spans="4:23" x14ac:dyDescent="0.25">
      <c r="D31" s="115"/>
      <c r="E31" s="115"/>
      <c r="F31" s="115"/>
      <c r="G31" s="115"/>
      <c r="H31" s="115"/>
      <c r="I31" s="115"/>
      <c r="J31" s="115"/>
      <c r="K31" s="115"/>
      <c r="L31" s="115"/>
      <c r="M31" s="115"/>
      <c r="N31" s="115"/>
      <c r="O31" s="115"/>
      <c r="P31" s="115"/>
      <c r="Q31" s="115"/>
      <c r="R31" s="115"/>
      <c r="S31" s="115"/>
      <c r="T31" s="115"/>
      <c r="U31" s="115"/>
      <c r="V31" s="115"/>
      <c r="W31" s="115"/>
    </row>
    <row r="32" spans="4:23" x14ac:dyDescent="0.25">
      <c r="D32" s="115"/>
      <c r="E32" s="115"/>
      <c r="F32" s="115"/>
      <c r="G32" s="115"/>
      <c r="H32" s="115"/>
      <c r="I32" s="115"/>
      <c r="J32" s="115"/>
      <c r="K32" s="115"/>
      <c r="L32" s="115"/>
      <c r="M32" s="115"/>
      <c r="N32" s="115"/>
      <c r="O32" s="115"/>
      <c r="P32" s="115"/>
      <c r="Q32" s="115"/>
      <c r="R32" s="115"/>
      <c r="S32" s="115"/>
      <c r="T32" s="115"/>
      <c r="U32" s="115"/>
      <c r="V32" s="115"/>
      <c r="W32" s="115"/>
    </row>
    <row r="33" spans="4:23" x14ac:dyDescent="0.25">
      <c r="D33" s="115"/>
      <c r="E33" s="115"/>
      <c r="F33" s="115"/>
      <c r="G33" s="115"/>
      <c r="H33" s="115"/>
      <c r="I33" s="115"/>
      <c r="J33" s="115"/>
      <c r="K33" s="115"/>
      <c r="L33" s="115"/>
      <c r="M33" s="115"/>
      <c r="N33" s="115"/>
      <c r="O33" s="115"/>
      <c r="P33" s="115"/>
      <c r="Q33" s="115"/>
      <c r="R33" s="115"/>
      <c r="S33" s="115"/>
      <c r="T33" s="115"/>
      <c r="U33" s="115"/>
      <c r="V33" s="115"/>
      <c r="W33" s="115"/>
    </row>
    <row r="34" spans="4:23" x14ac:dyDescent="0.25">
      <c r="D34" s="115"/>
      <c r="E34" s="115"/>
      <c r="F34" s="115"/>
      <c r="G34" s="115"/>
      <c r="H34" s="115"/>
      <c r="I34" s="115"/>
      <c r="J34" s="115"/>
      <c r="K34" s="115"/>
      <c r="L34" s="115"/>
      <c r="M34" s="115"/>
      <c r="N34" s="115"/>
      <c r="O34" s="115"/>
      <c r="P34" s="115"/>
      <c r="Q34" s="115"/>
      <c r="R34" s="115"/>
      <c r="S34" s="115"/>
      <c r="T34" s="115"/>
      <c r="U34" s="115"/>
      <c r="V34" s="115"/>
      <c r="W34" s="115"/>
    </row>
    <row r="35" spans="4:23" x14ac:dyDescent="0.25">
      <c r="D35" s="115"/>
      <c r="E35" s="115"/>
      <c r="F35" s="115"/>
      <c r="G35" s="115"/>
      <c r="H35" s="115"/>
      <c r="I35" s="115"/>
      <c r="J35" s="115"/>
      <c r="K35" s="115"/>
      <c r="L35" s="115"/>
      <c r="M35" s="115"/>
      <c r="N35" s="115"/>
      <c r="O35" s="115"/>
      <c r="P35" s="115"/>
      <c r="Q35" s="115"/>
      <c r="R35" s="115"/>
      <c r="S35" s="115"/>
      <c r="T35" s="115"/>
      <c r="U35" s="115"/>
      <c r="V35" s="115"/>
      <c r="W35" s="115"/>
    </row>
    <row r="36" spans="4:23" x14ac:dyDescent="0.25">
      <c r="D36" s="115"/>
      <c r="E36" s="115"/>
      <c r="F36" s="115"/>
      <c r="G36" s="115"/>
      <c r="H36" s="115"/>
      <c r="I36" s="115"/>
      <c r="J36" s="115"/>
      <c r="K36" s="115"/>
      <c r="L36" s="115"/>
      <c r="M36" s="115"/>
      <c r="N36" s="115"/>
      <c r="O36" s="115"/>
      <c r="P36" s="115"/>
      <c r="Q36" s="115"/>
      <c r="R36" s="115"/>
      <c r="S36" s="115"/>
      <c r="T36" s="115"/>
      <c r="U36" s="115"/>
      <c r="V36" s="115"/>
      <c r="W36" s="115"/>
    </row>
    <row r="37" spans="4:23" x14ac:dyDescent="0.25">
      <c r="D37" s="115"/>
      <c r="E37" s="115"/>
      <c r="F37" s="115"/>
      <c r="G37" s="115"/>
      <c r="H37" s="115"/>
      <c r="I37" s="115"/>
      <c r="J37" s="115"/>
      <c r="K37" s="115"/>
      <c r="L37" s="115"/>
      <c r="M37" s="115"/>
      <c r="N37" s="115"/>
      <c r="O37" s="115"/>
      <c r="P37" s="115"/>
      <c r="Q37" s="115"/>
      <c r="R37" s="115"/>
      <c r="S37" s="115"/>
      <c r="T37" s="115"/>
      <c r="U37" s="115"/>
      <c r="V37" s="115"/>
      <c r="W37" s="115"/>
    </row>
    <row r="38" spans="4:23" x14ac:dyDescent="0.25">
      <c r="D38" s="115"/>
      <c r="E38" s="115"/>
      <c r="F38" s="115"/>
      <c r="G38" s="115"/>
      <c r="H38" s="115"/>
      <c r="I38" s="115"/>
      <c r="J38" s="115"/>
      <c r="K38" s="115"/>
      <c r="L38" s="115"/>
      <c r="M38" s="115"/>
      <c r="N38" s="115"/>
      <c r="O38" s="115"/>
      <c r="P38" s="115"/>
      <c r="Q38" s="115"/>
      <c r="R38" s="115"/>
      <c r="S38" s="115"/>
      <c r="T38" s="115"/>
      <c r="U38" s="115"/>
      <c r="V38" s="115"/>
      <c r="W38" s="115"/>
    </row>
    <row r="39" spans="4:23" x14ac:dyDescent="0.25">
      <c r="D39" s="115"/>
      <c r="E39" s="115"/>
      <c r="F39" s="115"/>
      <c r="G39" s="115"/>
      <c r="H39" s="115"/>
      <c r="I39" s="115"/>
      <c r="J39" s="115"/>
      <c r="K39" s="115"/>
      <c r="L39" s="115"/>
      <c r="M39" s="115"/>
      <c r="N39" s="115"/>
      <c r="O39" s="115"/>
      <c r="P39" s="115"/>
      <c r="Q39" s="115"/>
      <c r="R39" s="115"/>
      <c r="S39" s="115"/>
      <c r="T39" s="115"/>
      <c r="U39" s="115"/>
      <c r="V39" s="115"/>
      <c r="W39" s="115"/>
    </row>
    <row r="40" spans="4:23" x14ac:dyDescent="0.25">
      <c r="D40" s="115"/>
      <c r="E40" s="115"/>
      <c r="F40" s="115"/>
      <c r="G40" s="115"/>
      <c r="H40" s="115"/>
      <c r="I40" s="115"/>
      <c r="J40" s="115"/>
      <c r="K40" s="115"/>
      <c r="L40" s="115"/>
      <c r="M40" s="115"/>
      <c r="N40" s="115"/>
      <c r="O40" s="115"/>
      <c r="P40" s="115"/>
      <c r="Q40" s="115"/>
      <c r="R40" s="115"/>
      <c r="S40" s="115"/>
      <c r="T40" s="115"/>
      <c r="U40" s="115"/>
      <c r="V40" s="115"/>
      <c r="W40" s="115"/>
    </row>
    <row r="41" spans="4:23" x14ac:dyDescent="0.25">
      <c r="D41" s="115"/>
      <c r="E41" s="115"/>
      <c r="F41" s="115"/>
      <c r="G41" s="115"/>
      <c r="H41" s="115"/>
      <c r="I41" s="115"/>
      <c r="J41" s="115"/>
      <c r="K41" s="115"/>
      <c r="L41" s="115"/>
      <c r="M41" s="115"/>
      <c r="N41" s="115"/>
      <c r="O41" s="115"/>
      <c r="P41" s="115"/>
      <c r="Q41" s="115"/>
      <c r="R41" s="115"/>
      <c r="S41" s="115"/>
      <c r="T41" s="115"/>
      <c r="U41" s="115"/>
      <c r="V41" s="115"/>
      <c r="W41" s="115"/>
    </row>
    <row r="42" spans="4:23" x14ac:dyDescent="0.25">
      <c r="D42" s="115"/>
      <c r="E42" s="115"/>
      <c r="F42" s="115"/>
      <c r="G42" s="115"/>
      <c r="H42" s="115"/>
      <c r="I42" s="115"/>
      <c r="J42" s="115"/>
      <c r="K42" s="115"/>
      <c r="L42" s="115"/>
      <c r="M42" s="115"/>
      <c r="N42" s="115"/>
      <c r="O42" s="115"/>
      <c r="P42" s="115"/>
      <c r="Q42" s="115"/>
      <c r="R42" s="115"/>
      <c r="S42" s="115"/>
      <c r="T42" s="115"/>
      <c r="U42" s="115"/>
      <c r="V42" s="115"/>
      <c r="W42" s="115"/>
    </row>
    <row r="43" spans="4:23" x14ac:dyDescent="0.25">
      <c r="D43" s="115"/>
      <c r="E43" s="115"/>
      <c r="F43" s="115"/>
      <c r="G43" s="115"/>
      <c r="H43" s="115"/>
      <c r="I43" s="115"/>
      <c r="J43" s="115"/>
      <c r="K43" s="115"/>
      <c r="L43" s="115"/>
      <c r="M43" s="115"/>
      <c r="N43" s="115"/>
      <c r="O43" s="115"/>
      <c r="P43" s="115"/>
      <c r="Q43" s="115"/>
      <c r="R43" s="115"/>
      <c r="S43" s="115"/>
      <c r="T43" s="115"/>
      <c r="U43" s="115"/>
      <c r="V43" s="115"/>
      <c r="W43" s="115"/>
    </row>
    <row r="44" spans="4:23" x14ac:dyDescent="0.25">
      <c r="D44" s="115"/>
      <c r="E44" s="115"/>
      <c r="F44" s="115"/>
      <c r="G44" s="115"/>
      <c r="H44" s="115"/>
      <c r="I44" s="115"/>
      <c r="J44" s="115"/>
      <c r="K44" s="115"/>
      <c r="L44" s="115"/>
      <c r="M44" s="115"/>
      <c r="N44" s="115"/>
      <c r="O44" s="115"/>
      <c r="P44" s="115"/>
      <c r="Q44" s="115"/>
      <c r="R44" s="115"/>
      <c r="S44" s="115"/>
      <c r="T44" s="115"/>
      <c r="U44" s="115"/>
      <c r="V44" s="115"/>
      <c r="W44" s="115"/>
    </row>
    <row r="45" spans="4:23" x14ac:dyDescent="0.25">
      <c r="D45" s="115"/>
      <c r="E45" s="115"/>
      <c r="F45" s="115"/>
      <c r="G45" s="115"/>
      <c r="H45" s="115"/>
      <c r="I45" s="115"/>
      <c r="J45" s="115"/>
      <c r="K45" s="115"/>
      <c r="L45" s="115"/>
      <c r="M45" s="115"/>
      <c r="N45" s="115"/>
      <c r="O45" s="115"/>
      <c r="P45" s="115"/>
      <c r="Q45" s="115"/>
      <c r="R45" s="115"/>
      <c r="S45" s="115"/>
      <c r="T45" s="115"/>
      <c r="U45" s="115"/>
      <c r="V45" s="115"/>
      <c r="W45" s="115"/>
    </row>
    <row r="46" spans="4:23" x14ac:dyDescent="0.25">
      <c r="D46" s="115"/>
      <c r="E46" s="115"/>
      <c r="F46" s="115"/>
      <c r="G46" s="115"/>
      <c r="H46" s="115"/>
      <c r="I46" s="115"/>
      <c r="J46" s="115"/>
      <c r="K46" s="115"/>
      <c r="L46" s="115"/>
      <c r="M46" s="115"/>
      <c r="N46" s="115"/>
      <c r="O46" s="115"/>
      <c r="P46" s="115"/>
      <c r="Q46" s="115"/>
      <c r="R46" s="115"/>
      <c r="S46" s="115"/>
      <c r="T46" s="115"/>
      <c r="U46" s="115"/>
      <c r="V46" s="115"/>
      <c r="W46" s="115"/>
    </row>
    <row r="47" spans="4:23" x14ac:dyDescent="0.25">
      <c r="D47" s="115"/>
      <c r="E47" s="115"/>
      <c r="F47" s="115"/>
      <c r="G47" s="115"/>
      <c r="H47" s="115"/>
      <c r="I47" s="115"/>
      <c r="J47" s="115"/>
      <c r="K47" s="115"/>
      <c r="L47" s="115"/>
      <c r="M47" s="115"/>
      <c r="N47" s="115"/>
      <c r="O47" s="115"/>
      <c r="P47" s="115"/>
      <c r="Q47" s="115"/>
      <c r="R47" s="115"/>
      <c r="S47" s="115"/>
      <c r="T47" s="115"/>
      <c r="U47" s="115"/>
      <c r="V47" s="115"/>
      <c r="W47" s="115"/>
    </row>
    <row r="48" spans="4:23" x14ac:dyDescent="0.25">
      <c r="D48" s="115"/>
      <c r="E48" s="115"/>
      <c r="F48" s="115"/>
      <c r="G48" s="115"/>
      <c r="H48" s="115"/>
      <c r="I48" s="115"/>
      <c r="J48" s="115"/>
      <c r="K48" s="115"/>
      <c r="L48" s="115"/>
      <c r="M48" s="115"/>
      <c r="N48" s="115"/>
      <c r="O48" s="115"/>
      <c r="P48" s="115"/>
      <c r="Q48" s="115"/>
      <c r="R48" s="115"/>
      <c r="S48" s="115"/>
      <c r="T48" s="115"/>
      <c r="U48" s="115"/>
      <c r="V48" s="115"/>
      <c r="W48" s="115"/>
    </row>
  </sheetData>
  <sheetProtection algorithmName="SHA-512" hashValue="HU52u1/oejmRzSjutMVhQGe/ipZZoDw67rFxww0x840NuJ+gv/wIELoCdRj4jMYsFPITm1m2FnBwOPhP4Nv82Q==" saltValue="o+wICfXwSCAf9wUJjTsKZg==" spinCount="100000" sheet="1" objects="1" scenarios="1"/>
  <mergeCells count="1">
    <mergeCell ref="D1:W48"/>
  </mergeCells>
  <hyperlinks>
    <hyperlink ref="A9" r:id="rId1" display="https://www.linkedin.com/in/bart-van-valenberg-6-2014/" xr:uid="{C9BBC5C4-B746-4D92-8D45-0CD767ABC401}"/>
    <hyperlink ref="A10" r:id="rId2" xr:uid="{92D41ACD-1521-4943-BF65-C769CA71B4F0}"/>
  </hyperlinks>
  <pageMargins left="0.7" right="0.7" top="0.75" bottom="0.75" header="0.3" footer="0.3"/>
  <pageSetup paperSize="9" orientation="portrait" horizontalDpi="4294967293" verticalDpi="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24CE4-67B8-496D-94D1-1217BF7597C3}">
  <dimension ref="A1"/>
  <sheetViews>
    <sheetView zoomScaleNormal="100" workbookViewId="0"/>
  </sheetViews>
  <sheetFormatPr defaultRowHeight="15" x14ac:dyDescent="0.25"/>
  <sheetData/>
  <phoneticPr fontId="11" type="noConversion"/>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BE098-40CE-4450-B634-59748147AEB9}">
  <dimension ref="A1:I53"/>
  <sheetViews>
    <sheetView zoomScaleNormal="100" workbookViewId="0">
      <pane ySplit="24" topLeftCell="A25" activePane="bottomLeft" state="frozen"/>
      <selection pane="bottomLeft" activeCell="B1" sqref="B1:C1"/>
    </sheetView>
  </sheetViews>
  <sheetFormatPr defaultRowHeight="15" x14ac:dyDescent="0.25"/>
  <cols>
    <col min="1" max="1" width="22.140625" bestFit="1" customWidth="1"/>
    <col min="2" max="2" width="24" bestFit="1" customWidth="1"/>
    <col min="3" max="3" width="22.7109375" customWidth="1"/>
    <col min="4" max="4" width="78" customWidth="1"/>
    <col min="5" max="5" width="46.28515625" bestFit="1" customWidth="1"/>
    <col min="6" max="6" width="22.7109375" style="6" customWidth="1"/>
    <col min="7" max="7" width="22.7109375" customWidth="1"/>
    <col min="8" max="8" width="22.7109375" style="6" customWidth="1"/>
    <col min="9" max="9" width="9.140625" style="99" customWidth="1"/>
    <col min="13" max="13" width="10.5703125" bestFit="1" customWidth="1"/>
    <col min="14" max="14" width="9.42578125" bestFit="1" customWidth="1"/>
    <col min="18" max="18" width="4.5703125" customWidth="1"/>
  </cols>
  <sheetData>
    <row r="1" spans="1:8" x14ac:dyDescent="0.25">
      <c r="A1" s="107" t="s">
        <v>333</v>
      </c>
      <c r="B1" s="117"/>
      <c r="C1" s="117"/>
      <c r="D1" s="99"/>
      <c r="E1" s="99"/>
      <c r="F1" s="110"/>
      <c r="G1" s="99"/>
      <c r="H1" s="110"/>
    </row>
    <row r="2" spans="1:8" ht="18" x14ac:dyDescent="0.35">
      <c r="A2" s="107" t="s">
        <v>247</v>
      </c>
      <c r="B2" s="104">
        <v>1</v>
      </c>
      <c r="C2" s="108" t="s">
        <v>8</v>
      </c>
      <c r="D2" s="111" t="s">
        <v>356</v>
      </c>
      <c r="E2" s="108"/>
      <c r="F2" s="108" t="s">
        <v>8</v>
      </c>
      <c r="G2" s="111" t="s">
        <v>356</v>
      </c>
      <c r="H2" s="99"/>
    </row>
    <row r="3" spans="1:8" ht="17.25" x14ac:dyDescent="0.25">
      <c r="A3" s="107" t="s">
        <v>361</v>
      </c>
      <c r="B3" s="104"/>
      <c r="C3" s="108">
        <f>C25</f>
        <v>0</v>
      </c>
      <c r="D3" s="112">
        <f t="shared" ref="D3:D23" si="0">SUMIF($C$25:$C$45,C3,$H$25:$H$45)</f>
        <v>0</v>
      </c>
      <c r="E3" s="108"/>
      <c r="F3" s="108">
        <f>B25</f>
        <v>0</v>
      </c>
      <c r="G3" s="112">
        <f>SUMIF($B$25:$B$45,F3,$H$25:$H$45)</f>
        <v>0</v>
      </c>
      <c r="H3" s="99"/>
    </row>
    <row r="4" spans="1:8" ht="15" customHeight="1" x14ac:dyDescent="0.25">
      <c r="A4" s="99"/>
      <c r="B4" s="99"/>
      <c r="C4" s="108">
        <f>IF(IF(COUNTIF($C$3:C3,C26)&gt;=1,IF(COUNTIF($C$3:C3,C27)&gt;=1,IF(COUNTIF($C$3:C3,C28)&gt;=1,IF(COUNTIF($C$3:C3,C29)&gt;=1,IF(COUNTIF($C$3:C3,C30)&gt;=1,IF(COUNTIF($C$3:C3,C31)&gt;=1,IF(COUNTIF($C$3:C3,C32)&gt;=1,IF(COUNTIF($C$3:C3,C33)&gt;=1,IF(COUNTIF($C$3:C3,C34)&gt;=1,IF(COUNTIF($C$3:C3,C35)&gt;=1,IF(COUNTIF($C$3:C3,C36)&gt;=1,IF(COUNTIF($C$3:C3,C37)&gt;=1,IF(COUNTIF($C$3:C3,C38)&gt;=1,IF(COUNTIF($C$3:C3,C39)&gt;=1,IF(COUNTIF($C$3:C3,C40)&gt;=1,IF(COUNTIF($C$3:C3,C41)&gt;=1,IF(COUNTIF($C$3:C3,C42)&gt;=1,IF(COUNTIF($C$3:C3,C43)&gt;=1,IF(COUNTIF($C$3:C3,C44)&gt;=1,IF(COUNTIF($C$3:C3,C45)&gt;=1,C46,C45),C44),C43),C42),C41),C40),C39),C38),C37),C36),C35),C34),C33),C32),C31),C30),C29),C28),C27),C26)=0,,
IF(COUNTIF($C$3:C3,C26)&gt;=1,IF(COUNTIF($C$3:C3,C27)&gt;=1,IF(COUNTIF($C$3:C3,C28)&gt;=1,IF(COUNTIF($C$3:C3,C29)&gt;=1,IF(COUNTIF($C$3:C3,C30)&gt;=1,IF(COUNTIF($C$3:C3,C31)&gt;=1,IF(COUNTIF($C$3:C3,C32)&gt;=1,IF(COUNTIF($C$3:C3,C33)&gt;=1,IF(COUNTIF($C$3:C3,C34)&gt;=1,IF(COUNTIF($C$3:C3,C35)&gt;=1,IF(COUNTIF($C$3:C3,C36)&gt;=1,IF(COUNTIF($C$3:C3,C37)&gt;=1,IF(COUNTIF($C$3:C3,C38)&gt;=1,IF(COUNTIF($C$3:C3,C39)&gt;=1,IF(COUNTIF($C$3:C3,C40)&gt;=1,IF(COUNTIF($C$3:C3,C41)&gt;=1,IF(COUNTIF($C$3:C3,C42)&gt;=1,IF(COUNTIF($C$3:C3,C43)&gt;=1,IF(COUNTIF($C$3:C3,C44)&gt;=1,IF(COUNTIF($C$3:C3,C45)&gt;=1,C46,C45),C44),C43),C42),C41),C40),C39),C38),C37),C36),C35),C34),C33),C32),C31),C30),C29),C28),C27),C26))</f>
        <v>0</v>
      </c>
      <c r="D4" s="112">
        <f t="shared" si="0"/>
        <v>0</v>
      </c>
      <c r="E4" s="113"/>
      <c r="F4" s="108">
        <f>IF(IF(COUNTIF($F$3:F3,B26)&gt;=1,IF(COUNTIF($F$3:F3,B27)&gt;=1,IF(COUNTIF($F$3:F3,B28)&gt;=1,IF(COUNTIF($F$3:F3,B29)&gt;=1,IF(COUNTIF($F$3:F3,B30)&gt;=1,IF(COUNTIF($F$3:F3,B31)&gt;=1,IF(COUNTIF($F$3:F3,B32)&gt;=1,IF(COUNTIF($F$3:F3,B33)&gt;=1,IF(COUNTIF($F$3:F3,B34)&gt;=1,IF(COUNTIF($F$3:F3,B35)&gt;=1,IF(COUNTIF($F$3:F3,B36)&gt;=1,IF(COUNTIF($F$3:F3,B37)&gt;=1,IF(COUNTIF($F$3:F3,B38)&gt;=1,IF(COUNTIF($F$3:F3,B39)&gt;=1,IF(COUNTIF($F$3:F3,B40)&gt;=1,IF(COUNTIF($F$3:F3,B41)&gt;=1,IF(COUNTIF($F$3:F3,B42)&gt;=1,IF(COUNTIF($F$3:F3,B43)&gt;=1,IF(COUNTIF($F$3:F3,B44)&gt;=1,IF(COUNTIF($F$3:F3,B45)&gt;=1,B46,B45),B44),B43),B42),B41),B40),B39),B38),B37),B36),B35),B34),B33),B32),B31),B30),B29),B28),B27),B26)=0,,
IF(COUNTIF($F$3:F3,B26)&gt;=1,IF(COUNTIF($F$3:F3,B27)&gt;=1,IF(COUNTIF($F$3:F3,B28)&gt;=1,IF(COUNTIF($F$3:F3,B29)&gt;=1,IF(COUNTIF($F$3:F3,B30)&gt;=1,IF(COUNTIF($F$3:F3,B31)&gt;=1,IF(COUNTIF($F$3:F3,B32)&gt;=1,IF(COUNTIF($F$3:F3,B33)&gt;=1,IF(COUNTIF($F$3:F3,B34)&gt;=1,IF(COUNTIF($F$3:F3,B35)&gt;=1,IF(COUNTIF($F$3:F3,B36)&gt;=1,IF(COUNTIF($F$3:F3,B37)&gt;=1,IF(COUNTIF($F$3:F3,B38)&gt;=1,IF(COUNTIF($F$3:F3,B39)&gt;=1,IF(COUNTIF($F$3:F3,B40)&gt;=1,IF(COUNTIF($F$3:F3,B41)&gt;=1,IF(COUNTIF($F$3:F3,B42)&gt;=1,IF(COUNTIF($F$3:F3,B43)&gt;=1,IF(COUNTIF($F$3:F3,B44)&gt;=1,IF(COUNTIF($F$3:F3,B45)&gt;=1,B46,B45),B44),B43),B42),B41),B40),B39),B38),B37),B36),B35),B34),B33),B32),B31),B30),B29),B28),B27),B26))</f>
        <v>0</v>
      </c>
      <c r="G4" s="112">
        <f t="shared" ref="G4:G23" si="1">SUMIF($B$25:$B$45,F4,$H$25:$H$45)</f>
        <v>0</v>
      </c>
      <c r="H4" s="99"/>
    </row>
    <row r="5" spans="1:8" x14ac:dyDescent="0.25">
      <c r="A5" s="116" t="s">
        <v>357</v>
      </c>
      <c r="B5" s="116"/>
      <c r="C5" s="108">
        <f>IF(IF(COUNTIF($C$3:C4,C27)&gt;=1,IF(COUNTIF($C$3:C4,C28)&gt;=1,IF(COUNTIF($C$3:C4,C29)&gt;=1,IF(COUNTIF($C$3:C4,C30)&gt;=1,IF(COUNTIF($C$3:C4,C31)&gt;=1,IF(COUNTIF($C$3:C4,C32)&gt;=1,IF(COUNTIF($C$3:C4,C33)&gt;=1,IF(COUNTIF($C$3:C4,C34)&gt;=1,IF(COUNTIF($C$3:C4,C35)&gt;=1,IF(COUNTIF($C$3:C4,C36)&gt;=1,IF(COUNTIF($C$3:C4,C37)&gt;=1,IF(COUNTIF($C$3:C4,C38)&gt;=1,IF(COUNTIF($C$3:C4,C39)&gt;=1,IF(COUNTIF($C$3:C4,C40)&gt;=1,IF(COUNTIF($C$3:C4,C41)&gt;=1,IF(COUNTIF($C$3:C4,C42)&gt;=1,IF(COUNTIF($C$3:C4,C43)&gt;=1,IF(COUNTIF($C$3:C4,C44)&gt;=1,IF(COUNTIF($C$3:C4,C45)&gt;=1,IF(COUNTIF($C$3:C4,C46)&gt;=1,C47,C46),C45),C44),C43),C42),C41),C40),C39),C38),C37),C36),C35),C34),C33),C32),C31),C30),C29),C28),C27)=0,,
IF(COUNTIF($C$3:C4,C27)&gt;=1,IF(COUNTIF($C$3:C4,C28)&gt;=1,IF(COUNTIF($C$3:C4,C29)&gt;=1,IF(COUNTIF($C$3:C4,C30)&gt;=1,IF(COUNTIF($C$3:C4,C31)&gt;=1,IF(COUNTIF($C$3:C4,C32)&gt;=1,IF(COUNTIF($C$3:C4,C33)&gt;=1,IF(COUNTIF($C$3:C4,C34)&gt;=1,IF(COUNTIF($C$3:C4,C35)&gt;=1,IF(COUNTIF($C$3:C4,C36)&gt;=1,IF(COUNTIF($C$3:C4,C37)&gt;=1,IF(COUNTIF($C$3:C4,C38)&gt;=1,IF(COUNTIF($C$3:C4,C39)&gt;=1,IF(COUNTIF($C$3:C4,C40)&gt;=1,IF(COUNTIF($C$3:C4,C41)&gt;=1,IF(COUNTIF($C$3:C4,C42)&gt;=1,IF(COUNTIF($C$3:C4,C43)&gt;=1,IF(COUNTIF($C$3:C4,C44)&gt;=1,IF(COUNTIF($C$3:C4,C45)&gt;=1,IF(COUNTIF($C$3:C4,C46)&gt;=1,C47,C46),C45),C44),C43),C42),C41),C40),C39),C38),C37),C36),C35),C34),C33),C32),C31),C30),C29),C28),C27))</f>
        <v>0</v>
      </c>
      <c r="D5" s="112">
        <f t="shared" si="0"/>
        <v>0</v>
      </c>
      <c r="E5" s="108"/>
      <c r="F5" s="108">
        <f>IF(IF(COUNTIF($F$3:F4,B27)&gt;=1,IF(COUNTIF($F$3:F4,B28)&gt;=1,IF(COUNTIF($F$3:F4,B29)&gt;=1,IF(COUNTIF($F$3:F4,B30)&gt;=1,IF(COUNTIF($F$3:F4,B31)&gt;=1,IF(COUNTIF($F$3:F4,B32)&gt;=1,IF(COUNTIF($F$3:F4,B33)&gt;=1,IF(COUNTIF($F$3:F4,B34)&gt;=1,IF(COUNTIF($F$3:F4,B35)&gt;=1,IF(COUNTIF($F$3:F4,B36)&gt;=1,IF(COUNTIF($F$3:F4,B37)&gt;=1,IF(COUNTIF($F$3:F4,B38)&gt;=1,IF(COUNTIF($F$3:F4,B39)&gt;=1,IF(COUNTIF($F$3:F4,B40)&gt;=1,IF(COUNTIF($F$3:F4,B41)&gt;=1,IF(COUNTIF($F$3:F4,B42)&gt;=1,IF(COUNTIF($F$3:F4,B43)&gt;=1,IF(COUNTIF($F$3:F4,B44)&gt;=1,IF(COUNTIF($F$3:F4,B45)&gt;=1,IF(COUNTIF($F$3:F4,B46)&gt;=1,B47,B46),B45),B44),B43),B42),B41),B40),B39),B38),B37),B36),B35),B34),B33),B32),B31),B30),B29),B28),B27)=0,,
IF(COUNTIF($F$3:F4,B27)&gt;=1,IF(COUNTIF($F$3:F4,B28)&gt;=1,IF(COUNTIF($F$3:F4,B29)&gt;=1,IF(COUNTIF($F$3:F4,B30)&gt;=1,IF(COUNTIF($F$3:F4,B31)&gt;=1,IF(COUNTIF($F$3:F4,B32)&gt;=1,IF(COUNTIF($F$3:F4,B33)&gt;=1,IF(COUNTIF($F$3:F4,B34)&gt;=1,IF(COUNTIF($F$3:F4,B35)&gt;=1,IF(COUNTIF($F$3:F4,B36)&gt;=1,IF(COUNTIF($F$3:F4,B37)&gt;=1,IF(COUNTIF($F$3:F4,B38)&gt;=1,IF(COUNTIF($F$3:F4,B39)&gt;=1,IF(COUNTIF($F$3:F4,B40)&gt;=1,IF(COUNTIF($F$3:F4,B41)&gt;=1,IF(COUNTIF($F$3:F4,B42)&gt;=1,IF(COUNTIF($F$3:F4,B43)&gt;=1,IF(COUNTIF($F$3:F4,B44)&gt;=1,IF(COUNTIF($F$3:F4,B45)&gt;=1,IF(COUNTIF($F$3:F4,B46)&gt;=1,B47,B46),B45),B44),B43),B42),B41),B40),B39),B38),B37),B36),B35),B34),B33),B32),B31),B30),B29),B28),B27))</f>
        <v>0</v>
      </c>
      <c r="G5" s="112">
        <f t="shared" si="1"/>
        <v>0</v>
      </c>
      <c r="H5" s="99"/>
    </row>
    <row r="6" spans="1:8" ht="18" x14ac:dyDescent="0.35">
      <c r="A6" s="103">
        <f>SUMIF(Tabel2[tCO2 stored],"&lt;&gt;#N/B")</f>
        <v>0</v>
      </c>
      <c r="B6" s="109" t="s">
        <v>358</v>
      </c>
      <c r="C6" s="108">
        <f>IF(IF(COUNTIF($C$3:C5,C28)&gt;=1,IF(COUNTIF($C$3:C5,C29)&gt;=1,IF(COUNTIF($C$3:C5,C30)&gt;=1,IF(COUNTIF($C$3:C5,C31)&gt;=1,IF(COUNTIF($C$3:C5,C32)&gt;=1,IF(COUNTIF($C$3:C5,C33)&gt;=1,IF(COUNTIF($C$3:C5,C34)&gt;=1,IF(COUNTIF($C$3:C5,C35)&gt;=1,IF(COUNTIF($C$3:C5,C36)&gt;=1,IF(COUNTIF($C$3:C5,C37)&gt;=1,IF(COUNTIF($C$3:C5,C38)&gt;=1,IF(COUNTIF($C$3:C5,C39)&gt;=1,IF(COUNTIF($C$3:C5,C40)&gt;=1,IF(COUNTIF($C$3:C5,C41)&gt;=1,IF(COUNTIF($C$3:C5,C42)&gt;=1,IF(COUNTIF($C$3:C5,C43)&gt;=1,IF(COUNTIF($C$3:C5,C44)&gt;=1,IF(COUNTIF($C$3:C5,C45)&gt;=1,IF(COUNTIF($C$3:C5,C46)&gt;=1,IF(COUNTIF($C$3:C5,C47)&gt;=1,C48,C47),C46),C45),C44),C43),C42),C41),C40),C39),C38),C37),C36),C35),C34),C33),C32),C31),C30),C29),C28)=0,,
IF(COUNTIF($C$3:C5,C28)&gt;=1,IF(COUNTIF($C$3:C5,C29)&gt;=1,IF(COUNTIF($C$3:C5,C30)&gt;=1,IF(COUNTIF($C$3:C5,C31)&gt;=1,IF(COUNTIF($C$3:C5,C32)&gt;=1,IF(COUNTIF($C$3:C5,C33)&gt;=1,IF(COUNTIF($C$3:C5,C34)&gt;=1,IF(COUNTIF($C$3:C5,C35)&gt;=1,IF(COUNTIF($C$3:C5,C36)&gt;=1,IF(COUNTIF($C$3:C5,C37)&gt;=1,IF(COUNTIF($C$3:C5,C38)&gt;=1,IF(COUNTIF($C$3:C5,C39)&gt;=1,IF(COUNTIF($C$3:C5,C40)&gt;=1,IF(COUNTIF($C$3:C5,C41)&gt;=1,IF(COUNTIF($C$3:C5,C42)&gt;=1,IF(COUNTIF($C$3:C5,C43)&gt;=1,IF(COUNTIF($C$3:C5,C44)&gt;=1,IF(COUNTIF($C$3:C5,C45)&gt;=1,IF(COUNTIF($C$3:C5,C46)&gt;=1,IF(COUNTIF($C$3:C5,C47)&gt;=1,C48,C47),C46),C45),C44),C43),C42),C41),C40),C39),C38),C37),C36),C35),C34),C33),C32),C31),C30),C29),C28))</f>
        <v>0</v>
      </c>
      <c r="D6" s="112">
        <f t="shared" si="0"/>
        <v>0</v>
      </c>
      <c r="E6" s="108"/>
      <c r="F6" s="108">
        <f>IF(IF(COUNTIF($F$3:F5,B28)&gt;=1,IF(COUNTIF($F$3:F5,B29)&gt;=1,IF(COUNTIF($F$3:F5,B30)&gt;=1,IF(COUNTIF($F$3:F5,B31)&gt;=1,IF(COUNTIF($F$3:F5,B32)&gt;=1,IF(COUNTIF($F$3:F5,B33)&gt;=1,IF(COUNTIF($F$3:F5,B34)&gt;=1,IF(COUNTIF($F$3:F5,B35)&gt;=1,IF(COUNTIF($F$3:F5,B36)&gt;=1,IF(COUNTIF($F$3:F5,B37)&gt;=1,IF(COUNTIF($F$3:F5,B38)&gt;=1,IF(COUNTIF($F$3:F5,B39)&gt;=1,IF(COUNTIF($F$3:F5,B40)&gt;=1,IF(COUNTIF($F$3:F5,B41)&gt;=1,IF(COUNTIF($F$3:F5,B42)&gt;=1,IF(COUNTIF($F$3:F5,B43)&gt;=1,IF(COUNTIF($F$3:F5,B44)&gt;=1,IF(COUNTIF($F$3:F5,B45)&gt;=1,IF(COUNTIF($F$3:F5,B46)&gt;=1,IF(COUNTIF($F$3:F5,B47)&gt;=1,B48,B47),B46),B45),B44),B43),B42),B41),B40),B39),B38),B37),B36),B35),B34),B33),B32),B31),B30),B29),B28)=0,,
IF(COUNTIF($F$3:F5,B28)&gt;=1,IF(COUNTIF($F$3:F5,B29)&gt;=1,IF(COUNTIF($F$3:F5,B30)&gt;=1,IF(COUNTIF($F$3:F5,B31)&gt;=1,IF(COUNTIF($F$3:F5,B32)&gt;=1,IF(COUNTIF($F$3:F5,B33)&gt;=1,IF(COUNTIF($F$3:F5,B34)&gt;=1,IF(COUNTIF($F$3:F5,B35)&gt;=1,IF(COUNTIF($F$3:F5,B36)&gt;=1,IF(COUNTIF($F$3:F5,B37)&gt;=1,IF(COUNTIF($F$3:F5,B38)&gt;=1,IF(COUNTIF($F$3:F5,B39)&gt;=1,IF(COUNTIF($F$3:F5,B40)&gt;=1,IF(COUNTIF($F$3:F5,B41)&gt;=1,IF(COUNTIF($F$3:F5,B42)&gt;=1,IF(COUNTIF($F$3:F5,B43)&gt;=1,IF(COUNTIF($F$3:F5,B44)&gt;=1,IF(COUNTIF($F$3:F5,B45)&gt;=1,IF(COUNTIF($F$3:F5,B46)&gt;=1,IF(COUNTIF($F$3:F5,B47)&gt;=1,B48,B47),B46),B45),B44),B43),B42),B41),B40),B39),B38),B37),B36),B35),B34),B33),B32),B31),B30),B29),B28))</f>
        <v>0</v>
      </c>
      <c r="G6" s="112">
        <f t="shared" si="1"/>
        <v>0</v>
      </c>
      <c r="H6" s="99"/>
    </row>
    <row r="7" spans="1:8" ht="18" x14ac:dyDescent="0.35">
      <c r="A7" s="33">
        <f>A6/$B$2</f>
        <v>0</v>
      </c>
      <c r="B7" s="110" t="s">
        <v>359</v>
      </c>
      <c r="C7" s="108">
        <f>IF(IF(COUNTIF($C$3:C6,C29)&gt;=1,IF(COUNTIF($C$3:C6,C30)&gt;=1,IF(COUNTIF($C$3:C6,C31)&gt;=1,IF(COUNTIF($C$3:C6,C32)&gt;=1,IF(COUNTIF($C$3:C6,C33)&gt;=1,IF(COUNTIF($C$3:C6,C34)&gt;=1,IF(COUNTIF($C$3:C6,C35)&gt;=1,IF(COUNTIF($C$3:C6,C36)&gt;=1,IF(COUNTIF($C$3:C6,C37)&gt;=1,IF(COUNTIF($C$3:C6,C38)&gt;=1,IF(COUNTIF($C$3:C6,C39)&gt;=1,IF(COUNTIF($C$3:C6,C40)&gt;=1,IF(COUNTIF($C$3:C6,C41)&gt;=1,IF(COUNTIF($C$3:C6,C42)&gt;=1,IF(COUNTIF($C$3:C6,C43)&gt;=1,IF(COUNTIF($C$3:C6,C44)&gt;=1,IF(COUNTIF($C$3:C6,C45)&gt;=1,IF(COUNTIF($C$3:C6,C46)&gt;=1,IF(COUNTIF($C$3:C6,C47)&gt;=1,IF(COUNTIF($C$3:C6,C48)&gt;=1,C49,C48),C47),C46),C45),C44),C43),C42),C41),C40),C39),C38),C37),C36),C35),C34),C33),C32),C31),C30),C29)=0,,
IF(COUNTIF($C$3:C6,C29)&gt;=1,IF(COUNTIF($C$3:C6,C30)&gt;=1,IF(COUNTIF($C$3:C6,C31)&gt;=1,IF(COUNTIF($C$3:C6,C32)&gt;=1,IF(COUNTIF($C$3:C6,C33)&gt;=1,IF(COUNTIF($C$3:C6,C34)&gt;=1,IF(COUNTIF($C$3:C6,C35)&gt;=1,IF(COUNTIF($C$3:C6,C36)&gt;=1,IF(COUNTIF($C$3:C6,C37)&gt;=1,IF(COUNTIF($C$3:C6,C38)&gt;=1,IF(COUNTIF($C$3:C6,C39)&gt;=1,IF(COUNTIF($C$3:C6,C40)&gt;=1,IF(COUNTIF($C$3:C6,C41)&gt;=1,IF(COUNTIF($C$3:C6,C42)&gt;=1,IF(COUNTIF($C$3:C6,C43)&gt;=1,IF(COUNTIF($C$3:C6,C44)&gt;=1,IF(COUNTIF($C$3:C6,C45)&gt;=1,IF(COUNTIF($C$3:C6,C46)&gt;=1,IF(COUNTIF($C$3:C6,C47)&gt;=1,IF(COUNTIF($C$3:C6,C48)&gt;=1,C49,C48),C47),C46),C45),C44),C43),C42),C41),C40),C39),C38),C37),C36),C35),C34),C33),C32),C31),C30),C29))</f>
        <v>0</v>
      </c>
      <c r="D7" s="112">
        <f t="shared" si="0"/>
        <v>0</v>
      </c>
      <c r="E7" s="108"/>
      <c r="F7" s="108">
        <f>IF(IF(COUNTIF($F$3:F6,B29)&gt;=1,IF(COUNTIF($F$3:F6,B30)&gt;=1,IF(COUNTIF($F$3:F6,B31)&gt;=1,IF(COUNTIF($F$3:F6,B32)&gt;=1,IF(COUNTIF($F$3:F6,B33)&gt;=1,IF(COUNTIF($F$3:F6,B34)&gt;=1,IF(COUNTIF($F$3:F6,B35)&gt;=1,IF(COUNTIF($F$3:F6,B36)&gt;=1,IF(COUNTIF($F$3:F6,B37)&gt;=1,IF(COUNTIF($F$3:F6,B38)&gt;=1,IF(COUNTIF($F$3:F6,B39)&gt;=1,IF(COUNTIF($F$3:F6,B40)&gt;=1,IF(COUNTIF($F$3:F6,B41)&gt;=1,IF(COUNTIF($F$3:F6,B42)&gt;=1,IF(COUNTIF($F$3:F6,B43)&gt;=1,IF(COUNTIF($F$3:F6,B44)&gt;=1,IF(COUNTIF($F$3:F6,B45)&gt;=1,IF(COUNTIF($F$3:F6,B46)&gt;=1,IF(COUNTIF($F$3:F6,B47)&gt;=1,IF(COUNTIF($F$3:F6,B48)&gt;=1,B49,B48),B47),B46),B45),B44),B43),B42),B41),B40),B39),B38),B37),B36),B35),B34),B33),B32),B31),B30),B29)=0,,
IF(COUNTIF($F$3:F6,B29)&gt;=1,IF(COUNTIF($F$3:F6,B30)&gt;=1,IF(COUNTIF($F$3:F6,B31)&gt;=1,IF(COUNTIF($F$3:F6,B32)&gt;=1,IF(COUNTIF($F$3:F6,B33)&gt;=1,IF(COUNTIF($F$3:F6,B34)&gt;=1,IF(COUNTIF($F$3:F6,B35)&gt;=1,IF(COUNTIF($F$3:F6,B36)&gt;=1,IF(COUNTIF($F$3:F6,B37)&gt;=1,IF(COUNTIF($F$3:F6,B38)&gt;=1,IF(COUNTIF($F$3:F6,B39)&gt;=1,IF(COUNTIF($F$3:F6,B40)&gt;=1,IF(COUNTIF($F$3:F6,B41)&gt;=1,IF(COUNTIF($F$3:F6,B42)&gt;=1,IF(COUNTIF($F$3:F6,B43)&gt;=1,IF(COUNTIF($F$3:F6,B44)&gt;=1,IF(COUNTIF($F$3:F6,B45)&gt;=1,IF(COUNTIF($F$3:F6,B46)&gt;=1,IF(COUNTIF($F$3:F6,B47)&gt;=1,IF(COUNTIF($F$3:F6,B48)&gt;=1,B49,B48),B47),B46),B45),B44),B43),B42),B41),B40),B39),B38),B37),B36),B35),B34),B33),B32),B31),B30),B29))</f>
        <v>0</v>
      </c>
      <c r="G7" s="112">
        <f t="shared" si="1"/>
        <v>0</v>
      </c>
      <c r="H7" s="99"/>
    </row>
    <row r="8" spans="1:8" ht="18.75" x14ac:dyDescent="0.35">
      <c r="A8" s="105" t="e">
        <f>A7/B3*120</f>
        <v>#DIV/0!</v>
      </c>
      <c r="B8" s="110" t="s">
        <v>360</v>
      </c>
      <c r="C8" s="108">
        <f>IF(IF(COUNTIF($C$3:C7,C30)&gt;=1,IF(COUNTIF($C$3:C7,C31)&gt;=1,IF(COUNTIF($C$3:C7,C32)&gt;=1,IF(COUNTIF($C$3:C7,C33)&gt;=1,IF(COUNTIF($C$3:C7,C34)&gt;=1,IF(COUNTIF($C$3:C7,C35)&gt;=1,IF(COUNTIF($C$3:C7,C36)&gt;=1,IF(COUNTIF($C$3:C7,C37)&gt;=1,IF(COUNTIF($C$3:C7,C38)&gt;=1,IF(COUNTIF($C$3:C7,C39)&gt;=1,IF(COUNTIF($C$3:C7,C40)&gt;=1,IF(COUNTIF($C$3:C7,C41)&gt;=1,IF(COUNTIF($C$3:C7,C42)&gt;=1,IF(COUNTIF($C$3:C7,C43)&gt;=1,IF(COUNTIF($C$3:C7,C44)&gt;=1,IF(COUNTIF($C$3:C7,C45)&gt;=1,IF(COUNTIF($C$3:C7,C46)&gt;=1,IF(COUNTIF($C$3:C7,C47)&gt;=1,IF(COUNTIF($C$3:C7,C48)&gt;=1,IF(COUNTIF($C$3:C7,C49)&gt;=1,C50,C49),C48),C47),C46),C45),C44),C43),C42),C41),C40),C39),C38),C37),C36),C35),C34),C33),C32),C31),C30)=0,,
IF(COUNTIF($C$3:C7,C30)&gt;=1,IF(COUNTIF($C$3:C7,C31)&gt;=1,IF(COUNTIF($C$3:C7,C32)&gt;=1,IF(COUNTIF($C$3:C7,C33)&gt;=1,IF(COUNTIF($C$3:C7,C34)&gt;=1,IF(COUNTIF($C$3:C7,C35)&gt;=1,IF(COUNTIF($C$3:C7,C36)&gt;=1,IF(COUNTIF($C$3:C7,C37)&gt;=1,IF(COUNTIF($C$3:C7,C38)&gt;=1,IF(COUNTIF($C$3:C7,C39)&gt;=1,IF(COUNTIF($C$3:C7,C40)&gt;=1,IF(COUNTIF($C$3:C7,C41)&gt;=1,IF(COUNTIF($C$3:C7,C42)&gt;=1,IF(COUNTIF($C$3:C7,C43)&gt;=1,IF(COUNTIF($C$3:C7,C44)&gt;=1,IF(COUNTIF($C$3:C7,C45)&gt;=1,IF(COUNTIF($C$3:C7,C46)&gt;=1,IF(COUNTIF($C$3:C7,C47)&gt;=1,IF(COUNTIF($C$3:C7,C48)&gt;=1,IF(COUNTIF($C$3:C7,C49)&gt;=1,C50,C49),C48),C47),C46),C45),C44),C43),C42),C41),C40),C39),C38),C37),C36),C35),C34),C33),C32),C31),C30))</f>
        <v>0</v>
      </c>
      <c r="D8" s="112">
        <f t="shared" si="0"/>
        <v>0</v>
      </c>
      <c r="E8" s="108"/>
      <c r="F8" s="108">
        <f>IF(IF(COUNTIF($F$3:F7,B30)&gt;=1,IF(COUNTIF($F$3:F7,B31)&gt;=1,IF(COUNTIF($F$3:F7,B32)&gt;=1,IF(COUNTIF($F$3:F7,B33)&gt;=1,IF(COUNTIF($F$3:F7,B34)&gt;=1,IF(COUNTIF($F$3:F7,B35)&gt;=1,IF(COUNTIF($F$3:F7,B36)&gt;=1,IF(COUNTIF($F$3:F7,B37)&gt;=1,IF(COUNTIF($F$3:F7,B38)&gt;=1,IF(COUNTIF($F$3:F7,B39)&gt;=1,IF(COUNTIF($F$3:F7,B40)&gt;=1,IF(COUNTIF($F$3:F7,B41)&gt;=1,IF(COUNTIF($F$3:F7,B42)&gt;=1,IF(COUNTIF($F$3:F7,B43)&gt;=1,IF(COUNTIF($F$3:F7,B44)&gt;=1,IF(COUNTIF($F$3:F7,B45)&gt;=1,IF(COUNTIF($F$3:F7,B46)&gt;=1,IF(COUNTIF($F$3:F7,B47)&gt;=1,IF(COUNTIF($F$3:F7,B48)&gt;=1,IF(COUNTIF($F$3:F7,B49)&gt;=1,B50,B49),B48),B47),B46),B45),B44),B43),B42),B41),B40),B39),B38),B37),B36),B35),B34),B33),B32),B31),B30)=0,,
IF(COUNTIF($F$3:F7,B30)&gt;=1,IF(COUNTIF($F$3:F7,B31)&gt;=1,IF(COUNTIF($F$3:F7,B32)&gt;=1,IF(COUNTIF($F$3:F7,B33)&gt;=1,IF(COUNTIF($F$3:F7,B34)&gt;=1,IF(COUNTIF($F$3:F7,B35)&gt;=1,IF(COUNTIF($F$3:F7,B36)&gt;=1,IF(COUNTIF($F$3:F7,B37)&gt;=1,IF(COUNTIF($F$3:F7,B38)&gt;=1,IF(COUNTIF($F$3:F7,B39)&gt;=1,IF(COUNTIF($F$3:F7,B40)&gt;=1,IF(COUNTIF($F$3:F7,B41)&gt;=1,IF(COUNTIF($F$3:F7,B42)&gt;=1,IF(COUNTIF($F$3:F7,B43)&gt;=1,IF(COUNTIF($F$3:F7,B44)&gt;=1,IF(COUNTIF($F$3:F7,B45)&gt;=1,IF(COUNTIF($F$3:F7,B46)&gt;=1,IF(COUNTIF($F$3:F7,B47)&gt;=1,IF(COUNTIF($F$3:F7,B48)&gt;=1,IF(COUNTIF($F$3:F7,B49)&gt;=1,B50,B49),B48),B47),B46),B45),B44),B43),B42),B41),B40),B39),B38),B37),B36),B35),B34),B33),B32),B31),B30))</f>
        <v>0</v>
      </c>
      <c r="G8" s="112">
        <f t="shared" si="1"/>
        <v>0</v>
      </c>
      <c r="H8" s="99"/>
    </row>
    <row r="9" spans="1:8" x14ac:dyDescent="0.25">
      <c r="A9" s="99"/>
      <c r="B9" s="99"/>
      <c r="C9" s="108">
        <f>IF(IF(COUNTIF($C$3:C8,C31)&gt;=1,IF(COUNTIF($C$3:C8,C32)&gt;=1,IF(COUNTIF($C$3:C8,C33)&gt;=1,IF(COUNTIF($C$3:C8,C34)&gt;=1,IF(COUNTIF($C$3:C8,C35)&gt;=1,IF(COUNTIF($C$3:C8,C36)&gt;=1,IF(COUNTIF($C$3:C8,C37)&gt;=1,IF(COUNTIF($C$3:C8,C38)&gt;=1,IF(COUNTIF($C$3:C8,C39)&gt;=1,IF(COUNTIF($C$3:C8,C40)&gt;=1,IF(COUNTIF($C$3:C8,C41)&gt;=1,IF(COUNTIF($C$3:C8,C42)&gt;=1,IF(COUNTIF($C$3:C8,C43)&gt;=1,IF(COUNTIF($C$3:C8,C44)&gt;=1,IF(COUNTIF($C$3:C8,C45)&gt;=1,IF(COUNTIF($C$3:C8,C46)&gt;=1,IF(COUNTIF($C$3:C8,C47)&gt;=1,IF(COUNTIF($C$3:C8,C48)&gt;=1,IF(COUNTIF($C$3:C8,C49)&gt;=1,IF(COUNTIF($C$3:C8,C50)&gt;=1,C51,C50),C49),C48),C47),C46),C45),C44),C43),C42),C41),C40),C39),C38),C37),C36),C35),C34),C33),C32),C31)=0,,
IF(COUNTIF($C$3:C8,C31)&gt;=1,IF(COUNTIF($C$3:C8,C32)&gt;=1,IF(COUNTIF($C$3:C8,C33)&gt;=1,IF(COUNTIF($C$3:C8,C34)&gt;=1,IF(COUNTIF($C$3:C8,C35)&gt;=1,IF(COUNTIF($C$3:C8,C36)&gt;=1,IF(COUNTIF($C$3:C8,C37)&gt;=1,IF(COUNTIF($C$3:C8,C38)&gt;=1,IF(COUNTIF($C$3:C8,C39)&gt;=1,IF(COUNTIF($C$3:C8,C40)&gt;=1,IF(COUNTIF($C$3:C8,C41)&gt;=1,IF(COUNTIF($C$3:C8,C42)&gt;=1,IF(COUNTIF($C$3:C8,C43)&gt;=1,IF(COUNTIF($C$3:C8,C44)&gt;=1,IF(COUNTIF($C$3:C8,C45)&gt;=1,IF(COUNTIF($C$3:C8,C46)&gt;=1,IF(COUNTIF($C$3:C8,C47)&gt;=1,IF(COUNTIF($C$3:C8,C48)&gt;=1,IF(COUNTIF($C$3:C8,C49)&gt;=1,IF(COUNTIF($C$3:C8,C50)&gt;=1,C51,C50),C49),C48),C47),C46),C45),C44),C43),C42),C41),C40),C39),C38),C37),C36),C35),C34),C33),C32),C31))</f>
        <v>0</v>
      </c>
      <c r="D9" s="112">
        <f t="shared" si="0"/>
        <v>0</v>
      </c>
      <c r="E9" s="108"/>
      <c r="F9" s="108">
        <f>IF(IF(COUNTIF($F$3:F8,B31)&gt;=1,IF(COUNTIF($F$3:F8,B32)&gt;=1,IF(COUNTIF($F$3:F8,B33)&gt;=1,IF(COUNTIF($F$3:F8,B34)&gt;=1,IF(COUNTIF($F$3:F8,B35)&gt;=1,IF(COUNTIF($F$3:F8,B36)&gt;=1,IF(COUNTIF($F$3:F8,B37)&gt;=1,IF(COUNTIF($F$3:F8,B38)&gt;=1,IF(COUNTIF($F$3:F8,B39)&gt;=1,IF(COUNTIF($F$3:F8,B40)&gt;=1,IF(COUNTIF($F$3:F8,B41)&gt;=1,IF(COUNTIF($F$3:F8,B42)&gt;=1,IF(COUNTIF($F$3:F8,B43)&gt;=1,IF(COUNTIF($F$3:F8,B44)&gt;=1,IF(COUNTIF($F$3:F8,B45)&gt;=1,IF(COUNTIF($F$3:F8,B46)&gt;=1,IF(COUNTIF($F$3:F8,B47)&gt;=1,IF(COUNTIF($F$3:F8,B48)&gt;=1,IF(COUNTIF($F$3:F8,B49)&gt;=1,IF(COUNTIF($F$3:F8,B50)&gt;=1,B51,B50),B49),B48),B47),B46),B45),B44),B43),B42),B41),B40),B39),B38),B37),B36),B35),B34),B33),B32),B31)=0,,
IF(COUNTIF($F$3:F8,B31)&gt;=1,IF(COUNTIF($F$3:F8,B32)&gt;=1,IF(COUNTIF($F$3:F8,B33)&gt;=1,IF(COUNTIF($F$3:F8,B34)&gt;=1,IF(COUNTIF($F$3:F8,B35)&gt;=1,IF(COUNTIF($F$3:F8,B36)&gt;=1,IF(COUNTIF($F$3:F8,B37)&gt;=1,IF(COUNTIF($F$3:F8,B38)&gt;=1,IF(COUNTIF($F$3:F8,B39)&gt;=1,IF(COUNTIF($F$3:F8,B40)&gt;=1,IF(COUNTIF($F$3:F8,B41)&gt;=1,IF(COUNTIF($F$3:F8,B42)&gt;=1,IF(COUNTIF($F$3:F8,B43)&gt;=1,IF(COUNTIF($F$3:F8,B44)&gt;=1,IF(COUNTIF($F$3:F8,B45)&gt;=1,IF(COUNTIF($F$3:F8,B46)&gt;=1,IF(COUNTIF($F$3:F8,B47)&gt;=1,IF(COUNTIF($F$3:F8,B48)&gt;=1,IF(COUNTIF($F$3:F8,B49)&gt;=1,IF(COUNTIF($F$3:F8,B50)&gt;=1,B51,B50),B49),B48),B47),B46),B45),B44),B43),B42),B41),B40),B39),B38),B37),B36),B35),B34),B33),B32),B31))</f>
        <v>0</v>
      </c>
      <c r="G9" s="112">
        <f t="shared" si="1"/>
        <v>0</v>
      </c>
      <c r="H9" s="99"/>
    </row>
    <row r="10" spans="1:8" x14ac:dyDescent="0.25">
      <c r="A10" s="99"/>
      <c r="B10" s="99"/>
      <c r="C10" s="108">
        <f>IF(IF(COUNTIF($C$3:C9,C32)&gt;=1,IF(COUNTIF($C$3:C9,C33)&gt;=1,IF(COUNTIF($C$3:C9,C34)&gt;=1,IF(COUNTIF($C$3:C9,C35)&gt;=1,IF(COUNTIF($C$3:C9,C36)&gt;=1,IF(COUNTIF($C$3:C9,C37)&gt;=1,IF(COUNTIF($C$3:C9,C38)&gt;=1,IF(COUNTIF($C$3:C9,C39)&gt;=1,IF(COUNTIF($C$3:C9,C40)&gt;=1,IF(COUNTIF($C$3:C9,C41)&gt;=1,IF(COUNTIF($C$3:C9,C42)&gt;=1,IF(COUNTIF($C$3:C9,C43)&gt;=1,IF(COUNTIF($C$3:C9,C44)&gt;=1,IF(COUNTIF($C$3:C9,C45)&gt;=1,IF(COUNTIF($C$3:C9,C46)&gt;=1,IF(COUNTIF($C$3:C9,C47)&gt;=1,IF(COUNTIF($C$3:C9,C48)&gt;=1,IF(COUNTIF($C$3:C9,C49)&gt;=1,IF(COUNTIF($C$3:C9,C50)&gt;=1,IF(COUNTIF($C$3:C9,C51)&gt;=1,C52,C51),C50),C49),C48),C47),C46),C45),C44),C43),C42),C41),C40),C39),C38),C37),C36),C35),C34),C33),C32)=0,,
IF(COUNTIF($C$3:C9,C32)&gt;=1,IF(COUNTIF($C$3:C9,C33)&gt;=1,IF(COUNTIF($C$3:C9,C34)&gt;=1,IF(COUNTIF($C$3:C9,C35)&gt;=1,IF(COUNTIF($C$3:C9,C36)&gt;=1,IF(COUNTIF($C$3:C9,C37)&gt;=1,IF(COUNTIF($C$3:C9,C38)&gt;=1,IF(COUNTIF($C$3:C9,C39)&gt;=1,IF(COUNTIF($C$3:C9,C40)&gt;=1,IF(COUNTIF($C$3:C9,C41)&gt;=1,IF(COUNTIF($C$3:C9,C42)&gt;=1,IF(COUNTIF($C$3:C9,C43)&gt;=1,IF(COUNTIF($C$3:C9,C44)&gt;=1,IF(COUNTIF($C$3:C9,C45)&gt;=1,IF(COUNTIF($C$3:C9,C46)&gt;=1,IF(COUNTIF($C$3:C9,C47)&gt;=1,IF(COUNTIF($C$3:C9,C48)&gt;=1,IF(COUNTIF($C$3:C9,C49)&gt;=1,IF(COUNTIF($C$3:C9,C50)&gt;=1,IF(COUNTIF($C$3:C9,C51)&gt;=1,C52,C51),C50),C49),C48),C47),C46),C45),C44),C43),C42),C41),C40),C39),C38),C37),C36),C35),C34),C33),C32))</f>
        <v>0</v>
      </c>
      <c r="D10" s="112">
        <f t="shared" si="0"/>
        <v>0</v>
      </c>
      <c r="E10" s="108"/>
      <c r="F10" s="108">
        <f>IF(IF(COUNTIF($F$3:F9,B32)&gt;=1,IF(COUNTIF($F$3:F9,B33)&gt;=1,IF(COUNTIF($F$3:F9,B34)&gt;=1,IF(COUNTIF($F$3:F9,B35)&gt;=1,IF(COUNTIF($F$3:F9,B36)&gt;=1,IF(COUNTIF($F$3:F9,B37)&gt;=1,IF(COUNTIF($F$3:F9,B38)&gt;=1,IF(COUNTIF($F$3:F9,B39)&gt;=1,IF(COUNTIF($F$3:F9,B40)&gt;=1,IF(COUNTIF($F$3:F9,B41)&gt;=1,IF(COUNTIF($F$3:F9,B42)&gt;=1,IF(COUNTIF($F$3:F9,B43)&gt;=1,IF(COUNTIF($F$3:F9,B44)&gt;=1,IF(COUNTIF($F$3:F9,B45)&gt;=1,IF(COUNTIF($F$3:F9,B46)&gt;=1,IF(COUNTIF($F$3:F9,B47)&gt;=1,IF(COUNTIF($F$3:F9,B48)&gt;=1,IF(COUNTIF($F$3:F9,B49)&gt;=1,IF(COUNTIF($F$3:F9,B50)&gt;=1,IF(COUNTIF($F$3:F9,B51)&gt;=1,B52,B51),B50),B49),B48),B47),B46),B45),B44),B43),B42),B41),B40),B39),B38),B37),B36),B35),B34),B33),B32)=0,,
IF(COUNTIF($F$3:F9,B32)&gt;=1,IF(COUNTIF($F$3:F9,B33)&gt;=1,IF(COUNTIF($F$3:F9,B34)&gt;=1,IF(COUNTIF($F$3:F9,B35)&gt;=1,IF(COUNTIF($F$3:F9,B36)&gt;=1,IF(COUNTIF($F$3:F9,B37)&gt;=1,IF(COUNTIF($F$3:F9,B38)&gt;=1,IF(COUNTIF($F$3:F9,B39)&gt;=1,IF(COUNTIF($F$3:F9,B40)&gt;=1,IF(COUNTIF($F$3:F9,B41)&gt;=1,IF(COUNTIF($F$3:F9,B42)&gt;=1,IF(COUNTIF($F$3:F9,B43)&gt;=1,IF(COUNTIF($F$3:F9,B44)&gt;=1,IF(COUNTIF($F$3:F9,B45)&gt;=1,IF(COUNTIF($F$3:F9,B46)&gt;=1,IF(COUNTIF($F$3:F9,B47)&gt;=1,IF(COUNTIF($F$3:F9,B48)&gt;=1,IF(COUNTIF($F$3:F9,B49)&gt;=1,IF(COUNTIF($F$3:F9,B50)&gt;=1,IF(COUNTIF($F$3:F9,B51)&gt;=1,B52,B51),B50),B49),B48),B47),B46),B45),B44),B43),B42),B41),B40),B39),B38),B37),B36),B35),B34),B33),B32))</f>
        <v>0</v>
      </c>
      <c r="G10" s="112">
        <f t="shared" si="1"/>
        <v>0</v>
      </c>
      <c r="H10" s="99"/>
    </row>
    <row r="11" spans="1:8" x14ac:dyDescent="0.25">
      <c r="A11" s="99"/>
      <c r="B11" s="99"/>
      <c r="C11" s="108">
        <f>IF(IF(COUNTIF($C$3:C10,C33)&gt;=1,IF(COUNTIF($C$3:C10,C34)&gt;=1,IF(COUNTIF($C$3:C10,C35)&gt;=1,IF(COUNTIF($C$3:C10,C36)&gt;=1,IF(COUNTIF($C$3:C10,C37)&gt;=1,IF(COUNTIF($C$3:C10,C38)&gt;=1,IF(COUNTIF($C$3:C10,C39)&gt;=1,IF(COUNTIF($C$3:C10,C40)&gt;=1,IF(COUNTIF($C$3:C10,C41)&gt;=1,IF(COUNTIF($C$3:C10,C42)&gt;=1,IF(COUNTIF($C$3:C10,C43)&gt;=1,IF(COUNTIF($C$3:C10,C44)&gt;=1,IF(COUNTIF($C$3:C10,C45)&gt;=1,IF(COUNTIF($C$3:C10,C46)&gt;=1,IF(COUNTIF($C$3:C10,C47)&gt;=1,IF(COUNTIF($C$3:C10,C48)&gt;=1,IF(COUNTIF($C$3:C10,C49)&gt;=1,IF(COUNTIF($C$3:C10,C50)&gt;=1,IF(COUNTIF($C$3:C10,C51)&gt;=1,IF(COUNTIF($C$3:C10,C52)&gt;=1,C53,C52),C51),C50),C49),C48),C47),C46),C45),C44),C43),C42),C41),C40),C39),C38),C37),C36),C35),C34),C33)=0,,
IF(COUNTIF($C$3:C10,C33)&gt;=1,IF(COUNTIF($C$3:C10,C34)&gt;=1,IF(COUNTIF($C$3:C10,C35)&gt;=1,IF(COUNTIF($C$3:C10,C36)&gt;=1,IF(COUNTIF($C$3:C10,C37)&gt;=1,IF(COUNTIF($C$3:C10,C38)&gt;=1,IF(COUNTIF($C$3:C10,C39)&gt;=1,IF(COUNTIF($C$3:C10,C40)&gt;=1,IF(COUNTIF($C$3:C10,C41)&gt;=1,IF(COUNTIF($C$3:C10,C42)&gt;=1,IF(COUNTIF($C$3:C10,C43)&gt;=1,IF(COUNTIF($C$3:C10,C44)&gt;=1,IF(COUNTIF($C$3:C10,C45)&gt;=1,IF(COUNTIF($C$3:C10,C46)&gt;=1,IF(COUNTIF($C$3:C10,C47)&gt;=1,IF(COUNTIF($C$3:C10,C48)&gt;=1,IF(COUNTIF($C$3:C10,C49)&gt;=1,IF(COUNTIF($C$3:C10,C50)&gt;=1,IF(COUNTIF($C$3:C10,C51)&gt;=1,IF(COUNTIF($C$3:C10,C52)&gt;=1,C53,C52),C51),C50),C49),C48),C47),C46),C45),C44),C43),C42),C41),C40),C39),C38),C37),C36),C35),C34),C33))</f>
        <v>0</v>
      </c>
      <c r="D11" s="112">
        <f t="shared" si="0"/>
        <v>0</v>
      </c>
      <c r="E11" s="108"/>
      <c r="F11" s="108">
        <f>IF(IF(COUNTIF($F$3:F10,B33)&gt;=1,IF(COUNTIF($F$3:F10,B34)&gt;=1,IF(COUNTIF($F$3:F10,B35)&gt;=1,IF(COUNTIF($F$3:F10,B36)&gt;=1,IF(COUNTIF($F$3:F10,B37)&gt;=1,IF(COUNTIF($F$3:F10,B38)&gt;=1,IF(COUNTIF($F$3:F10,B39)&gt;=1,IF(COUNTIF($F$3:F10,B40)&gt;=1,IF(COUNTIF($F$3:F10,B41)&gt;=1,IF(COUNTIF($F$3:F10,B42)&gt;=1,IF(COUNTIF($F$3:F10,B43)&gt;=1,IF(COUNTIF($F$3:F10,B44)&gt;=1,IF(COUNTIF($F$3:F10,B45)&gt;=1,IF(COUNTIF($F$3:F10,B46)&gt;=1,IF(COUNTIF($F$3:F10,B47)&gt;=1,IF(COUNTIF($F$3:F10,B48)&gt;=1,IF(COUNTIF($F$3:F10,B49)&gt;=1,IF(COUNTIF($F$3:F10,B50)&gt;=1,IF(COUNTIF($F$3:F10,B51)&gt;=1,IF(COUNTIF($F$3:F10,B52)&gt;=1,B53,B52),B51),B50),B49),B48),B47),B46),B45),B44),B43),B42),B41),B40),B39),B38),B37),B36),B35),B34),B33)=0,,
IF(COUNTIF($F$3:F10,B33)&gt;=1,IF(COUNTIF($F$3:F10,B34)&gt;=1,IF(COUNTIF($F$3:F10,B35)&gt;=1,IF(COUNTIF($F$3:F10,B36)&gt;=1,IF(COUNTIF($F$3:F10,B37)&gt;=1,IF(COUNTIF($F$3:F10,B38)&gt;=1,IF(COUNTIF($F$3:F10,B39)&gt;=1,IF(COUNTIF($F$3:F10,B40)&gt;=1,IF(COUNTIF($F$3:F10,B41)&gt;=1,IF(COUNTIF($F$3:F10,B42)&gt;=1,IF(COUNTIF($F$3:F10,B43)&gt;=1,IF(COUNTIF($F$3:F10,B44)&gt;=1,IF(COUNTIF($F$3:F10,B45)&gt;=1,IF(COUNTIF($F$3:F10,B46)&gt;=1,IF(COUNTIF($F$3:F10,B47)&gt;=1,IF(COUNTIF($F$3:F10,B48)&gt;=1,IF(COUNTIF($F$3:F10,B49)&gt;=1,IF(COUNTIF($F$3:F10,B50)&gt;=1,IF(COUNTIF($F$3:F10,B51)&gt;=1,IF(COUNTIF($F$3:F10,B52)&gt;=1,B53,B52),B51),B50),B49),B48),B47),B46),B45),B44),B43),B42),B41),B40),B39),B38),B37),B36),B35),B34),B33))</f>
        <v>0</v>
      </c>
      <c r="G11" s="112">
        <f t="shared" si="1"/>
        <v>0</v>
      </c>
      <c r="H11" s="99"/>
    </row>
    <row r="12" spans="1:8" x14ac:dyDescent="0.25">
      <c r="A12" s="99"/>
      <c r="B12" s="99"/>
      <c r="C12" s="108">
        <f>IF(IF(COUNTIF($C$3:C11,C34)&gt;=1,IF(COUNTIF($C$3:C11,C35)&gt;=1,IF(COUNTIF($C$3:C11,C36)&gt;=1,IF(COUNTIF($C$3:C11,C37)&gt;=1,IF(COUNTIF($C$3:C11,C38)&gt;=1,IF(COUNTIF($C$3:C11,C39)&gt;=1,IF(COUNTIF($C$3:C11,C40)&gt;=1,IF(COUNTIF($C$3:C11,C41)&gt;=1,IF(COUNTIF($C$3:C11,C42)&gt;=1,IF(COUNTIF($C$3:C11,C43)&gt;=1,IF(COUNTIF($C$3:C11,C44)&gt;=1,IF(COUNTIF($C$3:C11,C45)&gt;=1,IF(COUNTIF($C$3:C11,C46)&gt;=1,IF(COUNTIF($C$3:C11,C47)&gt;=1,IF(COUNTIF($C$3:C11,C48)&gt;=1,IF(COUNTIF($C$3:C11,C49)&gt;=1,IF(COUNTIF($C$3:C11,C50)&gt;=1,IF(COUNTIF($C$3:C11,C51)&gt;=1,IF(COUNTIF($C$3:C11,C52)&gt;=1,IF(COUNTIF($C$3:C11,C53)&gt;=1,C54,C53),C52),C51),C50),C49),C48),C47),C46),C45),C44),C43),C42),C41),C40),C39),C38),C37),C36),C35),C34)=0,,
IF(COUNTIF($C$3:C11,C34)&gt;=1,IF(COUNTIF($C$3:C11,C35)&gt;=1,IF(COUNTIF($C$3:C11,C36)&gt;=1,IF(COUNTIF($C$3:C11,C37)&gt;=1,IF(COUNTIF($C$3:C11,C38)&gt;=1,IF(COUNTIF($C$3:C11,C39)&gt;=1,IF(COUNTIF($C$3:C11,C40)&gt;=1,IF(COUNTIF($C$3:C11,C41)&gt;=1,IF(COUNTIF($C$3:C11,C42)&gt;=1,IF(COUNTIF($C$3:C11,C43)&gt;=1,IF(COUNTIF($C$3:C11,C44)&gt;=1,IF(COUNTIF($C$3:C11,C45)&gt;=1,IF(COUNTIF($C$3:C11,C46)&gt;=1,IF(COUNTIF($C$3:C11,C47)&gt;=1,IF(COUNTIF($C$3:C11,C48)&gt;=1,IF(COUNTIF($C$3:C11,C49)&gt;=1,IF(COUNTIF($C$3:C11,C50)&gt;=1,IF(COUNTIF($C$3:C11,C51)&gt;=1,IF(COUNTIF($C$3:C11,C52)&gt;=1,IF(COUNTIF($C$3:C11,C53)&gt;=1,C54,C53),C52),C51),C50),C49),C48),C47),C46),C45),C44),C43),C42),C41),C40),C39),C38),C37),C36),C35),C34))</f>
        <v>0</v>
      </c>
      <c r="D12" s="112">
        <f t="shared" si="0"/>
        <v>0</v>
      </c>
      <c r="E12" s="108"/>
      <c r="F12" s="108">
        <f>IF(IF(COUNTIF($F$3:F11,B34)&gt;=1,IF(COUNTIF($F$3:F11,B35)&gt;=1,IF(COUNTIF($F$3:F11,B36)&gt;=1,IF(COUNTIF($F$3:F11,B37)&gt;=1,IF(COUNTIF($F$3:F11,B38)&gt;=1,IF(COUNTIF($F$3:F11,B39)&gt;=1,IF(COUNTIF($F$3:F11,B40)&gt;=1,IF(COUNTIF($F$3:F11,B41)&gt;=1,IF(COUNTIF($F$3:F11,B42)&gt;=1,IF(COUNTIF($F$3:F11,B43)&gt;=1,IF(COUNTIF($F$3:F11,B44)&gt;=1,IF(COUNTIF($F$3:F11,B45)&gt;=1,IF(COUNTIF($F$3:F11,B46)&gt;=1,IF(COUNTIF($F$3:F11,B47)&gt;=1,IF(COUNTIF($F$3:F11,B48)&gt;=1,IF(COUNTIF($F$3:F11,B49)&gt;=1,IF(COUNTIF($F$3:F11,B50)&gt;=1,IF(COUNTIF($F$3:F11,B51)&gt;=1,IF(COUNTIF($F$3:F11,B52)&gt;=1,IF(COUNTIF($F$3:F11,B53)&gt;=1,B54,B53),B52),B51),B50),B49),B48),B47),B46),B45),B44),B43),B42),B41),B40),B39),B38),B37),B36),B35),B34)=0,,
IF(COUNTIF($F$3:F11,B34)&gt;=1,IF(COUNTIF($F$3:F11,B35)&gt;=1,IF(COUNTIF($F$3:F11,B36)&gt;=1,IF(COUNTIF($F$3:F11,B37)&gt;=1,IF(COUNTIF($F$3:F11,B38)&gt;=1,IF(COUNTIF($F$3:F11,B39)&gt;=1,IF(COUNTIF($F$3:F11,B40)&gt;=1,IF(COUNTIF($F$3:F11,B41)&gt;=1,IF(COUNTIF($F$3:F11,B42)&gt;=1,IF(COUNTIF($F$3:F11,B43)&gt;=1,IF(COUNTIF($F$3:F11,B44)&gt;=1,IF(COUNTIF($F$3:F11,B45)&gt;=1,IF(COUNTIF($F$3:F11,B46)&gt;=1,IF(COUNTIF($F$3:F11,B47)&gt;=1,IF(COUNTIF($F$3:F11,B48)&gt;=1,IF(COUNTIF($F$3:F11,B49)&gt;=1,IF(COUNTIF($F$3:F11,B50)&gt;=1,IF(COUNTIF($F$3:F11,B51)&gt;=1,IF(COUNTIF($F$3:F11,B52)&gt;=1,IF(COUNTIF($F$3:F11,B53)&gt;=1,B54,B53),B52),B51),B50),B49),B48),B47),B46),B45),B44),B43),B42),B41),B40),B39),B38),B37),B36),B35),B34))</f>
        <v>0</v>
      </c>
      <c r="G12" s="112">
        <f t="shared" si="1"/>
        <v>0</v>
      </c>
      <c r="H12" s="99"/>
    </row>
    <row r="13" spans="1:8" x14ac:dyDescent="0.25">
      <c r="A13" s="99"/>
      <c r="B13" s="99"/>
      <c r="C13" s="108">
        <f>IF(IF(COUNTIF($C$3:C12,C35)&gt;=1,IF(COUNTIF($C$3:C12,C36)&gt;=1,IF(COUNTIF($C$3:C12,C37)&gt;=1,IF(COUNTIF($C$3:C12,C38)&gt;=1,IF(COUNTIF($C$3:C12,C39)&gt;=1,IF(COUNTIF($C$3:C12,C40)&gt;=1,IF(COUNTIF($C$3:C12,C41)&gt;=1,IF(COUNTIF($C$3:C12,C42)&gt;=1,IF(COUNTIF($C$3:C12,C43)&gt;=1,IF(COUNTIF($C$3:C12,C44)&gt;=1,IF(COUNTIF($C$3:C12,C45)&gt;=1,IF(COUNTIF($C$3:C12,C46)&gt;=1,IF(COUNTIF($C$3:C12,C47)&gt;=1,IF(COUNTIF($C$3:C12,C48)&gt;=1,IF(COUNTIF($C$3:C12,C49)&gt;=1,IF(COUNTIF($C$3:C12,C50)&gt;=1,IF(COUNTIF($C$3:C12,C51)&gt;=1,IF(COUNTIF($C$3:C12,C52)&gt;=1,IF(COUNTIF($C$3:C12,C53)&gt;=1,IF(COUNTIF($C$3:C12,C54)&gt;=1,C55,C54),C53),C52),C51),C50),C49),C48),C47),C46),C45),C44),C43),C42),C41),C40),C39),C38),C37),C36),C35)=0,,
IF(COUNTIF($C$3:C12,C35)&gt;=1,IF(COUNTIF($C$3:C12,C36)&gt;=1,IF(COUNTIF($C$3:C12,C37)&gt;=1,IF(COUNTIF($C$3:C12,C38)&gt;=1,IF(COUNTIF($C$3:C12,C39)&gt;=1,IF(COUNTIF($C$3:C12,C40)&gt;=1,IF(COUNTIF($C$3:C12,C41)&gt;=1,IF(COUNTIF($C$3:C12,C42)&gt;=1,IF(COUNTIF($C$3:C12,C43)&gt;=1,IF(COUNTIF($C$3:C12,C44)&gt;=1,IF(COUNTIF($C$3:C12,C45)&gt;=1,IF(COUNTIF($C$3:C12,C46)&gt;=1,IF(COUNTIF($C$3:C12,C47)&gt;=1,IF(COUNTIF($C$3:C12,C48)&gt;=1,IF(COUNTIF($C$3:C12,C49)&gt;=1,IF(COUNTIF($C$3:C12,C50)&gt;=1,IF(COUNTIF($C$3:C12,C51)&gt;=1,IF(COUNTIF($C$3:C12,C52)&gt;=1,IF(COUNTIF($C$3:C12,C53)&gt;=1,IF(COUNTIF($C$3:C12,C54)&gt;=1,C55,C54),C53),C52),C51),C50),C49),C48),C47),C46),C45),C44),C43),C42),C41),C40),C39),C38),C37),C36),C35))</f>
        <v>0</v>
      </c>
      <c r="D13" s="112">
        <f t="shared" si="0"/>
        <v>0</v>
      </c>
      <c r="E13" s="108"/>
      <c r="F13" s="108">
        <f>IF(IF(COUNTIF($F$3:F12,B35)&gt;=1,IF(COUNTIF($F$3:F12,B36)&gt;=1,IF(COUNTIF($F$3:F12,B37)&gt;=1,IF(COUNTIF($F$3:F12,B38)&gt;=1,IF(COUNTIF($F$3:F12,B39)&gt;=1,IF(COUNTIF($F$3:F12,B40)&gt;=1,IF(COUNTIF($F$3:F12,B41)&gt;=1,IF(COUNTIF($F$3:F12,B42)&gt;=1,IF(COUNTIF($F$3:F12,B43)&gt;=1,IF(COUNTIF($F$3:F12,B44)&gt;=1,IF(COUNTIF($F$3:F12,B45)&gt;=1,IF(COUNTIF($F$3:F12,B46)&gt;=1,IF(COUNTIF($F$3:F12,B47)&gt;=1,IF(COUNTIF($F$3:F12,B48)&gt;=1,IF(COUNTIF($F$3:F12,B49)&gt;=1,IF(COUNTIF($F$3:F12,B50)&gt;=1,IF(COUNTIF($F$3:F12,B51)&gt;=1,IF(COUNTIF($F$3:F12,B52)&gt;=1,IF(COUNTIF($F$3:F12,B53)&gt;=1,IF(COUNTIF($F$3:F12,B54)&gt;=1,B55,B54),B53),B52),B51),B50),B49),B48),B47),B46),B45),B44),B43),B42),B41),B40),B39),B38),B37),B36),B35)=0,,
IF(COUNTIF($F$3:F12,B35)&gt;=1,IF(COUNTIF($F$3:F12,B36)&gt;=1,IF(COUNTIF($F$3:F12,B37)&gt;=1,IF(COUNTIF($F$3:F12,B38)&gt;=1,IF(COUNTIF($F$3:F12,B39)&gt;=1,IF(COUNTIF($F$3:F12,B40)&gt;=1,IF(COUNTIF($F$3:F12,B41)&gt;=1,IF(COUNTIF($F$3:F12,B42)&gt;=1,IF(COUNTIF($F$3:F12,B43)&gt;=1,IF(COUNTIF($F$3:F12,B44)&gt;=1,IF(COUNTIF($F$3:F12,B45)&gt;=1,IF(COUNTIF($F$3:F12,B46)&gt;=1,IF(COUNTIF($F$3:F12,B47)&gt;=1,IF(COUNTIF($F$3:F12,B48)&gt;=1,IF(COUNTIF($F$3:F12,B49)&gt;=1,IF(COUNTIF($F$3:F12,B50)&gt;=1,IF(COUNTIF($F$3:F12,B51)&gt;=1,IF(COUNTIF($F$3:F12,B52)&gt;=1,IF(COUNTIF($F$3:F12,B53)&gt;=1,IF(COUNTIF($F$3:F12,B54)&gt;=1,B55,B54),B53),B52),B51),B50),B49),B48),B47),B46),B45),B44),B43),B42),B41),B40),B39),B38),B37),B36),B35))</f>
        <v>0</v>
      </c>
      <c r="G13" s="112">
        <f t="shared" si="1"/>
        <v>0</v>
      </c>
      <c r="H13" s="99"/>
    </row>
    <row r="14" spans="1:8" x14ac:dyDescent="0.25">
      <c r="A14" s="99"/>
      <c r="B14" s="99"/>
      <c r="C14" s="108">
        <f>IF(IF(COUNTIF($C$3:C13,C36)&gt;=1,IF(COUNTIF($C$3:C13,C37)&gt;=1,IF(COUNTIF($C$3:C13,C38)&gt;=1,IF(COUNTIF($C$3:C13,C39)&gt;=1,IF(COUNTIF($C$3:C13,C40)&gt;=1,IF(COUNTIF($C$3:C13,C41)&gt;=1,IF(COUNTIF($C$3:C13,C42)&gt;=1,IF(COUNTIF($C$3:C13,C43)&gt;=1,IF(COUNTIF($C$3:C13,C44)&gt;=1,IF(COUNTIF($C$3:C13,C45)&gt;=1,IF(COUNTIF($C$3:C13,C46)&gt;=1,IF(COUNTIF($C$3:C13,C47)&gt;=1,IF(COUNTIF($C$3:C13,C48)&gt;=1,IF(COUNTIF($C$3:C13,C49)&gt;=1,IF(COUNTIF($C$3:C13,C50)&gt;=1,IF(COUNTIF($C$3:C13,C51)&gt;=1,IF(COUNTIF($C$3:C13,C52)&gt;=1,IF(COUNTIF($C$3:C13,C53)&gt;=1,IF(COUNTIF($C$3:C13,C54)&gt;=1,IF(COUNTIF($C$3:C13,C55)&gt;=1,C56,C55),C54),C53),C52),C51),C50),C49),C48),C47),C46),C45),C44),C43),C42),C41),C40),C39),C38),C37),C36)=0,,
IF(COUNTIF($C$3:C13,C36)&gt;=1,IF(COUNTIF($C$3:C13,C37)&gt;=1,IF(COUNTIF($C$3:C13,C38)&gt;=1,IF(COUNTIF($C$3:C13,C39)&gt;=1,IF(COUNTIF($C$3:C13,C40)&gt;=1,IF(COUNTIF($C$3:C13,C41)&gt;=1,IF(COUNTIF($C$3:C13,C42)&gt;=1,IF(COUNTIF($C$3:C13,C43)&gt;=1,IF(COUNTIF($C$3:C13,C44)&gt;=1,IF(COUNTIF($C$3:C13,C45)&gt;=1,IF(COUNTIF($C$3:C13,C46)&gt;=1,IF(COUNTIF($C$3:C13,C47)&gt;=1,IF(COUNTIF($C$3:C13,C48)&gt;=1,IF(COUNTIF($C$3:C13,C49)&gt;=1,IF(COUNTIF($C$3:C13,C50)&gt;=1,IF(COUNTIF($C$3:C13,C51)&gt;=1,IF(COUNTIF($C$3:C13,C52)&gt;=1,IF(COUNTIF($C$3:C13,C53)&gt;=1,IF(COUNTIF($C$3:C13,C54)&gt;=1,IF(COUNTIF($C$3:C13,C55)&gt;=1,C56,C55),C54),C53),C52),C51),C50),C49),C48),C47),C46),C45),C44),C43),C42),C41),C40),C39),C38),C37),C36))</f>
        <v>0</v>
      </c>
      <c r="D14" s="112">
        <f t="shared" si="0"/>
        <v>0</v>
      </c>
      <c r="E14" s="108"/>
      <c r="F14" s="108">
        <f>IF(IF(COUNTIF($F$3:F13,B36)&gt;=1,IF(COUNTIF($F$3:F13,B37)&gt;=1,IF(COUNTIF($F$3:F13,B38)&gt;=1,IF(COUNTIF($F$3:F13,B39)&gt;=1,IF(COUNTIF($F$3:F13,B40)&gt;=1,IF(COUNTIF($F$3:F13,B41)&gt;=1,IF(COUNTIF($F$3:F13,B42)&gt;=1,IF(COUNTIF($F$3:F13,B43)&gt;=1,IF(COUNTIF($F$3:F13,B44)&gt;=1,IF(COUNTIF($F$3:F13,B45)&gt;=1,IF(COUNTIF($F$3:F13,B46)&gt;=1,IF(COUNTIF($F$3:F13,B47)&gt;=1,IF(COUNTIF($F$3:F13,B48)&gt;=1,IF(COUNTIF($F$3:F13,B49)&gt;=1,IF(COUNTIF($F$3:F13,B50)&gt;=1,IF(COUNTIF($F$3:F13,B51)&gt;=1,IF(COUNTIF($F$3:F13,B52)&gt;=1,IF(COUNTIF($F$3:F13,B53)&gt;=1,IF(COUNTIF($F$3:F13,B54)&gt;=1,IF(COUNTIF($F$3:F13,B55)&gt;=1,B56,B55),B54),B53),B52),B51),B50),B49),B48),B47),B46),B45),B44),B43),B42),B41),B40),B39),B38),B37),B36)=0,,
IF(COUNTIF($F$3:F13,B36)&gt;=1,IF(COUNTIF($F$3:F13,B37)&gt;=1,IF(COUNTIF($F$3:F13,B38)&gt;=1,IF(COUNTIF($F$3:F13,B39)&gt;=1,IF(COUNTIF($F$3:F13,B40)&gt;=1,IF(COUNTIF($F$3:F13,B41)&gt;=1,IF(COUNTIF($F$3:F13,B42)&gt;=1,IF(COUNTIF($F$3:F13,B43)&gt;=1,IF(COUNTIF($F$3:F13,B44)&gt;=1,IF(COUNTIF($F$3:F13,B45)&gt;=1,IF(COUNTIF($F$3:F13,B46)&gt;=1,IF(COUNTIF($F$3:F13,B47)&gt;=1,IF(COUNTIF($F$3:F13,B48)&gt;=1,IF(COUNTIF($F$3:F13,B49)&gt;=1,IF(COUNTIF($F$3:F13,B50)&gt;=1,IF(COUNTIF($F$3:F13,B51)&gt;=1,IF(COUNTIF($F$3:F13,B52)&gt;=1,IF(COUNTIF($F$3:F13,B53)&gt;=1,IF(COUNTIF($F$3:F13,B54)&gt;=1,IF(COUNTIF($F$3:F13,B55)&gt;=1,B56,B55),B54),B53),B52),B51),B50),B49),B48),B47),B46),B45),B44),B43),B42),B41),B40),B39),B38),B37),B36))</f>
        <v>0</v>
      </c>
      <c r="G14" s="112">
        <f t="shared" si="1"/>
        <v>0</v>
      </c>
      <c r="H14" s="99"/>
    </row>
    <row r="15" spans="1:8" x14ac:dyDescent="0.25">
      <c r="A15" s="99"/>
      <c r="B15" s="99"/>
      <c r="C15" s="108">
        <f>IF(IF(COUNTIF($C$3:C14,C37)&gt;=1,IF(COUNTIF($C$3:C14,C38)&gt;=1,IF(COUNTIF($C$3:C14,C39)&gt;=1,IF(COUNTIF($C$3:C14,C40)&gt;=1,IF(COUNTIF($C$3:C14,C41)&gt;=1,IF(COUNTIF($C$3:C14,C42)&gt;=1,IF(COUNTIF($C$3:C14,C43)&gt;=1,IF(COUNTIF($C$3:C14,C44)&gt;=1,IF(COUNTIF($C$3:C14,C45)&gt;=1,IF(COUNTIF($C$3:C14,C46)&gt;=1,IF(COUNTIF($C$3:C14,C47)&gt;=1,IF(COUNTIF($C$3:C14,C48)&gt;=1,IF(COUNTIF($C$3:C14,C49)&gt;=1,IF(COUNTIF($C$3:C14,C50)&gt;=1,IF(COUNTIF($C$3:C14,C51)&gt;=1,IF(COUNTIF($C$3:C14,C52)&gt;=1,IF(COUNTIF($C$3:C14,C53)&gt;=1,IF(COUNTIF($C$3:C14,C54)&gt;=1,IF(COUNTIF($C$3:C14,C55)&gt;=1,IF(COUNTIF($C$3:C14,C56)&gt;=1,C57,C56),C55),C54),C53),C52),C51),C50),C49),C48),C47),C46),C45),C44),C43),C42),C41),C40),C39),C38),C37)=0,,
IF(COUNTIF($C$3:C14,C37)&gt;=1,IF(COUNTIF($C$3:C14,C38)&gt;=1,IF(COUNTIF($C$3:C14,C39)&gt;=1,IF(COUNTIF($C$3:C14,C40)&gt;=1,IF(COUNTIF($C$3:C14,C41)&gt;=1,IF(COUNTIF($C$3:C14,C42)&gt;=1,IF(COUNTIF($C$3:C14,C43)&gt;=1,IF(COUNTIF($C$3:C14,C44)&gt;=1,IF(COUNTIF($C$3:C14,C45)&gt;=1,IF(COUNTIF($C$3:C14,C46)&gt;=1,IF(COUNTIF($C$3:C14,C47)&gt;=1,IF(COUNTIF($C$3:C14,C48)&gt;=1,IF(COUNTIF($C$3:C14,C49)&gt;=1,IF(COUNTIF($C$3:C14,C50)&gt;=1,IF(COUNTIF($C$3:C14,C51)&gt;=1,IF(COUNTIF($C$3:C14,C52)&gt;=1,IF(COUNTIF($C$3:C14,C53)&gt;=1,IF(COUNTIF($C$3:C14,C54)&gt;=1,IF(COUNTIF($C$3:C14,C55)&gt;=1,IF(COUNTIF($C$3:C14,C56)&gt;=1,C57,C56),C55),C54),C53),C52),C51),C50),C49),C48),C47),C46),C45),C44),C43),C42),C41),C40),C39),C38),C37))</f>
        <v>0</v>
      </c>
      <c r="D15" s="112">
        <f t="shared" si="0"/>
        <v>0</v>
      </c>
      <c r="E15" s="108"/>
      <c r="F15" s="108">
        <f>IF(IF(COUNTIF($F$3:F14,B37)&gt;=1,IF(COUNTIF($F$3:F14,B38)&gt;=1,IF(COUNTIF($F$3:F14,B39)&gt;=1,IF(COUNTIF($F$3:F14,B40)&gt;=1,IF(COUNTIF($F$3:F14,B41)&gt;=1,IF(COUNTIF($F$3:F14,B42)&gt;=1,IF(COUNTIF($F$3:F14,B43)&gt;=1,IF(COUNTIF($F$3:F14,B44)&gt;=1,IF(COUNTIF($F$3:F14,B45)&gt;=1,IF(COUNTIF($F$3:F14,B46)&gt;=1,IF(COUNTIF($F$3:F14,B47)&gt;=1,IF(COUNTIF($F$3:F14,B48)&gt;=1,IF(COUNTIF($F$3:F14,B49)&gt;=1,IF(COUNTIF($F$3:F14,B50)&gt;=1,IF(COUNTIF($F$3:F14,B51)&gt;=1,IF(COUNTIF($F$3:F14,B52)&gt;=1,IF(COUNTIF($F$3:F14,B53)&gt;=1,IF(COUNTIF($F$3:F14,B54)&gt;=1,IF(COUNTIF($F$3:F14,B55)&gt;=1,IF(COUNTIF($F$3:F14,B56)&gt;=1,B57,B56),B55),B54),B53),B52),B51),B50),B49),B48),B47),B46),B45),B44),B43),B42),B41),B40),B39),B38),B37)=0,,
IF(COUNTIF($F$3:F14,B37)&gt;=1,IF(COUNTIF($F$3:F14,B38)&gt;=1,IF(COUNTIF($F$3:F14,B39)&gt;=1,IF(COUNTIF($F$3:F14,B40)&gt;=1,IF(COUNTIF($F$3:F14,B41)&gt;=1,IF(COUNTIF($F$3:F14,B42)&gt;=1,IF(COUNTIF($F$3:F14,B43)&gt;=1,IF(COUNTIF($F$3:F14,B44)&gt;=1,IF(COUNTIF($F$3:F14,B45)&gt;=1,IF(COUNTIF($F$3:F14,B46)&gt;=1,IF(COUNTIF($F$3:F14,B47)&gt;=1,IF(COUNTIF($F$3:F14,B48)&gt;=1,IF(COUNTIF($F$3:F14,B49)&gt;=1,IF(COUNTIF($F$3:F14,B50)&gt;=1,IF(COUNTIF($F$3:F14,B51)&gt;=1,IF(COUNTIF($F$3:F14,B52)&gt;=1,IF(COUNTIF($F$3:F14,B53)&gt;=1,IF(COUNTIF($F$3:F14,B54)&gt;=1,IF(COUNTIF($F$3:F14,B55)&gt;=1,IF(COUNTIF($F$3:F14,B56)&gt;=1,B57,B56),B55),B54),B53),B52),B51),B50),B49),B48),B47),B46),B45),B44),B43),B42),B41),B40),B39),B38),B37))</f>
        <v>0</v>
      </c>
      <c r="G15" s="112">
        <f t="shared" si="1"/>
        <v>0</v>
      </c>
      <c r="H15" s="99"/>
    </row>
    <row r="16" spans="1:8" x14ac:dyDescent="0.25">
      <c r="A16" s="99"/>
      <c r="B16" s="99"/>
      <c r="C16" s="108">
        <f>IF(IF(COUNTIF($C$3:C15,C38)&gt;=1,IF(COUNTIF($C$3:C15,C39)&gt;=1,IF(COUNTIF($C$3:C15,C40)&gt;=1,IF(COUNTIF($C$3:C15,C41)&gt;=1,IF(COUNTIF($C$3:C15,C42)&gt;=1,IF(COUNTIF($C$3:C15,C43)&gt;=1,IF(COUNTIF($C$3:C15,C44)&gt;=1,IF(COUNTIF($C$3:C15,C45)&gt;=1,IF(COUNTIF($C$3:C15,C46)&gt;=1,IF(COUNTIF($C$3:C15,C47)&gt;=1,IF(COUNTIF($C$3:C15,C48)&gt;=1,IF(COUNTIF($C$3:C15,C49)&gt;=1,IF(COUNTIF($C$3:C15,C50)&gt;=1,IF(COUNTIF($C$3:C15,C51)&gt;=1,IF(COUNTIF($C$3:C15,C52)&gt;=1,IF(COUNTIF($C$3:C15,C53)&gt;=1,IF(COUNTIF($C$3:C15,C54)&gt;=1,IF(COUNTIF($C$3:C15,C55)&gt;=1,IF(COUNTIF($C$3:C15,C56)&gt;=1,IF(COUNTIF($C$3:C15,C57)&gt;=1,C58,C57),C56),C55),C54),C53),C52),C51),C50),C49),C48),C47),C46),C45),C44),C43),C42),C41),C40),C39),C38)=0,,
IF(COUNTIF($C$3:C15,C38)&gt;=1,IF(COUNTIF($C$3:C15,C39)&gt;=1,IF(COUNTIF($C$3:C15,C40)&gt;=1,IF(COUNTIF($C$3:C15,C41)&gt;=1,IF(COUNTIF($C$3:C15,C42)&gt;=1,IF(COUNTIF($C$3:C15,C43)&gt;=1,IF(COUNTIF($C$3:C15,C44)&gt;=1,IF(COUNTIF($C$3:C15,C45)&gt;=1,IF(COUNTIF($C$3:C15,C46)&gt;=1,IF(COUNTIF($C$3:C15,C47)&gt;=1,IF(COUNTIF($C$3:C15,C48)&gt;=1,IF(COUNTIF($C$3:C15,C49)&gt;=1,IF(COUNTIF($C$3:C15,C50)&gt;=1,IF(COUNTIF($C$3:C15,C51)&gt;=1,IF(COUNTIF($C$3:C15,C52)&gt;=1,IF(COUNTIF($C$3:C15,C53)&gt;=1,IF(COUNTIF($C$3:C15,C54)&gt;=1,IF(COUNTIF($C$3:C15,C55)&gt;=1,IF(COUNTIF($C$3:C15,C56)&gt;=1,IF(COUNTIF($C$3:C15,C57)&gt;=1,C58,C57),C56),C55),C54),C53),C52),C51),C50),C49),C48),C47),C46),C45),C44),C43),C42),C41),C40),C39),C38))</f>
        <v>0</v>
      </c>
      <c r="D16" s="112">
        <f t="shared" si="0"/>
        <v>0</v>
      </c>
      <c r="E16" s="108"/>
      <c r="F16" s="108">
        <f>IF(IF(COUNTIF($F$3:F15,B38)&gt;=1,IF(COUNTIF($F$3:F15,B39)&gt;=1,IF(COUNTIF($F$3:F15,B40)&gt;=1,IF(COUNTIF($F$3:F15,B41)&gt;=1,IF(COUNTIF($F$3:F15,B42)&gt;=1,IF(COUNTIF($F$3:F15,B43)&gt;=1,IF(COUNTIF($F$3:F15,B44)&gt;=1,IF(COUNTIF($F$3:F15,B45)&gt;=1,IF(COUNTIF($F$3:F15,B46)&gt;=1,IF(COUNTIF($F$3:F15,B47)&gt;=1,IF(COUNTIF($F$3:F15,B48)&gt;=1,IF(COUNTIF($F$3:F15,B49)&gt;=1,IF(COUNTIF($F$3:F15,B50)&gt;=1,IF(COUNTIF($F$3:F15,B51)&gt;=1,IF(COUNTIF($F$3:F15,B52)&gt;=1,IF(COUNTIF($F$3:F15,B53)&gt;=1,IF(COUNTIF($F$3:F15,B54)&gt;=1,IF(COUNTIF($F$3:F15,B55)&gt;=1,IF(COUNTIF($F$3:F15,B56)&gt;=1,IF(COUNTIF($F$3:F15,B57)&gt;=1,B58,B57),B56),B55),B54),B53),B52),B51),B50),B49),B48),B47),B46),B45),B44),B43),B42),B41),B40),B39),B38)=0,,
IF(COUNTIF($F$3:F15,B38)&gt;=1,IF(COUNTIF($F$3:F15,B39)&gt;=1,IF(COUNTIF($F$3:F15,B40)&gt;=1,IF(COUNTIF($F$3:F15,B41)&gt;=1,IF(COUNTIF($F$3:F15,B42)&gt;=1,IF(COUNTIF($F$3:F15,B43)&gt;=1,IF(COUNTIF($F$3:F15,B44)&gt;=1,IF(COUNTIF($F$3:F15,B45)&gt;=1,IF(COUNTIF($F$3:F15,B46)&gt;=1,IF(COUNTIF($F$3:F15,B47)&gt;=1,IF(COUNTIF($F$3:F15,B48)&gt;=1,IF(COUNTIF($F$3:F15,B49)&gt;=1,IF(COUNTIF($F$3:F15,B50)&gt;=1,IF(COUNTIF($F$3:F15,B51)&gt;=1,IF(COUNTIF($F$3:F15,B52)&gt;=1,IF(COUNTIF($F$3:F15,B53)&gt;=1,IF(COUNTIF($F$3:F15,B54)&gt;=1,IF(COUNTIF($F$3:F15,B55)&gt;=1,IF(COUNTIF($F$3:F15,B56)&gt;=1,IF(COUNTIF($F$3:F15,B57)&gt;=1,B58,B57),B56),B55),B54),B53),B52),B51),B50),B49),B48),B47),B46),B45),B44),B43),B42),B41),B40),B39),B38))</f>
        <v>0</v>
      </c>
      <c r="G16" s="112">
        <f t="shared" si="1"/>
        <v>0</v>
      </c>
      <c r="H16" s="99"/>
    </row>
    <row r="17" spans="1:8" x14ac:dyDescent="0.25">
      <c r="A17" s="99"/>
      <c r="B17" s="99"/>
      <c r="C17" s="108">
        <f>IF(IF(COUNTIF($C$3:C16,C39)&gt;=1,IF(COUNTIF($C$3:C16,C40)&gt;=1,IF(COUNTIF($C$3:C16,C41)&gt;=1,IF(COUNTIF($C$3:C16,C42)&gt;=1,IF(COUNTIF($C$3:C16,C43)&gt;=1,IF(COUNTIF($C$3:C16,C44)&gt;=1,IF(COUNTIF($C$3:C16,C45)&gt;=1,IF(COUNTIF($C$3:C16,C46)&gt;=1,IF(COUNTIF($C$3:C16,C47)&gt;=1,IF(COUNTIF($C$3:C16,C48)&gt;=1,IF(COUNTIF($C$3:C16,C49)&gt;=1,IF(COUNTIF($C$3:C16,C50)&gt;=1,IF(COUNTIF($C$3:C16,C51)&gt;=1,IF(COUNTIF($C$3:C16,C52)&gt;=1,IF(COUNTIF($C$3:C16,C53)&gt;=1,IF(COUNTIF($C$3:C16,C54)&gt;=1,IF(COUNTIF($C$3:C16,C55)&gt;=1,IF(COUNTIF($C$3:C16,C56)&gt;=1,IF(COUNTIF($C$3:C16,C57)&gt;=1,IF(COUNTIF($C$3:C16,C58)&gt;=1,C59,C58),C57),C56),C55),C54),C53),C52),C51),C50),C49),C48),C47),C46),C45),C44),C43),C42),C41),C40),C39)=0,,
IF(COUNTIF($C$3:C16,C39)&gt;=1,IF(COUNTIF($C$3:C16,C40)&gt;=1,IF(COUNTIF($C$3:C16,C41)&gt;=1,IF(COUNTIF($C$3:C16,C42)&gt;=1,IF(COUNTIF($C$3:C16,C43)&gt;=1,IF(COUNTIF($C$3:C16,C44)&gt;=1,IF(COUNTIF($C$3:C16,C45)&gt;=1,IF(COUNTIF($C$3:C16,C46)&gt;=1,IF(COUNTIF($C$3:C16,C47)&gt;=1,IF(COUNTIF($C$3:C16,C48)&gt;=1,IF(COUNTIF($C$3:C16,C49)&gt;=1,IF(COUNTIF($C$3:C16,C50)&gt;=1,IF(COUNTIF($C$3:C16,C51)&gt;=1,IF(COUNTIF($C$3:C16,C52)&gt;=1,IF(COUNTIF($C$3:C16,C53)&gt;=1,IF(COUNTIF($C$3:C16,C54)&gt;=1,IF(COUNTIF($C$3:C16,C55)&gt;=1,IF(COUNTIF($C$3:C16,C56)&gt;=1,IF(COUNTIF($C$3:C16,C57)&gt;=1,IF(COUNTIF($C$3:C16,C58)&gt;=1,C59,C58),C57),C56),C55),C54),C53),C52),C51),C50),C49),C48),C47),C46),C45),C44),C43),C42),C41),C40),C39))</f>
        <v>0</v>
      </c>
      <c r="D17" s="112">
        <f t="shared" si="0"/>
        <v>0</v>
      </c>
      <c r="E17" s="108"/>
      <c r="F17" s="108">
        <f>IF(IF(COUNTIF($F$3:F16,B39)&gt;=1,IF(COUNTIF($F$3:F16,B40)&gt;=1,IF(COUNTIF($F$3:F16,B41)&gt;=1,IF(COUNTIF($F$3:F16,B42)&gt;=1,IF(COUNTIF($F$3:F16,B43)&gt;=1,IF(COUNTIF($F$3:F16,B44)&gt;=1,IF(COUNTIF($F$3:F16,B45)&gt;=1,IF(COUNTIF($F$3:F16,B46)&gt;=1,IF(COUNTIF($F$3:F16,B47)&gt;=1,IF(COUNTIF($F$3:F16,B48)&gt;=1,IF(COUNTIF($F$3:F16,B49)&gt;=1,IF(COUNTIF($F$3:F16,B50)&gt;=1,IF(COUNTIF($F$3:F16,B51)&gt;=1,IF(COUNTIF($F$3:F16,B52)&gt;=1,IF(COUNTIF($F$3:F16,B53)&gt;=1,IF(COUNTIF($F$3:F16,B54)&gt;=1,IF(COUNTIF($F$3:F16,B55)&gt;=1,IF(COUNTIF($F$3:F16,B56)&gt;=1,IF(COUNTIF($F$3:F16,B57)&gt;=1,IF(COUNTIF($F$3:F16,B58)&gt;=1,B59,B58),B57),B56),B55),B54),B53),B52),B51),B50),B49),B48),B47),B46),B45),B44),B43),B42),B41),B40),B39)=0,,
IF(COUNTIF($F$3:F16,B39)&gt;=1,IF(COUNTIF($F$3:F16,B40)&gt;=1,IF(COUNTIF($F$3:F16,B41)&gt;=1,IF(COUNTIF($F$3:F16,B42)&gt;=1,IF(COUNTIF($F$3:F16,B43)&gt;=1,IF(COUNTIF($F$3:F16,B44)&gt;=1,IF(COUNTIF($F$3:F16,B45)&gt;=1,IF(COUNTIF($F$3:F16,B46)&gt;=1,IF(COUNTIF($F$3:F16,B47)&gt;=1,IF(COUNTIF($F$3:F16,B48)&gt;=1,IF(COUNTIF($F$3:F16,B49)&gt;=1,IF(COUNTIF($F$3:F16,B50)&gt;=1,IF(COUNTIF($F$3:F16,B51)&gt;=1,IF(COUNTIF($F$3:F16,B52)&gt;=1,IF(COUNTIF($F$3:F16,B53)&gt;=1,IF(COUNTIF($F$3:F16,B54)&gt;=1,IF(COUNTIF($F$3:F16,B55)&gt;=1,IF(COUNTIF($F$3:F16,B56)&gt;=1,IF(COUNTIF($F$3:F16,B57)&gt;=1,IF(COUNTIF($F$3:F16,B58)&gt;=1,B59,B58),B57),B56),B55),B54),B53),B52),B51),B50),B49),B48),B47),B46),B45),B44),B43),B42),B41),B40),B39))</f>
        <v>0</v>
      </c>
      <c r="G17" s="112">
        <f t="shared" si="1"/>
        <v>0</v>
      </c>
      <c r="H17" s="99"/>
    </row>
    <row r="18" spans="1:8" x14ac:dyDescent="0.25">
      <c r="A18" s="99"/>
      <c r="B18" s="99"/>
      <c r="C18" s="108">
        <f>IF(IF(COUNTIF($C$3:C17,C40)&gt;=1,IF(COUNTIF($C$3:C17,C41)&gt;=1,IF(COUNTIF($C$3:C17,C42)&gt;=1,IF(COUNTIF($C$3:C17,C43)&gt;=1,IF(COUNTIF($C$3:C17,C44)&gt;=1,IF(COUNTIF($C$3:C17,C45)&gt;=1,IF(COUNTIF($C$3:C17,C46)&gt;=1,IF(COUNTIF($C$3:C17,C47)&gt;=1,IF(COUNTIF($C$3:C17,C48)&gt;=1,IF(COUNTIF($C$3:C17,C49)&gt;=1,IF(COUNTIF($C$3:C17,C50)&gt;=1,IF(COUNTIF($C$3:C17,C51)&gt;=1,IF(COUNTIF($C$3:C17,C52)&gt;=1,IF(COUNTIF($C$3:C17,C53)&gt;=1,IF(COUNTIF($C$3:C17,C54)&gt;=1,IF(COUNTIF($C$3:C17,C55)&gt;=1,IF(COUNTIF($C$3:C17,C56)&gt;=1,IF(COUNTIF($C$3:C17,C57)&gt;=1,IF(COUNTIF($C$3:C17,C58)&gt;=1,IF(COUNTIF($C$3:C17,C59)&gt;=1,C60,C59),C58),C57),C56),C55),C54),C53),C52),C51),C50),C49),C48),C47),C46),C45),C44),C43),C42),C41),C40)=0,,
IF(COUNTIF($C$3:C17,C40)&gt;=1,IF(COUNTIF($C$3:C17,C41)&gt;=1,IF(COUNTIF($C$3:C17,C42)&gt;=1,IF(COUNTIF($C$3:C17,C43)&gt;=1,IF(COUNTIF($C$3:C17,C44)&gt;=1,IF(COUNTIF($C$3:C17,C45)&gt;=1,IF(COUNTIF($C$3:C17,C46)&gt;=1,IF(COUNTIF($C$3:C17,C47)&gt;=1,IF(COUNTIF($C$3:C17,C48)&gt;=1,IF(COUNTIF($C$3:C17,C49)&gt;=1,IF(COUNTIF($C$3:C17,C50)&gt;=1,IF(COUNTIF($C$3:C17,C51)&gt;=1,IF(COUNTIF($C$3:C17,C52)&gt;=1,IF(COUNTIF($C$3:C17,C53)&gt;=1,IF(COUNTIF($C$3:C17,C54)&gt;=1,IF(COUNTIF($C$3:C17,C55)&gt;=1,IF(COUNTIF($C$3:C17,C56)&gt;=1,IF(COUNTIF($C$3:C17,C57)&gt;=1,IF(COUNTIF($C$3:C17,C58)&gt;=1,IF(COUNTIF($C$3:C17,C59)&gt;=1,C60,C59),C58),C57),C56),C55),C54),C53),C52),C51),C50),C49),C48),C47),C46),C45),C44),C43),C42),C41),C40))</f>
        <v>0</v>
      </c>
      <c r="D18" s="112">
        <f t="shared" si="0"/>
        <v>0</v>
      </c>
      <c r="E18" s="108"/>
      <c r="F18" s="108">
        <f>IF(IF(COUNTIF($F$3:F17,B40)&gt;=1,IF(COUNTIF($F$3:F17,B41)&gt;=1,IF(COUNTIF($F$3:F17,B42)&gt;=1,IF(COUNTIF($F$3:F17,B43)&gt;=1,IF(COUNTIF($F$3:F17,B44)&gt;=1,IF(COUNTIF($F$3:F17,B45)&gt;=1,IF(COUNTIF($F$3:F17,B46)&gt;=1,IF(COUNTIF($F$3:F17,B47)&gt;=1,IF(COUNTIF($F$3:F17,B48)&gt;=1,IF(COUNTIF($F$3:F17,B49)&gt;=1,IF(COUNTIF($F$3:F17,B50)&gt;=1,IF(COUNTIF($F$3:F17,B51)&gt;=1,IF(COUNTIF($F$3:F17,B52)&gt;=1,IF(COUNTIF($F$3:F17,B53)&gt;=1,IF(COUNTIF($F$3:F17,B54)&gt;=1,IF(COUNTIF($F$3:F17,B55)&gt;=1,IF(COUNTIF($F$3:F17,B56)&gt;=1,IF(COUNTIF($F$3:F17,B57)&gt;=1,IF(COUNTIF($F$3:F17,B58)&gt;=1,IF(COUNTIF($F$3:F17,B59)&gt;=1,B60,B59),B58),B57),B56),B55),B54),B53),B52),B51),B50),B49),B48),B47),B46),B45),B44),B43),B42),B41),B40)=0,,
IF(COUNTIF($F$3:F17,B40)&gt;=1,IF(COUNTIF($F$3:F17,B41)&gt;=1,IF(COUNTIF($F$3:F17,B42)&gt;=1,IF(COUNTIF($F$3:F17,B43)&gt;=1,IF(COUNTIF($F$3:F17,B44)&gt;=1,IF(COUNTIF($F$3:F17,B45)&gt;=1,IF(COUNTIF($F$3:F17,B46)&gt;=1,IF(COUNTIF($F$3:F17,B47)&gt;=1,IF(COUNTIF($F$3:F17,B48)&gt;=1,IF(COUNTIF($F$3:F17,B49)&gt;=1,IF(COUNTIF($F$3:F17,B50)&gt;=1,IF(COUNTIF($F$3:F17,B51)&gt;=1,IF(COUNTIF($F$3:F17,B52)&gt;=1,IF(COUNTIF($F$3:F17,B53)&gt;=1,IF(COUNTIF($F$3:F17,B54)&gt;=1,IF(COUNTIF($F$3:F17,B55)&gt;=1,IF(COUNTIF($F$3:F17,B56)&gt;=1,IF(COUNTIF($F$3:F17,B57)&gt;=1,IF(COUNTIF($F$3:F17,B58)&gt;=1,IF(COUNTIF($F$3:F17,B59)&gt;=1,B60,B59),B58),B57),B56),B55),B54),B53),B52),B51),B50),B49),B48),B47),B46),B45),B44),B43),B42),B41),B40))</f>
        <v>0</v>
      </c>
      <c r="G18" s="112">
        <f t="shared" si="1"/>
        <v>0</v>
      </c>
      <c r="H18" s="99"/>
    </row>
    <row r="19" spans="1:8" x14ac:dyDescent="0.25">
      <c r="A19" s="99"/>
      <c r="B19" s="99"/>
      <c r="C19" s="108">
        <f>IF(IF(COUNTIF($C$3:C18,C41)&gt;=1,IF(COUNTIF($C$3:C18,C42)&gt;=1,IF(COUNTIF($C$3:C18,C43)&gt;=1,IF(COUNTIF($C$3:C18,C44)&gt;=1,IF(COUNTIF($C$3:C18,C45)&gt;=1,IF(COUNTIF($C$3:C18,C46)&gt;=1,IF(COUNTIF($C$3:C18,C47)&gt;=1,IF(COUNTIF($C$3:C18,C48)&gt;=1,IF(COUNTIF($C$3:C18,C49)&gt;=1,IF(COUNTIF($C$3:C18,C50)&gt;=1,IF(COUNTIF($C$3:C18,C51)&gt;=1,IF(COUNTIF($C$3:C18,C52)&gt;=1,IF(COUNTIF($C$3:C18,C53)&gt;=1,IF(COUNTIF($C$3:C18,C54)&gt;=1,IF(COUNTIF($C$3:C18,C55)&gt;=1,IF(COUNTIF($C$3:C18,C56)&gt;=1,IF(COUNTIF($C$3:C18,C57)&gt;=1,IF(COUNTIF($C$3:C18,C58)&gt;=1,IF(COUNTIF($C$3:C18,C59)&gt;=1,IF(COUNTIF($C$3:C18,C60)&gt;=1,C61,C60),C59),C58),C57),C56),C55),C54),C53),C52),C51),C50),C49),C48),C47),C46),C45),C44),C43),C42),C41)=0,,
IF(COUNTIF($C$3:C18,C41)&gt;=1,IF(COUNTIF($C$3:C18,C42)&gt;=1,IF(COUNTIF($C$3:C18,C43)&gt;=1,IF(COUNTIF($C$3:C18,C44)&gt;=1,IF(COUNTIF($C$3:C18,C45)&gt;=1,IF(COUNTIF($C$3:C18,C46)&gt;=1,IF(COUNTIF($C$3:C18,C47)&gt;=1,IF(COUNTIF($C$3:C18,C48)&gt;=1,IF(COUNTIF($C$3:C18,C49)&gt;=1,IF(COUNTIF($C$3:C18,C50)&gt;=1,IF(COUNTIF($C$3:C18,C51)&gt;=1,IF(COUNTIF($C$3:C18,C52)&gt;=1,IF(COUNTIF($C$3:C18,C53)&gt;=1,IF(COUNTIF($C$3:C18,C54)&gt;=1,IF(COUNTIF($C$3:C18,C55)&gt;=1,IF(COUNTIF($C$3:C18,C56)&gt;=1,IF(COUNTIF($C$3:C18,C57)&gt;=1,IF(COUNTIF($C$3:C18,C58)&gt;=1,IF(COUNTIF($C$3:C18,C59)&gt;=1,IF(COUNTIF($C$3:C18,C60)&gt;=1,C61,C60),C59),C58),C57),C56),C55),C54),C53),C52),C51),C50),C49),C48),C47),C46),C45),C44),C43),C42),C41))</f>
        <v>0</v>
      </c>
      <c r="D19" s="112">
        <f t="shared" si="0"/>
        <v>0</v>
      </c>
      <c r="E19" s="108"/>
      <c r="F19" s="108">
        <f>IF(IF(COUNTIF($F$3:F18,B41)&gt;=1,IF(COUNTIF($F$3:F18,B42)&gt;=1,IF(COUNTIF($F$3:F18,B43)&gt;=1,IF(COUNTIF($F$3:F18,B44)&gt;=1,IF(COUNTIF($F$3:F18,B45)&gt;=1,IF(COUNTIF($F$3:F18,B46)&gt;=1,IF(COUNTIF($F$3:F18,B47)&gt;=1,IF(COUNTIF($F$3:F18,B48)&gt;=1,IF(COUNTIF($F$3:F18,B49)&gt;=1,IF(COUNTIF($F$3:F18,B50)&gt;=1,IF(COUNTIF($F$3:F18,B51)&gt;=1,IF(COUNTIF($F$3:F18,B52)&gt;=1,IF(COUNTIF($F$3:F18,B53)&gt;=1,IF(COUNTIF($F$3:F18,B54)&gt;=1,IF(COUNTIF($F$3:F18,B55)&gt;=1,IF(COUNTIF($F$3:F18,B56)&gt;=1,IF(COUNTIF($F$3:F18,B57)&gt;=1,IF(COUNTIF($F$3:F18,B58)&gt;=1,IF(COUNTIF($F$3:F18,B59)&gt;=1,IF(COUNTIF($F$3:F18,B60)&gt;=1,B61,B60),B59),B58),B57),B56),B55),B54),B53),B52),B51),B50),B49),B48),B47),B46),B45),B44),B43),B42),B41)=0,,
IF(COUNTIF($F$3:F18,B41)&gt;=1,IF(COUNTIF($F$3:F18,B42)&gt;=1,IF(COUNTIF($F$3:F18,B43)&gt;=1,IF(COUNTIF($F$3:F18,B44)&gt;=1,IF(COUNTIF($F$3:F18,B45)&gt;=1,IF(COUNTIF($F$3:F18,B46)&gt;=1,IF(COUNTIF($F$3:F18,B47)&gt;=1,IF(COUNTIF($F$3:F18,B48)&gt;=1,IF(COUNTIF($F$3:F18,B49)&gt;=1,IF(COUNTIF($F$3:F18,B50)&gt;=1,IF(COUNTIF($F$3:F18,B51)&gt;=1,IF(COUNTIF($F$3:F18,B52)&gt;=1,IF(COUNTIF($F$3:F18,B53)&gt;=1,IF(COUNTIF($F$3:F18,B54)&gt;=1,IF(COUNTIF($F$3:F18,B55)&gt;=1,IF(COUNTIF($F$3:F18,B56)&gt;=1,IF(COUNTIF($F$3:F18,B57)&gt;=1,IF(COUNTIF($F$3:F18,B58)&gt;=1,IF(COUNTIF($F$3:F18,B59)&gt;=1,IF(COUNTIF($F$3:F18,B60)&gt;=1,B61,B60),B59),B58),B57),B56),B55),B54),B53),B52),B51),B50),B49),B48),B47),B46),B45),B44),B43),B42),B41))</f>
        <v>0</v>
      </c>
      <c r="G19" s="112">
        <f t="shared" si="1"/>
        <v>0</v>
      </c>
      <c r="H19" s="99"/>
    </row>
    <row r="20" spans="1:8" x14ac:dyDescent="0.25">
      <c r="A20" s="99"/>
      <c r="B20" s="99"/>
      <c r="C20" s="108">
        <f>IF(IF(COUNTIF($C$3:C19,C42)&gt;=1,IF(COUNTIF($C$3:C19,C43)&gt;=1,IF(COUNTIF($C$3:C19,C44)&gt;=1,IF(COUNTIF($C$3:C19,C45)&gt;=1,IF(COUNTIF($C$3:C19,C46)&gt;=1,IF(COUNTIF($C$3:C19,C47)&gt;=1,IF(COUNTIF($C$3:C19,C48)&gt;=1,IF(COUNTIF($C$3:C19,C49)&gt;=1,IF(COUNTIF($C$3:C19,C50)&gt;=1,IF(COUNTIF($C$3:C19,C51)&gt;=1,IF(COUNTIF($C$3:C19,C52)&gt;=1,IF(COUNTIF($C$3:C19,C53)&gt;=1,IF(COUNTIF($C$3:C19,C54)&gt;=1,IF(COUNTIF($C$3:C19,C55)&gt;=1,IF(COUNTIF($C$3:C19,C56)&gt;=1,IF(COUNTIF($C$3:C19,C57)&gt;=1,IF(COUNTIF($C$3:C19,C58)&gt;=1,IF(COUNTIF($C$3:C19,C59)&gt;=1,IF(COUNTIF($C$3:C19,C60)&gt;=1,IF(COUNTIF($C$3:C19,C61)&gt;=1,C62,C61),C60),C59),C58),C57),C56),C55),C54),C53),C52),C51),C50),C49),C48),C47),C46),C45),C44),C43),C42)=0,,
IF(COUNTIF($C$3:C19,C42)&gt;=1,IF(COUNTIF($C$3:C19,C43)&gt;=1,IF(COUNTIF($C$3:C19,C44)&gt;=1,IF(COUNTIF($C$3:C19,C45)&gt;=1,IF(COUNTIF($C$3:C19,C46)&gt;=1,IF(COUNTIF($C$3:C19,C47)&gt;=1,IF(COUNTIF($C$3:C19,C48)&gt;=1,IF(COUNTIF($C$3:C19,C49)&gt;=1,IF(COUNTIF($C$3:C19,C50)&gt;=1,IF(COUNTIF($C$3:C19,C51)&gt;=1,IF(COUNTIF($C$3:C19,C52)&gt;=1,IF(COUNTIF($C$3:C19,C53)&gt;=1,IF(COUNTIF($C$3:C19,C54)&gt;=1,IF(COUNTIF($C$3:C19,C55)&gt;=1,IF(COUNTIF($C$3:C19,C56)&gt;=1,IF(COUNTIF($C$3:C19,C57)&gt;=1,IF(COUNTIF($C$3:C19,C58)&gt;=1,IF(COUNTIF($C$3:C19,C59)&gt;=1,IF(COUNTIF($C$3:C19,C60)&gt;=1,IF(COUNTIF($C$3:C19,C61)&gt;=1,C62,C61),C60),C59),C58),C57),C56),C55),C54),C53),C52),C51),C50),C49),C48),C47),C46),C45),C44),C43),C42))</f>
        <v>0</v>
      </c>
      <c r="D20" s="112">
        <f t="shared" si="0"/>
        <v>0</v>
      </c>
      <c r="E20" s="108"/>
      <c r="F20" s="108">
        <f>IF(IF(COUNTIF($F$3:F19,B42)&gt;=1,IF(COUNTIF($F$3:F19,B43)&gt;=1,IF(COUNTIF($F$3:F19,B44)&gt;=1,IF(COUNTIF($F$3:F19,B45)&gt;=1,IF(COUNTIF($F$3:F19,B46)&gt;=1,IF(COUNTIF($F$3:F19,B47)&gt;=1,IF(COUNTIF($F$3:F19,B48)&gt;=1,IF(COUNTIF($F$3:F19,B49)&gt;=1,IF(COUNTIF($F$3:F19,B50)&gt;=1,IF(COUNTIF($F$3:F19,B51)&gt;=1,IF(COUNTIF($F$3:F19,B52)&gt;=1,IF(COUNTIF($F$3:F19,B53)&gt;=1,IF(COUNTIF($F$3:F19,B54)&gt;=1,IF(COUNTIF($F$3:F19,B55)&gt;=1,IF(COUNTIF($F$3:F19,B56)&gt;=1,IF(COUNTIF($F$3:F19,B57)&gt;=1,IF(COUNTIF($F$3:F19,B58)&gt;=1,IF(COUNTIF($F$3:F19,B59)&gt;=1,IF(COUNTIF($F$3:F19,B60)&gt;=1,IF(COUNTIF($F$3:F19,B61)&gt;=1,B62,B61),B60),B59),B58),B57),B56),B55),B54),B53),B52),B51),B50),B49),B48),B47),B46),B45),B44),B43),B42)=0,,
IF(COUNTIF($F$3:F19,B42)&gt;=1,IF(COUNTIF($F$3:F19,B43)&gt;=1,IF(COUNTIF($F$3:F19,B44)&gt;=1,IF(COUNTIF($F$3:F19,B45)&gt;=1,IF(COUNTIF($F$3:F19,B46)&gt;=1,IF(COUNTIF($F$3:F19,B47)&gt;=1,IF(COUNTIF($F$3:F19,B48)&gt;=1,IF(COUNTIF($F$3:F19,B49)&gt;=1,IF(COUNTIF($F$3:F19,B50)&gt;=1,IF(COUNTIF($F$3:F19,B51)&gt;=1,IF(COUNTIF($F$3:F19,B52)&gt;=1,IF(COUNTIF($F$3:F19,B53)&gt;=1,IF(COUNTIF($F$3:F19,B54)&gt;=1,IF(COUNTIF($F$3:F19,B55)&gt;=1,IF(COUNTIF($F$3:F19,B56)&gt;=1,IF(COUNTIF($F$3:F19,B57)&gt;=1,IF(COUNTIF($F$3:F19,B58)&gt;=1,IF(COUNTIF($F$3:F19,B59)&gt;=1,IF(COUNTIF($F$3:F19,B60)&gt;=1,IF(COUNTIF($F$3:F19,B61)&gt;=1,B62,B61),B60),B59),B58),B57),B56),B55),B54),B53),B52),B51),B50),B49),B48),B47),B46),B45),B44),B43),B42))</f>
        <v>0</v>
      </c>
      <c r="G20" s="112">
        <f t="shared" si="1"/>
        <v>0</v>
      </c>
      <c r="H20" s="99"/>
    </row>
    <row r="21" spans="1:8" x14ac:dyDescent="0.25">
      <c r="A21" s="99"/>
      <c r="B21" s="99"/>
      <c r="C21" s="108">
        <f>IF(IF(COUNTIF($C$3:C20,C43)&gt;=1,IF(COUNTIF($C$3:C20,C44)&gt;=1,IF(COUNTIF($C$3:C20,C45)&gt;=1,IF(COUNTIF($C$3:C20,C46)&gt;=1,IF(COUNTIF($C$3:C20,C47)&gt;=1,IF(COUNTIF($C$3:C20,C48)&gt;=1,IF(COUNTIF($C$3:C20,C49)&gt;=1,IF(COUNTIF($C$3:C20,C50)&gt;=1,IF(COUNTIF($C$3:C20,C51)&gt;=1,IF(COUNTIF($C$3:C20,C52)&gt;=1,IF(COUNTIF($C$3:C20,C53)&gt;=1,IF(COUNTIF($C$3:C20,C54)&gt;=1,IF(COUNTIF($C$3:C20,C55)&gt;=1,IF(COUNTIF($C$3:C20,C56)&gt;=1,IF(COUNTIF($C$3:C20,C57)&gt;=1,IF(COUNTIF($C$3:C20,C58)&gt;=1,IF(COUNTIF($C$3:C20,C59)&gt;=1,IF(COUNTIF($C$3:C20,C60)&gt;=1,IF(COUNTIF($C$3:C20,C61)&gt;=1,IF(COUNTIF($C$3:C20,C62)&gt;=1,C63,C62),C61),C60),C59),C58),C57),C56),C55),C54),C53),C52),C51),C50),C49),C48),C47),C46),C45),C44),C43)=0,,
IF(COUNTIF($C$3:C20,C43)&gt;=1,IF(COUNTIF($C$3:C20,C44)&gt;=1,IF(COUNTIF($C$3:C20,C45)&gt;=1,IF(COUNTIF($C$3:C20,C46)&gt;=1,IF(COUNTIF($C$3:C20,C47)&gt;=1,IF(COUNTIF($C$3:C20,C48)&gt;=1,IF(COUNTIF($C$3:C20,C49)&gt;=1,IF(COUNTIF($C$3:C20,C50)&gt;=1,IF(COUNTIF($C$3:C20,C51)&gt;=1,IF(COUNTIF($C$3:C20,C52)&gt;=1,IF(COUNTIF($C$3:C20,C53)&gt;=1,IF(COUNTIF($C$3:C20,C54)&gt;=1,IF(COUNTIF($C$3:C20,C55)&gt;=1,IF(COUNTIF($C$3:C20,C56)&gt;=1,IF(COUNTIF($C$3:C20,C57)&gt;=1,IF(COUNTIF($C$3:C20,C58)&gt;=1,IF(COUNTIF($C$3:C20,C59)&gt;=1,IF(COUNTIF($C$3:C20,C60)&gt;=1,IF(COUNTIF($C$3:C20,C61)&gt;=1,IF(COUNTIF($C$3:C20,C62)&gt;=1,C63,C62),C61),C60),C59),C58),C57),C56),C55),C54),C53),C52),C51),C50),C49),C48),C47),C46),C45),C44),C43))</f>
        <v>0</v>
      </c>
      <c r="D21" s="112">
        <f t="shared" si="0"/>
        <v>0</v>
      </c>
      <c r="E21" s="108"/>
      <c r="F21" s="108">
        <f>IF(IF(COUNTIF($F$3:F20,B43)&gt;=1,IF(COUNTIF($F$3:F20,B44)&gt;=1,IF(COUNTIF($F$3:F20,B45)&gt;=1,IF(COUNTIF($F$3:F20,B46)&gt;=1,IF(COUNTIF($F$3:F20,B47)&gt;=1,IF(COUNTIF($F$3:F20,B48)&gt;=1,IF(COUNTIF($F$3:F20,B49)&gt;=1,IF(COUNTIF($F$3:F20,B50)&gt;=1,IF(COUNTIF($F$3:F20,B51)&gt;=1,IF(COUNTIF($F$3:F20,B52)&gt;=1,IF(COUNTIF($F$3:F20,B53)&gt;=1,IF(COUNTIF($F$3:F20,B54)&gt;=1,IF(COUNTIF($F$3:F20,B55)&gt;=1,IF(COUNTIF($F$3:F20,B56)&gt;=1,IF(COUNTIF($F$3:F20,B57)&gt;=1,IF(COUNTIF($F$3:F20,B58)&gt;=1,IF(COUNTIF($F$3:F20,B59)&gt;=1,IF(COUNTIF($F$3:F20,B60)&gt;=1,IF(COUNTIF($F$3:F20,B61)&gt;=1,IF(COUNTIF($F$3:F20,B62)&gt;=1,B63,B62),B61),B60),B59),B58),B57),B56),B55),B54),B53),B52),B51),B50),B49),B48),B47),B46),B45),B44),B43)=0,,
IF(COUNTIF($F$3:F20,B43)&gt;=1,IF(COUNTIF($F$3:F20,B44)&gt;=1,IF(COUNTIF($F$3:F20,B45)&gt;=1,IF(COUNTIF($F$3:F20,B46)&gt;=1,IF(COUNTIF($F$3:F20,B47)&gt;=1,IF(COUNTIF($F$3:F20,B48)&gt;=1,IF(COUNTIF($F$3:F20,B49)&gt;=1,IF(COUNTIF($F$3:F20,B50)&gt;=1,IF(COUNTIF($F$3:F20,B51)&gt;=1,IF(COUNTIF($F$3:F20,B52)&gt;=1,IF(COUNTIF($F$3:F20,B53)&gt;=1,IF(COUNTIF($F$3:F20,B54)&gt;=1,IF(COUNTIF($F$3:F20,B55)&gt;=1,IF(COUNTIF($F$3:F20,B56)&gt;=1,IF(COUNTIF($F$3:F20,B57)&gt;=1,IF(COUNTIF($F$3:F20,B58)&gt;=1,IF(COUNTIF($F$3:F20,B59)&gt;=1,IF(COUNTIF($F$3:F20,B60)&gt;=1,IF(COUNTIF($F$3:F20,B61)&gt;=1,IF(COUNTIF($F$3:F20,B62)&gt;=1,B63,B62),B61),B60),B59),B58),B57),B56),B55),B54),B53),B52),B51),B50),B49),B48),B47),B46),B45),B44),B43))</f>
        <v>0</v>
      </c>
      <c r="G21" s="112">
        <f t="shared" si="1"/>
        <v>0</v>
      </c>
      <c r="H21" s="99"/>
    </row>
    <row r="22" spans="1:8" x14ac:dyDescent="0.25">
      <c r="A22" s="99"/>
      <c r="B22" s="99"/>
      <c r="C22" s="108">
        <f>IF(IF(COUNTIF($C$3:C21,C44)&gt;=1,IF(COUNTIF($C$3:C21,C45)&gt;=1,IF(COUNTIF($C$3:C21,C46)&gt;=1,IF(COUNTIF($C$3:C21,C47)&gt;=1,IF(COUNTIF($C$3:C21,C48)&gt;=1,IF(COUNTIF($C$3:C21,C49)&gt;=1,IF(COUNTIF($C$3:C21,C50)&gt;=1,IF(COUNTIF($C$3:C21,C51)&gt;=1,IF(COUNTIF($C$3:C21,C52)&gt;=1,IF(COUNTIF($C$3:C21,C53)&gt;=1,IF(COUNTIF($C$3:C21,C54)&gt;=1,IF(COUNTIF($C$3:C21,C55)&gt;=1,IF(COUNTIF($C$3:C21,C56)&gt;=1,IF(COUNTIF($C$3:C21,C57)&gt;=1,IF(COUNTIF($C$3:C21,C58)&gt;=1,IF(COUNTIF($C$3:C21,C59)&gt;=1,IF(COUNTIF($C$3:C21,C60)&gt;=1,IF(COUNTIF($C$3:C21,C61)&gt;=1,IF(COUNTIF($C$3:C21,C62)&gt;=1,IF(COUNTIF($C$3:C21,C63)&gt;=1,C64,C63),C62),C61),C60),C59),C58),C57),C56),C55),C54),C53),C52),C51),C50),C49),C48),C47),C46),C45),C44)=0,,
IF(COUNTIF($C$3:C21,C44)&gt;=1,IF(COUNTIF($C$3:C21,C45)&gt;=1,IF(COUNTIF($C$3:C21,C46)&gt;=1,IF(COUNTIF($C$3:C21,C47)&gt;=1,IF(COUNTIF($C$3:C21,C48)&gt;=1,IF(COUNTIF($C$3:C21,C49)&gt;=1,IF(COUNTIF($C$3:C21,C50)&gt;=1,IF(COUNTIF($C$3:C21,C51)&gt;=1,IF(COUNTIF($C$3:C21,C52)&gt;=1,IF(COUNTIF($C$3:C21,C53)&gt;=1,IF(COUNTIF($C$3:C21,C54)&gt;=1,IF(COUNTIF($C$3:C21,C55)&gt;=1,IF(COUNTIF($C$3:C21,C56)&gt;=1,IF(COUNTIF($C$3:C21,C57)&gt;=1,IF(COUNTIF($C$3:C21,C58)&gt;=1,IF(COUNTIF($C$3:C21,C59)&gt;=1,IF(COUNTIF($C$3:C21,C60)&gt;=1,IF(COUNTIF($C$3:C21,C61)&gt;=1,IF(COUNTIF($C$3:C21,C62)&gt;=1,IF(COUNTIF($C$3:C21,C63)&gt;=1,C64,C63),C62),C61),C60),C59),C58),C57),C56),C55),C54),C53),C52),C51),C50),C49),C48),C47),C46),C45),C44))</f>
        <v>0</v>
      </c>
      <c r="D22" s="112">
        <f t="shared" si="0"/>
        <v>0</v>
      </c>
      <c r="E22" s="108"/>
      <c r="F22" s="108">
        <f>IF(IF(COUNTIF($F$3:F21,B44)&gt;=1,IF(COUNTIF($F$3:F21,B45)&gt;=1,IF(COUNTIF($F$3:F21,B46)&gt;=1,IF(COUNTIF($F$3:F21,B47)&gt;=1,IF(COUNTIF($F$3:F21,B48)&gt;=1,IF(COUNTIF($F$3:F21,B49)&gt;=1,IF(COUNTIF($F$3:F21,B50)&gt;=1,IF(COUNTIF($F$3:F21,B51)&gt;=1,IF(COUNTIF($F$3:F21,B52)&gt;=1,IF(COUNTIF($F$3:F21,B53)&gt;=1,IF(COUNTIF($F$3:F21,B54)&gt;=1,IF(COUNTIF($F$3:F21,B55)&gt;=1,IF(COUNTIF($F$3:F21,B56)&gt;=1,IF(COUNTIF($F$3:F21,B57)&gt;=1,IF(COUNTIF($F$3:F21,B58)&gt;=1,IF(COUNTIF($F$3:F21,B59)&gt;=1,IF(COUNTIF($F$3:F21,B60)&gt;=1,IF(COUNTIF($F$3:F21,B61)&gt;=1,IF(COUNTIF($F$3:F21,B62)&gt;=1,IF(COUNTIF($F$3:F21,B63)&gt;=1,B64,B63),B62),B61),B60),B59),B58),B57),B56),B55),B54),B53),B52),B51),B50),B49),B48),B47),B46),B45),B44)=0,,
IF(COUNTIF($F$3:F21,B44)&gt;=1,IF(COUNTIF($F$3:F21,B45)&gt;=1,IF(COUNTIF($F$3:F21,B46)&gt;=1,IF(COUNTIF($F$3:F21,B47)&gt;=1,IF(COUNTIF($F$3:F21,B48)&gt;=1,IF(COUNTIF($F$3:F21,B49)&gt;=1,IF(COUNTIF($F$3:F21,B50)&gt;=1,IF(COUNTIF($F$3:F21,B51)&gt;=1,IF(COUNTIF($F$3:F21,B52)&gt;=1,IF(COUNTIF($F$3:F21,B53)&gt;=1,IF(COUNTIF($F$3:F21,B54)&gt;=1,IF(COUNTIF($F$3:F21,B55)&gt;=1,IF(COUNTIF($F$3:F21,B56)&gt;=1,IF(COUNTIF($F$3:F21,B57)&gt;=1,IF(COUNTIF($F$3:F21,B58)&gt;=1,IF(COUNTIF($F$3:F21,B59)&gt;=1,IF(COUNTIF($F$3:F21,B60)&gt;=1,IF(COUNTIF($F$3:F21,B61)&gt;=1,IF(COUNTIF($F$3:F21,B62)&gt;=1,IF(COUNTIF($F$3:F21,B63)&gt;=1,B64,B63),B62),B61),B60),B59),B58),B57),B56),B55),B54),B53),B52),B51),B50),B49),B48),B47),B46),B45),B44))</f>
        <v>0</v>
      </c>
      <c r="G22" s="112">
        <f t="shared" si="1"/>
        <v>0</v>
      </c>
      <c r="H22" s="99"/>
    </row>
    <row r="23" spans="1:8" x14ac:dyDescent="0.25">
      <c r="A23" s="99"/>
      <c r="B23" s="99"/>
      <c r="C23" s="108">
        <f>IF(IF(COUNTIF($C$3:C22,C45)&gt;=1,IF(COUNTIF($C$3:C22,C46)&gt;=1,IF(COUNTIF($C$3:C22,C47)&gt;=1,IF(COUNTIF($C$3:C22,C48)&gt;=1,IF(COUNTIF($C$3:C22,C49)&gt;=1,IF(COUNTIF($C$3:C22,C50)&gt;=1,IF(COUNTIF($C$3:C22,C51)&gt;=1,IF(COUNTIF($C$3:C22,C52)&gt;=1,IF(COUNTIF($C$3:C22,C53)&gt;=1,IF(COUNTIF($C$3:C22,C54)&gt;=1,IF(COUNTIF($C$3:C22,C55)&gt;=1,IF(COUNTIF($C$3:C22,C56)&gt;=1,IF(COUNTIF($C$3:C22,C57)&gt;=1,IF(COUNTIF($C$3:C22,C58)&gt;=1,IF(COUNTIF($C$3:C22,C59)&gt;=1,IF(COUNTIF($C$3:C22,C60)&gt;=1,IF(COUNTIF($C$3:C22,C61)&gt;=1,IF(COUNTIF($C$3:C22,C62)&gt;=1,IF(COUNTIF($C$3:C22,C63)&gt;=1,IF(COUNTIF($C$3:C22,C64)&gt;=1,C65,C64),C63),C62),C61),C60),C59),C58),C57),C56),C55),C54),C53),C52),C51),C50),C49),C48),C47),C46),C45)=0,,
IF(COUNTIF($C$3:C22,C45)&gt;=1,IF(COUNTIF($C$3:C22,C46)&gt;=1,IF(COUNTIF($C$3:C22,C47)&gt;=1,IF(COUNTIF($C$3:C22,C48)&gt;=1,IF(COUNTIF($C$3:C22,C49)&gt;=1,IF(COUNTIF($C$3:C22,C50)&gt;=1,IF(COUNTIF($C$3:C22,C51)&gt;=1,IF(COUNTIF($C$3:C22,C52)&gt;=1,IF(COUNTIF($C$3:C22,C53)&gt;=1,IF(COUNTIF($C$3:C22,C54)&gt;=1,IF(COUNTIF($C$3:C22,C55)&gt;=1,IF(COUNTIF($C$3:C22,C56)&gt;=1,IF(COUNTIF($C$3:C22,C57)&gt;=1,IF(COUNTIF($C$3:C22,C58)&gt;=1,IF(COUNTIF($C$3:C22,C59)&gt;=1,IF(COUNTIF($C$3:C22,C60)&gt;=1,IF(COUNTIF($C$3:C22,C61)&gt;=1,IF(COUNTIF($C$3:C22,C62)&gt;=1,IF(COUNTIF($C$3:C22,C63)&gt;=1,IF(COUNTIF($C$3:C22,C64)&gt;=1,C65,C64),C63),C62),C61),C60),C59),C58),C57),C56),C55),C54),C53),C52),C51),C50),C49),C48),C47),C46),C45))</f>
        <v>0</v>
      </c>
      <c r="D23" s="112">
        <f t="shared" si="0"/>
        <v>0</v>
      </c>
      <c r="E23" s="108"/>
      <c r="F23" s="108">
        <f>IF(IF(COUNTIF($F$3:F22,B45)&gt;=1,IF(COUNTIF($F$3:F22,B46)&gt;=1,IF(COUNTIF($F$3:F22,B47)&gt;=1,IF(COUNTIF($F$3:F22,B48)&gt;=1,IF(COUNTIF($F$3:F22,B49)&gt;=1,IF(COUNTIF($F$3:F22,B50)&gt;=1,IF(COUNTIF($F$3:F22,B51)&gt;=1,IF(COUNTIF($F$3:F22,B52)&gt;=1,IF(COUNTIF($F$3:F22,B53)&gt;=1,IF(COUNTIF($F$3:F22,B54)&gt;=1,IF(COUNTIF($F$3:F22,B55)&gt;=1,IF(COUNTIF($F$3:F22,B56)&gt;=1,IF(COUNTIF($F$3:F22,B57)&gt;=1,IF(COUNTIF($F$3:F22,B58)&gt;=1,IF(COUNTIF($F$3:F22,B59)&gt;=1,IF(COUNTIF($F$3:F22,B60)&gt;=1,IF(COUNTIF($F$3:F22,B61)&gt;=1,IF(COUNTIF($F$3:F22,B62)&gt;=1,IF(COUNTIF($F$3:F22,B63)&gt;=1,IF(COUNTIF($F$3:F22,B64)&gt;=1,B65,B64),B63),B62),B61),B60),B59),B58),B57),B56),B55),B54),B53),B52),B51),B50),B49),B48),B47),B46),B45)=0,,
IF(COUNTIF($F$3:F22,B45)&gt;=1,IF(COUNTIF($F$3:F22,B46)&gt;=1,IF(COUNTIF($F$3:F22,B47)&gt;=1,IF(COUNTIF($F$3:F22,B48)&gt;=1,IF(COUNTIF($F$3:F22,B49)&gt;=1,IF(COUNTIF($F$3:F22,B50)&gt;=1,IF(COUNTIF($F$3:F22,B51)&gt;=1,IF(COUNTIF($F$3:F22,B52)&gt;=1,IF(COUNTIF($F$3:F22,B53)&gt;=1,IF(COUNTIF($F$3:F22,B54)&gt;=1,IF(COUNTIF($F$3:F22,B55)&gt;=1,IF(COUNTIF($F$3:F22,B56)&gt;=1,IF(COUNTIF($F$3:F22,B57)&gt;=1,IF(COUNTIF($F$3:F22,B58)&gt;=1,IF(COUNTIF($F$3:F22,B59)&gt;=1,IF(COUNTIF($F$3:F22,B60)&gt;=1,IF(COUNTIF($F$3:F22,B61)&gt;=1,IF(COUNTIF($F$3:F22,B62)&gt;=1,IF(COUNTIF($F$3:F22,B63)&gt;=1,IF(COUNTIF($F$3:F22,B64)&gt;=1,B65,B64),B63),B62),B61),B60),B59),B58),B57),B56),B55),B54),B53),B52),B51),B50),B49),B48),B47),B46),B45))</f>
        <v>0</v>
      </c>
      <c r="G23" s="112">
        <f t="shared" si="1"/>
        <v>0</v>
      </c>
      <c r="H23" s="99"/>
    </row>
    <row r="24" spans="1:8" ht="18.75" x14ac:dyDescent="0.35">
      <c r="A24" s="89" t="s">
        <v>33</v>
      </c>
      <c r="B24" s="89" t="s">
        <v>271</v>
      </c>
      <c r="C24" s="89" t="s">
        <v>42</v>
      </c>
      <c r="D24" s="89" t="s">
        <v>49</v>
      </c>
      <c r="E24" s="89" t="s">
        <v>53</v>
      </c>
      <c r="F24" s="90" t="s">
        <v>43</v>
      </c>
      <c r="G24" s="89" t="s">
        <v>44</v>
      </c>
      <c r="H24" s="90" t="s">
        <v>60</v>
      </c>
    </row>
    <row r="25" spans="1:8" ht="30" customHeight="1" x14ac:dyDescent="0.25">
      <c r="A25" s="84"/>
      <c r="B25" s="84"/>
      <c r="C25" s="84"/>
      <c r="D25" s="85" t="str">
        <f>IF(Tabel2[[#This Row],[Biobased products]]="CLT","Select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25"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25" s="87"/>
      <c r="G25"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25"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26" spans="1:8" ht="30" customHeight="1" x14ac:dyDescent="0.25">
      <c r="A26" s="84"/>
      <c r="B26" s="84"/>
      <c r="C26" s="84"/>
      <c r="D26" s="85" t="str">
        <f>IF(Tabel2[[#This Row],[Biobased products]]="CLT","Select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26"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26" s="87"/>
      <c r="G26"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26"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27" spans="1:8" ht="30" customHeight="1" x14ac:dyDescent="0.25">
      <c r="A27" s="84"/>
      <c r="B27" s="84"/>
      <c r="C27" s="84"/>
      <c r="D27" s="85" t="str">
        <f>IF(Tabel2[[#This Row],[Biobased products]]="CLT","Select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27"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27" s="87"/>
      <c r="G27"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27"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28" spans="1:8" ht="30" customHeight="1" x14ac:dyDescent="0.25">
      <c r="A28" s="84"/>
      <c r="B28" s="84"/>
      <c r="C28" s="84"/>
      <c r="D28" s="85" t="str">
        <f>IF(Tabel2[[#This Row],[Biobased products]]="CLT","Select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28"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28" s="87"/>
      <c r="G28"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28"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29" spans="1:8" ht="30" customHeight="1" x14ac:dyDescent="0.25">
      <c r="A29" s="84"/>
      <c r="B29" s="84"/>
      <c r="C29" s="84"/>
      <c r="D29" s="85" t="str">
        <f>IF(Tabel2[[#This Row],[Biobased products]]="CLT","Select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29"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29" s="87"/>
      <c r="G29"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29"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30" spans="1:8" ht="30" customHeight="1" x14ac:dyDescent="0.25">
      <c r="A30" s="84"/>
      <c r="B30" s="84"/>
      <c r="C30" s="84"/>
      <c r="D30" s="85" t="str">
        <f>IF(Tabel2[[#This Row],[Biobased products]]="CLT","Select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30"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30" s="87"/>
      <c r="G30"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30"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31" spans="1:8" ht="30" customHeight="1" x14ac:dyDescent="0.25">
      <c r="A31" s="84"/>
      <c r="B31" s="84"/>
      <c r="C31" s="84"/>
      <c r="D31" s="85" t="str">
        <f>IF(Tabel2[[#This Row],[Biobased products]]="CLT","Select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31"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31" s="87"/>
      <c r="G31"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31"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32" spans="1:8" ht="30" customHeight="1" x14ac:dyDescent="0.25">
      <c r="A32" s="84"/>
      <c r="B32" s="84"/>
      <c r="C32" s="84"/>
      <c r="D32" s="85" t="str">
        <f>IF(Tabel2[[#This Row],[Biobased products]]="CLT","Select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32"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32" s="87"/>
      <c r="G32"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32"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33" spans="1:8" ht="30" customHeight="1" x14ac:dyDescent="0.25">
      <c r="A33" s="84"/>
      <c r="B33" s="84"/>
      <c r="C33" s="84"/>
      <c r="D33" s="85" t="str">
        <f>IF(Tabel2[[#This Row],[Biobased products]]="CLT","Select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33"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33" s="87"/>
      <c r="G33"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33"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34" spans="1:8" ht="30" customHeight="1" x14ac:dyDescent="0.25">
      <c r="A34" s="84"/>
      <c r="B34" s="84"/>
      <c r="C34" s="84"/>
      <c r="D34" s="85" t="str">
        <f>IF(Tabel2[[#This Row],[Biobased products]]="CLT","Select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34"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34" s="87"/>
      <c r="G34"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34"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35" spans="1:8" ht="30" customHeight="1" x14ac:dyDescent="0.25">
      <c r="A35" s="84"/>
      <c r="B35" s="84"/>
      <c r="C35" s="84"/>
      <c r="D35" s="85" t="str">
        <f>IF(Tabel2[[#This Row],[Biobased products]]="CLT","Select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35"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35" s="87"/>
      <c r="G35"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35"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36" spans="1:8" ht="30" customHeight="1" x14ac:dyDescent="0.25">
      <c r="A36" s="84"/>
      <c r="B36" s="84"/>
      <c r="C36" s="84"/>
      <c r="D36" s="85" t="str">
        <f>IF(Tabel2[[#This Row],[Biobased products]]="CLT","Select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36"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36" s="87"/>
      <c r="G36"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36"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37" spans="1:8" ht="30" customHeight="1" x14ac:dyDescent="0.25">
      <c r="A37" s="84"/>
      <c r="B37" s="84"/>
      <c r="C37" s="84"/>
      <c r="D37" s="85" t="str">
        <f>IF(Tabel2[[#This Row],[Biobased products]]="CLT","Select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37"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37" s="87"/>
      <c r="G37"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37"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38" spans="1:8" ht="30" customHeight="1" x14ac:dyDescent="0.25">
      <c r="A38" s="84"/>
      <c r="B38" s="84"/>
      <c r="C38" s="84"/>
      <c r="D38" s="85" t="str">
        <f>IF(Tabel2[[#This Row],[Biobased products]]="CLT","Select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38"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38" s="87"/>
      <c r="G38"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38"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39" spans="1:8" ht="30" customHeight="1" x14ac:dyDescent="0.25">
      <c r="A39" s="84"/>
      <c r="B39" s="84"/>
      <c r="C39" s="84"/>
      <c r="D39" s="85" t="str">
        <f>IF(Tabel2[[#This Row],[Biobased products]]="CLT","Select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39"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39" s="87"/>
      <c r="G39"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39"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40" spans="1:8" ht="30" customHeight="1" x14ac:dyDescent="0.25">
      <c r="A40" s="84"/>
      <c r="B40" s="84"/>
      <c r="C40" s="84"/>
      <c r="D40" s="85" t="str">
        <f>IF(Tabel2[[#This Row],[Biobased products]]="CLT","Select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40"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40" s="87"/>
      <c r="G40"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40"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41" spans="1:8" ht="30" customHeight="1" x14ac:dyDescent="0.25">
      <c r="A41" s="84"/>
      <c r="B41" s="84"/>
      <c r="C41" s="84"/>
      <c r="D41" s="85" t="str">
        <f>IF(Tabel2[[#This Row],[Biobased products]]="CLT","Select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41"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41" s="87"/>
      <c r="G41"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41"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42" spans="1:8" ht="30" customHeight="1" x14ac:dyDescent="0.25">
      <c r="A42" s="84"/>
      <c r="B42" s="84"/>
      <c r="C42" s="84"/>
      <c r="D42" s="85" t="str">
        <f>IF(Tabel2[[#This Row],[Biobased products]]="CLT","Select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42"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42" s="87"/>
      <c r="G42"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42"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43" spans="1:8" ht="30" customHeight="1" x14ac:dyDescent="0.25">
      <c r="A43" s="84"/>
      <c r="B43" s="84"/>
      <c r="C43" s="84"/>
      <c r="D43" s="85" t="str">
        <f>IF(Tabel2[[#This Row],[Biobased products]]="CLT","Select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43"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43" s="87"/>
      <c r="G43"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43"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44" spans="1:8" ht="30" customHeight="1" x14ac:dyDescent="0.25">
      <c r="A44" s="84"/>
      <c r="B44" s="84"/>
      <c r="C44" s="84"/>
      <c r="D44" s="85" t="str">
        <f>IF(Tabel2[[#This Row],[Biobased products]]="CLT","Select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44"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44" s="87"/>
      <c r="G44"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44"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45" spans="1:8" ht="30" customHeight="1" x14ac:dyDescent="0.25">
      <c r="A45" s="84"/>
      <c r="B45" s="84"/>
      <c r="C45" s="84"/>
      <c r="D45" s="85" t="str">
        <f>IF(Tabel2[[#This Row],[Biobased products]]="CLT","Select wood type or provide the CLT density in next column. In EU, CLT from spruces is most common and recommended.",
IF(Tabel2[[#This Row],[Biobased products]]="Other wood material","Specify type of wood",
IF(Tabel2[[#This Row],[Biobased products]]="EcoCocon (straw frame timber beams included)","Unit must be m3",
IF(Tabel2[[#This Row],[Biobased products]]="Extensive green roof (sedum)","Unit must be m2",
IF(Tabel2[[#This Row],[Biobased products]]="Laminated strand lumber","Unit must be kg, unless you provide a density in the next column.",
IF(Tabel2[[#This Row],[Biobased products]]="Closed panel timber frame system","Unit must be kg. NOTE: using the timber frame products results in a less accurate CO2 storage estimation then using 'Other wood material' in the category 'Boards/planks'.",
IF(Tabel2[[#This Row],[Biobased products]]="Open panel timber frame system","Unit must be kg. NOTE: using the timber frame products results in a less accurate CO2 storage estimation then using 'Other wood material' in the category 'Boards/planks'.",
IF(Tabel2[[#This Row],[Biobased products]]="Fibreboard","Unit must be kg, unless you provide a density in the next column.",
IF(Tabel2[[#This Row],[Biobased products]]="Laminate","Unit must be kg, unless you provide a density in the next column.",
IF(Tabel2[[#This Row],[Biobased products]]="Sheep wool","Unit must be kg, unless you provide a density in the next column.",
IF(Tabel2[[#This Row],[Biobased products]]="Wood-plastic composite","Unit must be kg, unless you provide a density in the next column.",
IF(Tabel2[[#This Row],[Biobased products]]="Wood I-beam","Unit must be kg, unless you provide a density in the next column.",
IF(Tabel2[[#This Row],[Product category]]="Custom","Please provide here the value for: CO2-storage (kgCO2/kg product)",
"Not applicable")))))))))))))</f>
        <v>Not applicable</v>
      </c>
      <c r="E45" s="86" t="e">
        <f>IF(Tabel2[[#This Row],[Biobased products]]="Other wood material",VLOOKUP(Tabel2[[#This Row],[Additional information]],'Wood-types'!$A$2:$B$113,2,FALSE),
IF(Tabel2[[#This Row],[Biobased products]]="CLT",IF(Tabel2[[#This Row],[Additional information]]='Drop-down_lists'!$D$2,VLOOKUP(Tabel2[[#This Row],[Biobased products]],Tabel1[[Product]:[Av. Density from larchs (kg/m3)]],9,FALSE),IF(Tabel2[[#This Row],[Additional information]]='Drop-down_lists'!$D$3,VLOOKUP(Tabel2[[#This Row],[Biobased products]],Tabel1[[Product]:[Av. Density from larchs (kg/m3)]],10,FALSE),IF(Tabel2[[#This Row],[Additional information]]='Drop-down_lists'!$D$4,VLOOKUP(Tabel2[[#This Row],[Biobased products]],Tabel1[[Product]:[Av. Density from larchs (kg/m3)]],7,FALSE),"Provide additional information or fill in here the specific CLT density"))),
IF(Tabel2[[#This Row],[Biobased products]]="EcoCocon (straw frame timber beams included)",1,
IF(Tabel2[[#This Row],[Product category]]="Custom","Provide here the density of your product in kg/m3",
VLOOKUP(Tabel2[[#This Row],[Biobased products]],Tabel1[[Product]:[Av. of mid. range Density (kg/m3)]],7,FALSE)))))</f>
        <v>#N/A</v>
      </c>
      <c r="F45" s="87"/>
      <c r="G45" s="84" t="str">
        <f>IF(Tabel2[[#This Row],[Biobased products]]="EcoCocon (straw frame timber beams included)","m3",
IF(Tabel2[[#This Row],[Biobased products]]="Extensive green roof (sedum)","m2",
IF(Tabel2[[#This Row],[Biobased products]]="Laminated strand lumber","kg",
IF(Tabel2[[#This Row],[Biobased products]]="Closed panel timber frame system","kg",
IF(Tabel2[[#This Row],[Biobased products]]="Open panel timber frame system","kg",
IF(Tabel2[[#This Row],[Biobased products]]="Fibreboard","kg",
IF(Tabel2[[#This Row],[Biobased products]]="Laminate","kg",
IF(Tabel2[[#This Row],[Biobased products]]="Sheep wool","kg",
IF(Tabel2[[#This Row],[Biobased products]]="Wood-plastic composite","kg",
IF(Tabel2[[#This Row],[Biobased products]]="Wood I-beam","kg",
"Select unit"))))))))))</f>
        <v>Select unit</v>
      </c>
      <c r="H45" s="88" t="e">
        <f>IF(Tabel2[[#This Row],[Biobased products]]="Other wood material",IF(Tabel2[[#This Row],[Unit]]='Drop-down_lists'!$C$2,Tabel2[[#This Row],[Quantity of product]]/(1+(12/100))*VLOOKUP(Tabel2[[#This Row],[Additional information]],'Wood-types'!$A$2:$C$113,3,FALSE)*(1/12.011*44.0095)/1000,IF(Tabel2[[#This Row],[Unit]]='Drop-down_lists'!$C$3,Tabel2[[#This Row],[Quantity of product]]/(1+(12/100))*VLOOKUP(Tabel2[[#This Row],[Additional information]],'Wood-types'!$A$2:$C$113,3,FALSE)*(1/12.011*44.0095),IF(Tabel2[[#This Row],[Unit]]='Drop-down_lists'!$C$4,(Tabel2[[#This Row],[Quantity of product]]*Tabel2[[#This Row],[Average density (kg/m3)]])/(1+(12/100))*VLOOKUP(Tabel2[[#This Row],[Additional information]],'Wood-types'!$A$2:$C$113,3,FALSE)*(1/12.011*44.0095)/1000))),
IF(Tabel2[[#This Row],[Biobased products]]="Extensive green roof (sedum)",Tabel2[[#This Row],[Quantity of product]]*VLOOKUP(Tabel2[[#This Row],[Biobased products]],Tabel1[[Product]:[Av. CO2-storage (kgCO2/kg)*]],3,FALSE),
IF(Tabel2[[#This Row],[Product category]]="Custom",Tabel2[[#This Row],[Quantity of product]]*IF(Tabel2[[#This Row],[Unit]]='Drop-down_lists'!$C$2,0.001,IF(Tabel2[[#This Row],[Unit]]='Drop-down_lists'!$C$3,1,IF(Tabel2[[#This Row],[Unit]]='Drop-down_lists'!$C$4,Tabel2[[#This Row],[Average density (kg/m3)]]*0.001,NA())))*Tabel2[[#This Row],[Additional information]],
IF(ISNUMBER(Tabel2[[#This Row],[Quantity of product]])=TRUE,Tabel2[[#This Row],[Quantity of product]]*IF(Tabel2[[#This Row],[Unit]]='Drop-down_lists'!$C$2,0.001,IF(Tabel2[[#This Row],[Unit]]='Drop-down_lists'!$C$3,1,IF(Tabel2[[#This Row],[Unit]]='Drop-down_lists'!$C$4,Tabel2[[#This Row],[Average density (kg/m3)]]*0.001,NA())))*VLOOKUP(Tabel2[[#This Row],[Biobased products]],Tabel1[[Product]:[Av. CO2-storage (kgCO2/kg)*]],3,FALSE),NA()))))</f>
        <v>#N/A</v>
      </c>
    </row>
    <row r="53" spans="6:6" x14ac:dyDescent="0.25">
      <c r="F53"/>
    </row>
  </sheetData>
  <sheetProtection algorithmName="SHA-512" hashValue="Wx21kTqbDgIiyjsZV8jpzIWZ5R4EHWZpOs6eok7eoCj1ZRJC57CWBI1h25jRHdPFgV9ZcfE/2QPtQ9TYHfkf8Q==" saltValue="JyuaIyE0tTbj4VRAXp6QzQ==" spinCount="100000" sheet="1"/>
  <mergeCells count="2">
    <mergeCell ref="A5:B5"/>
    <mergeCell ref="B1:C1"/>
  </mergeCells>
  <phoneticPr fontId="11" type="noConversion"/>
  <conditionalFormatting sqref="D1:E1048576">
    <cfRule type="containsText" dxfId="37" priority="1" operator="containsText" text="Please provide here the value for: CO2-storage (kgCO2/kg product)">
      <formula>NOT(ISERROR(SEARCH("Please provide here the value for: CO2-storage (kgCO2/kg product)",D1)))</formula>
    </cfRule>
    <cfRule type="containsText" dxfId="36" priority="18" operator="containsText" text="Select wood type or provide the CLT density in next column. In EU, CLT from spruces is most common and recommended.">
      <formula>NOT(ISERROR(SEARCH("Select wood type or provide the CLT density in next column. In EU, CLT from spruces is most common and recommended.",D1)))</formula>
    </cfRule>
    <cfRule type="containsText" dxfId="35" priority="21" operator="containsText" text="Specify type of wood">
      <formula>NOT(ISERROR(SEARCH("Specify type of wood",D1)))</formula>
    </cfRule>
  </conditionalFormatting>
  <conditionalFormatting sqref="H25:H45">
    <cfRule type="cellIs" dxfId="34" priority="19" operator="equal">
      <formula>0</formula>
    </cfRule>
  </conditionalFormatting>
  <conditionalFormatting sqref="G25:G45">
    <cfRule type="expression" dxfId="33" priority="3">
      <formula>$C25="Wood I-beam"</formula>
    </cfRule>
    <cfRule type="expression" dxfId="32" priority="4">
      <formula>$C25="Wood-plastic composite"</formula>
    </cfRule>
    <cfRule type="expression" dxfId="31" priority="5">
      <formula>$C25="Sheep wool"</formula>
    </cfRule>
    <cfRule type="expression" dxfId="30" priority="6">
      <formula>$C25="Laminate"</formula>
    </cfRule>
    <cfRule type="expression" dxfId="29" priority="7">
      <formula>$C25="Fibreboard"</formula>
    </cfRule>
    <cfRule type="expression" dxfId="28" priority="8">
      <formula>$C25="Open panel timber frame system"</formula>
    </cfRule>
    <cfRule type="expression" dxfId="27" priority="9">
      <formula>$C25="Closed panel timber frame system"</formula>
    </cfRule>
    <cfRule type="expression" dxfId="26" priority="10">
      <formula>$C25="Laminated strand lumber"</formula>
    </cfRule>
    <cfRule type="expression" dxfId="25" priority="13">
      <formula>$C25="Extensive green roof (sedum)"</formula>
    </cfRule>
    <cfRule type="expression" dxfId="24" priority="16">
      <formula>$C25="EcoCocon (straw frame timber beams included)"</formula>
    </cfRule>
  </conditionalFormatting>
  <conditionalFormatting sqref="E25:E45">
    <cfRule type="cellIs" dxfId="23" priority="11" operator="equal">
      <formula>0</formula>
    </cfRule>
    <cfRule type="cellIs" dxfId="22" priority="12" operator="equal">
      <formula>1</formula>
    </cfRule>
  </conditionalFormatting>
  <conditionalFormatting sqref="D25:D45">
    <cfRule type="containsText" dxfId="21" priority="2" operator="containsText" text="Unit">
      <formula>NOT(ISERROR(SEARCH("Unit",D25)))</formula>
    </cfRule>
  </conditionalFormatting>
  <dataValidations count="3">
    <dataValidation type="list" allowBlank="1" showInputMessage="1" sqref="G25:G45" xr:uid="{DCBA18B7-2B14-47D1-A7FD-C311FBEE2065}">
      <formula1>Unit</formula1>
    </dataValidation>
    <dataValidation type="list" allowBlank="1" showInputMessage="1" sqref="A25:A45" xr:uid="{4997F3B4-18B9-4B9C-81F2-B0A30BE4BC3E}">
      <formula1>CL</formula1>
    </dataValidation>
    <dataValidation type="list" allowBlank="1" showInputMessage="1" sqref="B25:B45" xr:uid="{0677C995-94DE-429B-A760-B07230296A12}">
      <formula1>P_cat.</formula1>
    </dataValidation>
  </dataValidations>
  <pageMargins left="0.7" right="0.7" top="0.75" bottom="0.75" header="0.3" footer="0.3"/>
  <pageSetup paperSize="9" orientation="portrait" r:id="rId1"/>
  <drawing r:id="rId2"/>
  <tableParts count="1">
    <tablePart r:id="rId3"/>
  </tableParts>
  <extLst>
    <ext xmlns:x14="http://schemas.microsoft.com/office/spreadsheetml/2009/9/main" uri="{CCE6A557-97BC-4b89-ADB6-D9C93CAAB3DF}">
      <x14:dataValidations xmlns:xm="http://schemas.microsoft.com/office/excel/2006/main" count="5">
        <x14:dataValidation type="list" allowBlank="1" showInputMessage="1" showErrorMessage="1" xr:uid="{9141BB86-F3AB-45B7-8A92-979606165579}">
          <x14:formula1>
            <xm:f>IF(C25='CO2-storage factors'!$A$4,CLT,IF(C25='CO2-storage factors'!$A$36,HSC,IF(C25='CO2-storage factors'!$A$37,Wtype,'Drop-down_lists'!$D$9)))</xm:f>
          </x14:formula1>
          <xm:sqref>E47</xm:sqref>
        </x14:dataValidation>
        <x14:dataValidation type="list" errorStyle="information" allowBlank="1" showInputMessage="1" showErrorMessage="1" errorTitle="Custom product name" error="Enter only custom product names when &quot;Custom&quot; is selected in the &quot;Product category&quot; column." xr:uid="{DC32AE05-EC50-4EE2-9713-321B6DDCF9B3}">
          <x14:formula1>
            <xm:f>IF(B25="Floors",Floors,IF(B25="Frames and walls",Frames_walls,IF(B25="Insulation",Insulation,IF(B25="Roofs",Roofs,IF(B25="Boards/planks",Boards_planks,'Drop-down_lists'!$A$27)))))</xm:f>
          </x14:formula1>
          <xm:sqref>C25:C45</xm:sqref>
        </x14:dataValidation>
        <x14:dataValidation type="list" errorStyle="warning" allowBlank="1" showInputMessage="1" showErrorMessage="1" errorTitle="Attention" error="Only enter custom information, when you're required to do so. Otherwise, it is possible the calculation will result in an error." xr:uid="{F7F4211E-106F-4A87-A9BF-6F8C663001BD}">
          <x14:formula1>
            <xm:f>IF(C25="CLT",CLT,IF(C25="Hemp-shives containing products",HSC,IF(C25="Other wood material",Wtype,'Drop-down_lists'!$D$9)))</xm:f>
          </x14:formula1>
          <xm:sqref>D25:D45</xm:sqref>
        </x14:dataValidation>
        <x14:dataValidation type="list" errorStyle="warning" allowBlank="1" showInputMessage="1" showErrorMessage="1" errorTitle="Attention" error="Only enter an alternative density when you are required to do so, or have a more accurate value. DON’T change value for EcoCocon!" xr:uid="{F99F570D-25E6-4EB3-A79E-8B1E96D13FB4}">
          <x14:formula1>
            <xm:f>IF(#REF!="CLT",CLT,IF(#REF!="Hemp-shives containing products",HSC,IF(#REF!="Other wood material",Wtype,'Drop-down_lists'!$D$9)))</xm:f>
          </x14:formula1>
          <xm:sqref>E25:E45</xm:sqref>
        </x14:dataValidation>
        <x14:dataValidation type="list" errorStyle="warning" allowBlank="1" showInputMessage="1" showErrorMessage="1" errorTitle="Attention!" error="Only enter custom density when selected &quot;Custom&quot; in the &quot;Product category&quot; column. DON'T change density for EcoCocon product." xr:uid="{584589CD-B79D-4155-AEB2-E19F10798390}">
          <x14:formula1>
            <xm:f>IF(C25="Floors",Floors,IF(C25="Frames and walls",Frames_walls,IF(C25="Insulation",Insulation,IF(C25="Roofs",Roofs,IF(C25="Boards/planks",Boards_planks,'Drop-down_lists'!$A$27)))))</xm:f>
          </x14:formula1>
          <xm:sqref>E25:E45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1DCE1-0DF7-4CE2-973F-89EA57EA44BF}">
  <dimension ref="A1:W55"/>
  <sheetViews>
    <sheetView workbookViewId="0">
      <pane xSplit="1" ySplit="1" topLeftCell="B11" activePane="bottomRight" state="frozen"/>
      <selection pane="topRight" activeCell="B1" sqref="B1"/>
      <selection pane="bottomLeft" activeCell="A2" sqref="A2"/>
      <selection pane="bottomRight"/>
    </sheetView>
  </sheetViews>
  <sheetFormatPr defaultRowHeight="15" x14ac:dyDescent="0.25"/>
  <cols>
    <col min="1" max="1" width="43.85546875" bestFit="1" customWidth="1"/>
    <col min="2" max="2" width="15.85546875" customWidth="1"/>
    <col min="3" max="3" width="14.85546875" style="1" customWidth="1"/>
    <col min="4" max="4" width="16.140625" customWidth="1"/>
    <col min="5" max="5" width="14.28515625" customWidth="1"/>
    <col min="6" max="6" width="12.140625" customWidth="1"/>
    <col min="7" max="7" width="16.85546875" customWidth="1"/>
    <col min="8" max="8" width="12.42578125" customWidth="1"/>
    <col min="9" max="9" width="17" customWidth="1"/>
    <col min="10" max="10" width="15.42578125" customWidth="1"/>
    <col min="11" max="12" width="12.85546875" customWidth="1"/>
    <col min="15" max="15" width="9.7109375" customWidth="1"/>
    <col min="21" max="22" width="20.7109375" customWidth="1"/>
  </cols>
  <sheetData>
    <row r="1" spans="1:23" s="2" customFormat="1" ht="37.5" customHeight="1" x14ac:dyDescent="0.35">
      <c r="A1" s="46" t="s">
        <v>8</v>
      </c>
      <c r="B1" s="62" t="s">
        <v>1</v>
      </c>
      <c r="C1" s="63" t="s">
        <v>253</v>
      </c>
      <c r="D1" s="62" t="s">
        <v>2</v>
      </c>
      <c r="E1" s="46" t="s">
        <v>9</v>
      </c>
      <c r="F1" s="54" t="s">
        <v>30</v>
      </c>
      <c r="G1" s="62" t="s">
        <v>29</v>
      </c>
      <c r="H1" s="50" t="s">
        <v>31</v>
      </c>
      <c r="I1" s="62" t="s">
        <v>4</v>
      </c>
      <c r="J1" s="46" t="s">
        <v>5</v>
      </c>
      <c r="K1" s="62" t="s">
        <v>55</v>
      </c>
      <c r="L1" s="62" t="s">
        <v>56</v>
      </c>
      <c r="M1" s="62" t="s">
        <v>70</v>
      </c>
      <c r="N1" s="62" t="s">
        <v>238</v>
      </c>
      <c r="O1" s="62" t="s">
        <v>240</v>
      </c>
      <c r="T1" s="2" t="s">
        <v>260</v>
      </c>
      <c r="U1" s="2" t="s">
        <v>265</v>
      </c>
      <c r="V1" s="2" t="s">
        <v>266</v>
      </c>
    </row>
    <row r="2" spans="1:23" x14ac:dyDescent="0.25">
      <c r="A2" s="47" t="s">
        <v>243</v>
      </c>
      <c r="B2" s="60" t="e">
        <f>NA()</f>
        <v>#N/A</v>
      </c>
      <c r="C2" s="60">
        <f>1010/Tabel1[[#This Row],[Av. of mid. range Density (kg/m3)]]</f>
        <v>1.3377483443708609</v>
      </c>
      <c r="D2" s="60" t="e">
        <f>NA()</f>
        <v>#N/A</v>
      </c>
      <c r="E2" s="47" t="e">
        <f>NA()</f>
        <v>#N/A</v>
      </c>
      <c r="F2" s="55" t="e">
        <f>NA()</f>
        <v>#N/A</v>
      </c>
      <c r="G2" s="53">
        <v>755</v>
      </c>
      <c r="H2" s="51" t="e">
        <f>NA()</f>
        <v>#N/A</v>
      </c>
      <c r="I2" s="64"/>
      <c r="J2" s="57"/>
      <c r="K2" s="58" t="s">
        <v>244</v>
      </c>
      <c r="L2" s="53" t="s">
        <v>310</v>
      </c>
      <c r="M2" s="53" t="s">
        <v>310</v>
      </c>
      <c r="N2" s="53" t="s">
        <v>310</v>
      </c>
      <c r="O2" s="53" t="s">
        <v>310</v>
      </c>
      <c r="P2" s="59" t="s">
        <v>311</v>
      </c>
      <c r="Q2" s="4" t="s">
        <v>65</v>
      </c>
      <c r="R2">
        <v>12.010999999999999</v>
      </c>
      <c r="S2" t="s">
        <v>73</v>
      </c>
      <c r="T2" t="s">
        <v>261</v>
      </c>
      <c r="U2">
        <v>3.27</v>
      </c>
      <c r="V2" s="39">
        <f>U2/$R$2*$R$3</f>
        <v>11.981605611522772</v>
      </c>
    </row>
    <row r="3" spans="1:23" ht="18" x14ac:dyDescent="0.35">
      <c r="A3" s="47" t="s">
        <v>241</v>
      </c>
      <c r="B3" s="60" t="e">
        <f>NA()</f>
        <v>#N/A</v>
      </c>
      <c r="C3" s="60">
        <f>433/Tabel1[[#This Row],[Av. of mid. range Density (kg/m3)]]</f>
        <v>0.84901960784313724</v>
      </c>
      <c r="D3" s="60" t="e">
        <f>NA()</f>
        <v>#N/A</v>
      </c>
      <c r="E3" s="47" t="e">
        <f>NA()</f>
        <v>#N/A</v>
      </c>
      <c r="F3" s="55" t="e">
        <f>NA()</f>
        <v>#N/A</v>
      </c>
      <c r="G3" s="53">
        <v>510</v>
      </c>
      <c r="H3" s="51" t="e">
        <f>NA()</f>
        <v>#N/A</v>
      </c>
      <c r="I3" s="64"/>
      <c r="J3" s="57"/>
      <c r="K3" s="58" t="s">
        <v>244</v>
      </c>
      <c r="L3" s="53" t="s">
        <v>310</v>
      </c>
      <c r="M3" s="53" t="s">
        <v>310</v>
      </c>
      <c r="N3" s="53" t="s">
        <v>310</v>
      </c>
      <c r="O3" s="53" t="s">
        <v>310</v>
      </c>
      <c r="P3" s="59" t="s">
        <v>311</v>
      </c>
      <c r="Q3" s="4" t="s">
        <v>66</v>
      </c>
      <c r="R3">
        <v>44.009500000000003</v>
      </c>
      <c r="S3" t="s">
        <v>73</v>
      </c>
      <c r="T3" t="s">
        <v>262</v>
      </c>
      <c r="U3">
        <v>3.13</v>
      </c>
      <c r="V3" s="39">
        <f t="shared" ref="V3:V8" si="0">U3/$R$2*$R$3</f>
        <v>11.46863167096828</v>
      </c>
    </row>
    <row r="4" spans="1:23" x14ac:dyDescent="0.25">
      <c r="A4" s="47" t="s">
        <v>242</v>
      </c>
      <c r="B4" s="60" t="e">
        <f>NA()</f>
        <v>#N/A</v>
      </c>
      <c r="C4" s="60">
        <f>741/Tabel1[[#This Row],[Av. of mid. range Density (kg/m3)]]</f>
        <v>1.3722222222222222</v>
      </c>
      <c r="D4" s="60" t="e">
        <f>NA()</f>
        <v>#N/A</v>
      </c>
      <c r="E4" s="47" t="e">
        <f>NA()</f>
        <v>#N/A</v>
      </c>
      <c r="F4" s="55" t="e">
        <f>NA()</f>
        <v>#N/A</v>
      </c>
      <c r="G4" s="53">
        <v>540</v>
      </c>
      <c r="H4" s="51" t="e">
        <f>NA()</f>
        <v>#N/A</v>
      </c>
      <c r="I4" s="64"/>
      <c r="J4" s="57"/>
      <c r="K4" s="58" t="s">
        <v>244</v>
      </c>
      <c r="L4" s="53" t="s">
        <v>310</v>
      </c>
      <c r="M4" s="53" t="s">
        <v>310</v>
      </c>
      <c r="N4" s="53" t="s">
        <v>310</v>
      </c>
      <c r="O4" s="53" t="s">
        <v>310</v>
      </c>
      <c r="P4" s="59" t="s">
        <v>311</v>
      </c>
      <c r="T4" t="s">
        <v>263</v>
      </c>
      <c r="U4">
        <v>3.22</v>
      </c>
      <c r="V4" s="39">
        <f t="shared" si="0"/>
        <v>11.798400632753312</v>
      </c>
    </row>
    <row r="5" spans="1:23" x14ac:dyDescent="0.25">
      <c r="A5" s="66" t="s">
        <v>321</v>
      </c>
      <c r="B5" s="60" t="e">
        <f>NA()</f>
        <v>#N/A</v>
      </c>
      <c r="C5" s="60">
        <v>1.57</v>
      </c>
      <c r="D5" s="60" t="e">
        <f>NA()</f>
        <v>#N/A</v>
      </c>
      <c r="E5" s="48" t="e">
        <f>NA()</f>
        <v>#N/A</v>
      </c>
      <c r="F5" s="55">
        <v>650</v>
      </c>
      <c r="G5" s="53">
        <f>AVERAGE(Tabel1[[#This Row],[Min. Density (kg/m3)]],Tabel1[[#This Row],[Max. Density (kg/m3)]])</f>
        <v>675</v>
      </c>
      <c r="H5" s="51">
        <v>700</v>
      </c>
      <c r="I5" s="64"/>
      <c r="J5" s="57"/>
      <c r="K5" s="58" t="s">
        <v>328</v>
      </c>
      <c r="L5" s="58" t="s">
        <v>322</v>
      </c>
      <c r="M5" s="58" t="s">
        <v>309</v>
      </c>
      <c r="N5" s="53" t="s">
        <v>310</v>
      </c>
      <c r="O5" s="53" t="s">
        <v>310</v>
      </c>
      <c r="P5" s="59" t="s">
        <v>311</v>
      </c>
      <c r="Q5" s="59" t="s">
        <v>311</v>
      </c>
      <c r="W5" s="39"/>
    </row>
    <row r="6" spans="1:23" x14ac:dyDescent="0.25">
      <c r="A6" s="66" t="s">
        <v>7</v>
      </c>
      <c r="B6" s="60">
        <f>-0.982569852941176*(-C6/-1.13892104282357)*-1</f>
        <v>1.3120523093560654</v>
      </c>
      <c r="C6" s="60">
        <f>-1.5208323153187*-1</f>
        <v>1.5208323153187</v>
      </c>
      <c r="D6" s="60">
        <f>-1.23799876837568*(-C6/-1.13892104282357)*-1</f>
        <v>1.6531335030940739</v>
      </c>
      <c r="E6" s="47">
        <v>6</v>
      </c>
      <c r="F6" s="55">
        <v>520</v>
      </c>
      <c r="G6" s="53">
        <f>AVERAGE(F6,H6)</f>
        <v>610</v>
      </c>
      <c r="H6" s="51">
        <v>700</v>
      </c>
      <c r="I6" s="64"/>
      <c r="J6" s="57"/>
      <c r="K6" s="61" t="s">
        <v>3</v>
      </c>
      <c r="L6" s="58" t="s">
        <v>32</v>
      </c>
      <c r="M6" s="53" t="s">
        <v>310</v>
      </c>
      <c r="N6" s="53" t="s">
        <v>310</v>
      </c>
      <c r="O6" s="53" t="s">
        <v>310</v>
      </c>
      <c r="P6" s="59" t="s">
        <v>311</v>
      </c>
      <c r="Q6" s="59" t="s">
        <v>311</v>
      </c>
      <c r="W6" s="39"/>
    </row>
    <row r="7" spans="1:23" x14ac:dyDescent="0.25">
      <c r="A7" s="66" t="s">
        <v>10</v>
      </c>
      <c r="B7" s="60" t="e">
        <f>NA()</f>
        <v>#N/A</v>
      </c>
      <c r="C7" s="60">
        <f>-1.55409836065574*-1</f>
        <v>1.5540983606557399</v>
      </c>
      <c r="D7" s="60" t="e">
        <f>NA()</f>
        <v>#N/A</v>
      </c>
      <c r="E7" s="47">
        <v>1</v>
      </c>
      <c r="F7" s="60" t="e">
        <f>NA()</f>
        <v>#N/A</v>
      </c>
      <c r="G7" s="60" t="e">
        <f>NA()</f>
        <v>#N/A</v>
      </c>
      <c r="H7" s="60" t="e">
        <f>NA()</f>
        <v>#N/A</v>
      </c>
      <c r="I7" s="64"/>
      <c r="J7" s="57"/>
      <c r="K7" s="61" t="s">
        <v>3</v>
      </c>
      <c r="L7" s="53" t="s">
        <v>310</v>
      </c>
      <c r="M7" s="53" t="s">
        <v>310</v>
      </c>
      <c r="N7" s="53" t="s">
        <v>310</v>
      </c>
      <c r="O7" s="53" t="s">
        <v>310</v>
      </c>
      <c r="P7" s="59"/>
      <c r="Q7" s="59"/>
      <c r="W7" s="39"/>
    </row>
    <row r="8" spans="1:23" ht="15" customHeight="1" x14ac:dyDescent="0.25">
      <c r="A8" s="66" t="s">
        <v>0</v>
      </c>
      <c r="B8" s="60">
        <f>-1.01229508196721*(-C8/-1.20406947884372)*-1</f>
        <v>1.3799828879098692</v>
      </c>
      <c r="C8" s="60">
        <f>-1.64141395750919*-1</f>
        <v>1.6414139575091899</v>
      </c>
      <c r="D8" s="60">
        <f>-1.30577142857143*(-C8/-1.20406947884372)*-1</f>
        <v>1.7800562889710507</v>
      </c>
      <c r="E8" s="49">
        <v>3</v>
      </c>
      <c r="F8" s="56" t="e">
        <f>NA()</f>
        <v>#N/A</v>
      </c>
      <c r="G8" s="53">
        <f>AVERAGE(Tabel1[[#This Row],[Av. Density from spruces (kg/m3)]:[Av. Density from larchs (kg/m3)]])</f>
        <v>530</v>
      </c>
      <c r="H8" s="52" t="e">
        <f>NA()</f>
        <v>#N/A</v>
      </c>
      <c r="I8" s="53">
        <v>470</v>
      </c>
      <c r="J8" s="47">
        <v>590</v>
      </c>
      <c r="K8" s="61" t="s">
        <v>3</v>
      </c>
      <c r="L8" s="61" t="s">
        <v>6</v>
      </c>
      <c r="M8" s="53" t="s">
        <v>310</v>
      </c>
      <c r="N8" s="53" t="s">
        <v>310</v>
      </c>
      <c r="O8" s="53" t="s">
        <v>310</v>
      </c>
      <c r="P8" s="59" t="s">
        <v>311</v>
      </c>
      <c r="T8" t="s">
        <v>264</v>
      </c>
      <c r="U8">
        <v>9.82</v>
      </c>
      <c r="V8" s="39">
        <f t="shared" si="0"/>
        <v>35.981457830322206</v>
      </c>
    </row>
    <row r="9" spans="1:23" ht="15" customHeight="1" x14ac:dyDescent="0.35">
      <c r="A9" s="66" t="s">
        <v>72</v>
      </c>
      <c r="B9" s="60" t="e">
        <f>NA()</f>
        <v>#N/A</v>
      </c>
      <c r="C9" s="60">
        <f>97.6/(1*0.4)</f>
        <v>243.99999999999997</v>
      </c>
      <c r="D9" s="60" t="s">
        <v>71</v>
      </c>
      <c r="E9" s="47" t="e">
        <f>NA()</f>
        <v>#N/A</v>
      </c>
      <c r="F9" s="55" t="e">
        <f>NA()</f>
        <v>#N/A</v>
      </c>
      <c r="G9" s="83">
        <v>110</v>
      </c>
      <c r="H9" s="51" t="e">
        <f>NA()</f>
        <v>#N/A</v>
      </c>
      <c r="I9" s="64"/>
      <c r="J9" s="57"/>
      <c r="K9" s="58" t="s">
        <v>69</v>
      </c>
      <c r="L9" s="53" t="s">
        <v>310</v>
      </c>
      <c r="M9" s="53" t="s">
        <v>310</v>
      </c>
      <c r="N9" s="53" t="s">
        <v>310</v>
      </c>
      <c r="O9" s="53" t="s">
        <v>310</v>
      </c>
      <c r="P9" s="59" t="s">
        <v>311</v>
      </c>
      <c r="T9">
        <v>10.5</v>
      </c>
      <c r="U9" t="s">
        <v>267</v>
      </c>
    </row>
    <row r="10" spans="1:23" ht="15" customHeight="1" x14ac:dyDescent="0.25">
      <c r="A10" s="68" t="s">
        <v>318</v>
      </c>
      <c r="B10" s="69" t="e">
        <f>NA()</f>
        <v>#N/A</v>
      </c>
      <c r="C10" s="69">
        <f>0.48/$R$2*$R$3</f>
        <v>1.7587677961868289</v>
      </c>
      <c r="D10" s="69" t="e">
        <f>NA()</f>
        <v>#N/A</v>
      </c>
      <c r="E10" s="70" t="e">
        <f>NA()</f>
        <v>#N/A</v>
      </c>
      <c r="F10" s="76" t="e">
        <f>NA()</f>
        <v>#N/A</v>
      </c>
      <c r="G10" s="71" t="e">
        <f>NA()</f>
        <v>#N/A</v>
      </c>
      <c r="H10" s="72" t="e">
        <f>NA()</f>
        <v>#N/A</v>
      </c>
      <c r="I10" s="71"/>
      <c r="J10" s="68"/>
      <c r="K10" s="73" t="s">
        <v>319</v>
      </c>
      <c r="L10" s="71" t="s">
        <v>310</v>
      </c>
      <c r="M10" s="71" t="s">
        <v>310</v>
      </c>
      <c r="N10" s="71" t="s">
        <v>310</v>
      </c>
      <c r="O10" s="71" t="s">
        <v>310</v>
      </c>
      <c r="P10" s="59" t="s">
        <v>311</v>
      </c>
    </row>
    <row r="11" spans="1:23" ht="15" customHeight="1" x14ac:dyDescent="0.35">
      <c r="A11" s="66" t="s">
        <v>329</v>
      </c>
      <c r="B11" s="60" t="e">
        <f>NA()</f>
        <v>#N/A</v>
      </c>
      <c r="C11" s="1">
        <f>375/1000/$R$2*$R$3</f>
        <v>1.3740373407709601</v>
      </c>
      <c r="D11" s="60" t="s">
        <v>254</v>
      </c>
      <c r="E11" s="47" t="e">
        <f>NA()</f>
        <v>#N/A</v>
      </c>
      <c r="F11" s="60" t="e">
        <f>NA()</f>
        <v>#N/A</v>
      </c>
      <c r="G11" s="60" t="e">
        <f>NA()</f>
        <v>#N/A</v>
      </c>
      <c r="H11" s="60" t="e">
        <f>NA()</f>
        <v>#N/A</v>
      </c>
      <c r="I11" s="64"/>
      <c r="J11" s="57"/>
      <c r="K11" s="61" t="s">
        <v>255</v>
      </c>
      <c r="L11" s="53" t="s">
        <v>310</v>
      </c>
      <c r="M11" s="53" t="s">
        <v>310</v>
      </c>
      <c r="N11" s="53" t="s">
        <v>310</v>
      </c>
      <c r="O11" s="53" t="s">
        <v>310</v>
      </c>
      <c r="P11" s="59" t="s">
        <v>311</v>
      </c>
      <c r="Q11" s="59" t="s">
        <v>311</v>
      </c>
    </row>
    <row r="12" spans="1:23" ht="15" customHeight="1" x14ac:dyDescent="0.25">
      <c r="A12" s="66" t="s">
        <v>11</v>
      </c>
      <c r="B12" s="60">
        <f>-0.511961990199991*(-C12/-0.930146975546943)*-1</f>
        <v>0.86880764562157864</v>
      </c>
      <c r="C12" s="60">
        <f>-1.57847422147744*-1</f>
        <v>1.5784742214774401</v>
      </c>
      <c r="D12" s="60">
        <f>-1.198064*(-C12/-0.930146975546943)*-1</f>
        <v>2.0331336760710741</v>
      </c>
      <c r="E12" s="47">
        <v>5</v>
      </c>
      <c r="F12" t="e">
        <f>NA()</f>
        <v>#N/A</v>
      </c>
      <c r="G12" t="e">
        <f>NA()</f>
        <v>#N/A</v>
      </c>
      <c r="H12" t="e">
        <f>NA()</f>
        <v>#N/A</v>
      </c>
      <c r="I12" s="64"/>
      <c r="J12" s="57"/>
      <c r="K12" s="61" t="s">
        <v>3</v>
      </c>
      <c r="L12" s="53" t="s">
        <v>310</v>
      </c>
      <c r="M12" s="53" t="s">
        <v>310</v>
      </c>
      <c r="N12" s="53" t="s">
        <v>310</v>
      </c>
      <c r="O12" s="53" t="s">
        <v>310</v>
      </c>
      <c r="P12" s="59" t="s">
        <v>311</v>
      </c>
      <c r="Q12" s="59" t="s">
        <v>311</v>
      </c>
    </row>
    <row r="13" spans="1:23" x14ac:dyDescent="0.25">
      <c r="A13" s="66" t="s">
        <v>12</v>
      </c>
      <c r="B13" s="60">
        <f>-0.0773333333333333*(-C13/-0.895743463992897)*-1</f>
        <v>0.12154743407459215</v>
      </c>
      <c r="C13" s="60">
        <f>-1.40787051255289*-1</f>
        <v>1.4078705125528901</v>
      </c>
      <c r="D13" s="60">
        <f>-1.34174994004317*(-C13/-0.895743463992897)*-1</f>
        <v>2.1088740825256713</v>
      </c>
      <c r="E13" s="47">
        <v>13</v>
      </c>
      <c r="F13">
        <v>406</v>
      </c>
      <c r="G13">
        <f>AVERAGE(621,674,548,544,406)</f>
        <v>558.6</v>
      </c>
      <c r="H13">
        <v>674</v>
      </c>
      <c r="I13" s="64"/>
      <c r="J13" s="57"/>
      <c r="K13" s="61" t="s">
        <v>3</v>
      </c>
      <c r="L13" s="58" t="s">
        <v>235</v>
      </c>
      <c r="M13" s="58" t="s">
        <v>236</v>
      </c>
      <c r="N13" s="58" t="s">
        <v>237</v>
      </c>
      <c r="O13" s="58" t="s">
        <v>239</v>
      </c>
      <c r="P13" s="59" t="s">
        <v>311</v>
      </c>
    </row>
    <row r="14" spans="1:23" x14ac:dyDescent="0.25">
      <c r="A14" s="66" t="s">
        <v>13</v>
      </c>
      <c r="B14" s="60" t="e">
        <f>NA()</f>
        <v>#N/A</v>
      </c>
      <c r="C14" s="60">
        <f>-1.63921111850654*-1</f>
        <v>1.6392111185065401</v>
      </c>
      <c r="D14" s="60" t="e">
        <f>NA()</f>
        <v>#N/A</v>
      </c>
      <c r="E14" s="47">
        <v>1</v>
      </c>
      <c r="F14" t="e">
        <f>NA()</f>
        <v>#N/A</v>
      </c>
      <c r="G14">
        <f>Tabel1[[#This Row],[Max. Density (kg/m3)]]</f>
        <v>900</v>
      </c>
      <c r="H14">
        <v>900</v>
      </c>
      <c r="I14" s="64"/>
      <c r="J14" s="57"/>
      <c r="K14" s="61" t="s">
        <v>3</v>
      </c>
      <c r="L14" s="58" t="s">
        <v>32</v>
      </c>
      <c r="M14" s="53" t="s">
        <v>310</v>
      </c>
      <c r="N14" s="53" t="s">
        <v>310</v>
      </c>
      <c r="O14" s="53" t="s">
        <v>310</v>
      </c>
      <c r="P14" s="59" t="s">
        <v>311</v>
      </c>
    </row>
    <row r="15" spans="1:23" ht="18.75" customHeight="1" x14ac:dyDescent="0.25">
      <c r="A15" s="66" t="s">
        <v>14</v>
      </c>
      <c r="B15" s="60">
        <f>-1.17632653061225*(-C15/-1.28597420525066)*-1</f>
        <v>1.4558336723425427</v>
      </c>
      <c r="C15" s="60">
        <f>-1.59153474910868*-1</f>
        <v>1.59153474910868</v>
      </c>
      <c r="D15" s="60">
        <f>-1.47001050420168*(-C15/-1.28597420525066)*-1</f>
        <v>1.8192999435285866</v>
      </c>
      <c r="E15" s="47">
        <v>22</v>
      </c>
      <c r="F15">
        <v>700</v>
      </c>
      <c r="G15">
        <f>AVERAGE(Tabel1[[#This Row],[Min. Density (kg/m3)]],Tabel1[[#This Row],[Max. Density (kg/m3)]])</f>
        <v>750</v>
      </c>
      <c r="H15">
        <v>800</v>
      </c>
      <c r="I15" s="64"/>
      <c r="J15" s="57"/>
      <c r="K15" s="61" t="s">
        <v>3</v>
      </c>
      <c r="L15" s="53" t="s">
        <v>310</v>
      </c>
      <c r="M15" s="53" t="s">
        <v>310</v>
      </c>
      <c r="N15" s="53" t="s">
        <v>310</v>
      </c>
      <c r="O15" s="53" t="s">
        <v>310</v>
      </c>
      <c r="P15" s="59" t="s">
        <v>311</v>
      </c>
      <c r="Q15" s="3" t="s">
        <v>256</v>
      </c>
      <c r="R15" t="s">
        <v>276</v>
      </c>
      <c r="S15" t="s">
        <v>257</v>
      </c>
    </row>
    <row r="16" spans="1:23" x14ac:dyDescent="0.25">
      <c r="A16" s="66" t="s">
        <v>317</v>
      </c>
      <c r="B16" s="1">
        <f>1.84*0.9</f>
        <v>1.6560000000000001</v>
      </c>
      <c r="C16" s="1">
        <f>AVERAGE(Tabel1[[#This Row],[Min. CO2-storage (kgCO2/kg)]],Tabel1[[#This Row],[Max. CO2-storage (kgCO2/kg)]])</f>
        <v>1.794</v>
      </c>
      <c r="D16" s="1">
        <f>2.1*0.92</f>
        <v>1.9320000000000002</v>
      </c>
      <c r="E16" s="79">
        <v>3</v>
      </c>
      <c r="F16">
        <v>30</v>
      </c>
      <c r="G16">
        <f>AVERAGE(Tabel1[[#This Row],[Min. Density (kg/m3)]],Tabel1[[#This Row],[Max. Density (kg/m3)]])</f>
        <v>36</v>
      </c>
      <c r="H16">
        <v>42</v>
      </c>
      <c r="I16" s="64"/>
      <c r="J16" s="57"/>
      <c r="K16" s="58" t="s">
        <v>327</v>
      </c>
      <c r="L16" s="3" t="s">
        <v>330</v>
      </c>
      <c r="M16" s="3" t="s">
        <v>331</v>
      </c>
      <c r="N16" s="58" t="s">
        <v>332</v>
      </c>
      <c r="O16" s="53" t="s">
        <v>310</v>
      </c>
      <c r="P16" s="59" t="s">
        <v>311</v>
      </c>
    </row>
    <row r="17" spans="1:17" x14ac:dyDescent="0.25">
      <c r="A17" s="66" t="s">
        <v>314</v>
      </c>
      <c r="B17" s="60">
        <f>293.16/330</f>
        <v>0.88836363636363647</v>
      </c>
      <c r="C17" s="60">
        <f>AVERAGE(293.16/330,320.32/330,275.7/275)</f>
        <v>0.95385858585858596</v>
      </c>
      <c r="D17" s="60">
        <f>275.7/275</f>
        <v>1.0025454545454544</v>
      </c>
      <c r="E17" s="49">
        <v>3</v>
      </c>
      <c r="F17">
        <v>275</v>
      </c>
      <c r="G17">
        <f>AVERAGE(Tabel1[[#This Row],[Min. Density (kg/m3)]],Tabel1[[#This Row],[Max. Density (kg/m3)]])</f>
        <v>302.5</v>
      </c>
      <c r="H17">
        <v>330</v>
      </c>
      <c r="I17" s="64"/>
      <c r="J17" s="57"/>
      <c r="K17" s="58" t="s">
        <v>315</v>
      </c>
      <c r="L17" s="58" t="s">
        <v>316</v>
      </c>
      <c r="M17" s="53" t="s">
        <v>310</v>
      </c>
      <c r="N17" s="53" t="s">
        <v>310</v>
      </c>
      <c r="O17" s="53" t="s">
        <v>310</v>
      </c>
      <c r="P17" s="59" t="s">
        <v>311</v>
      </c>
    </row>
    <row r="18" spans="1:17" x14ac:dyDescent="0.25">
      <c r="A18" s="47" t="s">
        <v>15</v>
      </c>
      <c r="B18" s="60">
        <f>0.174*(-C18/-0.580436177151736)*-1</f>
        <v>-0.38317170775115122</v>
      </c>
      <c r="C18" s="60">
        <f>-1.27819954735506*-1</f>
        <v>1.27819954735506</v>
      </c>
      <c r="D18" s="60">
        <f>-1.06756428571429*(-C18/-0.580436177151736)*-1</f>
        <v>2.3509220143177152</v>
      </c>
      <c r="E18" s="47">
        <v>11</v>
      </c>
      <c r="F18" t="e">
        <f>NA()</f>
        <v>#N/A</v>
      </c>
      <c r="G18" t="e">
        <f>NA()</f>
        <v>#N/A</v>
      </c>
      <c r="H18" t="e">
        <f>NA()</f>
        <v>#N/A</v>
      </c>
      <c r="I18" s="64"/>
      <c r="J18" s="57"/>
      <c r="K18" s="61" t="s">
        <v>3</v>
      </c>
      <c r="L18" s="53" t="s">
        <v>310</v>
      </c>
      <c r="M18" s="53" t="s">
        <v>310</v>
      </c>
      <c r="N18" s="53" t="s">
        <v>310</v>
      </c>
      <c r="O18" s="53" t="s">
        <v>310</v>
      </c>
      <c r="P18" s="59" t="s">
        <v>311</v>
      </c>
      <c r="Q18" s="59" t="s">
        <v>311</v>
      </c>
    </row>
    <row r="19" spans="1:17" x14ac:dyDescent="0.25">
      <c r="A19" s="47" t="s">
        <v>16</v>
      </c>
      <c r="B19" s="60" t="e">
        <f>NA()</f>
        <v>#N/A</v>
      </c>
      <c r="C19" s="60">
        <f>-1.58815479723055*-1</f>
        <v>1.5881547972305501</v>
      </c>
      <c r="D19" s="60" t="e">
        <f>NA()</f>
        <v>#N/A</v>
      </c>
      <c r="E19" s="47">
        <v>1</v>
      </c>
      <c r="F19" t="e">
        <f>NA()</f>
        <v>#N/A</v>
      </c>
      <c r="G19" t="e">
        <f>NA()</f>
        <v>#N/A</v>
      </c>
      <c r="H19" t="e">
        <f>NA()</f>
        <v>#N/A</v>
      </c>
      <c r="I19" s="64"/>
      <c r="J19" s="57"/>
      <c r="K19" s="61" t="s">
        <v>3</v>
      </c>
      <c r="L19" s="53" t="s">
        <v>310</v>
      </c>
      <c r="M19" s="53" t="s">
        <v>310</v>
      </c>
      <c r="N19" s="53" t="s">
        <v>310</v>
      </c>
      <c r="O19" s="53" t="s">
        <v>310</v>
      </c>
      <c r="P19" s="59" t="s">
        <v>311</v>
      </c>
    </row>
    <row r="20" spans="1:17" x14ac:dyDescent="0.25">
      <c r="A20" s="47" t="s">
        <v>17</v>
      </c>
      <c r="B20" s="60">
        <f>-1.10040983606557*(-C20/-1.34003605835548)*-1</f>
        <v>1.3437700153050112</v>
      </c>
      <c r="C20" s="60">
        <f>-1.6363905661584*-1</f>
        <v>1.6363905661584</v>
      </c>
      <c r="D20" s="60">
        <f>-1.50583262711864*(-C20/-1.34003605835548)*-1</f>
        <v>1.8388537307380324</v>
      </c>
      <c r="E20" s="47">
        <v>5</v>
      </c>
      <c r="F20">
        <v>480</v>
      </c>
      <c r="G20">
        <f>AVERAGE(F20,H20)</f>
        <v>515</v>
      </c>
      <c r="H20">
        <v>550</v>
      </c>
      <c r="I20" s="64"/>
      <c r="J20" s="57"/>
      <c r="K20" s="61" t="s">
        <v>3</v>
      </c>
      <c r="L20" s="58" t="s">
        <v>32</v>
      </c>
      <c r="M20" s="53" t="s">
        <v>310</v>
      </c>
      <c r="N20" s="53" t="s">
        <v>310</v>
      </c>
      <c r="O20" s="53" t="s">
        <v>310</v>
      </c>
      <c r="P20" s="59" t="s">
        <v>311</v>
      </c>
    </row>
    <row r="21" spans="1:17" x14ac:dyDescent="0.25">
      <c r="A21" s="68" t="s">
        <v>348</v>
      </c>
      <c r="B21" s="60"/>
      <c r="C21" s="60"/>
      <c r="D21" s="60"/>
      <c r="E21" s="47"/>
      <c r="F21" s="55"/>
      <c r="H21" s="51"/>
      <c r="I21" s="64"/>
      <c r="J21" s="57"/>
      <c r="K21" s="61"/>
      <c r="L21" s="58"/>
      <c r="M21" s="53"/>
      <c r="N21" s="53"/>
      <c r="O21" s="53"/>
      <c r="P21" s="59"/>
    </row>
    <row r="22" spans="1:17" x14ac:dyDescent="0.25">
      <c r="A22" s="47" t="s">
        <v>18</v>
      </c>
      <c r="B22" s="60" t="e">
        <f>NA()</f>
        <v>#N/A</v>
      </c>
      <c r="C22" s="60">
        <f>-1.50019967855463*-1</f>
        <v>1.5001996785546301</v>
      </c>
      <c r="D22" s="60" t="e">
        <f>NA()</f>
        <v>#N/A</v>
      </c>
      <c r="E22" s="47">
        <v>13</v>
      </c>
      <c r="F22">
        <v>450</v>
      </c>
      <c r="G22">
        <f>AVERAGE(F22,H22)</f>
        <v>625</v>
      </c>
      <c r="H22">
        <v>800</v>
      </c>
      <c r="I22" s="64"/>
      <c r="J22" s="57"/>
      <c r="K22" s="61" t="s">
        <v>3</v>
      </c>
      <c r="L22" s="58" t="s">
        <v>32</v>
      </c>
      <c r="M22" s="53" t="s">
        <v>310</v>
      </c>
      <c r="N22" s="53" t="s">
        <v>310</v>
      </c>
      <c r="O22" s="53" t="s">
        <v>310</v>
      </c>
      <c r="P22" s="59" t="s">
        <v>311</v>
      </c>
    </row>
    <row r="23" spans="1:17" x14ac:dyDescent="0.25">
      <c r="A23" s="47" t="s">
        <v>334</v>
      </c>
      <c r="B23" s="60" t="e">
        <f>NA()</f>
        <v>#N/A</v>
      </c>
      <c r="C23" s="60">
        <f>1*90%*((6*12.011/(6*12.011+10*1.0079+5*15.999))/$R$2*$R$3)</f>
        <v>1.4657166646108304</v>
      </c>
      <c r="D23" s="60" t="e">
        <f>NA()</f>
        <v>#N/A</v>
      </c>
      <c r="E23" s="47" t="e">
        <f>NA()</f>
        <v>#N/A</v>
      </c>
      <c r="F23">
        <v>25</v>
      </c>
      <c r="G23">
        <f>AVERAGE(Tabel1[[#This Row],[Min. Density (kg/m3)]],Tabel1[[#This Row],[Max. Density (kg/m3)]])</f>
        <v>35</v>
      </c>
      <c r="H23">
        <v>45</v>
      </c>
      <c r="I23" s="64"/>
      <c r="J23" s="57"/>
      <c r="K23" s="53" t="s">
        <v>310</v>
      </c>
      <c r="L23" s="58" t="s">
        <v>335</v>
      </c>
      <c r="M23" s="3" t="s">
        <v>336</v>
      </c>
      <c r="N23" s="53" t="s">
        <v>310</v>
      </c>
      <c r="O23" s="53" t="s">
        <v>310</v>
      </c>
      <c r="P23" s="59"/>
    </row>
    <row r="24" spans="1:17" x14ac:dyDescent="0.25">
      <c r="A24" s="47" t="s">
        <v>349</v>
      </c>
      <c r="B24" s="60" t="e">
        <f>NA()</f>
        <v>#N/A</v>
      </c>
      <c r="C24" s="60">
        <v>1.6060000000000001</v>
      </c>
      <c r="D24" s="60" t="e">
        <f>NA()</f>
        <v>#N/A</v>
      </c>
      <c r="E24" s="47" t="e">
        <f>NA()</f>
        <v>#N/A</v>
      </c>
      <c r="F24" t="e">
        <f>NA()</f>
        <v>#N/A</v>
      </c>
      <c r="G24">
        <v>700</v>
      </c>
      <c r="H24" t="e">
        <f>NA()</f>
        <v>#N/A</v>
      </c>
      <c r="I24" s="64"/>
      <c r="J24" s="57"/>
      <c r="K24" s="3" t="s">
        <v>354</v>
      </c>
      <c r="L24" s="53" t="s">
        <v>310</v>
      </c>
      <c r="M24" s="53" t="s">
        <v>310</v>
      </c>
      <c r="N24" s="53" t="s">
        <v>310</v>
      </c>
      <c r="O24" s="53" t="s">
        <v>310</v>
      </c>
      <c r="P24" s="59"/>
    </row>
    <row r="25" spans="1:17" x14ac:dyDescent="0.25">
      <c r="A25" s="47" t="s">
        <v>350</v>
      </c>
      <c r="B25" s="60" t="e">
        <f>NA()</f>
        <v>#N/A</v>
      </c>
      <c r="C25" s="60">
        <v>1.556</v>
      </c>
      <c r="D25" s="60" t="e">
        <f>NA()</f>
        <v>#N/A</v>
      </c>
      <c r="E25" s="47" t="e">
        <f>NA()</f>
        <v>#N/A</v>
      </c>
      <c r="F25" t="e">
        <f>NA()</f>
        <v>#N/A</v>
      </c>
      <c r="G25">
        <v>1050</v>
      </c>
      <c r="H25" t="e">
        <f>NA()</f>
        <v>#N/A</v>
      </c>
      <c r="I25" s="64"/>
      <c r="J25" s="57"/>
      <c r="K25" s="3" t="s">
        <v>354</v>
      </c>
      <c r="L25" s="53" t="s">
        <v>310</v>
      </c>
      <c r="M25" s="53" t="s">
        <v>310</v>
      </c>
      <c r="N25" s="53" t="s">
        <v>310</v>
      </c>
      <c r="O25" s="53" t="s">
        <v>310</v>
      </c>
      <c r="P25" s="59"/>
    </row>
    <row r="26" spans="1:17" x14ac:dyDescent="0.25">
      <c r="A26" s="47" t="s">
        <v>351</v>
      </c>
      <c r="B26" s="60" t="e">
        <f>NA()</f>
        <v>#N/A</v>
      </c>
      <c r="C26" s="60">
        <v>1.4910000000000001</v>
      </c>
      <c r="D26" s="60" t="e">
        <f>NA()</f>
        <v>#N/A</v>
      </c>
      <c r="E26" s="47" t="e">
        <f>NA()</f>
        <v>#N/A</v>
      </c>
      <c r="F26" t="e">
        <f>NA()</f>
        <v>#N/A</v>
      </c>
      <c r="G26">
        <v>1150</v>
      </c>
      <c r="H26" t="e">
        <f>NA()</f>
        <v>#N/A</v>
      </c>
      <c r="I26" s="64"/>
      <c r="J26" s="57"/>
      <c r="K26" s="3" t="s">
        <v>354</v>
      </c>
      <c r="L26" s="53" t="s">
        <v>310</v>
      </c>
      <c r="M26" s="53" t="s">
        <v>310</v>
      </c>
      <c r="N26" s="53" t="s">
        <v>310</v>
      </c>
      <c r="O26" s="53" t="s">
        <v>310</v>
      </c>
      <c r="P26" s="59"/>
    </row>
    <row r="27" spans="1:17" x14ac:dyDescent="0.25">
      <c r="A27" s="47" t="s">
        <v>352</v>
      </c>
      <c r="B27" s="60" t="e">
        <f>NA()</f>
        <v>#N/A</v>
      </c>
      <c r="C27" s="60">
        <v>1.4750000000000001</v>
      </c>
      <c r="D27" s="60" t="e">
        <f>NA()</f>
        <v>#N/A</v>
      </c>
      <c r="E27" s="47" t="e">
        <f>NA()</f>
        <v>#N/A</v>
      </c>
      <c r="F27" t="e">
        <f>NA()</f>
        <v>#N/A</v>
      </c>
      <c r="G27">
        <v>1150</v>
      </c>
      <c r="H27" t="e">
        <f>NA()</f>
        <v>#N/A</v>
      </c>
      <c r="I27" s="64"/>
      <c r="J27" s="57"/>
      <c r="K27" s="3" t="s">
        <v>354</v>
      </c>
      <c r="L27" s="53" t="s">
        <v>310</v>
      </c>
      <c r="M27" s="53" t="s">
        <v>310</v>
      </c>
      <c r="N27" s="53" t="s">
        <v>310</v>
      </c>
      <c r="O27" s="53" t="s">
        <v>310</v>
      </c>
      <c r="P27" s="59"/>
    </row>
    <row r="28" spans="1:17" x14ac:dyDescent="0.25">
      <c r="A28" s="47" t="s">
        <v>353</v>
      </c>
      <c r="B28" s="60" t="e">
        <f>NA()</f>
        <v>#N/A</v>
      </c>
      <c r="C28" s="60">
        <v>1.393</v>
      </c>
      <c r="D28" s="60" t="e">
        <f>NA()</f>
        <v>#N/A</v>
      </c>
      <c r="E28" s="47" t="e">
        <f>NA()</f>
        <v>#N/A</v>
      </c>
      <c r="F28" t="e">
        <f>NA()</f>
        <v>#N/A</v>
      </c>
      <c r="G28">
        <v>1200</v>
      </c>
      <c r="H28" t="e">
        <f>NA()</f>
        <v>#N/A</v>
      </c>
      <c r="I28" s="64"/>
      <c r="J28" s="57"/>
      <c r="K28" s="3" t="s">
        <v>354</v>
      </c>
      <c r="L28" s="53" t="s">
        <v>310</v>
      </c>
      <c r="M28" s="53" t="s">
        <v>310</v>
      </c>
      <c r="N28" s="53" t="s">
        <v>310</v>
      </c>
      <c r="O28" s="53" t="s">
        <v>310</v>
      </c>
      <c r="P28" s="59"/>
    </row>
    <row r="29" spans="1:17" x14ac:dyDescent="0.25">
      <c r="A29" s="47" t="s">
        <v>19</v>
      </c>
      <c r="B29" s="60" t="e">
        <f>NA()</f>
        <v>#N/A</v>
      </c>
      <c r="C29" s="60">
        <f>-1.61421319796954*-1</f>
        <v>1.61421319796954</v>
      </c>
      <c r="D29" s="60" t="e">
        <f>NA()</f>
        <v>#N/A</v>
      </c>
      <c r="E29" s="47">
        <v>1</v>
      </c>
      <c r="F29" t="e">
        <f>NA()</f>
        <v>#N/A</v>
      </c>
      <c r="G29" t="e">
        <f>NA()</f>
        <v>#N/A</v>
      </c>
      <c r="H29" t="e">
        <f>NA()</f>
        <v>#N/A</v>
      </c>
      <c r="I29" s="64"/>
      <c r="J29" s="57"/>
      <c r="K29" s="61" t="s">
        <v>3</v>
      </c>
      <c r="L29" s="53" t="s">
        <v>310</v>
      </c>
      <c r="M29" s="53" t="s">
        <v>310</v>
      </c>
      <c r="N29" s="53" t="s">
        <v>310</v>
      </c>
      <c r="O29" s="53" t="s">
        <v>310</v>
      </c>
      <c r="P29" s="59"/>
    </row>
    <row r="30" spans="1:17" x14ac:dyDescent="0.25">
      <c r="A30" s="47" t="s">
        <v>20</v>
      </c>
      <c r="B30" s="60">
        <f>-0.71838*(-C30/-1.05885689424708)*-1</f>
        <v>1.01926682642668</v>
      </c>
      <c r="C30" s="60">
        <f>-1.50234932241882*-1</f>
        <v>1.50234932241882</v>
      </c>
      <c r="D30" s="60">
        <f>-1.37826666666667*(-C30/-1.05885689424708)*-1</f>
        <v>1.9555409272293434</v>
      </c>
      <c r="E30" s="47">
        <v>16</v>
      </c>
      <c r="F30" s="55">
        <v>600</v>
      </c>
      <c r="G30" s="53">
        <f>AVERAGE(F30,H30)</f>
        <v>665</v>
      </c>
      <c r="H30" s="51">
        <v>730</v>
      </c>
      <c r="I30" s="64"/>
      <c r="J30" s="57"/>
      <c r="K30" s="61" t="s">
        <v>3</v>
      </c>
      <c r="L30" s="58" t="s">
        <v>32</v>
      </c>
      <c r="M30" s="53" t="s">
        <v>310</v>
      </c>
      <c r="N30" s="53" t="s">
        <v>310</v>
      </c>
      <c r="O30" s="53" t="s">
        <v>310</v>
      </c>
      <c r="P30" s="59" t="s">
        <v>311</v>
      </c>
    </row>
    <row r="31" spans="1:17" x14ac:dyDescent="0.25">
      <c r="A31" s="47" t="s">
        <v>272</v>
      </c>
      <c r="B31" s="77"/>
      <c r="C31" s="77"/>
      <c r="D31" s="77"/>
      <c r="E31" s="57"/>
      <c r="F31" s="74"/>
      <c r="G31" s="64"/>
      <c r="H31" s="75"/>
      <c r="I31" s="64"/>
      <c r="J31" s="57"/>
      <c r="K31" s="78"/>
      <c r="L31" s="64"/>
      <c r="M31" s="64"/>
      <c r="N31" s="64"/>
      <c r="O31" s="64"/>
      <c r="P31" s="59" t="s">
        <v>311</v>
      </c>
    </row>
    <row r="32" spans="1:17" x14ac:dyDescent="0.25">
      <c r="A32" s="68" t="s">
        <v>347</v>
      </c>
      <c r="B32" s="93"/>
      <c r="C32" s="93"/>
      <c r="D32" s="93"/>
      <c r="E32" s="94"/>
      <c r="F32" s="95"/>
      <c r="G32" s="96"/>
      <c r="H32" s="97"/>
      <c r="I32" s="96"/>
      <c r="J32" s="94"/>
      <c r="K32" s="98"/>
      <c r="L32" s="96"/>
      <c r="M32" s="96"/>
      <c r="N32" s="96"/>
      <c r="O32" s="96"/>
      <c r="P32" s="59"/>
    </row>
    <row r="33" spans="1:17" x14ac:dyDescent="0.25">
      <c r="A33" s="47" t="s">
        <v>21</v>
      </c>
      <c r="B33" s="60">
        <f>-0.579619369369369*(-C33/-0.813016808459653)*-1</f>
        <v>1.1579570273630935</v>
      </c>
      <c r="C33" s="60">
        <f>-1.62423579416344*-1</f>
        <v>1.62423579416344</v>
      </c>
      <c r="D33" s="60">
        <f>-1.28008695652174*(-C33/-0.813016808459653)*-1</f>
        <v>2.5573432588233267</v>
      </c>
      <c r="E33" s="47">
        <v>8</v>
      </c>
      <c r="F33" s="55" t="e">
        <f>NA()</f>
        <v>#N/A</v>
      </c>
      <c r="G33" s="65">
        <f>AVERAGE(754.54,565)</f>
        <v>659.77</v>
      </c>
      <c r="H33" s="51" t="e">
        <f>NA()</f>
        <v>#N/A</v>
      </c>
      <c r="I33" s="64"/>
      <c r="J33" s="57"/>
      <c r="K33" s="61" t="s">
        <v>3</v>
      </c>
      <c r="L33" s="58" t="s">
        <v>245</v>
      </c>
      <c r="M33" s="58" t="s">
        <v>246</v>
      </c>
      <c r="N33" s="53" t="s">
        <v>310</v>
      </c>
      <c r="O33" s="53" t="s">
        <v>310</v>
      </c>
      <c r="P33" s="59" t="s">
        <v>311</v>
      </c>
    </row>
    <row r="34" spans="1:17" x14ac:dyDescent="0.25">
      <c r="A34" s="47" t="s">
        <v>22</v>
      </c>
      <c r="B34" s="60">
        <f>-0.551470588235294*(-C34/-0.814998664671918)*-1</f>
        <v>1.0009475580944498</v>
      </c>
      <c r="C34" s="60">
        <f>-1.47926460749985*-1</f>
        <v>1.4792646074998499</v>
      </c>
      <c r="D34" s="60">
        <f>-1.07180536912752*(-C34/-0.814998664671918)*-1</f>
        <v>1.9453820201250238</v>
      </c>
      <c r="E34" s="47">
        <v>13</v>
      </c>
      <c r="F34" s="55">
        <v>520</v>
      </c>
      <c r="G34" s="53">
        <f>AVERAGE(F34,H34)</f>
        <v>610</v>
      </c>
      <c r="H34" s="51">
        <v>700</v>
      </c>
      <c r="I34" s="64"/>
      <c r="J34" s="57"/>
      <c r="K34" s="61" t="s">
        <v>3</v>
      </c>
      <c r="L34" s="58" t="s">
        <v>32</v>
      </c>
      <c r="M34" s="53" t="s">
        <v>310</v>
      </c>
      <c r="N34" s="53" t="s">
        <v>310</v>
      </c>
      <c r="O34" s="53" t="s">
        <v>310</v>
      </c>
      <c r="P34" s="59" t="s">
        <v>311</v>
      </c>
    </row>
    <row r="35" spans="1:17" ht="15" customHeight="1" x14ac:dyDescent="0.25">
      <c r="A35" s="47" t="s">
        <v>23</v>
      </c>
      <c r="B35" s="60">
        <f>-0.577142857142857*(-C35/-0.982479076381649)*-1</f>
        <v>0.94843343873218833</v>
      </c>
      <c r="C35" s="60">
        <f>-1.61453268867958*-1</f>
        <v>1.6145326886795801</v>
      </c>
      <c r="D35" s="60">
        <f>-1.47658581328985*(-C35/-0.982479076381649)*-1</f>
        <v>2.4265107731117834</v>
      </c>
      <c r="E35" s="47">
        <v>11</v>
      </c>
      <c r="F35">
        <v>400</v>
      </c>
      <c r="G35">
        <f>AVERAGE(F35,H35)</f>
        <v>625</v>
      </c>
      <c r="H35">
        <v>850</v>
      </c>
      <c r="I35" s="64"/>
      <c r="J35" s="57"/>
      <c r="K35" s="61" t="s">
        <v>3</v>
      </c>
      <c r="L35" s="58" t="s">
        <v>32</v>
      </c>
      <c r="M35" s="53" t="s">
        <v>310</v>
      </c>
      <c r="N35" s="53" t="s">
        <v>310</v>
      </c>
      <c r="O35" s="53" t="s">
        <v>310</v>
      </c>
      <c r="P35" s="59" t="s">
        <v>311</v>
      </c>
    </row>
    <row r="36" spans="1:17" x14ac:dyDescent="0.25">
      <c r="A36" s="66" t="s">
        <v>312</v>
      </c>
      <c r="B36" s="60" t="e">
        <f>NA()</f>
        <v>#N/A</v>
      </c>
      <c r="C36" s="60">
        <f>0.5/$R$2*$R$3</f>
        <v>1.8320497876946136</v>
      </c>
      <c r="D36" s="60" t="e">
        <f>NA()</f>
        <v>#N/A</v>
      </c>
      <c r="E36" s="48" t="e">
        <f>NA()</f>
        <v>#N/A</v>
      </c>
      <c r="F36" t="e">
        <f>NA()</f>
        <v>#N/A</v>
      </c>
      <c r="G36" t="e">
        <f>NA()</f>
        <v>#N/A</v>
      </c>
      <c r="H36" t="e">
        <f>NA()</f>
        <v>#N/A</v>
      </c>
      <c r="I36" s="64"/>
      <c r="J36" s="57"/>
      <c r="K36" s="61" t="s">
        <v>313</v>
      </c>
      <c r="L36" s="53" t="s">
        <v>310</v>
      </c>
      <c r="M36" s="53" t="s">
        <v>310</v>
      </c>
      <c r="N36" s="53" t="s">
        <v>310</v>
      </c>
      <c r="O36" s="53" t="s">
        <v>310</v>
      </c>
      <c r="P36" s="59" t="s">
        <v>311</v>
      </c>
    </row>
    <row r="37" spans="1:17" x14ac:dyDescent="0.25">
      <c r="A37" s="66" t="s">
        <v>24</v>
      </c>
      <c r="B37" s="60">
        <f>-0.406*(-C37/-1.29186068188817)*-1</f>
        <v>0.48852697165818665</v>
      </c>
      <c r="C37" s="60">
        <f>-1.55445513972194*-1</f>
        <v>1.5544551397219399</v>
      </c>
      <c r="D37" s="60">
        <f>-1.54643195266272*(-C37/-1.29186068188817)*-1</f>
        <v>1.8607727061817112</v>
      </c>
      <c r="E37" s="47">
        <v>43</v>
      </c>
      <c r="F37">
        <v>230</v>
      </c>
      <c r="G37">
        <f>AVERAGE(F37,H37)</f>
        <v>315</v>
      </c>
      <c r="H37">
        <v>400</v>
      </c>
      <c r="I37" s="64"/>
      <c r="J37" s="57"/>
      <c r="K37" s="61" t="s">
        <v>3</v>
      </c>
      <c r="L37" s="58" t="s">
        <v>32</v>
      </c>
      <c r="M37" s="53" t="s">
        <v>310</v>
      </c>
      <c r="N37" s="53" t="s">
        <v>310</v>
      </c>
      <c r="O37" s="53" t="s">
        <v>310</v>
      </c>
      <c r="P37" s="59" t="s">
        <v>311</v>
      </c>
    </row>
    <row r="38" spans="1:17" x14ac:dyDescent="0.25">
      <c r="A38" s="66" t="s">
        <v>323</v>
      </c>
      <c r="B38" s="60" t="e">
        <f>NA()</f>
        <v>#N/A</v>
      </c>
      <c r="C38" s="60">
        <v>1.27</v>
      </c>
      <c r="D38" s="60" t="e">
        <f>NA()</f>
        <v>#N/A</v>
      </c>
      <c r="E38" s="48" t="e">
        <f>NA()</f>
        <v>#N/A</v>
      </c>
      <c r="F38" t="e">
        <f>NA()</f>
        <v>#N/A</v>
      </c>
      <c r="G38">
        <v>1080</v>
      </c>
      <c r="H38" t="e">
        <f>NA()</f>
        <v>#N/A</v>
      </c>
      <c r="I38" s="64"/>
      <c r="J38" s="57"/>
      <c r="K38" s="58" t="s">
        <v>328</v>
      </c>
      <c r="L38" s="58" t="s">
        <v>322</v>
      </c>
      <c r="M38" s="53" t="s">
        <v>310</v>
      </c>
      <c r="N38" s="53" t="s">
        <v>310</v>
      </c>
      <c r="O38" s="53" t="s">
        <v>310</v>
      </c>
      <c r="P38" s="59" t="s">
        <v>311</v>
      </c>
      <c r="Q38" s="59" t="s">
        <v>311</v>
      </c>
    </row>
    <row r="39" spans="1:17" ht="18.75" customHeight="1" x14ac:dyDescent="0.25">
      <c r="A39" s="66" t="s">
        <v>320</v>
      </c>
      <c r="B39" s="60">
        <f>0.4/$R$2*$R$3</f>
        <v>1.465639830155691</v>
      </c>
      <c r="C39" s="60">
        <f>AVERAGE(Tabel1[[#This Row],[Min. CO2-storage (kgCO2/kg)]],Tabel1[[#This Row],[Max. CO2-storage (kgCO2/kg)]])</f>
        <v>1.4828199150778456</v>
      </c>
      <c r="D39" s="60">
        <f>15/10</f>
        <v>1.5</v>
      </c>
      <c r="E39" s="48" t="e">
        <f>NA()</f>
        <v>#N/A</v>
      </c>
      <c r="F39">
        <v>90</v>
      </c>
      <c r="G39">
        <f>AVERAGE(Tabel1[[#This Row],[Min. Density (kg/m3)]],Tabel1[[#This Row],[Max. Density (kg/m3)]])</f>
        <v>105</v>
      </c>
      <c r="H39">
        <v>120</v>
      </c>
      <c r="I39" s="64"/>
      <c r="J39" s="57"/>
      <c r="K39" s="61" t="s">
        <v>67</v>
      </c>
      <c r="L39" s="58" t="s">
        <v>68</v>
      </c>
      <c r="M39" s="58" t="s">
        <v>309</v>
      </c>
      <c r="N39" s="53" t="s">
        <v>310</v>
      </c>
      <c r="O39" s="53" t="s">
        <v>310</v>
      </c>
      <c r="P39" s="59" t="s">
        <v>311</v>
      </c>
    </row>
    <row r="40" spans="1:17" x14ac:dyDescent="0.25">
      <c r="A40" s="66" t="s">
        <v>325</v>
      </c>
      <c r="B40" s="60">
        <f>0.3555/$R$2*$R$3</f>
        <v>1.3025873990508701</v>
      </c>
      <c r="C40" s="60">
        <f>0.3765/$R$2*$R$3</f>
        <v>1.3795334901340441</v>
      </c>
      <c r="D40" s="60">
        <f>0.4068/$R$2*$R$3</f>
        <v>1.4905557072683375</v>
      </c>
      <c r="E40" s="47" t="e">
        <f>NA()</f>
        <v>#N/A</v>
      </c>
      <c r="F40" t="e">
        <f>NA()</f>
        <v>#N/A</v>
      </c>
      <c r="G40">
        <f>39/(1*0.3)</f>
        <v>130</v>
      </c>
      <c r="H40" t="e">
        <f>NA()</f>
        <v>#N/A</v>
      </c>
      <c r="I40" s="64"/>
      <c r="J40" s="57"/>
      <c r="K40" s="58" t="s">
        <v>308</v>
      </c>
      <c r="L40" s="58" t="s">
        <v>309</v>
      </c>
      <c r="M40" s="53" t="s">
        <v>310</v>
      </c>
      <c r="N40" s="53" t="s">
        <v>310</v>
      </c>
      <c r="O40" s="53" t="s">
        <v>310</v>
      </c>
      <c r="P40" s="59" t="s">
        <v>311</v>
      </c>
    </row>
    <row r="41" spans="1:17" x14ac:dyDescent="0.25">
      <c r="A41" s="66" t="s">
        <v>234</v>
      </c>
      <c r="B41" s="60" t="e">
        <f>NA()</f>
        <v>#N/A</v>
      </c>
      <c r="C41" s="60">
        <f>744/Tabel1[[#This Row],[Av. of mid. range Density (kg/m3)]]</f>
        <v>1.7302325581395348</v>
      </c>
      <c r="D41" s="60" t="e">
        <f>NA()</f>
        <v>#N/A</v>
      </c>
      <c r="E41" s="47" t="e">
        <f>NA()</f>
        <v>#N/A</v>
      </c>
      <c r="F41" t="e">
        <f>NA()</f>
        <v>#N/A</v>
      </c>
      <c r="G41">
        <v>430</v>
      </c>
      <c r="H41" t="e">
        <f>NA()</f>
        <v>#N/A</v>
      </c>
      <c r="I41" s="64"/>
      <c r="J41" s="57"/>
      <c r="K41" s="58" t="s">
        <v>236</v>
      </c>
      <c r="L41" s="53" t="s">
        <v>310</v>
      </c>
      <c r="M41" s="53" t="s">
        <v>310</v>
      </c>
      <c r="N41" s="53" t="s">
        <v>310</v>
      </c>
      <c r="O41" s="53" t="s">
        <v>310</v>
      </c>
      <c r="P41" s="59" t="s">
        <v>311</v>
      </c>
      <c r="Q41" s="59" t="s">
        <v>311</v>
      </c>
    </row>
    <row r="42" spans="1:17" x14ac:dyDescent="0.25">
      <c r="A42" s="66" t="s">
        <v>346</v>
      </c>
      <c r="B42" s="60" t="e">
        <f>NA()</f>
        <v>#N/A</v>
      </c>
      <c r="C42" s="60">
        <f>1/(1+(18/100))*AVERAGE(VLOOKUP("Pines (Pinus spp)",'Wood-types'!$A$1:$E$113,3,FALSE),VLOOKUP("Vuren (Picea spp)",'Wood-types'!$A$1:$E$113,3,FALSE))/$R$2*$R$3</f>
        <v>1.5633750285755013</v>
      </c>
      <c r="D42" s="60" t="e">
        <f>NA()</f>
        <v>#N/A</v>
      </c>
      <c r="E42" s="47" t="e">
        <f>NA()</f>
        <v>#N/A</v>
      </c>
      <c r="F42">
        <v>50</v>
      </c>
      <c r="G42">
        <f>AVERAGE(Tabel1[[#This Row],[Min. Density (kg/m3)]],Tabel1[[#This Row],[Max. Density (kg/m3)]])</f>
        <v>175</v>
      </c>
      <c r="H42">
        <v>300</v>
      </c>
      <c r="I42" s="64"/>
      <c r="J42" s="57"/>
      <c r="K42" s="61" t="s">
        <v>344</v>
      </c>
      <c r="L42" s="58" t="s">
        <v>345</v>
      </c>
      <c r="M42" s="53" t="s">
        <v>310</v>
      </c>
      <c r="N42" s="53" t="s">
        <v>310</v>
      </c>
      <c r="O42" s="53" t="s">
        <v>310</v>
      </c>
      <c r="P42" s="59"/>
      <c r="Q42" s="59"/>
    </row>
    <row r="43" spans="1:17" x14ac:dyDescent="0.25">
      <c r="A43" s="47" t="s">
        <v>25</v>
      </c>
      <c r="B43" s="60">
        <f>-1.00558085217219*(-C43/-1.04993831662071)*-1</f>
        <v>1.4684645102748397</v>
      </c>
      <c r="C43" s="60">
        <f>-1.53324036809644*-1</f>
        <v>1.5332403680964399</v>
      </c>
      <c r="D43" s="60">
        <f>-1.16663272104209*(-C43/-1.04993831662071)*-1</f>
        <v>1.7036509234190595</v>
      </c>
      <c r="E43" s="47">
        <v>37</v>
      </c>
      <c r="F43" t="e">
        <f>NA()</f>
        <v>#N/A</v>
      </c>
      <c r="G43" t="e">
        <f>NA()</f>
        <v>#N/A</v>
      </c>
      <c r="H43" t="e">
        <f>NA()</f>
        <v>#N/A</v>
      </c>
      <c r="I43" s="64"/>
      <c r="J43" s="57"/>
      <c r="K43" s="61" t="s">
        <v>3</v>
      </c>
      <c r="L43" s="53" t="s">
        <v>310</v>
      </c>
      <c r="M43" s="53" t="s">
        <v>310</v>
      </c>
      <c r="N43" s="53" t="s">
        <v>310</v>
      </c>
      <c r="O43" s="53" t="s">
        <v>310</v>
      </c>
      <c r="P43" s="59" t="s">
        <v>311</v>
      </c>
    </row>
    <row r="44" spans="1:17" x14ac:dyDescent="0.25">
      <c r="A44" s="47" t="s">
        <v>26</v>
      </c>
      <c r="B44" s="60" t="e">
        <f>NA()</f>
        <v>#N/A</v>
      </c>
      <c r="C44" s="60">
        <f>-0.86*-1</f>
        <v>0.86</v>
      </c>
      <c r="D44" s="60" t="e">
        <f>NA()</f>
        <v>#N/A</v>
      </c>
      <c r="E44" s="47">
        <v>1</v>
      </c>
      <c r="F44" t="e">
        <f>NA()</f>
        <v>#N/A</v>
      </c>
      <c r="G44" t="e">
        <f>NA()</f>
        <v>#N/A</v>
      </c>
      <c r="H44" t="e">
        <f>NA()</f>
        <v>#N/A</v>
      </c>
      <c r="I44" s="64"/>
      <c r="J44" s="57"/>
      <c r="K44" s="61" t="s">
        <v>3</v>
      </c>
      <c r="L44" s="53" t="s">
        <v>310</v>
      </c>
      <c r="M44" s="53" t="s">
        <v>310</v>
      </c>
      <c r="N44" s="53" t="s">
        <v>310</v>
      </c>
      <c r="O44" s="53" t="s">
        <v>310</v>
      </c>
      <c r="P44" s="59" t="s">
        <v>311</v>
      </c>
    </row>
    <row r="45" spans="1:17" x14ac:dyDescent="0.25">
      <c r="E45" s="3"/>
      <c r="H45" s="53"/>
    </row>
    <row r="46" spans="1:17" x14ac:dyDescent="0.25">
      <c r="G46" s="1"/>
    </row>
    <row r="51" spans="1:9" x14ac:dyDescent="0.25">
      <c r="A51" t="s">
        <v>258</v>
      </c>
    </row>
    <row r="55" spans="1:9" x14ac:dyDescent="0.25">
      <c r="I55" s="16"/>
    </row>
  </sheetData>
  <sheetProtection algorithmName="SHA-512" hashValue="Qw0ys32tXQ2p1k2XGut++llWXcDV9gCa0EKodKb6wL8VV7HnqC2s527TelyMrqvZVpNQDUH6o9x4f5PujjslGw==" saltValue="IRfjIl+vK9sla4ArJ9FgYA==" spinCount="100000" sheet="1" objects="1" scenarios="1"/>
  <phoneticPr fontId="11" type="noConversion"/>
  <hyperlinks>
    <hyperlink ref="Q15" r:id="rId1" display="https://www.groendak.nl/" xr:uid="{0775A519-BADE-4A5B-86B5-809ED7A0ACA4}"/>
    <hyperlink ref="L30" r:id="rId2" display="https://www.houtdatabase.nl/" xr:uid="{F52F653B-0709-4EA7-88C7-21460DC6C057}"/>
    <hyperlink ref="L35" r:id="rId3" display="https://www.houtdatabase.nl/" xr:uid="{58A11E8B-5BAE-4813-946E-6E5EE37035E0}"/>
    <hyperlink ref="L6" r:id="rId4" display="https://www.houtdatabase.nl/" xr:uid="{6AB4EB99-011A-4987-B9B1-1BDA493F6B2A}"/>
    <hyperlink ref="L14" r:id="rId5" display="https://www.houtdatabase.nl/" xr:uid="{4BB6A454-C945-482E-806A-A202CFF3AF5E}"/>
    <hyperlink ref="L20" r:id="rId6" display="https://www.houtdatabase.nl/" xr:uid="{07CEB81B-F4BB-4ACD-BC9D-078800457684}"/>
    <hyperlink ref="L22" r:id="rId7" display="https://www.houtdatabase.nl/" xr:uid="{B5489018-C6AB-4BBF-9D2B-25B744D22236}"/>
    <hyperlink ref="L34" r:id="rId8" display="https://www.houtdatabase.nl/" xr:uid="{01E914CB-459C-4ED1-91BF-38A944CF1B3D}"/>
    <hyperlink ref="L37" r:id="rId9" display="https://www.houtdatabase.nl/" xr:uid="{9E7730C9-A1BF-45F8-BF45-52684C72B2DA}"/>
    <hyperlink ref="K39" r:id="rId10" xr:uid="{8630DD7F-4696-4C60-9843-F41CD126EE94}"/>
    <hyperlink ref="L39" r:id="rId11" xr:uid="{73CC489D-4C50-4647-92C5-566FCE166F44}"/>
    <hyperlink ref="K9" r:id="rId12" xr:uid="{5CACECCC-3FF4-4363-863D-978B176F2735}"/>
    <hyperlink ref="L13" r:id="rId13" display="https://www.awc.org/pdf/greenbuilding/epd/AWC_EPD_NorthAmericanGluedLaminatedTimber_20200605.pdf" xr:uid="{5B2F955F-BC29-4D75-973B-345A43C91CAF}"/>
    <hyperlink ref="M13" r:id="rId14" display="https://portal.environdec.com/api/api/v1/EPDLibrary/Files/2263eda0-231e-412c-91e4-0a1894bf1a5d/Data" xr:uid="{993F0FF7-3D83-452E-90F6-A49BD8F32C54}"/>
    <hyperlink ref="N13" r:id="rId15" display="https://www.astm.org/CERTIFICATION/DOCS/479.EPD_FOR_Structurlam_Glulam_20200113.pdf" xr:uid="{A70715A3-74A4-417E-AC1E-8440B645558F}"/>
    <hyperlink ref="O13" r:id="rId16" display="https://www.nordic.ca/data/files/datasheet/file/EPD_Nordic_Lam.pdf" xr:uid="{BBCC413F-E2A8-4BB2-A42C-26D03BDF9F78}"/>
    <hyperlink ref="K41" r:id="rId17" display="https://portal.environdec.com/api/api/v1/EPDLibrary/Files/b7b4e26b-41b8-4b7f-802c-08d8e2c71993/Data" xr:uid="{273B224C-03AF-4A1D-BD9D-7A82BBBF32EF}"/>
    <hyperlink ref="K3" r:id="rId18" display="https://www.accoya.com/app/uploads/2020/05/Environmental-Product-Declaration-%E2%80%93-cladding-decking-planed-timber-%E2%80%93-EN-15804.pdf" xr:uid="{D9477BC9-AD32-4E30-B14B-2905AD8FA098}"/>
    <hyperlink ref="K4" r:id="rId19" display="https://www.accoya.com/app/uploads/2020/05/Environmental-Product-Declaration-%E2%80%93-cladding-decking-planed-timber-%E2%80%93-EN-15804.pdf" xr:uid="{B10DADC5-2D20-4DFE-939A-E061C446B63E}"/>
    <hyperlink ref="K2" r:id="rId20" display="https://www.accoya.com/app/uploads/2020/05/Environmental-Product-Declaration-%E2%80%93-cladding-decking-planed-timber-%E2%80%93-EN-15804.pdf" xr:uid="{E4BC79CD-3F04-4578-B370-12755F24DC57}"/>
    <hyperlink ref="L33" r:id="rId21" xr:uid="{1107316B-4E00-4554-9695-1C396C8A7ABB}"/>
    <hyperlink ref="M33" r:id="rId22" display="https://parquet.com/technical-data-sheet/" xr:uid="{36F37E76-B6FE-41CC-8C7D-8E3FFEAD1D46}"/>
    <hyperlink ref="K11" r:id="rId23" xr:uid="{6A84F25A-70ED-4D25-8A47-7282A6E77B79}"/>
    <hyperlink ref="K36" r:id="rId24" xr:uid="{04D7C3A2-EF35-444E-857E-D18FE760AECC}"/>
    <hyperlink ref="K10" r:id="rId25" xr:uid="{E304A99A-4A57-45BC-BAA5-D0EE423DF4D9}"/>
    <hyperlink ref="K5" r:id="rId26" xr:uid="{A108F723-701E-459A-BC75-018C39762221}"/>
    <hyperlink ref="L5" r:id="rId27" display="https://onlinelibrary.wiley.com/doi/abs/10.1111/plb.12435" xr:uid="{BAA536D4-8821-424A-A181-7727A382F06B}"/>
    <hyperlink ref="K38" r:id="rId28" xr:uid="{2C2ED908-8138-462C-B1D3-CA91514ABD23}"/>
    <hyperlink ref="L38" r:id="rId29" display="https://onlinelibrary.wiley.com/doi/abs/10.1111/plb.12435" xr:uid="{9B824C61-43CF-4B79-BCD6-33742D370CE7}"/>
    <hyperlink ref="M5" r:id="rId30" xr:uid="{80951E7B-CFC8-46DA-9B0B-2D11711C5090}"/>
    <hyperlink ref="M39" r:id="rId31" xr:uid="{9E547056-A4C4-4CE8-8DA9-BA0C825A24CE}"/>
    <hyperlink ref="K17" r:id="rId32" xr:uid="{C6CE35E6-9D4B-4A2A-A8A3-71B49CC95A02}"/>
    <hyperlink ref="L17" r:id="rId33" display="https://www.sciencedirect.com/science/article/abs/pii/S0921344912001620" xr:uid="{9698B399-9818-4D79-84D5-185D4D2935CD}"/>
    <hyperlink ref="K40" r:id="rId34" xr:uid="{7C416B8C-8C59-48BA-AA82-BD00FA84C441}"/>
    <hyperlink ref="L40" r:id="rId35" xr:uid="{7FFF9DA2-F0B1-4B20-BA00-811FE70881BE}"/>
    <hyperlink ref="K16" r:id="rId36" xr:uid="{DDF43C07-3139-4226-9D6E-2BF09709CD37}"/>
    <hyperlink ref="L16" r:id="rId37" xr:uid="{F605CFF1-F73D-497F-AF39-DE255B700261}"/>
    <hyperlink ref="M16" r:id="rId38" xr:uid="{8C593FBA-49CB-4EB4-B0CA-10A3C7155BCC}"/>
    <hyperlink ref="N16" r:id="rId39" xr:uid="{F46547F1-65F8-4394-9E26-7428BFBCCB59}"/>
    <hyperlink ref="L23" r:id="rId40" xr:uid="{D5444714-33F8-413D-8294-C33B0886EA2E}"/>
    <hyperlink ref="M23" r:id="rId41" display="https://www.researchgate.net/publication/279246264_A_review_of_unconventional_sustainable_building_insulation_materials" xr:uid="{9C3AD953-8FA8-44EF-9303-2123C3820FDD}"/>
    <hyperlink ref="K42" r:id="rId42" xr:uid="{AA428DFE-BB96-4255-8A10-8BB0F2A0C90A}"/>
    <hyperlink ref="L42" r:id="rId43" display="jdwars@soprema.nl" xr:uid="{447B928D-3D67-4D6E-9885-8B6EE287BE13}"/>
    <hyperlink ref="K24" r:id="rId44" display="https://www.moso-bamboo.com/" xr:uid="{8D0700F3-CFF4-4E05-B344-69A7B9C097A5}"/>
    <hyperlink ref="K25" r:id="rId45" display="https://www.moso-bamboo.com/" xr:uid="{17FD2A26-828C-4D4B-B02A-9AE3AEE8C6D4}"/>
    <hyperlink ref="K26" r:id="rId46" display="https://www.moso-bamboo.com/" xr:uid="{2E1BF6CD-74F8-4524-A4FF-701DCB5CFC6D}"/>
    <hyperlink ref="K27" r:id="rId47" display="https://www.moso-bamboo.com/" xr:uid="{2E2BBA3D-9CE7-4C4E-B413-8D0C60EDD8C5}"/>
    <hyperlink ref="K28" r:id="rId48" display="https://www.moso-bamboo.com/" xr:uid="{3D7A5219-CB26-4F11-B5E3-C414D8B3C80D}"/>
  </hyperlinks>
  <pageMargins left="0.7" right="0.7" top="0.75" bottom="0.75" header="0.3" footer="0.3"/>
  <pageSetup paperSize="9" orientation="portrait" r:id="rId49"/>
  <ignoredErrors>
    <ignoredError sqref="D43 C43:C44 G33:G40 D22 B22 B33:D37 C2:C4 C29 G8 B6:D8 G10 G22:G23 B30:D31 G30:G31 G12:G20 C9:C20 B20 D20 B39:D41 B38 D38 C22:C23" formula="1"/>
  </ignoredErrors>
  <legacyDrawing r:id="rId50"/>
  <tableParts count="1">
    <tablePart r:id="rId5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D39C5-CE9B-4ADB-AFF9-745318C41204}">
  <dimension ref="A1:E44"/>
  <sheetViews>
    <sheetView topLeftCell="B1" workbookViewId="0">
      <selection activeCell="I16" sqref="I16"/>
    </sheetView>
  </sheetViews>
  <sheetFormatPr defaultRowHeight="15" x14ac:dyDescent="0.25"/>
  <cols>
    <col min="1" max="1" width="43.85546875" bestFit="1" customWidth="1"/>
    <col min="2" max="2" width="11" style="1" bestFit="1" customWidth="1"/>
    <col min="4" max="4" width="21.140625" bestFit="1" customWidth="1"/>
  </cols>
  <sheetData>
    <row r="1" spans="1:5" ht="18" customHeight="1" x14ac:dyDescent="0.35">
      <c r="A1" t="s">
        <v>8</v>
      </c>
      <c r="B1" s="1" t="s">
        <v>75</v>
      </c>
      <c r="D1" t="s">
        <v>277</v>
      </c>
      <c r="E1" t="s">
        <v>278</v>
      </c>
    </row>
    <row r="2" spans="1:5" ht="18" customHeight="1" x14ac:dyDescent="0.25">
      <c r="A2" t="s">
        <v>243</v>
      </c>
      <c r="D2" s="10" t="s">
        <v>279</v>
      </c>
    </row>
    <row r="3" spans="1:5" ht="18" customHeight="1" x14ac:dyDescent="0.25">
      <c r="A3" t="s">
        <v>241</v>
      </c>
      <c r="D3" s="44" t="s">
        <v>280</v>
      </c>
      <c r="E3">
        <v>1.3260000000000001</v>
      </c>
    </row>
    <row r="4" spans="1:5" ht="18" customHeight="1" x14ac:dyDescent="0.25">
      <c r="A4" t="s">
        <v>242</v>
      </c>
      <c r="D4" s="44" t="s">
        <v>281</v>
      </c>
    </row>
    <row r="5" spans="1:5" x14ac:dyDescent="0.25">
      <c r="A5" t="s">
        <v>7</v>
      </c>
      <c r="B5" s="1">
        <v>0.40016373059707649</v>
      </c>
      <c r="D5" s="43" t="s">
        <v>282</v>
      </c>
      <c r="E5">
        <v>0.36299999999999999</v>
      </c>
    </row>
    <row r="6" spans="1:5" x14ac:dyDescent="0.25">
      <c r="A6" t="s">
        <v>10</v>
      </c>
      <c r="B6" s="1">
        <v>0.45245901639344255</v>
      </c>
      <c r="D6" s="43" t="s">
        <v>283</v>
      </c>
      <c r="E6">
        <v>0.25600000000000001</v>
      </c>
    </row>
    <row r="7" spans="1:5" x14ac:dyDescent="0.25">
      <c r="A7" t="s">
        <v>0</v>
      </c>
      <c r="B7" s="1">
        <v>0.43734447866547282</v>
      </c>
      <c r="D7" s="43" t="s">
        <v>284</v>
      </c>
      <c r="E7">
        <v>0.105</v>
      </c>
    </row>
    <row r="8" spans="1:5" x14ac:dyDescent="0.25">
      <c r="A8" t="s">
        <v>72</v>
      </c>
      <c r="D8" s="43" t="s">
        <v>303</v>
      </c>
      <c r="E8">
        <v>8.7999999999999995E-2</v>
      </c>
    </row>
    <row r="9" spans="1:5" x14ac:dyDescent="0.25">
      <c r="A9" t="s">
        <v>11</v>
      </c>
      <c r="B9" s="1">
        <v>0.71530650204376089</v>
      </c>
      <c r="D9" s="43" t="s">
        <v>285</v>
      </c>
      <c r="E9">
        <v>8.5000000000000006E-2</v>
      </c>
    </row>
    <row r="10" spans="1:5" x14ac:dyDescent="0.25">
      <c r="A10" t="s">
        <v>12</v>
      </c>
      <c r="B10" s="1">
        <v>0.51212704855999303</v>
      </c>
      <c r="D10" s="45" t="s">
        <v>286</v>
      </c>
    </row>
    <row r="11" spans="1:5" x14ac:dyDescent="0.25">
      <c r="A11" s="13" t="s">
        <v>252</v>
      </c>
      <c r="D11" s="43" t="s">
        <v>287</v>
      </c>
      <c r="E11">
        <v>1.7000000000000001E-2</v>
      </c>
    </row>
    <row r="12" spans="1:5" x14ac:dyDescent="0.25">
      <c r="A12" t="s">
        <v>13</v>
      </c>
      <c r="B12" s="1">
        <v>0.81524753573579289</v>
      </c>
      <c r="D12" s="43" t="s">
        <v>288</v>
      </c>
      <c r="E12">
        <v>8.9999999999999993E-3</v>
      </c>
    </row>
    <row r="13" spans="1:5" x14ac:dyDescent="0.25">
      <c r="A13" t="s">
        <v>14</v>
      </c>
      <c r="B13" s="1">
        <v>0.30556054385802639</v>
      </c>
      <c r="D13" s="43" t="s">
        <v>289</v>
      </c>
      <c r="E13">
        <v>1.0999999999999999E-2</v>
      </c>
    </row>
    <row r="14" spans="1:5" x14ac:dyDescent="0.25">
      <c r="A14" t="s">
        <v>28</v>
      </c>
      <c r="D14" s="45" t="s">
        <v>290</v>
      </c>
    </row>
    <row r="15" spans="1:5" x14ac:dyDescent="0.25">
      <c r="A15" t="s">
        <v>15</v>
      </c>
      <c r="B15" s="1">
        <v>0.69776337020332491</v>
      </c>
      <c r="D15" s="43" t="s">
        <v>291</v>
      </c>
      <c r="E15">
        <v>4.1000000000000002E-2</v>
      </c>
    </row>
    <row r="16" spans="1:5" x14ac:dyDescent="0.25">
      <c r="A16" t="s">
        <v>16</v>
      </c>
      <c r="B16" s="1">
        <v>0.50407916618216175</v>
      </c>
      <c r="D16" s="43" t="s">
        <v>292</v>
      </c>
      <c r="E16">
        <v>3.1E-2</v>
      </c>
    </row>
    <row r="17" spans="1:5" x14ac:dyDescent="0.25">
      <c r="A17" t="s">
        <v>17</v>
      </c>
      <c r="B17" s="1">
        <v>0.38980151409700864</v>
      </c>
      <c r="D17" s="43" t="s">
        <v>293</v>
      </c>
      <c r="E17">
        <v>2.1000000000000001E-2</v>
      </c>
    </row>
    <row r="18" spans="1:5" x14ac:dyDescent="0.25">
      <c r="A18" t="s">
        <v>18</v>
      </c>
      <c r="B18" s="1">
        <v>0.8564543216570808</v>
      </c>
      <c r="D18" s="43" t="s">
        <v>294</v>
      </c>
      <c r="E18">
        <v>3.1E-2</v>
      </c>
    </row>
    <row r="19" spans="1:5" x14ac:dyDescent="0.25">
      <c r="A19" t="s">
        <v>19</v>
      </c>
      <c r="B19" s="1">
        <v>0.34517766497461932</v>
      </c>
      <c r="D19" s="45" t="s">
        <v>295</v>
      </c>
    </row>
    <row r="20" spans="1:5" x14ac:dyDescent="0.25">
      <c r="A20" t="s">
        <v>20</v>
      </c>
      <c r="B20" s="1">
        <v>0.45506912144560557</v>
      </c>
      <c r="D20" s="43" t="s">
        <v>296</v>
      </c>
      <c r="E20">
        <v>2.1999999999999999E-2</v>
      </c>
    </row>
    <row r="21" spans="1:5" x14ac:dyDescent="0.25">
      <c r="A21" s="13" t="s">
        <v>272</v>
      </c>
      <c r="D21" s="43" t="s">
        <v>297</v>
      </c>
      <c r="E21">
        <v>7.0000000000000001E-3</v>
      </c>
    </row>
    <row r="22" spans="1:5" x14ac:dyDescent="0.25">
      <c r="A22" t="s">
        <v>21</v>
      </c>
      <c r="B22" s="1">
        <v>0.81121898570378692</v>
      </c>
      <c r="D22" s="43" t="s">
        <v>294</v>
      </c>
      <c r="E22">
        <v>7.0000000000000001E-3</v>
      </c>
    </row>
    <row r="23" spans="1:5" x14ac:dyDescent="0.25">
      <c r="A23" t="s">
        <v>22</v>
      </c>
      <c r="B23" s="1">
        <v>0.66426594282792939</v>
      </c>
      <c r="D23" s="44" t="s">
        <v>298</v>
      </c>
    </row>
    <row r="24" spans="1:5" ht="15" customHeight="1" x14ac:dyDescent="0.25">
      <c r="A24" t="s">
        <v>23</v>
      </c>
      <c r="B24" s="1">
        <v>0.68146428598875564</v>
      </c>
      <c r="D24" s="11" t="s">
        <v>299</v>
      </c>
      <c r="E24">
        <v>0.55000000000000004</v>
      </c>
    </row>
    <row r="25" spans="1:5" x14ac:dyDescent="0.25">
      <c r="A25" t="s">
        <v>24</v>
      </c>
      <c r="B25" s="1">
        <v>0.26259445783377083</v>
      </c>
      <c r="D25" s="10" t="s">
        <v>300</v>
      </c>
    </row>
    <row r="26" spans="1:5" x14ac:dyDescent="0.25">
      <c r="A26" t="s">
        <v>234</v>
      </c>
      <c r="D26" s="44" t="s">
        <v>281</v>
      </c>
    </row>
    <row r="27" spans="1:5" x14ac:dyDescent="0.25">
      <c r="A27" t="s">
        <v>25</v>
      </c>
      <c r="B27" s="1">
        <v>0.48330205147572497</v>
      </c>
      <c r="D27" s="11" t="s">
        <v>301</v>
      </c>
      <c r="E27">
        <v>0.21199999999999999</v>
      </c>
    </row>
    <row r="28" spans="1:5" x14ac:dyDescent="0.25">
      <c r="A28" t="s">
        <v>26</v>
      </c>
      <c r="B28" s="1">
        <v>1.44</v>
      </c>
      <c r="D28" s="11" t="s">
        <v>284</v>
      </c>
      <c r="E28">
        <v>0.122</v>
      </c>
    </row>
    <row r="29" spans="1:5" x14ac:dyDescent="0.25">
      <c r="D29" s="11" t="s">
        <v>302</v>
      </c>
      <c r="E29">
        <v>0.121</v>
      </c>
    </row>
    <row r="30" spans="1:5" x14ac:dyDescent="0.25">
      <c r="D30" s="11" t="s">
        <v>285</v>
      </c>
      <c r="E30">
        <v>0.109</v>
      </c>
    </row>
    <row r="31" spans="1:5" x14ac:dyDescent="0.25">
      <c r="D31" s="44" t="s">
        <v>286</v>
      </c>
    </row>
    <row r="32" spans="1:5" x14ac:dyDescent="0.25">
      <c r="D32" s="11" t="s">
        <v>287</v>
      </c>
      <c r="E32">
        <v>2.7E-2</v>
      </c>
    </row>
    <row r="33" spans="4:5" x14ac:dyDescent="0.25">
      <c r="D33" s="11" t="s">
        <v>288</v>
      </c>
      <c r="E33">
        <v>1.4999999999999999E-2</v>
      </c>
    </row>
    <row r="34" spans="4:5" x14ac:dyDescent="0.25">
      <c r="D34" s="11" t="s">
        <v>289</v>
      </c>
      <c r="E34">
        <v>1.7999999999999999E-2</v>
      </c>
    </row>
    <row r="35" spans="4:5" x14ac:dyDescent="0.25">
      <c r="D35" s="44" t="s">
        <v>290</v>
      </c>
    </row>
    <row r="36" spans="4:5" x14ac:dyDescent="0.25">
      <c r="D36" s="11" t="s">
        <v>304</v>
      </c>
      <c r="E36">
        <v>5.3999999999999999E-2</v>
      </c>
    </row>
    <row r="37" spans="4:5" x14ac:dyDescent="0.25">
      <c r="D37" s="11" t="s">
        <v>305</v>
      </c>
      <c r="E37">
        <v>5.1999999999999998E-2</v>
      </c>
    </row>
    <row r="38" spans="4:5" x14ac:dyDescent="0.25">
      <c r="D38" s="11" t="s">
        <v>306</v>
      </c>
      <c r="E38">
        <v>3.2000000000000001E-2</v>
      </c>
    </row>
    <row r="39" spans="4:5" x14ac:dyDescent="0.25">
      <c r="D39" s="11" t="s">
        <v>307</v>
      </c>
      <c r="E39">
        <v>2.7E-2</v>
      </c>
    </row>
    <row r="40" spans="4:5" x14ac:dyDescent="0.25">
      <c r="D40" s="11" t="s">
        <v>294</v>
      </c>
      <c r="E40">
        <v>3.2000000000000001E-2</v>
      </c>
    </row>
    <row r="41" spans="4:5" x14ac:dyDescent="0.25">
      <c r="D41" s="44" t="s">
        <v>295</v>
      </c>
    </row>
    <row r="42" spans="4:5" x14ac:dyDescent="0.25">
      <c r="D42" s="11" t="s">
        <v>296</v>
      </c>
      <c r="E42">
        <v>3.2000000000000001E-2</v>
      </c>
    </row>
    <row r="43" spans="4:5" x14ac:dyDescent="0.25">
      <c r="D43" s="11" t="s">
        <v>297</v>
      </c>
      <c r="E43">
        <v>1.2E-2</v>
      </c>
    </row>
    <row r="44" spans="4:5" x14ac:dyDescent="0.25">
      <c r="D44" s="11" t="s">
        <v>294</v>
      </c>
      <c r="E44">
        <v>1.2E-2</v>
      </c>
    </row>
  </sheetData>
  <sortState xmlns:xlrd2="http://schemas.microsoft.com/office/spreadsheetml/2017/richdata2" ref="A2:B28">
    <sortCondition ref="A2:A28"/>
  </sortState>
  <pageMargins left="0.7" right="0.7" top="0.75" bottom="0.75" header="0.3" footer="0.3"/>
  <pageSetup paperSize="9" orientation="portrait" horizontalDpi="4294967293" verticalDpi="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9DC7B-F2C1-4181-B94B-90E6626961DD}">
  <dimension ref="A1:P113"/>
  <sheetViews>
    <sheetView zoomScale="110" zoomScaleNormal="110" workbookViewId="0"/>
  </sheetViews>
  <sheetFormatPr defaultRowHeight="15" x14ac:dyDescent="0.25"/>
  <cols>
    <col min="1" max="1" width="41.28515625" bestFit="1" customWidth="1"/>
    <col min="2" max="2" width="30" style="4" bestFit="1" customWidth="1"/>
    <col min="3" max="3" width="13.85546875" style="16" bestFit="1" customWidth="1"/>
    <col min="4" max="4" width="1.7109375" style="16" customWidth="1"/>
    <col min="5" max="7" width="9.140625" style="18"/>
    <col min="9" max="9" width="33.28515625" style="11" bestFit="1" customWidth="1"/>
    <col min="11" max="11" width="2" bestFit="1" customWidth="1"/>
    <col min="12" max="12" width="10.42578125" customWidth="1"/>
    <col min="13" max="13" width="45.7109375" style="11" bestFit="1" customWidth="1"/>
    <col min="15" max="15" width="2" bestFit="1" customWidth="1"/>
    <col min="16" max="16" width="6.140625" bestFit="1" customWidth="1"/>
  </cols>
  <sheetData>
    <row r="1" spans="1:16" x14ac:dyDescent="0.25">
      <c r="A1" s="10" t="s">
        <v>50</v>
      </c>
      <c r="B1" s="91" t="s">
        <v>51</v>
      </c>
      <c r="C1" s="92" t="s">
        <v>124</v>
      </c>
      <c r="D1" s="92"/>
      <c r="E1" s="92"/>
      <c r="F1" s="19" t="s">
        <v>55</v>
      </c>
      <c r="G1" s="19" t="s">
        <v>56</v>
      </c>
      <c r="H1" s="10"/>
      <c r="I1" s="10" t="s">
        <v>121</v>
      </c>
      <c r="J1" s="118" t="s">
        <v>76</v>
      </c>
      <c r="K1" s="118"/>
      <c r="L1" s="118"/>
      <c r="M1" s="10" t="s">
        <v>122</v>
      </c>
      <c r="N1" s="118" t="s">
        <v>76</v>
      </c>
      <c r="O1" s="118"/>
      <c r="P1" s="118"/>
    </row>
    <row r="2" spans="1:16" x14ac:dyDescent="0.25">
      <c r="A2" t="s">
        <v>125</v>
      </c>
      <c r="B2" s="4">
        <v>390</v>
      </c>
      <c r="C2" s="27">
        <v>0.5</v>
      </c>
      <c r="E2" s="22"/>
      <c r="F2" s="29" t="s">
        <v>52</v>
      </c>
      <c r="G2" s="22"/>
      <c r="H2" s="15"/>
      <c r="I2" s="23" t="s">
        <v>80</v>
      </c>
      <c r="J2" s="24">
        <v>0.49640000000000001</v>
      </c>
      <c r="K2" s="25" t="s">
        <v>77</v>
      </c>
      <c r="L2" s="26">
        <v>2.7000000000000001E-3</v>
      </c>
      <c r="M2" s="23" t="s">
        <v>102</v>
      </c>
      <c r="N2" s="24">
        <v>0.48549999999999999</v>
      </c>
      <c r="O2" s="25" t="s">
        <v>77</v>
      </c>
      <c r="P2" s="26">
        <v>9.9000000000000008E-3</v>
      </c>
    </row>
    <row r="3" spans="1:16" x14ac:dyDescent="0.25">
      <c r="A3" t="s">
        <v>126</v>
      </c>
      <c r="B3" s="4">
        <v>1100</v>
      </c>
      <c r="C3" s="27">
        <v>0.5</v>
      </c>
      <c r="F3" s="29" t="s">
        <v>52</v>
      </c>
      <c r="H3" s="1"/>
      <c r="I3" s="23" t="s">
        <v>81</v>
      </c>
      <c r="J3" s="24">
        <v>0.49340000000000001</v>
      </c>
      <c r="K3" s="25" t="s">
        <v>77</v>
      </c>
      <c r="L3" s="26">
        <v>5.3E-3</v>
      </c>
      <c r="M3" s="23" t="s">
        <v>103</v>
      </c>
      <c r="N3" s="24">
        <v>0.50080000000000002</v>
      </c>
      <c r="O3" s="25" t="s">
        <v>77</v>
      </c>
      <c r="P3" s="26">
        <v>4.4999999999999997E-3</v>
      </c>
    </row>
    <row r="4" spans="1:16" x14ac:dyDescent="0.25">
      <c r="A4" t="s">
        <v>127</v>
      </c>
      <c r="B4" s="4">
        <v>950</v>
      </c>
      <c r="C4" s="27">
        <v>0.5</v>
      </c>
      <c r="F4" s="29" t="s">
        <v>52</v>
      </c>
      <c r="I4" s="23" t="s">
        <v>82</v>
      </c>
      <c r="J4" s="24">
        <v>0.4864</v>
      </c>
      <c r="K4" s="25" t="s">
        <v>77</v>
      </c>
      <c r="L4" s="26">
        <v>5.1999999999999998E-3</v>
      </c>
      <c r="M4" s="23" t="s">
        <v>104</v>
      </c>
      <c r="N4" s="24">
        <v>0.52839999999999998</v>
      </c>
      <c r="O4" s="25" t="s">
        <v>77</v>
      </c>
      <c r="P4" s="26">
        <v>5.4999999999999997E-3</v>
      </c>
    </row>
    <row r="5" spans="1:16" x14ac:dyDescent="0.25">
      <c r="A5" t="s">
        <v>128</v>
      </c>
      <c r="B5" s="4">
        <v>785</v>
      </c>
      <c r="C5" s="27">
        <v>0.5</v>
      </c>
      <c r="F5" s="29" t="s">
        <v>52</v>
      </c>
      <c r="I5" s="23" t="s">
        <v>83</v>
      </c>
      <c r="J5" s="24">
        <v>0.49320000000000003</v>
      </c>
      <c r="K5" s="25" t="s">
        <v>77</v>
      </c>
      <c r="L5" s="26">
        <v>1.9E-3</v>
      </c>
      <c r="M5" s="23" t="s">
        <v>105</v>
      </c>
      <c r="N5" s="24">
        <v>0.52139999999999997</v>
      </c>
      <c r="O5" s="25" t="s">
        <v>77</v>
      </c>
      <c r="P5" s="26">
        <v>8.8000000000000005E-3</v>
      </c>
    </row>
    <row r="6" spans="1:16" x14ac:dyDescent="0.25">
      <c r="A6" t="s">
        <v>129</v>
      </c>
      <c r="B6" s="4">
        <v>880</v>
      </c>
      <c r="C6" s="27">
        <v>0.5</v>
      </c>
      <c r="F6" s="29" t="s">
        <v>52</v>
      </c>
      <c r="I6" s="23" t="s">
        <v>84</v>
      </c>
      <c r="J6" s="24">
        <v>0.47699999999999998</v>
      </c>
      <c r="K6" s="25" t="s">
        <v>77</v>
      </c>
      <c r="L6" s="26">
        <v>1.1999999999999999E-3</v>
      </c>
      <c r="M6" s="23" t="s">
        <v>106</v>
      </c>
      <c r="N6" s="24">
        <v>0.47210000000000002</v>
      </c>
      <c r="O6" s="25" t="s">
        <v>77</v>
      </c>
      <c r="P6" s="26">
        <v>3.5000000000000001E-3</v>
      </c>
    </row>
    <row r="7" spans="1:16" x14ac:dyDescent="0.25">
      <c r="A7" s="11" t="s">
        <v>90</v>
      </c>
      <c r="B7" s="4">
        <v>675</v>
      </c>
      <c r="C7" s="16">
        <v>0.48280000000000001</v>
      </c>
      <c r="D7" s="12" t="s">
        <v>77</v>
      </c>
      <c r="E7" s="18">
        <v>3.5999999999999999E-3</v>
      </c>
      <c r="F7" s="3" t="s">
        <v>206</v>
      </c>
      <c r="G7" s="29" t="s">
        <v>27</v>
      </c>
      <c r="I7" s="23" t="s">
        <v>85</v>
      </c>
      <c r="J7" s="24">
        <v>0.4627</v>
      </c>
      <c r="K7" s="25" t="s">
        <v>77</v>
      </c>
      <c r="L7" s="26">
        <v>3.3E-3</v>
      </c>
      <c r="M7" s="23" t="s">
        <v>107</v>
      </c>
      <c r="N7" s="24">
        <v>0.47599999999999998</v>
      </c>
      <c r="O7" s="25" t="s">
        <v>77</v>
      </c>
      <c r="P7" s="26">
        <v>2.0999999999999999E-3</v>
      </c>
    </row>
    <row r="8" spans="1:16" x14ac:dyDescent="0.25">
      <c r="A8" s="11" t="s">
        <v>88</v>
      </c>
      <c r="B8" s="4">
        <v>720</v>
      </c>
      <c r="C8" s="16">
        <v>0.46600000000000003</v>
      </c>
      <c r="D8" s="12" t="s">
        <v>77</v>
      </c>
      <c r="E8" s="18">
        <v>3.8999999999999998E-3</v>
      </c>
      <c r="F8" s="3" t="s">
        <v>231</v>
      </c>
      <c r="G8" s="29" t="s">
        <v>27</v>
      </c>
      <c r="I8" s="23" t="s">
        <v>86</v>
      </c>
      <c r="J8" s="24">
        <v>0.48370000000000002</v>
      </c>
      <c r="K8" s="25" t="s">
        <v>77</v>
      </c>
      <c r="L8" s="26">
        <v>2.0999999999999999E-3</v>
      </c>
      <c r="M8" s="23" t="s">
        <v>108</v>
      </c>
      <c r="N8" s="24">
        <v>0.50390000000000001</v>
      </c>
      <c r="O8" s="25" t="s">
        <v>77</v>
      </c>
      <c r="P8" s="26">
        <v>4.4999999999999997E-3</v>
      </c>
    </row>
    <row r="9" spans="1:16" x14ac:dyDescent="0.25">
      <c r="A9" s="11" t="s">
        <v>106</v>
      </c>
      <c r="B9" s="4">
        <v>595</v>
      </c>
      <c r="C9" s="16">
        <v>0.47210000000000002</v>
      </c>
      <c r="D9" s="12" t="s">
        <v>77</v>
      </c>
      <c r="E9" s="18">
        <v>3.5000000000000001E-3</v>
      </c>
      <c r="F9" s="3" t="s">
        <v>215</v>
      </c>
      <c r="G9" s="29" t="s">
        <v>27</v>
      </c>
      <c r="I9" s="23" t="s">
        <v>87</v>
      </c>
      <c r="J9" s="24">
        <v>0.48470000000000002</v>
      </c>
      <c r="K9" s="25" t="s">
        <v>77</v>
      </c>
      <c r="L9" s="26">
        <v>4.1000000000000003E-3</v>
      </c>
      <c r="M9" s="23" t="s">
        <v>109</v>
      </c>
      <c r="N9" s="24">
        <v>0.4995</v>
      </c>
      <c r="O9" s="25" t="s">
        <v>77</v>
      </c>
      <c r="P9" s="26">
        <v>2.0000000000000001E-4</v>
      </c>
    </row>
    <row r="10" spans="1:16" x14ac:dyDescent="0.25">
      <c r="A10" s="11" t="s">
        <v>100</v>
      </c>
      <c r="B10" s="4">
        <v>540</v>
      </c>
      <c r="C10" s="16">
        <v>0.46429999999999999</v>
      </c>
      <c r="D10" s="12" t="s">
        <v>77</v>
      </c>
      <c r="E10" s="18">
        <v>1.6999999999999999E-3</v>
      </c>
      <c r="F10" s="3" t="s">
        <v>194</v>
      </c>
      <c r="G10" s="29" t="s">
        <v>27</v>
      </c>
      <c r="I10" s="23" t="s">
        <v>88</v>
      </c>
      <c r="J10" s="24">
        <v>0.46600000000000003</v>
      </c>
      <c r="K10" s="25" t="s">
        <v>77</v>
      </c>
      <c r="L10" s="26">
        <v>3.8999999999999998E-3</v>
      </c>
      <c r="M10" s="23" t="s">
        <v>110</v>
      </c>
      <c r="N10" s="24">
        <v>0.504</v>
      </c>
      <c r="O10" s="25" t="s">
        <v>77</v>
      </c>
      <c r="P10" s="26">
        <v>4.3E-3</v>
      </c>
    </row>
    <row r="11" spans="1:16" x14ac:dyDescent="0.25">
      <c r="A11" s="11" t="s">
        <v>93</v>
      </c>
      <c r="B11" s="4">
        <v>545</v>
      </c>
      <c r="C11" s="16">
        <v>0.49969999999999998</v>
      </c>
      <c r="D11" s="12" t="s">
        <v>77</v>
      </c>
      <c r="E11" s="18">
        <v>8.2000000000000007E-3</v>
      </c>
      <c r="F11" s="3" t="s">
        <v>217</v>
      </c>
      <c r="G11" s="29" t="s">
        <v>27</v>
      </c>
      <c r="I11" s="23" t="s">
        <v>90</v>
      </c>
      <c r="J11" s="24">
        <v>0.48280000000000001</v>
      </c>
      <c r="K11" s="25" t="s">
        <v>77</v>
      </c>
      <c r="L11" s="26">
        <v>3.5999999999999999E-3</v>
      </c>
      <c r="M11" s="23" t="s">
        <v>111</v>
      </c>
      <c r="N11" s="24">
        <v>0.50319999999999998</v>
      </c>
      <c r="O11" s="25" t="s">
        <v>77</v>
      </c>
      <c r="P11" s="26">
        <v>4.3E-3</v>
      </c>
    </row>
    <row r="12" spans="1:16" x14ac:dyDescent="0.25">
      <c r="A12" t="s">
        <v>130</v>
      </c>
      <c r="B12" s="4">
        <v>750</v>
      </c>
      <c r="C12" s="27">
        <v>0.5</v>
      </c>
      <c r="F12" s="29" t="s">
        <v>52</v>
      </c>
      <c r="I12" s="23" t="s">
        <v>89</v>
      </c>
      <c r="J12" s="24">
        <v>0.47799999999999998</v>
      </c>
      <c r="K12" s="25" t="s">
        <v>77</v>
      </c>
      <c r="L12" s="26">
        <v>4.7999999999999996E-3</v>
      </c>
      <c r="M12" s="23" t="s">
        <v>112</v>
      </c>
      <c r="N12" s="24">
        <v>0.52470000000000006</v>
      </c>
      <c r="O12" s="25" t="s">
        <v>77</v>
      </c>
      <c r="P12" s="26">
        <v>3.8E-3</v>
      </c>
    </row>
    <row r="13" spans="1:16" x14ac:dyDescent="0.25">
      <c r="A13" t="s">
        <v>131</v>
      </c>
      <c r="B13" s="4">
        <v>1000</v>
      </c>
      <c r="C13" s="27">
        <v>0.5</v>
      </c>
      <c r="F13" s="29" t="s">
        <v>52</v>
      </c>
      <c r="I13" s="23" t="s">
        <v>91</v>
      </c>
      <c r="J13" s="24">
        <v>0.48530000000000001</v>
      </c>
      <c r="K13" s="25" t="s">
        <v>77</v>
      </c>
      <c r="L13" s="26">
        <v>3.5999999999999999E-3</v>
      </c>
      <c r="M13" s="23" t="s">
        <v>113</v>
      </c>
      <c r="N13" s="24">
        <v>0.53280000000000005</v>
      </c>
      <c r="O13" s="25" t="s">
        <v>77</v>
      </c>
      <c r="P13" s="26">
        <v>3.3E-3</v>
      </c>
    </row>
    <row r="14" spans="1:16" x14ac:dyDescent="0.25">
      <c r="A14" t="s">
        <v>132</v>
      </c>
      <c r="B14" s="4">
        <v>900</v>
      </c>
      <c r="C14" s="27">
        <v>0.5</v>
      </c>
      <c r="F14" s="29" t="s">
        <v>52</v>
      </c>
      <c r="I14" s="23" t="s">
        <v>92</v>
      </c>
      <c r="J14" s="24">
        <v>0.49170000000000003</v>
      </c>
      <c r="K14" s="25" t="s">
        <v>77</v>
      </c>
      <c r="L14" s="26">
        <v>1.1999999999999999E-3</v>
      </c>
      <c r="M14" s="23" t="s">
        <v>114</v>
      </c>
      <c r="N14" s="24">
        <v>0.49740000000000001</v>
      </c>
      <c r="O14" s="25" t="s">
        <v>77</v>
      </c>
      <c r="P14" s="26">
        <v>1.6000000000000001E-3</v>
      </c>
    </row>
    <row r="15" spans="1:16" x14ac:dyDescent="0.25">
      <c r="A15" t="s">
        <v>133</v>
      </c>
      <c r="B15" s="4">
        <v>390</v>
      </c>
      <c r="C15" s="27">
        <v>0.5</v>
      </c>
      <c r="F15" s="29" t="s">
        <v>52</v>
      </c>
      <c r="I15" s="23" t="s">
        <v>93</v>
      </c>
      <c r="J15" s="24">
        <v>0.49969999999999998</v>
      </c>
      <c r="K15" s="25" t="s">
        <v>77</v>
      </c>
      <c r="L15" s="26">
        <v>8.2000000000000007E-3</v>
      </c>
      <c r="M15" s="23" t="s">
        <v>115</v>
      </c>
      <c r="N15" s="24">
        <v>0.505</v>
      </c>
      <c r="O15" s="25" t="s">
        <v>77</v>
      </c>
      <c r="P15" s="26">
        <v>3.5999999999999999E-3</v>
      </c>
    </row>
    <row r="16" spans="1:16" x14ac:dyDescent="0.25">
      <c r="A16" t="s">
        <v>134</v>
      </c>
      <c r="B16" s="4">
        <v>1050</v>
      </c>
      <c r="C16" s="27">
        <v>0.5</v>
      </c>
      <c r="F16" s="29" t="s">
        <v>52</v>
      </c>
      <c r="I16" s="23" t="s">
        <v>94</v>
      </c>
      <c r="J16" s="24">
        <v>0.47089999999999999</v>
      </c>
      <c r="K16" s="25" t="s">
        <v>77</v>
      </c>
      <c r="L16" s="26">
        <v>7.4999999999999997E-3</v>
      </c>
      <c r="M16" s="23" t="s">
        <v>116</v>
      </c>
      <c r="N16" s="24">
        <v>0.51719999999999999</v>
      </c>
      <c r="O16" s="25" t="s">
        <v>77</v>
      </c>
      <c r="P16" s="26">
        <v>1.6999999999999999E-3</v>
      </c>
    </row>
    <row r="17" spans="1:16" x14ac:dyDescent="0.25">
      <c r="A17" s="11" t="s">
        <v>103</v>
      </c>
      <c r="B17" s="4">
        <v>400</v>
      </c>
      <c r="C17" s="16">
        <v>0.50080000000000002</v>
      </c>
      <c r="D17" s="12" t="s">
        <v>77</v>
      </c>
      <c r="E17" s="18">
        <v>4.4999999999999997E-3</v>
      </c>
      <c r="F17" s="3" t="s">
        <v>198</v>
      </c>
      <c r="G17" s="29" t="s">
        <v>27</v>
      </c>
      <c r="I17" s="23" t="s">
        <v>95</v>
      </c>
      <c r="J17" s="24">
        <v>0.49249999999999999</v>
      </c>
      <c r="K17" s="25" t="s">
        <v>77</v>
      </c>
      <c r="L17" s="26">
        <v>2.5000000000000001E-3</v>
      </c>
      <c r="M17" s="23" t="s">
        <v>117</v>
      </c>
      <c r="N17" s="24">
        <v>0.51539999999999997</v>
      </c>
      <c r="O17" s="25" t="s">
        <v>77</v>
      </c>
      <c r="P17" s="26">
        <v>3.8E-3</v>
      </c>
    </row>
    <row r="18" spans="1:16" x14ac:dyDescent="0.25">
      <c r="A18" t="s">
        <v>135</v>
      </c>
      <c r="B18" s="4">
        <v>900</v>
      </c>
      <c r="C18" s="27">
        <v>0.5</v>
      </c>
      <c r="F18" s="29" t="s">
        <v>52</v>
      </c>
      <c r="I18" s="23" t="s">
        <v>96</v>
      </c>
      <c r="J18" s="24">
        <v>0.49530000000000002</v>
      </c>
      <c r="K18" s="25" t="s">
        <v>77</v>
      </c>
      <c r="L18" s="26">
        <v>1.8E-3</v>
      </c>
      <c r="M18" s="23" t="s">
        <v>118</v>
      </c>
      <c r="N18" s="24">
        <v>0.50329999999999997</v>
      </c>
      <c r="O18" s="25" t="s">
        <v>77</v>
      </c>
      <c r="P18" s="26">
        <v>3.2000000000000002E-3</v>
      </c>
    </row>
    <row r="19" spans="1:16" x14ac:dyDescent="0.25">
      <c r="A19" t="s">
        <v>136</v>
      </c>
      <c r="B19" s="4">
        <v>750</v>
      </c>
      <c r="C19" s="27">
        <v>0.5</v>
      </c>
      <c r="F19" s="29" t="s">
        <v>52</v>
      </c>
      <c r="I19" s="23" t="s">
        <v>97</v>
      </c>
      <c r="J19" s="24">
        <v>0.49569999999999997</v>
      </c>
      <c r="K19" s="25" t="s">
        <v>77</v>
      </c>
      <c r="L19" s="26">
        <v>2.2000000000000001E-3</v>
      </c>
      <c r="M19" s="23" t="s">
        <v>119</v>
      </c>
      <c r="N19" s="24">
        <v>0.50600000000000001</v>
      </c>
      <c r="O19" s="25" t="s">
        <v>77</v>
      </c>
      <c r="P19" s="26">
        <v>4.4999999999999997E-3</v>
      </c>
    </row>
    <row r="20" spans="1:16" x14ac:dyDescent="0.25">
      <c r="A20" t="s">
        <v>137</v>
      </c>
      <c r="B20" s="4">
        <v>650</v>
      </c>
      <c r="C20" s="37">
        <f>AVERAGE($J$7:$J$8)</f>
        <v>0.47320000000000001</v>
      </c>
      <c r="D20" s="21" t="s">
        <v>77</v>
      </c>
      <c r="E20" s="38">
        <f>AVERAGE($L$7:$L$8)</f>
        <v>2.7000000000000001E-3</v>
      </c>
      <c r="F20" s="29" t="s">
        <v>52</v>
      </c>
      <c r="G20" s="29"/>
      <c r="I20" s="23" t="s">
        <v>98</v>
      </c>
      <c r="J20" s="24">
        <v>0.49630000000000002</v>
      </c>
      <c r="K20" s="25" t="s">
        <v>77</v>
      </c>
      <c r="L20" s="26">
        <v>3.2000000000000002E-3</v>
      </c>
      <c r="M20" s="23" t="s">
        <v>120</v>
      </c>
      <c r="N20" s="24">
        <v>0.55159999999999998</v>
      </c>
      <c r="O20" s="25" t="s">
        <v>77</v>
      </c>
      <c r="P20" s="26">
        <v>5.1999999999999998E-3</v>
      </c>
    </row>
    <row r="21" spans="1:16" x14ac:dyDescent="0.25">
      <c r="A21" t="s">
        <v>138</v>
      </c>
      <c r="B21" s="4">
        <v>680</v>
      </c>
      <c r="C21" s="27">
        <f>$J$10</f>
        <v>0.46600000000000003</v>
      </c>
      <c r="D21" s="27" t="s">
        <v>77</v>
      </c>
      <c r="E21" s="28">
        <f>$L$10</f>
        <v>3.8999999999999998E-3</v>
      </c>
      <c r="F21" s="29" t="s">
        <v>52</v>
      </c>
      <c r="G21" s="29"/>
      <c r="I21" s="23" t="s">
        <v>99</v>
      </c>
      <c r="J21" s="24">
        <v>0.49049999999999999</v>
      </c>
      <c r="K21" s="25" t="s">
        <v>77</v>
      </c>
      <c r="L21" s="26">
        <v>5.7999999999999996E-3</v>
      </c>
      <c r="M21" s="23" t="s">
        <v>78</v>
      </c>
      <c r="N21" s="24">
        <v>0.54659999999999997</v>
      </c>
      <c r="O21" s="25" t="s">
        <v>77</v>
      </c>
      <c r="P21" s="26">
        <v>2.7000000000000001E-3</v>
      </c>
    </row>
    <row r="22" spans="1:16" x14ac:dyDescent="0.25">
      <c r="A22" s="11" t="s">
        <v>80</v>
      </c>
      <c r="B22" s="4">
        <v>545</v>
      </c>
      <c r="C22" s="16">
        <v>0.49640000000000001</v>
      </c>
      <c r="D22" s="12" t="s">
        <v>77</v>
      </c>
      <c r="E22" s="18">
        <v>2.7000000000000001E-3</v>
      </c>
      <c r="F22" s="3" t="s">
        <v>200</v>
      </c>
      <c r="G22" s="29" t="s">
        <v>27</v>
      </c>
      <c r="I22" s="23" t="s">
        <v>100</v>
      </c>
      <c r="J22" s="24">
        <v>0.46429999999999999</v>
      </c>
      <c r="K22" s="25" t="s">
        <v>77</v>
      </c>
      <c r="L22" s="26">
        <v>1.6999999999999999E-3</v>
      </c>
      <c r="M22" s="23" t="s">
        <v>79</v>
      </c>
      <c r="N22" s="24">
        <v>0.5252</v>
      </c>
      <c r="O22" s="25" t="s">
        <v>77</v>
      </c>
      <c r="P22" s="26">
        <v>2.7000000000000001E-3</v>
      </c>
    </row>
    <row r="23" spans="1:16" x14ac:dyDescent="0.25">
      <c r="A23" t="s">
        <v>139</v>
      </c>
      <c r="B23" s="4">
        <v>900</v>
      </c>
      <c r="C23" s="27">
        <v>0.5</v>
      </c>
      <c r="F23" s="29" t="s">
        <v>52</v>
      </c>
      <c r="I23" s="23" t="s">
        <v>101</v>
      </c>
      <c r="J23" s="24">
        <v>0.4632</v>
      </c>
      <c r="K23" s="25" t="s">
        <v>77</v>
      </c>
      <c r="L23" s="26">
        <v>2.7000000000000001E-3</v>
      </c>
    </row>
    <row r="24" spans="1:16" x14ac:dyDescent="0.25">
      <c r="A24" t="s">
        <v>140</v>
      </c>
      <c r="B24" s="4">
        <v>660</v>
      </c>
      <c r="C24" s="27">
        <v>0.5</v>
      </c>
      <c r="F24" s="29" t="s">
        <v>52</v>
      </c>
      <c r="I24" s="9" t="s">
        <v>123</v>
      </c>
      <c r="J24" s="17">
        <f>AVERAGE(J2:J23)</f>
        <v>0.48407727272727269</v>
      </c>
      <c r="K24" s="14" t="s">
        <v>77</v>
      </c>
      <c r="L24" s="19">
        <f>AVERAGE(L2:L23)</f>
        <v>3.5681818181818171E-3</v>
      </c>
      <c r="M24" s="9" t="s">
        <v>123</v>
      </c>
      <c r="N24" s="17">
        <f>AVERAGE(N2:N23)</f>
        <v>0.51047619047619042</v>
      </c>
      <c r="O24" s="20" t="s">
        <v>77</v>
      </c>
      <c r="P24" s="19">
        <f>AVERAGE(P2:P23)</f>
        <v>3.9857142857142843E-3</v>
      </c>
    </row>
    <row r="25" spans="1:16" x14ac:dyDescent="0.25">
      <c r="A25" s="11" t="s">
        <v>89</v>
      </c>
      <c r="B25" s="4">
        <v>545</v>
      </c>
      <c r="C25" s="16">
        <v>0.47799999999999998</v>
      </c>
      <c r="D25" s="12" t="s">
        <v>77</v>
      </c>
      <c r="E25" s="18">
        <v>4.7999999999999996E-3</v>
      </c>
      <c r="F25" s="3" t="s">
        <v>205</v>
      </c>
      <c r="G25" s="29" t="s">
        <v>27</v>
      </c>
      <c r="J25" s="11"/>
      <c r="K25" s="11"/>
      <c r="L25" s="11"/>
      <c r="N25" s="16"/>
      <c r="O25" s="12"/>
      <c r="P25" s="18"/>
    </row>
    <row r="26" spans="1:16" x14ac:dyDescent="0.25">
      <c r="A26" s="11" t="s">
        <v>96</v>
      </c>
      <c r="B26" s="4">
        <v>560</v>
      </c>
      <c r="C26" s="16">
        <v>0.49530000000000002</v>
      </c>
      <c r="D26" s="12" t="s">
        <v>77</v>
      </c>
      <c r="E26" s="18">
        <v>1.8E-3</v>
      </c>
      <c r="F26" s="3" t="s">
        <v>220</v>
      </c>
      <c r="G26" s="29" t="s">
        <v>27</v>
      </c>
    </row>
    <row r="27" spans="1:16" x14ac:dyDescent="0.25">
      <c r="A27" s="11" t="s">
        <v>95</v>
      </c>
      <c r="B27" s="4">
        <v>385</v>
      </c>
      <c r="C27" s="16">
        <v>0.49249999999999999</v>
      </c>
      <c r="D27" s="12" t="s">
        <v>77</v>
      </c>
      <c r="E27" s="18">
        <v>2.5000000000000001E-3</v>
      </c>
      <c r="F27" s="3" t="s">
        <v>218</v>
      </c>
      <c r="G27" s="29" t="s">
        <v>27</v>
      </c>
    </row>
    <row r="28" spans="1:16" x14ac:dyDescent="0.25">
      <c r="A28" t="s">
        <v>141</v>
      </c>
      <c r="B28" s="4">
        <v>700</v>
      </c>
      <c r="C28" s="27">
        <v>0.5</v>
      </c>
      <c r="F28" s="29" t="s">
        <v>52</v>
      </c>
      <c r="I28" s="9"/>
      <c r="J28" s="17"/>
      <c r="K28" s="14"/>
      <c r="L28" s="19"/>
      <c r="M28" s="9"/>
      <c r="N28" s="17"/>
      <c r="O28" s="20"/>
      <c r="P28" s="19"/>
    </row>
    <row r="29" spans="1:16" x14ac:dyDescent="0.25">
      <c r="A29" s="11" t="s">
        <v>201</v>
      </c>
      <c r="B29" s="4">
        <v>485</v>
      </c>
      <c r="C29" s="16">
        <v>0.49340000000000001</v>
      </c>
      <c r="D29" s="12" t="s">
        <v>77</v>
      </c>
      <c r="E29" s="18">
        <v>5.3E-3</v>
      </c>
      <c r="F29" s="3" t="s">
        <v>199</v>
      </c>
      <c r="G29" s="29" t="s">
        <v>27</v>
      </c>
      <c r="I29" s="9"/>
      <c r="J29" s="17"/>
      <c r="K29" s="14"/>
      <c r="L29" s="19"/>
      <c r="M29" s="9"/>
      <c r="N29" s="17"/>
      <c r="O29" s="20"/>
      <c r="P29" s="19"/>
    </row>
    <row r="30" spans="1:16" x14ac:dyDescent="0.25">
      <c r="A30" s="11" t="s">
        <v>91</v>
      </c>
      <c r="B30" s="4">
        <v>435</v>
      </c>
      <c r="C30" s="16">
        <v>0.48530000000000001</v>
      </c>
      <c r="D30" s="12" t="s">
        <v>77</v>
      </c>
      <c r="E30" s="18">
        <v>3.5999999999999999E-3</v>
      </c>
      <c r="F30" s="3" t="s">
        <v>225</v>
      </c>
      <c r="G30" s="29" t="s">
        <v>27</v>
      </c>
      <c r="I30" s="9"/>
      <c r="J30" s="17"/>
      <c r="K30" s="14"/>
      <c r="L30" s="19"/>
      <c r="M30" s="9"/>
      <c r="N30" s="17"/>
      <c r="O30" s="20"/>
      <c r="P30" s="19"/>
    </row>
    <row r="31" spans="1:16" x14ac:dyDescent="0.25">
      <c r="A31" t="s">
        <v>142</v>
      </c>
      <c r="B31" s="4">
        <v>380</v>
      </c>
      <c r="C31" s="37">
        <f>AVERAGE($N$20:$N$22)</f>
        <v>0.54113333333333324</v>
      </c>
      <c r="D31" s="21" t="s">
        <v>77</v>
      </c>
      <c r="E31" s="38">
        <f>AVERAGE($P$20:$P$22)</f>
        <v>3.5333333333333341E-3</v>
      </c>
      <c r="F31" s="29" t="s">
        <v>52</v>
      </c>
      <c r="G31" s="29"/>
      <c r="I31" s="9"/>
      <c r="J31" s="17"/>
      <c r="K31" s="14"/>
      <c r="L31" s="19"/>
      <c r="M31" s="9"/>
      <c r="N31" s="17"/>
      <c r="O31" s="20"/>
      <c r="P31" s="19"/>
    </row>
    <row r="32" spans="1:16" x14ac:dyDescent="0.25">
      <c r="A32" s="11" t="s">
        <v>118</v>
      </c>
      <c r="B32" s="4">
        <v>450</v>
      </c>
      <c r="C32" s="16">
        <v>0.50329999999999997</v>
      </c>
      <c r="D32" s="12" t="s">
        <v>77</v>
      </c>
      <c r="E32" s="18">
        <v>3.2000000000000002E-3</v>
      </c>
      <c r="F32" s="3" t="s">
        <v>227</v>
      </c>
      <c r="G32" s="29" t="s">
        <v>27</v>
      </c>
    </row>
    <row r="33" spans="1:13" x14ac:dyDescent="0.25">
      <c r="A33" t="s">
        <v>143</v>
      </c>
      <c r="B33" s="4">
        <v>550</v>
      </c>
      <c r="C33" s="27">
        <v>0.5</v>
      </c>
      <c r="F33" s="29" t="s">
        <v>52</v>
      </c>
    </row>
    <row r="34" spans="1:13" x14ac:dyDescent="0.25">
      <c r="A34" t="s">
        <v>144</v>
      </c>
      <c r="B34" s="4">
        <v>520</v>
      </c>
      <c r="C34" s="27">
        <v>0.5</v>
      </c>
      <c r="F34" s="29" t="s">
        <v>52</v>
      </c>
    </row>
    <row r="35" spans="1:13" x14ac:dyDescent="0.25">
      <c r="A35" t="s">
        <v>145</v>
      </c>
      <c r="B35" s="4">
        <v>575</v>
      </c>
      <c r="C35" s="27">
        <v>0.5</v>
      </c>
      <c r="F35" s="29" t="s">
        <v>52</v>
      </c>
    </row>
    <row r="36" spans="1:13" x14ac:dyDescent="0.25">
      <c r="A36" t="s">
        <v>146</v>
      </c>
      <c r="B36" s="4">
        <v>900</v>
      </c>
      <c r="C36" s="27">
        <v>0.5</v>
      </c>
      <c r="F36" s="29" t="s">
        <v>52</v>
      </c>
    </row>
    <row r="37" spans="1:13" x14ac:dyDescent="0.25">
      <c r="A37" t="s">
        <v>147</v>
      </c>
      <c r="B37" s="4">
        <v>1050</v>
      </c>
      <c r="C37" s="27">
        <v>0.5</v>
      </c>
      <c r="F37" s="29" t="s">
        <v>52</v>
      </c>
    </row>
    <row r="38" spans="1:13" x14ac:dyDescent="0.25">
      <c r="A38" t="s">
        <v>148</v>
      </c>
      <c r="B38" s="4">
        <v>850</v>
      </c>
      <c r="C38" s="27">
        <v>0.5</v>
      </c>
      <c r="F38" s="29" t="s">
        <v>52</v>
      </c>
    </row>
    <row r="39" spans="1:13" x14ac:dyDescent="0.25">
      <c r="A39" t="s">
        <v>149</v>
      </c>
      <c r="B39" s="4">
        <v>1000</v>
      </c>
      <c r="C39" s="27">
        <v>0.5</v>
      </c>
      <c r="F39" s="29" t="s">
        <v>52</v>
      </c>
    </row>
    <row r="40" spans="1:13" x14ac:dyDescent="0.25">
      <c r="A40" t="s">
        <v>150</v>
      </c>
      <c r="B40" s="4">
        <v>1000</v>
      </c>
      <c r="C40" s="27">
        <v>0.5</v>
      </c>
      <c r="F40" s="29" t="s">
        <v>52</v>
      </c>
    </row>
    <row r="41" spans="1:13" x14ac:dyDescent="0.25">
      <c r="A41" t="s">
        <v>151</v>
      </c>
      <c r="B41" s="4">
        <v>420</v>
      </c>
      <c r="C41" s="37">
        <f>AVERAGE($N$2:$N$3)</f>
        <v>0.49314999999999998</v>
      </c>
      <c r="D41" s="21" t="s">
        <v>77</v>
      </c>
      <c r="E41" s="38">
        <f>AVERAGE($P$2:$P$3)</f>
        <v>7.1999999999999998E-3</v>
      </c>
      <c r="F41" s="29" t="s">
        <v>52</v>
      </c>
      <c r="G41" s="29"/>
    </row>
    <row r="42" spans="1:13" x14ac:dyDescent="0.25">
      <c r="A42" t="s">
        <v>152</v>
      </c>
      <c r="B42" s="4">
        <v>530</v>
      </c>
      <c r="C42" s="16">
        <f>$N$15</f>
        <v>0.505</v>
      </c>
      <c r="D42" s="21" t="s">
        <v>77</v>
      </c>
      <c r="E42" s="18">
        <f>$P$15</f>
        <v>3.5999999999999999E-3</v>
      </c>
      <c r="F42" s="29" t="s">
        <v>52</v>
      </c>
      <c r="G42" s="29" t="s">
        <v>27</v>
      </c>
    </row>
    <row r="43" spans="1:13" x14ac:dyDescent="0.25">
      <c r="A43" s="11" t="s">
        <v>92</v>
      </c>
      <c r="B43" s="4">
        <v>610</v>
      </c>
      <c r="C43" s="16">
        <v>0.49170000000000003</v>
      </c>
      <c r="D43" s="12" t="s">
        <v>77</v>
      </c>
      <c r="E43" s="18">
        <v>1.1999999999999999E-3</v>
      </c>
      <c r="F43" s="3" t="s">
        <v>224</v>
      </c>
      <c r="G43" s="29" t="s">
        <v>27</v>
      </c>
    </row>
    <row r="44" spans="1:13" x14ac:dyDescent="0.25">
      <c r="A44" s="11" t="s">
        <v>101</v>
      </c>
      <c r="B44" s="4">
        <v>650</v>
      </c>
      <c r="C44" s="16">
        <v>0.4632</v>
      </c>
      <c r="D44" s="12" t="s">
        <v>77</v>
      </c>
      <c r="E44" s="18">
        <v>2.7000000000000001E-3</v>
      </c>
      <c r="F44" s="3" t="s">
        <v>194</v>
      </c>
      <c r="G44" s="29" t="s">
        <v>27</v>
      </c>
    </row>
    <row r="45" spans="1:13" x14ac:dyDescent="0.25">
      <c r="A45" t="s">
        <v>153</v>
      </c>
      <c r="B45" s="4">
        <v>560</v>
      </c>
      <c r="C45" s="37">
        <f>AVERAGE($J$2:$J$5)</f>
        <v>0.49235000000000001</v>
      </c>
      <c r="D45" s="21" t="s">
        <v>77</v>
      </c>
      <c r="E45" s="38">
        <f>AVERAGE($L$2:$L$5)</f>
        <v>3.7750000000000001E-3</v>
      </c>
      <c r="F45" s="29" t="s">
        <v>52</v>
      </c>
      <c r="G45" s="29"/>
    </row>
    <row r="46" spans="1:13" x14ac:dyDescent="0.25">
      <c r="A46" t="s">
        <v>154</v>
      </c>
      <c r="B46" s="4">
        <v>690</v>
      </c>
      <c r="C46" s="37">
        <f>AVERAGE($J$11:$J$12)</f>
        <v>0.48039999999999999</v>
      </c>
      <c r="D46" s="21" t="s">
        <v>77</v>
      </c>
      <c r="E46" s="38">
        <f>AVERAGE($L$11:$L$12)</f>
        <v>4.1999999999999997E-3</v>
      </c>
      <c r="F46" s="29" t="s">
        <v>52</v>
      </c>
      <c r="G46" s="29"/>
    </row>
    <row r="47" spans="1:13" x14ac:dyDescent="0.25">
      <c r="A47" t="s">
        <v>155</v>
      </c>
      <c r="B47" s="4">
        <v>680</v>
      </c>
      <c r="C47" s="37">
        <f>AVERAGE($J$19:$J$20)</f>
        <v>0.496</v>
      </c>
      <c r="D47" s="21" t="s">
        <v>77</v>
      </c>
      <c r="E47" s="38">
        <f>AVERAGE($L$19:$L$20)</f>
        <v>2.7000000000000001E-3</v>
      </c>
      <c r="F47" s="29" t="s">
        <v>52</v>
      </c>
      <c r="G47" s="29"/>
    </row>
    <row r="48" spans="1:13" x14ac:dyDescent="0.25">
      <c r="A48" t="s">
        <v>156</v>
      </c>
      <c r="B48" s="4">
        <v>560</v>
      </c>
      <c r="C48" s="27">
        <v>0.5</v>
      </c>
      <c r="F48" s="29" t="s">
        <v>52</v>
      </c>
      <c r="I48"/>
      <c r="M48"/>
    </row>
    <row r="49" spans="1:13" x14ac:dyDescent="0.25">
      <c r="A49" s="11" t="s">
        <v>120</v>
      </c>
      <c r="B49" s="31">
        <v>380</v>
      </c>
      <c r="C49" s="16">
        <v>0.55159999999999998</v>
      </c>
      <c r="D49" s="12" t="s">
        <v>77</v>
      </c>
      <c r="E49" s="18">
        <v>5.1999999999999998E-3</v>
      </c>
      <c r="F49" s="29" t="s">
        <v>27</v>
      </c>
      <c r="I49"/>
      <c r="M49"/>
    </row>
    <row r="50" spans="1:13" x14ac:dyDescent="0.25">
      <c r="A50" t="s">
        <v>157</v>
      </c>
      <c r="B50" s="4">
        <v>900</v>
      </c>
      <c r="C50" s="27">
        <v>0.5</v>
      </c>
      <c r="F50" s="29" t="s">
        <v>52</v>
      </c>
      <c r="I50"/>
      <c r="M50"/>
    </row>
    <row r="51" spans="1:13" x14ac:dyDescent="0.25">
      <c r="A51" t="s">
        <v>158</v>
      </c>
      <c r="B51" s="4">
        <v>510</v>
      </c>
      <c r="C51" s="32">
        <v>0.46939999999999998</v>
      </c>
      <c r="D51" s="12" t="s">
        <v>77</v>
      </c>
      <c r="E51" s="18">
        <v>3.3E-3</v>
      </c>
      <c r="F51" s="29" t="s">
        <v>52</v>
      </c>
      <c r="G51" s="3" t="s">
        <v>233</v>
      </c>
      <c r="I51"/>
      <c r="M51"/>
    </row>
    <row r="52" spans="1:13" x14ac:dyDescent="0.25">
      <c r="A52" t="s">
        <v>159</v>
      </c>
      <c r="B52" s="4">
        <v>630</v>
      </c>
      <c r="C52" s="27">
        <v>0.5</v>
      </c>
      <c r="F52" s="29" t="s">
        <v>52</v>
      </c>
      <c r="I52"/>
      <c r="M52"/>
    </row>
    <row r="53" spans="1:13" x14ac:dyDescent="0.25">
      <c r="A53" s="11" t="s">
        <v>87</v>
      </c>
      <c r="B53" s="34">
        <f>AVERAGE(735,690,770,815,675,800,735,835)</f>
        <v>756.875</v>
      </c>
      <c r="C53" s="16">
        <v>0.48470000000000002</v>
      </c>
      <c r="D53" s="12" t="s">
        <v>77</v>
      </c>
      <c r="E53" s="18">
        <v>4.1000000000000003E-3</v>
      </c>
      <c r="F53" s="3" t="s">
        <v>214</v>
      </c>
      <c r="G53" s="29" t="s">
        <v>27</v>
      </c>
      <c r="I53"/>
      <c r="M53"/>
    </row>
    <row r="54" spans="1:13" x14ac:dyDescent="0.25">
      <c r="A54" t="s">
        <v>160</v>
      </c>
      <c r="B54" s="4">
        <v>1050</v>
      </c>
      <c r="C54" s="27">
        <v>0.5</v>
      </c>
      <c r="F54" s="29" t="s">
        <v>52</v>
      </c>
      <c r="I54"/>
      <c r="M54"/>
    </row>
    <row r="55" spans="1:13" x14ac:dyDescent="0.25">
      <c r="A55" t="s">
        <v>161</v>
      </c>
      <c r="B55" s="4">
        <v>660</v>
      </c>
      <c r="C55" s="27">
        <v>0.5</v>
      </c>
      <c r="F55" s="29" t="s">
        <v>52</v>
      </c>
      <c r="I55"/>
      <c r="M55"/>
    </row>
    <row r="56" spans="1:13" x14ac:dyDescent="0.25">
      <c r="A56" t="s">
        <v>162</v>
      </c>
      <c r="B56" s="4">
        <v>900</v>
      </c>
      <c r="C56" s="27">
        <v>0.5</v>
      </c>
      <c r="F56" s="29" t="s">
        <v>52</v>
      </c>
      <c r="I56"/>
      <c r="M56"/>
    </row>
    <row r="57" spans="1:13" x14ac:dyDescent="0.25">
      <c r="A57" s="11" t="s">
        <v>110</v>
      </c>
      <c r="B57" s="4">
        <v>500</v>
      </c>
      <c r="C57" s="16">
        <v>0.504</v>
      </c>
      <c r="D57" s="12" t="s">
        <v>77</v>
      </c>
      <c r="E57" s="18">
        <v>4.3E-3</v>
      </c>
      <c r="F57" s="3" t="s">
        <v>210</v>
      </c>
      <c r="G57" s="29" t="s">
        <v>27</v>
      </c>
      <c r="I57"/>
      <c r="M57"/>
    </row>
    <row r="58" spans="1:13" x14ac:dyDescent="0.25">
      <c r="A58" t="s">
        <v>163</v>
      </c>
      <c r="B58" s="4">
        <v>850</v>
      </c>
      <c r="C58" s="27">
        <v>0.5</v>
      </c>
      <c r="F58" s="29" t="s">
        <v>52</v>
      </c>
      <c r="I58"/>
      <c r="M58"/>
    </row>
    <row r="59" spans="1:13" x14ac:dyDescent="0.25">
      <c r="A59" t="s">
        <v>164</v>
      </c>
      <c r="B59" s="4">
        <v>650</v>
      </c>
      <c r="C59" s="27">
        <v>0.5</v>
      </c>
      <c r="F59" s="29" t="s">
        <v>52</v>
      </c>
      <c r="I59"/>
      <c r="M59"/>
    </row>
    <row r="60" spans="1:13" x14ac:dyDescent="0.25">
      <c r="A60" t="s">
        <v>165</v>
      </c>
      <c r="B60" s="4">
        <v>550</v>
      </c>
      <c r="C60" s="37">
        <f>AVERAGE($N$6:$N$7)</f>
        <v>0.47404999999999997</v>
      </c>
      <c r="D60" s="21" t="s">
        <v>77</v>
      </c>
      <c r="E60" s="38">
        <f>AVERAGE($P$6:$P$7)</f>
        <v>2.8E-3</v>
      </c>
      <c r="F60" s="29" t="s">
        <v>52</v>
      </c>
      <c r="G60" s="29"/>
      <c r="I60"/>
      <c r="M60"/>
    </row>
    <row r="61" spans="1:13" x14ac:dyDescent="0.25">
      <c r="A61" t="s">
        <v>166</v>
      </c>
      <c r="B61" s="4">
        <v>565</v>
      </c>
      <c r="C61" s="27">
        <v>0.5</v>
      </c>
      <c r="F61" s="29" t="s">
        <v>52</v>
      </c>
      <c r="I61"/>
      <c r="M61"/>
    </row>
    <row r="62" spans="1:13" x14ac:dyDescent="0.25">
      <c r="A62" t="s">
        <v>167</v>
      </c>
      <c r="B62" s="4">
        <v>560</v>
      </c>
      <c r="C62" s="27">
        <v>0.5</v>
      </c>
      <c r="F62" s="29" t="s">
        <v>52</v>
      </c>
      <c r="I62"/>
      <c r="M62"/>
    </row>
    <row r="63" spans="1:13" x14ac:dyDescent="0.25">
      <c r="A63" s="11" t="s">
        <v>111</v>
      </c>
      <c r="B63" s="4">
        <v>465</v>
      </c>
      <c r="C63" s="16">
        <v>0.50319999999999998</v>
      </c>
      <c r="D63" s="12" t="s">
        <v>77</v>
      </c>
      <c r="E63" s="18">
        <v>4.3E-3</v>
      </c>
      <c r="F63" s="3" t="s">
        <v>209</v>
      </c>
      <c r="G63" s="29" t="s">
        <v>27</v>
      </c>
      <c r="I63"/>
      <c r="M63"/>
    </row>
    <row r="64" spans="1:13" x14ac:dyDescent="0.25">
      <c r="A64" t="s">
        <v>168</v>
      </c>
      <c r="B64" s="4">
        <v>625</v>
      </c>
      <c r="C64" s="27">
        <v>0.5</v>
      </c>
      <c r="F64" s="29" t="s">
        <v>52</v>
      </c>
      <c r="I64"/>
      <c r="M64"/>
    </row>
    <row r="65" spans="1:13" x14ac:dyDescent="0.25">
      <c r="A65" t="s">
        <v>169</v>
      </c>
      <c r="B65" s="4">
        <v>655</v>
      </c>
      <c r="C65" s="27">
        <v>0.5</v>
      </c>
      <c r="F65" s="29" t="s">
        <v>52</v>
      </c>
      <c r="I65"/>
      <c r="M65"/>
    </row>
    <row r="66" spans="1:13" x14ac:dyDescent="0.25">
      <c r="A66" t="s">
        <v>170</v>
      </c>
      <c r="B66" s="4">
        <v>950</v>
      </c>
      <c r="C66" s="27">
        <v>0.5</v>
      </c>
      <c r="F66" s="29" t="s">
        <v>52</v>
      </c>
      <c r="I66"/>
      <c r="M66"/>
    </row>
    <row r="67" spans="1:13" x14ac:dyDescent="0.25">
      <c r="A67" t="s">
        <v>171</v>
      </c>
      <c r="B67" s="4">
        <v>950</v>
      </c>
      <c r="C67" s="27">
        <v>0.5</v>
      </c>
      <c r="F67" s="29" t="s">
        <v>52</v>
      </c>
      <c r="I67"/>
      <c r="M67"/>
    </row>
    <row r="68" spans="1:13" x14ac:dyDescent="0.25">
      <c r="A68" t="s">
        <v>172</v>
      </c>
      <c r="B68" s="4">
        <v>500</v>
      </c>
      <c r="C68" s="27">
        <v>0.5</v>
      </c>
      <c r="F68" s="29" t="s">
        <v>52</v>
      </c>
      <c r="I68"/>
      <c r="M68"/>
    </row>
    <row r="69" spans="1:13" x14ac:dyDescent="0.25">
      <c r="A69" t="s">
        <v>173</v>
      </c>
      <c r="B69" s="4">
        <v>800</v>
      </c>
      <c r="C69" s="27">
        <v>0.5</v>
      </c>
      <c r="F69" s="29" t="s">
        <v>52</v>
      </c>
      <c r="I69"/>
      <c r="M69"/>
    </row>
    <row r="70" spans="1:13" x14ac:dyDescent="0.25">
      <c r="A70" t="s">
        <v>174</v>
      </c>
      <c r="B70" s="4">
        <v>820</v>
      </c>
      <c r="C70" s="27">
        <v>0.5</v>
      </c>
      <c r="F70" s="29" t="s">
        <v>52</v>
      </c>
      <c r="I70"/>
      <c r="M70"/>
    </row>
    <row r="71" spans="1:13" x14ac:dyDescent="0.25">
      <c r="A71" s="11" t="s">
        <v>104</v>
      </c>
      <c r="B71" s="4">
        <v>495</v>
      </c>
      <c r="C71" s="16">
        <v>0.52839999999999998</v>
      </c>
      <c r="D71" s="12" t="s">
        <v>77</v>
      </c>
      <c r="E71" s="18">
        <v>5.4999999999999997E-3</v>
      </c>
      <c r="F71" s="3" t="s">
        <v>196</v>
      </c>
      <c r="G71" s="29" t="s">
        <v>27</v>
      </c>
      <c r="I71"/>
      <c r="M71"/>
    </row>
    <row r="72" spans="1:13" x14ac:dyDescent="0.25">
      <c r="A72" s="11" t="s">
        <v>98</v>
      </c>
      <c r="B72" s="4">
        <v>700</v>
      </c>
      <c r="C72" s="16">
        <v>0.49630000000000002</v>
      </c>
      <c r="D72" s="12" t="s">
        <v>77</v>
      </c>
      <c r="E72" s="18">
        <v>3.2000000000000002E-3</v>
      </c>
      <c r="F72" s="3" t="s">
        <v>208</v>
      </c>
      <c r="G72" s="29" t="s">
        <v>27</v>
      </c>
      <c r="I72"/>
      <c r="M72"/>
    </row>
    <row r="73" spans="1:13" x14ac:dyDescent="0.25">
      <c r="A73" s="11" t="s">
        <v>116</v>
      </c>
      <c r="B73" s="4">
        <v>350</v>
      </c>
      <c r="C73" s="16">
        <v>0.51719999999999999</v>
      </c>
      <c r="D73" s="12" t="s">
        <v>77</v>
      </c>
      <c r="E73" s="18">
        <v>1.6999999999999999E-3</v>
      </c>
      <c r="F73" s="3" t="s">
        <v>228</v>
      </c>
      <c r="G73" s="29" t="s">
        <v>27</v>
      </c>
      <c r="I73"/>
      <c r="M73"/>
    </row>
    <row r="74" spans="1:13" x14ac:dyDescent="0.25">
      <c r="A74" t="s">
        <v>175</v>
      </c>
      <c r="B74" s="4">
        <v>920</v>
      </c>
      <c r="C74" s="27">
        <v>0.5</v>
      </c>
      <c r="F74" s="29" t="s">
        <v>52</v>
      </c>
      <c r="I74"/>
      <c r="M74"/>
    </row>
    <row r="75" spans="1:13" x14ac:dyDescent="0.25">
      <c r="A75" t="s">
        <v>176</v>
      </c>
      <c r="B75" s="4">
        <v>440</v>
      </c>
      <c r="C75" s="27">
        <v>0.5</v>
      </c>
      <c r="F75" s="30" t="s">
        <v>63</v>
      </c>
      <c r="H75" s="4"/>
      <c r="I75"/>
      <c r="M75"/>
    </row>
    <row r="76" spans="1:13" x14ac:dyDescent="0.25">
      <c r="A76" s="11" t="s">
        <v>102</v>
      </c>
      <c r="B76" s="4">
        <v>435</v>
      </c>
      <c r="C76" s="16">
        <v>0.48549999999999999</v>
      </c>
      <c r="D76" s="12" t="s">
        <v>77</v>
      </c>
      <c r="E76" s="18">
        <v>9.9000000000000008E-3</v>
      </c>
      <c r="F76" s="3" t="s">
        <v>197</v>
      </c>
      <c r="G76" s="29" t="s">
        <v>27</v>
      </c>
      <c r="I76"/>
      <c r="M76"/>
    </row>
    <row r="77" spans="1:13" x14ac:dyDescent="0.25">
      <c r="A77" s="11" t="s">
        <v>86</v>
      </c>
      <c r="B77" s="4">
        <v>610</v>
      </c>
      <c r="C77" s="16">
        <v>0.48370000000000002</v>
      </c>
      <c r="D77" s="12" t="s">
        <v>77</v>
      </c>
      <c r="E77" s="18">
        <v>2.0999999999999999E-3</v>
      </c>
      <c r="F77" s="3" t="s">
        <v>230</v>
      </c>
      <c r="G77" s="29" t="s">
        <v>27</v>
      </c>
      <c r="I77"/>
      <c r="M77"/>
    </row>
    <row r="78" spans="1:13" x14ac:dyDescent="0.25">
      <c r="A78" t="s">
        <v>232</v>
      </c>
      <c r="B78" s="34">
        <f>AVERAGE(510,500,465,450,545,400)</f>
        <v>478.33333333333331</v>
      </c>
      <c r="C78" s="37">
        <f>AVERAGE($N$10:$N$14,46.94%)</f>
        <v>0.50524999999999998</v>
      </c>
      <c r="F78" s="29"/>
      <c r="I78"/>
      <c r="M78"/>
    </row>
    <row r="79" spans="1:13" x14ac:dyDescent="0.25">
      <c r="A79" t="s">
        <v>177</v>
      </c>
      <c r="B79" s="4">
        <v>800</v>
      </c>
      <c r="C79" s="27">
        <v>0.5</v>
      </c>
      <c r="F79" s="29" t="s">
        <v>52</v>
      </c>
      <c r="I79"/>
      <c r="M79"/>
    </row>
    <row r="80" spans="1:13" x14ac:dyDescent="0.25">
      <c r="A80" s="11" t="s">
        <v>112</v>
      </c>
      <c r="B80" s="4">
        <v>450</v>
      </c>
      <c r="C80" s="16">
        <v>0.52470000000000006</v>
      </c>
      <c r="D80" s="12" t="s">
        <v>77</v>
      </c>
      <c r="E80" s="18">
        <v>3.8E-3</v>
      </c>
      <c r="F80" s="3" t="s">
        <v>211</v>
      </c>
      <c r="G80" s="29" t="s">
        <v>27</v>
      </c>
      <c r="I80"/>
      <c r="M80"/>
    </row>
    <row r="81" spans="1:13" x14ac:dyDescent="0.25">
      <c r="A81" t="s">
        <v>178</v>
      </c>
      <c r="B81" s="4">
        <v>440</v>
      </c>
      <c r="C81" s="37">
        <f>AVERAGE($J$16:$J$17)</f>
        <v>0.48170000000000002</v>
      </c>
      <c r="D81" s="21" t="s">
        <v>77</v>
      </c>
      <c r="E81" s="38">
        <f>AVERAGE($L$16:$L$17)</f>
        <v>5.0000000000000001E-3</v>
      </c>
      <c r="F81" s="29" t="s">
        <v>52</v>
      </c>
      <c r="G81" s="29"/>
      <c r="I81"/>
      <c r="M81"/>
    </row>
    <row r="82" spans="1:13" x14ac:dyDescent="0.25">
      <c r="A82" t="s">
        <v>179</v>
      </c>
      <c r="B82" s="4">
        <v>850</v>
      </c>
      <c r="C82" s="27">
        <v>0.5</v>
      </c>
      <c r="F82" s="29" t="s">
        <v>52</v>
      </c>
      <c r="I82"/>
      <c r="M82"/>
    </row>
    <row r="83" spans="1:13" x14ac:dyDescent="0.25">
      <c r="A83" s="11" t="s">
        <v>94</v>
      </c>
      <c r="B83" s="4">
        <v>415</v>
      </c>
      <c r="C83" s="16">
        <v>0.47089999999999999</v>
      </c>
      <c r="D83" s="12" t="s">
        <v>77</v>
      </c>
      <c r="E83" s="18">
        <v>7.4999999999999997E-3</v>
      </c>
      <c r="F83" s="3" t="s">
        <v>219</v>
      </c>
      <c r="G83" s="29" t="s">
        <v>27</v>
      </c>
      <c r="M83"/>
    </row>
    <row r="84" spans="1:13" x14ac:dyDescent="0.25">
      <c r="A84" t="s">
        <v>180</v>
      </c>
      <c r="B84" s="4">
        <v>510</v>
      </c>
      <c r="C84" s="27">
        <v>0.5</v>
      </c>
      <c r="F84" s="29" t="s">
        <v>52</v>
      </c>
      <c r="M84"/>
    </row>
    <row r="85" spans="1:13" x14ac:dyDescent="0.25">
      <c r="A85" s="11" t="s">
        <v>84</v>
      </c>
      <c r="B85" s="4">
        <v>450</v>
      </c>
      <c r="C85" s="16">
        <v>0.47699999999999998</v>
      </c>
      <c r="D85" s="12" t="s">
        <v>77</v>
      </c>
      <c r="E85" s="18">
        <v>1.1999999999999999E-3</v>
      </c>
      <c r="F85" s="3" t="s">
        <v>204</v>
      </c>
      <c r="G85" s="29" t="s">
        <v>27</v>
      </c>
      <c r="M85"/>
    </row>
    <row r="86" spans="1:13" x14ac:dyDescent="0.25">
      <c r="A86" s="11" t="s">
        <v>105</v>
      </c>
      <c r="B86" s="4">
        <v>370</v>
      </c>
      <c r="C86" s="16">
        <v>0.52139999999999997</v>
      </c>
      <c r="D86" s="12" t="s">
        <v>77</v>
      </c>
      <c r="E86" s="18">
        <v>8.8000000000000005E-3</v>
      </c>
      <c r="F86" s="3" t="s">
        <v>195</v>
      </c>
      <c r="G86" s="29" t="s">
        <v>27</v>
      </c>
      <c r="M86"/>
    </row>
    <row r="87" spans="1:13" x14ac:dyDescent="0.25">
      <c r="A87" s="11" t="s">
        <v>82</v>
      </c>
      <c r="B87" s="4">
        <v>610</v>
      </c>
      <c r="C87" s="16">
        <v>0.4864</v>
      </c>
      <c r="D87" s="12" t="s">
        <v>77</v>
      </c>
      <c r="E87" s="18">
        <v>5.1999999999999998E-3</v>
      </c>
      <c r="F87" s="3" t="s">
        <v>203</v>
      </c>
      <c r="G87" s="29" t="s">
        <v>27</v>
      </c>
      <c r="M87"/>
    </row>
    <row r="88" spans="1:13" x14ac:dyDescent="0.25">
      <c r="A88" s="11" t="s">
        <v>113</v>
      </c>
      <c r="B88" s="4">
        <v>545</v>
      </c>
      <c r="C88" s="16">
        <v>0.53280000000000005</v>
      </c>
      <c r="D88" s="12" t="s">
        <v>77</v>
      </c>
      <c r="E88" s="18">
        <v>3.3E-3</v>
      </c>
      <c r="F88" s="3" t="s">
        <v>212</v>
      </c>
      <c r="G88" s="29" t="s">
        <v>27</v>
      </c>
      <c r="M88"/>
    </row>
    <row r="89" spans="1:13" x14ac:dyDescent="0.25">
      <c r="A89" t="s">
        <v>181</v>
      </c>
      <c r="B89" s="4">
        <v>750</v>
      </c>
      <c r="C89" s="27">
        <v>0.5</v>
      </c>
      <c r="F89" s="29" t="s">
        <v>52</v>
      </c>
      <c r="M89"/>
    </row>
    <row r="90" spans="1:13" x14ac:dyDescent="0.25">
      <c r="A90" t="s">
        <v>182</v>
      </c>
      <c r="B90" s="4">
        <v>650</v>
      </c>
      <c r="C90" s="27">
        <v>0.5</v>
      </c>
      <c r="F90" s="29" t="s">
        <v>52</v>
      </c>
      <c r="M90"/>
    </row>
    <row r="91" spans="1:13" x14ac:dyDescent="0.25">
      <c r="A91" s="11" t="s">
        <v>78</v>
      </c>
      <c r="B91" s="31">
        <v>380</v>
      </c>
      <c r="C91" s="16">
        <v>0.54659999999999997</v>
      </c>
      <c r="D91" s="12" t="s">
        <v>77</v>
      </c>
      <c r="E91" s="18">
        <v>2.7000000000000001E-3</v>
      </c>
      <c r="F91" s="29" t="s">
        <v>27</v>
      </c>
      <c r="M91"/>
    </row>
    <row r="92" spans="1:13" x14ac:dyDescent="0.25">
      <c r="A92" s="11" t="s">
        <v>79</v>
      </c>
      <c r="B92" s="31">
        <v>380</v>
      </c>
      <c r="C92" s="16">
        <v>0.5252</v>
      </c>
      <c r="D92" s="12" t="s">
        <v>77</v>
      </c>
      <c r="E92" s="18">
        <v>2.7000000000000001E-3</v>
      </c>
      <c r="F92" s="29" t="s">
        <v>27</v>
      </c>
      <c r="M92"/>
    </row>
    <row r="93" spans="1:13" x14ac:dyDescent="0.25">
      <c r="A93" t="s">
        <v>183</v>
      </c>
      <c r="B93" s="4">
        <v>510</v>
      </c>
      <c r="C93" s="27">
        <v>0.5</v>
      </c>
      <c r="F93" s="29" t="s">
        <v>52</v>
      </c>
      <c r="M93"/>
    </row>
    <row r="94" spans="1:13" x14ac:dyDescent="0.25">
      <c r="A94" t="s">
        <v>184</v>
      </c>
      <c r="B94" s="4">
        <v>640</v>
      </c>
      <c r="C94" s="27">
        <v>0.5</v>
      </c>
      <c r="F94" s="29" t="s">
        <v>52</v>
      </c>
      <c r="M94"/>
    </row>
    <row r="95" spans="1:13" x14ac:dyDescent="0.25">
      <c r="A95" s="11" t="s">
        <v>109</v>
      </c>
      <c r="B95" s="4">
        <v>425</v>
      </c>
      <c r="C95" s="16">
        <v>0.4995</v>
      </c>
      <c r="D95" s="12" t="s">
        <v>77</v>
      </c>
      <c r="E95" s="18">
        <v>2.0000000000000001E-4</v>
      </c>
      <c r="F95" s="3" t="s">
        <v>221</v>
      </c>
      <c r="G95" s="29" t="s">
        <v>27</v>
      </c>
      <c r="M95"/>
    </row>
    <row r="96" spans="1:13" x14ac:dyDescent="0.25">
      <c r="A96" s="11" t="s">
        <v>83</v>
      </c>
      <c r="B96" s="4">
        <v>705</v>
      </c>
      <c r="C96" s="16">
        <v>0.49320000000000003</v>
      </c>
      <c r="D96" s="12" t="s">
        <v>77</v>
      </c>
      <c r="E96" s="18">
        <v>1.9E-3</v>
      </c>
      <c r="F96" s="3" t="s">
        <v>202</v>
      </c>
      <c r="G96" s="29" t="s">
        <v>27</v>
      </c>
      <c r="M96"/>
    </row>
    <row r="97" spans="1:13" x14ac:dyDescent="0.25">
      <c r="A97" t="s">
        <v>185</v>
      </c>
      <c r="B97" s="4">
        <v>900</v>
      </c>
      <c r="C97" s="27">
        <v>0.5</v>
      </c>
      <c r="F97" s="29" t="s">
        <v>52</v>
      </c>
      <c r="M97"/>
    </row>
    <row r="98" spans="1:13" x14ac:dyDescent="0.25">
      <c r="A98" t="s">
        <v>186</v>
      </c>
      <c r="B98" s="4">
        <v>550</v>
      </c>
      <c r="C98" s="27">
        <v>0.5</v>
      </c>
      <c r="F98" s="29" t="s">
        <v>52</v>
      </c>
      <c r="M98"/>
    </row>
    <row r="99" spans="1:13" x14ac:dyDescent="0.25">
      <c r="A99" t="s">
        <v>187</v>
      </c>
      <c r="B99" s="4">
        <v>800</v>
      </c>
      <c r="C99" s="27">
        <v>0.5</v>
      </c>
      <c r="F99" s="29" t="s">
        <v>52</v>
      </c>
      <c r="M99"/>
    </row>
    <row r="100" spans="1:13" x14ac:dyDescent="0.25">
      <c r="A100" t="s">
        <v>188</v>
      </c>
      <c r="B100" s="4">
        <v>675</v>
      </c>
      <c r="C100" s="27">
        <v>0.5</v>
      </c>
      <c r="F100" s="29" t="s">
        <v>52</v>
      </c>
      <c r="M100"/>
    </row>
    <row r="101" spans="1:13" x14ac:dyDescent="0.25">
      <c r="A101" t="s">
        <v>189</v>
      </c>
      <c r="B101" s="4">
        <v>950</v>
      </c>
      <c r="C101" s="27">
        <v>0.5</v>
      </c>
      <c r="F101" s="29" t="s">
        <v>52</v>
      </c>
      <c r="M101"/>
    </row>
    <row r="102" spans="1:13" x14ac:dyDescent="0.25">
      <c r="A102" t="s">
        <v>251</v>
      </c>
      <c r="B102" s="34">
        <f>AVERAGE(B2:B101,B103:B113)</f>
        <v>641.082957957958</v>
      </c>
      <c r="C102" s="35">
        <f>AVERAGE(C2:C101,C103:C113)</f>
        <v>0.49759039039039027</v>
      </c>
      <c r="F102" s="29"/>
      <c r="M102"/>
    </row>
    <row r="103" spans="1:13" x14ac:dyDescent="0.25">
      <c r="A103" t="s">
        <v>190</v>
      </c>
      <c r="B103" s="4">
        <v>400</v>
      </c>
      <c r="C103" s="37">
        <f>AVERAGE($N$8:$N$9)</f>
        <v>0.50170000000000003</v>
      </c>
      <c r="D103" s="21" t="s">
        <v>77</v>
      </c>
      <c r="E103" s="38">
        <f>AVERAGE($P$8:$P$9)</f>
        <v>2.3499999999999997E-3</v>
      </c>
      <c r="F103" s="29" t="s">
        <v>52</v>
      </c>
      <c r="G103" s="29"/>
      <c r="M103"/>
    </row>
    <row r="104" spans="1:13" x14ac:dyDescent="0.25">
      <c r="A104" t="s">
        <v>191</v>
      </c>
      <c r="B104" s="4">
        <v>550</v>
      </c>
      <c r="C104" s="37">
        <f>AVERAGE($J$13:$J$14)</f>
        <v>0.48850000000000005</v>
      </c>
      <c r="D104" s="21" t="s">
        <v>77</v>
      </c>
      <c r="E104" s="38">
        <f>AVERAGE($L$13:$L$14)</f>
        <v>2.3999999999999998E-3</v>
      </c>
      <c r="F104" s="29" t="s">
        <v>52</v>
      </c>
      <c r="G104" s="29"/>
      <c r="M104"/>
    </row>
    <row r="105" spans="1:13" x14ac:dyDescent="0.25">
      <c r="A105" t="s">
        <v>192</v>
      </c>
      <c r="B105" s="4">
        <v>875</v>
      </c>
      <c r="C105" s="27">
        <v>0.5</v>
      </c>
      <c r="F105" s="29" t="s">
        <v>52</v>
      </c>
      <c r="M105"/>
    </row>
    <row r="106" spans="1:13" x14ac:dyDescent="0.25">
      <c r="A106" s="11" t="s">
        <v>119</v>
      </c>
      <c r="B106" s="4">
        <v>465</v>
      </c>
      <c r="C106" s="16">
        <v>0.50600000000000001</v>
      </c>
      <c r="D106" s="12" t="s">
        <v>77</v>
      </c>
      <c r="E106" s="18">
        <v>4.4999999999999997E-3</v>
      </c>
      <c r="F106" s="3" t="s">
        <v>226</v>
      </c>
      <c r="G106" s="29" t="s">
        <v>27</v>
      </c>
      <c r="M106"/>
    </row>
    <row r="107" spans="1:13" x14ac:dyDescent="0.25">
      <c r="A107" s="11" t="s">
        <v>107</v>
      </c>
      <c r="B107" s="4">
        <v>575</v>
      </c>
      <c r="C107" s="16">
        <v>0.47599999999999998</v>
      </c>
      <c r="D107" s="12" t="s">
        <v>77</v>
      </c>
      <c r="E107" s="18">
        <v>2.0999999999999999E-3</v>
      </c>
      <c r="F107" s="3" t="s">
        <v>216</v>
      </c>
      <c r="G107" s="29" t="s">
        <v>27</v>
      </c>
      <c r="M107"/>
    </row>
    <row r="108" spans="1:13" x14ac:dyDescent="0.25">
      <c r="A108" t="s">
        <v>193</v>
      </c>
      <c r="B108" s="4">
        <v>360</v>
      </c>
      <c r="C108" s="16">
        <f>$N$17</f>
        <v>0.51539999999999997</v>
      </c>
      <c r="D108" s="21" t="s">
        <v>77</v>
      </c>
      <c r="E108" s="18">
        <f>$P$17</f>
        <v>3.8E-3</v>
      </c>
      <c r="F108" s="29" t="s">
        <v>52</v>
      </c>
      <c r="G108" s="29" t="s">
        <v>27</v>
      </c>
      <c r="M108"/>
    </row>
    <row r="109" spans="1:13" x14ac:dyDescent="0.25">
      <c r="A109" s="11" t="s">
        <v>114</v>
      </c>
      <c r="B109" s="4">
        <v>400</v>
      </c>
      <c r="C109" s="16">
        <v>0.49740000000000001</v>
      </c>
      <c r="D109" s="12" t="s">
        <v>77</v>
      </c>
      <c r="E109" s="18">
        <v>1.6000000000000001E-3</v>
      </c>
      <c r="F109" s="3" t="s">
        <v>213</v>
      </c>
      <c r="G109" s="29" t="s">
        <v>27</v>
      </c>
      <c r="I109"/>
      <c r="M109"/>
    </row>
    <row r="110" spans="1:13" x14ac:dyDescent="0.25">
      <c r="A110" s="11" t="s">
        <v>97</v>
      </c>
      <c r="B110" s="4">
        <v>755</v>
      </c>
      <c r="C110" s="16">
        <v>0.49569999999999997</v>
      </c>
      <c r="D110" s="12" t="s">
        <v>77</v>
      </c>
      <c r="E110" s="18">
        <v>2.2000000000000001E-3</v>
      </c>
      <c r="F110" s="3" t="s">
        <v>207</v>
      </c>
      <c r="G110" s="29" t="s">
        <v>27</v>
      </c>
      <c r="I110"/>
      <c r="M110"/>
    </row>
    <row r="111" spans="1:13" x14ac:dyDescent="0.25">
      <c r="A111" s="11" t="s">
        <v>108</v>
      </c>
      <c r="B111" s="4">
        <v>425</v>
      </c>
      <c r="C111" s="16">
        <v>0.50390000000000001</v>
      </c>
      <c r="D111" s="12" t="s">
        <v>77</v>
      </c>
      <c r="E111" s="18">
        <v>4.4999999999999997E-3</v>
      </c>
      <c r="F111" s="3" t="s">
        <v>222</v>
      </c>
      <c r="G111" s="29" t="s">
        <v>27</v>
      </c>
      <c r="I111"/>
      <c r="M111"/>
    </row>
    <row r="112" spans="1:13" x14ac:dyDescent="0.25">
      <c r="A112" s="11" t="s">
        <v>99</v>
      </c>
      <c r="B112" s="36">
        <f>AVERAGE(415,400,430)</f>
        <v>415</v>
      </c>
      <c r="C112" s="16">
        <v>0.49049999999999999</v>
      </c>
      <c r="D112" s="12" t="s">
        <v>77</v>
      </c>
      <c r="E112" s="18">
        <v>5.7999999999999996E-3</v>
      </c>
      <c r="F112" s="3" t="s">
        <v>223</v>
      </c>
      <c r="G112" s="29" t="s">
        <v>27</v>
      </c>
      <c r="I112"/>
      <c r="M112"/>
    </row>
    <row r="113" spans="1:13" x14ac:dyDescent="0.25">
      <c r="A113" s="11" t="s">
        <v>85</v>
      </c>
      <c r="B113" s="4">
        <v>690</v>
      </c>
      <c r="C113" s="16">
        <v>0.4627</v>
      </c>
      <c r="D113" s="12" t="s">
        <v>77</v>
      </c>
      <c r="E113" s="18">
        <v>3.3E-3</v>
      </c>
      <c r="F113" s="3" t="s">
        <v>229</v>
      </c>
      <c r="G113" s="29" t="s">
        <v>27</v>
      </c>
      <c r="I113"/>
      <c r="M113"/>
    </row>
  </sheetData>
  <sheetProtection algorithmName="SHA-512" hashValue="cRhhu4bvwYv52Pkz1+8ZpTYCCw8hIBvfx4wF15bfhJtq5RbD+ZpM/V5JAn3DB08tQCJDZfGO6+I/30pwmV5dag==" saltValue="UsLGYJEw+SYLpK0FDKDMEQ==" spinCount="100000" sheet="1" objects="1" scenarios="1"/>
  <sortState xmlns:xlrd2="http://schemas.microsoft.com/office/spreadsheetml/2017/richdata2" ref="A2:H113">
    <sortCondition ref="A2:A113"/>
  </sortState>
  <mergeCells count="2">
    <mergeCell ref="J1:L1"/>
    <mergeCell ref="N1:P1"/>
  </mergeCells>
  <phoneticPr fontId="11" type="noConversion"/>
  <hyperlinks>
    <hyperlink ref="F2" r:id="rId1" display="https://opslagco2inhout.nl/motivatie" xr:uid="{3BB6AE19-F2EE-4509-91E7-26317DCAE90E}"/>
    <hyperlink ref="F75" r:id="rId2" xr:uid="{E096483A-0479-4335-83AE-28D982EDA62F}"/>
    <hyperlink ref="G113" r:id="rId3" xr:uid="{92CC822B-2488-4C3A-8361-35390202CE86}"/>
    <hyperlink ref="G77" r:id="rId4" xr:uid="{948311D1-7EAA-4AD1-A33B-BEA894BF59F7}"/>
    <hyperlink ref="G8" r:id="rId5" xr:uid="{796AD8A2-104D-405D-9D27-977C455FE4BA}"/>
    <hyperlink ref="G42" r:id="rId6" xr:uid="{F78DE973-92D3-41A0-94AE-901EAE9B5BAB}"/>
    <hyperlink ref="G53" r:id="rId7" xr:uid="{1A8F7C0A-48B7-444C-AF10-561E3279C8FA}"/>
    <hyperlink ref="G108" r:id="rId8" xr:uid="{9998D693-74DB-490B-8BBE-5A632A799254}"/>
    <hyperlink ref="G22" r:id="rId9" xr:uid="{87DEA0C8-6099-4D6C-AE53-F4847F2D0559}"/>
    <hyperlink ref="G29" r:id="rId10" xr:uid="{8A611CE3-3325-4FBC-B1DC-7B3A2F5F1293}"/>
    <hyperlink ref="G87" r:id="rId11" xr:uid="{8F88EBAA-9075-450A-9F9C-4D6ADAEE2320}"/>
    <hyperlink ref="G96" r:id="rId12" xr:uid="{79968D33-C0EA-40D1-8A7F-BA6D7822F0D9}"/>
    <hyperlink ref="G85" r:id="rId13" xr:uid="{389DA615-0477-434B-BE3A-703385DC74D8}"/>
    <hyperlink ref="G7" r:id="rId14" xr:uid="{835A7F1E-9569-4B19-A36D-9CF95952F19B}"/>
    <hyperlink ref="G25" r:id="rId15" xr:uid="{47B31625-2F2F-4E2D-8F6F-E339025736CD}"/>
    <hyperlink ref="G30" r:id="rId16" xr:uid="{D082CFB0-5B2B-4738-8256-675DD2540F21}"/>
    <hyperlink ref="G43" r:id="rId17" xr:uid="{1D91166B-A050-45E7-94C1-DFC981B31792}"/>
    <hyperlink ref="G11" r:id="rId18" xr:uid="{965DA3CE-2FB6-43B5-98CA-75E195512D03}"/>
    <hyperlink ref="G27" r:id="rId19" xr:uid="{E5AEF4E0-D548-4F36-AC19-3F9DAD69938C}"/>
    <hyperlink ref="G83" r:id="rId20" xr:uid="{C245E4D0-B945-4271-9ABF-CB613CEE3504}"/>
    <hyperlink ref="G110" r:id="rId21" xr:uid="{8902272E-7ECB-4079-9E0B-001E05AA9387}"/>
    <hyperlink ref="G72" r:id="rId22" xr:uid="{561C66B5-BC85-4168-8921-A10942917807}"/>
    <hyperlink ref="G26" r:id="rId23" xr:uid="{804BE9F8-9C5C-4526-A4B0-B0A9067477EE}"/>
    <hyperlink ref="G112" r:id="rId24" xr:uid="{DCACE670-7154-486F-B9C5-1AD1B1097E30}"/>
    <hyperlink ref="G10" r:id="rId25" xr:uid="{1F68C26D-8977-4F0B-B0B6-6CE0355673B4}"/>
    <hyperlink ref="G44" r:id="rId26" xr:uid="{6AB13246-8897-484A-824E-268C67615E81}"/>
    <hyperlink ref="G17" r:id="rId27" xr:uid="{2FF8541E-A036-4AFB-B9C8-41CB63C5E608}"/>
    <hyperlink ref="G76" r:id="rId28" xr:uid="{A1EE5E09-1C72-4781-AEFC-FF1C8FE4EC01}"/>
    <hyperlink ref="G107" r:id="rId29" xr:uid="{5347E12C-8A14-43B8-99AC-97E0D4700721}"/>
    <hyperlink ref="G9" r:id="rId30" xr:uid="{7E0FCC7E-84AB-4F3C-A35F-5889EEA859F3}"/>
    <hyperlink ref="G95" r:id="rId31" xr:uid="{5F2DFD41-7E7A-46DD-AD99-97E409BD9278}"/>
    <hyperlink ref="G111" r:id="rId32" xr:uid="{5AD59948-74C0-4665-9457-62A68E5A782F}"/>
    <hyperlink ref="G57" r:id="rId33" xr:uid="{A54A9F90-3435-4570-9B53-885FAE238F6B}"/>
    <hyperlink ref="G59:G62" r:id="rId34" display="https://www.sciencedirect.com/science/article/abs/pii/S0961953403000333" xr:uid="{BFF7EEE5-4F97-484B-9439-853BD0464307}"/>
    <hyperlink ref="G30:G31" r:id="rId35" display="https://www.sciencedirect.com/science/article/abs/pii/S0961953403000333" xr:uid="{6569F027-FAC3-431F-94CF-6A59A1FECA6F}"/>
    <hyperlink ref="G73" r:id="rId36" xr:uid="{06880C2A-2CDE-4FF1-BD07-A7D5052CCFD5}"/>
    <hyperlink ref="G106" r:id="rId37" xr:uid="{3A0FC06A-85C2-45B3-A008-611DF6922A55}"/>
    <hyperlink ref="G32" r:id="rId38" xr:uid="{A5C69646-44A7-4392-8C8D-7E61A81AFE41}"/>
    <hyperlink ref="F49" r:id="rId39" xr:uid="{52442428-9004-4389-9582-C4CD45AD4EF5}"/>
    <hyperlink ref="F91" r:id="rId40" xr:uid="{DEC94E06-810B-4B8E-A6FA-62505B824D31}"/>
    <hyperlink ref="F92" r:id="rId41" xr:uid="{FA59E57C-E867-4048-A7C2-8CBC26384266}"/>
    <hyperlink ref="F10" r:id="rId42" display="https://www.houtinfo.nl/node/224" xr:uid="{80A331B5-5BE4-4FC4-A4D6-68E9E25CE344}"/>
    <hyperlink ref="F44" r:id="rId43" display="https://www.houtinfo.nl/node/255" xr:uid="{7BC04188-9890-45DD-B8C7-5DD386F98327}"/>
    <hyperlink ref="F86" r:id="rId44" display="https://www.wood-database.com/western-red-cedar/" xr:uid="{8132382E-CD3D-4F55-8905-C454415671AE}"/>
    <hyperlink ref="F71" r:id="rId45" display="https://www.wood-database.com/alaskan-yellow-cedar/" xr:uid="{B46569B8-A8C5-46F5-ADF6-891FE9C7A1F4}"/>
    <hyperlink ref="F76" r:id="rId46" display="https://www.wood-database.com/pacific-silver-fir/" xr:uid="{E25B106E-F8F4-4236-BF0B-0ABF2E2E17B9}"/>
    <hyperlink ref="F17" r:id="rId47" display="https://www.wood-database.com/balsam-fir/" xr:uid="{9C538660-D2C7-464B-98BE-1866785CB7E3}"/>
    <hyperlink ref="F29" r:id="rId48" display="https://www.wood-database.com/box-elder/" xr:uid="{D9F22916-6B95-408F-9198-9558FEE23283}"/>
    <hyperlink ref="F22" r:id="rId49" display="https://www.wood-database.com/bigleaf-maple/" xr:uid="{AD68BBF6-6D08-4975-A919-E2DA5C6C359C}"/>
    <hyperlink ref="F96" r:id="rId50" display="https://www.wood-database.com/hard-maple/" xr:uid="{DC19141C-7F24-44DE-82C1-C31A1EDD8C72}"/>
    <hyperlink ref="F87" r:id="rId51" display="https://www.wood-database.com/red-maple/" xr:uid="{3FBFE147-0270-4E75-9E9C-23E7D6E4E9B7}"/>
    <hyperlink ref="F85" r:id="rId52" display="https://www.wood-database.com/red-alder/" xr:uid="{EDD5422A-49A8-424C-AF1B-466664F1CEDC}"/>
    <hyperlink ref="F25" r:id="rId53" display="https://www.wood-database.com/black-ash/" xr:uid="{9D285B07-47C3-4C1F-8E7D-F155DE0BC027}"/>
    <hyperlink ref="F7" r:id="rId54" display="https://www.wood-database.com/white-ash/" xr:uid="{1152E086-8115-4D2C-A40E-2178BE3BD942}"/>
    <hyperlink ref="F110" r:id="rId55" display="https://www.wood-database.com/white-oak/" xr:uid="{EE6AA15A-7C56-4519-B2AA-DF3C2078D1F3}"/>
    <hyperlink ref="F72" r:id="rId56" display="https://www.wood-database.com/red-oak/" xr:uid="{3AB77B5C-BE74-46F1-876C-1CF66AA6C3A3}"/>
    <hyperlink ref="F63" r:id="rId57" display="https://www.wood-database.com/lodgepole-pine/" xr:uid="{9DB936AC-3CBC-4793-834E-193DFB5C44F6}"/>
    <hyperlink ref="F57" r:id="rId58" display="https://www.wood-database.com/jack-pine/" xr:uid="{E3052E0B-7625-4FFC-A4FA-540928315118}"/>
    <hyperlink ref="F80" r:id="rId59" display="https://www.wood-database.com/ponderosa-pine/" xr:uid="{F9F4838F-F222-45D0-8E2D-32AFF9B781B1}"/>
    <hyperlink ref="F88" r:id="rId60" display="https://www.wood-database.com/red-pine/" xr:uid="{9A126274-0EFB-4629-B7AE-D86FAAC3118D}"/>
    <hyperlink ref="F109" r:id="rId61" display="https://www.wood-database.com/eastern-white-pine/" xr:uid="{B8B620BA-EAEA-4A1A-91A8-B404F242C72E}"/>
    <hyperlink ref="F53" r:id="rId62" display="https://www.wood-database.com/?s=carya" xr:uid="{7D37547D-75C4-4093-A062-C81B872D9581}"/>
    <hyperlink ref="F9" r:id="rId63" display="https://www.wood-database.com/tamarack/" xr:uid="{736FE7E4-5FED-455C-AAB6-B00BF6FC05CD}"/>
    <hyperlink ref="F107" r:id="rId64" display="https://www.wood-database.com/western-larch/" xr:uid="{803B4D82-1326-4F8D-99FB-E130AEA1D593}"/>
    <hyperlink ref="F11" r:id="rId65" display="https://www.wood-database.com/sycamore/" xr:uid="{EDB5BAC2-458B-4987-9953-497F7D1069E0}"/>
    <hyperlink ref="F27" r:id="rId66" display="https://www.wood-database.com/black-cottonwood/" xr:uid="{26B78477-3DEB-4A7D-9E81-FEFEA300479A}"/>
    <hyperlink ref="F83" r:id="rId67" display="https://www.wood-database.com/quaking-aspen/" xr:uid="{38DAD106-A95D-4D0B-900E-52173F8BBF94}"/>
    <hyperlink ref="F26" r:id="rId68" display="https://www.wood-database.com/black-cherry/" xr:uid="{E9F4E128-4FD2-4FD8-A7A3-E145FFB210DC}"/>
    <hyperlink ref="F95" r:id="rId69" display="https://www.wood-database.com/sitka-spruce/" xr:uid="{F5A3B799-1AA3-4110-9FC9-78DB56C5CC7D}"/>
    <hyperlink ref="F111" r:id="rId70" display="https://www.wood-database.com/white-spruce/" xr:uid="{6D59DF1A-FB7F-4CFF-9A89-D59B58940271}"/>
    <hyperlink ref="F112" r:id="rId71" display="https://www.wood-database.com/?s=salix" xr:uid="{C4BBD26A-F974-4567-B470-DB6808E8E8AC}"/>
    <hyperlink ref="F43" r:id="rId72" display="https://www.wood-database.com/black-walnut/" xr:uid="{EB73D7DC-9C97-4339-A942-3EE41C674E7E}"/>
    <hyperlink ref="F30" r:id="rId73" display="https://www.wood-database.com/butternut/" xr:uid="{B2356055-A81D-4AF0-B995-66BE7B5DFB4A}"/>
    <hyperlink ref="F106" r:id="rId74" display="https://www.wood-database.com/western-hemlock/" xr:uid="{84C26666-3AA0-4B1E-BAA1-68681806F6A6}"/>
    <hyperlink ref="F32" r:id="rId75" display="https://www.wood-database.com/eastern-hemlock/" xr:uid="{C44A5800-36F9-490F-8476-1DFAE78C65D0}"/>
    <hyperlink ref="F73" r:id="rId76" display="https://www.wood-database.com/northern-white-cedar/" xr:uid="{F76B604F-4F31-4AB6-83C7-76FCD7086EAD}"/>
    <hyperlink ref="F113" r:id="rId77" display="https://www.wood-database.com/yellow-birch/" xr:uid="{E7CDB400-EEA0-41A4-A33C-899A480342EB}"/>
    <hyperlink ref="F77" r:id="rId78" display="https://www.wood-database.com/paper-birch/" xr:uid="{59F0B2B6-D397-4AC2-B4B2-FA62EF8E57AD}"/>
    <hyperlink ref="F8" r:id="rId79" display="https://www.wood-database.com/american-beech/" xr:uid="{76E77B4B-86C4-4E09-B602-639000758827}"/>
    <hyperlink ref="G51" r:id="rId80" display="https://www.researchgate.net/publication/287808853_Carbon_content_in_Juvenile_and_mature_wood_of_Scots_Pine_Pinus_sylyestris_L" xr:uid="{DCC5095E-B045-440C-A3AF-F752FFE1A87F}"/>
  </hyperlinks>
  <pageMargins left="0.7" right="0.7" top="0.75" bottom="0.75" header="0.3" footer="0.3"/>
  <pageSetup paperSize="9" orientation="portrait" horizontalDpi="4294967293" verticalDpi="0" r:id="rId81"/>
  <drawing r:id="rId8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1D7F1-8E8C-4433-94D5-03B61A15B8B3}">
  <dimension ref="A1:L28"/>
  <sheetViews>
    <sheetView tabSelected="1" workbookViewId="0"/>
  </sheetViews>
  <sheetFormatPr defaultRowHeight="15" x14ac:dyDescent="0.25"/>
  <cols>
    <col min="7" max="7" width="21.140625" bestFit="1" customWidth="1"/>
    <col min="8" max="9" width="43.85546875" bestFit="1" customWidth="1"/>
    <col min="10" max="10" width="27.7109375" bestFit="1" customWidth="1"/>
    <col min="11" max="11" width="32.42578125" bestFit="1" customWidth="1"/>
  </cols>
  <sheetData>
    <row r="1" spans="1:12" x14ac:dyDescent="0.25">
      <c r="A1" s="10" t="s">
        <v>33</v>
      </c>
      <c r="B1" s="10" t="s">
        <v>48</v>
      </c>
      <c r="C1" s="10" t="s">
        <v>44</v>
      </c>
      <c r="D1" s="10" t="s">
        <v>0</v>
      </c>
      <c r="E1" s="10" t="s">
        <v>61</v>
      </c>
      <c r="F1" s="10"/>
      <c r="G1" s="10" t="s">
        <v>270</v>
      </c>
      <c r="H1" s="10"/>
    </row>
    <row r="2" spans="1:12" x14ac:dyDescent="0.25">
      <c r="A2" t="s">
        <v>34</v>
      </c>
      <c r="C2" t="s">
        <v>45</v>
      </c>
      <c r="D2" t="s">
        <v>57</v>
      </c>
      <c r="E2" s="7">
        <v>0.05</v>
      </c>
      <c r="G2" s="10" t="s">
        <v>269</v>
      </c>
      <c r="H2" s="10" t="s">
        <v>268</v>
      </c>
      <c r="I2" s="10" t="s">
        <v>250</v>
      </c>
      <c r="J2" s="10" t="s">
        <v>274</v>
      </c>
      <c r="K2" s="41" t="s">
        <v>324</v>
      </c>
      <c r="L2" s="41" t="s">
        <v>355</v>
      </c>
    </row>
    <row r="3" spans="1:12" ht="15" customHeight="1" x14ac:dyDescent="0.25">
      <c r="A3" t="s">
        <v>35</v>
      </c>
      <c r="C3" t="s">
        <v>46</v>
      </c>
      <c r="D3" t="s">
        <v>58</v>
      </c>
      <c r="E3" s="7">
        <v>0.1</v>
      </c>
      <c r="G3" s="114" t="s">
        <v>0</v>
      </c>
      <c r="H3" s="114" t="s">
        <v>0</v>
      </c>
      <c r="I3" s="42" t="s">
        <v>72</v>
      </c>
      <c r="J3" s="67" t="s">
        <v>329</v>
      </c>
      <c r="K3" t="s">
        <v>243</v>
      </c>
    </row>
    <row r="4" spans="1:12" ht="17.25" x14ac:dyDescent="0.25">
      <c r="A4" t="s">
        <v>36</v>
      </c>
      <c r="C4" t="s">
        <v>47</v>
      </c>
      <c r="D4" t="s">
        <v>59</v>
      </c>
      <c r="E4" s="7">
        <v>0.15</v>
      </c>
      <c r="G4" s="42" t="s">
        <v>15</v>
      </c>
      <c r="H4" s="42" t="s">
        <v>10</v>
      </c>
      <c r="I4" s="42" t="s">
        <v>320</v>
      </c>
      <c r="J4" s="42" t="s">
        <v>325</v>
      </c>
      <c r="K4" t="s">
        <v>241</v>
      </c>
    </row>
    <row r="5" spans="1:12" x14ac:dyDescent="0.25">
      <c r="A5" t="s">
        <v>37</v>
      </c>
      <c r="E5" s="7">
        <v>0.2</v>
      </c>
      <c r="G5" s="42" t="s">
        <v>21</v>
      </c>
      <c r="H5" s="42" t="s">
        <v>72</v>
      </c>
      <c r="I5" s="42" t="s">
        <v>317</v>
      </c>
      <c r="J5" s="42"/>
      <c r="K5" t="s">
        <v>242</v>
      </c>
    </row>
    <row r="6" spans="1:12" x14ac:dyDescent="0.25">
      <c r="A6" t="s">
        <v>38</v>
      </c>
      <c r="E6" s="7">
        <v>0.25</v>
      </c>
      <c r="G6" s="42" t="s">
        <v>323</v>
      </c>
      <c r="H6" s="42" t="s">
        <v>12</v>
      </c>
      <c r="I6" s="42" t="s">
        <v>312</v>
      </c>
      <c r="J6" s="42"/>
      <c r="K6" t="s">
        <v>321</v>
      </c>
    </row>
    <row r="7" spans="1:12" x14ac:dyDescent="0.25">
      <c r="A7" t="s">
        <v>39</v>
      </c>
      <c r="E7" s="7">
        <v>0.3</v>
      </c>
      <c r="G7" s="42"/>
      <c r="H7" s="42" t="s">
        <v>314</v>
      </c>
      <c r="I7" t="s">
        <v>334</v>
      </c>
      <c r="J7" s="42"/>
      <c r="K7" t="s">
        <v>7</v>
      </c>
    </row>
    <row r="8" spans="1:12" x14ac:dyDescent="0.25">
      <c r="A8" t="s">
        <v>41</v>
      </c>
      <c r="E8" s="7">
        <v>0.35</v>
      </c>
      <c r="G8" s="42"/>
      <c r="H8" s="42" t="s">
        <v>19</v>
      </c>
      <c r="I8" s="42" t="s">
        <v>346</v>
      </c>
      <c r="J8" s="42"/>
      <c r="K8" t="s">
        <v>11</v>
      </c>
    </row>
    <row r="9" spans="1:12" x14ac:dyDescent="0.25">
      <c r="A9" t="s">
        <v>40</v>
      </c>
      <c r="E9" s="7">
        <v>0.4</v>
      </c>
      <c r="G9" s="42"/>
      <c r="H9" s="42" t="s">
        <v>25</v>
      </c>
      <c r="I9" s="42"/>
      <c r="J9" s="42"/>
      <c r="K9" t="s">
        <v>13</v>
      </c>
    </row>
    <row r="10" spans="1:12" x14ac:dyDescent="0.25">
      <c r="A10" t="s">
        <v>64</v>
      </c>
      <c r="E10" s="7">
        <v>0.45</v>
      </c>
      <c r="K10" t="s">
        <v>14</v>
      </c>
    </row>
    <row r="11" spans="1:12" x14ac:dyDescent="0.25">
      <c r="E11" s="7">
        <v>0.5</v>
      </c>
      <c r="K11" t="s">
        <v>16</v>
      </c>
    </row>
    <row r="12" spans="1:12" x14ac:dyDescent="0.25">
      <c r="E12" s="7">
        <v>0.55000000000000004</v>
      </c>
      <c r="K12" t="s">
        <v>17</v>
      </c>
    </row>
    <row r="13" spans="1:12" x14ac:dyDescent="0.25">
      <c r="E13" s="7">
        <v>0.6</v>
      </c>
      <c r="K13" t="s">
        <v>18</v>
      </c>
    </row>
    <row r="14" spans="1:12" x14ac:dyDescent="0.25">
      <c r="E14" s="7">
        <v>0.65</v>
      </c>
      <c r="K14" s="106" t="s">
        <v>350</v>
      </c>
    </row>
    <row r="15" spans="1:12" x14ac:dyDescent="0.25">
      <c r="E15" s="7">
        <v>0.7</v>
      </c>
      <c r="K15" s="106" t="s">
        <v>353</v>
      </c>
    </row>
    <row r="16" spans="1:12" x14ac:dyDescent="0.25">
      <c r="E16" s="7">
        <v>0.75</v>
      </c>
      <c r="K16" s="106" t="s">
        <v>349</v>
      </c>
    </row>
    <row r="17" spans="1:11" x14ac:dyDescent="0.25">
      <c r="E17" s="7">
        <v>0.8</v>
      </c>
      <c r="K17" s="106" t="s">
        <v>351</v>
      </c>
    </row>
    <row r="18" spans="1:11" x14ac:dyDescent="0.25">
      <c r="E18" s="7">
        <v>0.85</v>
      </c>
      <c r="K18" s="106" t="s">
        <v>352</v>
      </c>
    </row>
    <row r="19" spans="1:11" x14ac:dyDescent="0.25">
      <c r="E19" s="7">
        <v>0.9</v>
      </c>
      <c r="K19" t="s">
        <v>20</v>
      </c>
    </row>
    <row r="20" spans="1:11" x14ac:dyDescent="0.25">
      <c r="E20" s="7">
        <v>0.95</v>
      </c>
      <c r="K20" t="s">
        <v>272</v>
      </c>
    </row>
    <row r="21" spans="1:11" x14ac:dyDescent="0.25">
      <c r="E21" s="7">
        <v>1</v>
      </c>
      <c r="K21" t="s">
        <v>22</v>
      </c>
    </row>
    <row r="22" spans="1:11" x14ac:dyDescent="0.25">
      <c r="K22" t="s">
        <v>23</v>
      </c>
    </row>
    <row r="23" spans="1:11" x14ac:dyDescent="0.25">
      <c r="K23" t="s">
        <v>24</v>
      </c>
    </row>
    <row r="24" spans="1:11" x14ac:dyDescent="0.25">
      <c r="A24" s="10" t="s">
        <v>62</v>
      </c>
      <c r="K24" t="s">
        <v>234</v>
      </c>
    </row>
    <row r="25" spans="1:11" x14ac:dyDescent="0.25">
      <c r="A25" s="8" t="s">
        <v>248</v>
      </c>
      <c r="K25" t="s">
        <v>26</v>
      </c>
    </row>
    <row r="26" spans="1:11" x14ac:dyDescent="0.25">
      <c r="A26" s="8" t="s">
        <v>326</v>
      </c>
    </row>
    <row r="27" spans="1:11" x14ac:dyDescent="0.25">
      <c r="A27" t="s">
        <v>273</v>
      </c>
    </row>
    <row r="28" spans="1:11" x14ac:dyDescent="0.25">
      <c r="A28" s="8" t="s">
        <v>275</v>
      </c>
    </row>
  </sheetData>
  <sheetProtection algorithmName="SHA-512" hashValue="5KFEpUbur5EpFaYhrITxw1M5p5/rOrMTgQoZ7oymy+MJaVYEJvUO1yjktiFISxq/1X1btwtxUHbdHV2qIMvceQ==" saltValue="wZnhhsPNYK3/btpuU5BSgA==" spinCount="100000" sheet="1" objects="1" scenarios="1"/>
  <sortState xmlns:xlrd2="http://schemas.microsoft.com/office/spreadsheetml/2017/richdata2" ref="K3:K25">
    <sortCondition ref="K3:K25"/>
  </sortState>
  <pageMargins left="0.7" right="0.7" top="0.75" bottom="0.75" header="0.3" footer="0.3"/>
  <pageSetup paperSize="9" orientation="portrait" horizontalDpi="4294967293" verticalDpi="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7</vt:i4>
      </vt:variant>
      <vt:variant>
        <vt:lpstr>Benoemde bereiken</vt:lpstr>
      </vt:variant>
      <vt:variant>
        <vt:i4>12</vt:i4>
      </vt:variant>
    </vt:vector>
  </HeadingPairs>
  <TitlesOfParts>
    <vt:vector size="19" baseType="lpstr">
      <vt:lpstr>Explanation</vt:lpstr>
      <vt:lpstr>Project_data</vt:lpstr>
      <vt:lpstr>Calculation-input</vt:lpstr>
      <vt:lpstr>CO2-storage factors</vt:lpstr>
      <vt:lpstr>Life-cycle emissions</vt:lpstr>
      <vt:lpstr>Wood-types</vt:lpstr>
      <vt:lpstr>Drop-down_lists</vt:lpstr>
      <vt:lpstr>Boards_planks</vt:lpstr>
      <vt:lpstr>CL</vt:lpstr>
      <vt:lpstr>CLT</vt:lpstr>
      <vt:lpstr>Floors</vt:lpstr>
      <vt:lpstr>Frames_walls</vt:lpstr>
      <vt:lpstr>HSC</vt:lpstr>
      <vt:lpstr>Insulation</vt:lpstr>
      <vt:lpstr>P_cat.</vt:lpstr>
      <vt:lpstr>Products</vt:lpstr>
      <vt:lpstr>Roofs</vt:lpstr>
      <vt:lpstr>Unit</vt:lpstr>
      <vt:lpstr>Wtype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Bart vV</dc:creator>
  <cp:lastModifiedBy>Bart v. Valenberg</cp:lastModifiedBy>
  <dcterms:created xsi:type="dcterms:W3CDTF">2021-03-26T07:47:24Z</dcterms:created>
  <dcterms:modified xsi:type="dcterms:W3CDTF">2021-08-19T08:55:25Z</dcterms:modified>
</cp:coreProperties>
</file>