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ven/Downloads/"/>
    </mc:Choice>
  </mc:AlternateContent>
  <xr:revisionPtr revIDLastSave="0" documentId="8_{5789F299-C2E9-B14A-BD69-98C95FE117CD}" xr6:coauthVersionLast="47" xr6:coauthVersionMax="47" xr10:uidLastSave="{00000000-0000-0000-0000-000000000000}"/>
  <bookViews>
    <workbookView xWindow="760" yWindow="0" windowWidth="24840" windowHeight="16000" activeTab="1" xr2:uid="{D6663B96-36EA-4B55-A737-54E5E24C0FF1}"/>
  </bookViews>
  <sheets>
    <sheet name="Explanation" sheetId="5" r:id="rId1"/>
    <sheet name="Calculation-input" sheetId="1" r:id="rId2"/>
    <sheet name="CO2-storage factors" sheetId="2" r:id="rId3"/>
    <sheet name="Life-cycle emissions" sheetId="7" state="hidden" r:id="rId4"/>
    <sheet name="Wood-types" sheetId="4" r:id="rId5"/>
    <sheet name="Drop-down_lists" sheetId="3" r:id="rId6"/>
    <sheet name="Project_data" sheetId="6" r:id="rId7"/>
    <sheet name="XX_Categories" sheetId="8" r:id="rId8"/>
  </sheets>
  <definedNames>
    <definedName name="Boards_planks">'Drop-down_lists'!$K$3:$K$20</definedName>
    <definedName name="CL">'Drop-down_lists'!$A$2:$A$10</definedName>
    <definedName name="CLT">'Drop-down_lists'!$D$2:$D$4</definedName>
    <definedName name="Floors">'Drop-down_lists'!$G$3:$G$5</definedName>
    <definedName name="Frames_walls">'Drop-down_lists'!$H$3:$H$7</definedName>
    <definedName name="HSC">'Drop-down_lists'!$E$2:$E$21</definedName>
    <definedName name="Insulation">'Drop-down_lists'!$I$3:$I$6</definedName>
    <definedName name="P_cat.">'Drop-down_lists'!$G$2:$K$2</definedName>
    <definedName name="Products">'CO2-storage factors'!$A$2:$A$33</definedName>
    <definedName name="Roofs">'Drop-down_lists'!$J$3:$J$4</definedName>
    <definedName name="TCLT">'Drop-down_lists'!#REF!</definedName>
    <definedName name="Unit">'Drop-down_lists'!$C$2:$C$4</definedName>
    <definedName name="Wtype">'Wood-types'!$A$2:$A$113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E7" i="1"/>
  <c r="G7" i="1"/>
  <c r="D8" i="1"/>
  <c r="E8" i="1"/>
  <c r="G8" i="1"/>
  <c r="D9" i="1"/>
  <c r="E9" i="1"/>
  <c r="G9" i="1"/>
  <c r="D10" i="1"/>
  <c r="E10" i="1"/>
  <c r="G10" i="1"/>
  <c r="D11" i="1"/>
  <c r="E11" i="1"/>
  <c r="G11" i="1"/>
  <c r="D12" i="1"/>
  <c r="E12" i="1"/>
  <c r="G12" i="1"/>
  <c r="D13" i="1"/>
  <c r="E13" i="1"/>
  <c r="G13" i="1"/>
  <c r="D14" i="1"/>
  <c r="E14" i="1"/>
  <c r="G14" i="1"/>
  <c r="H14" i="1" s="1"/>
  <c r="D15" i="1"/>
  <c r="E15" i="1"/>
  <c r="G15" i="1"/>
  <c r="D16" i="1"/>
  <c r="E16" i="1"/>
  <c r="G16" i="1"/>
  <c r="D17" i="1"/>
  <c r="E17" i="1"/>
  <c r="G17" i="1"/>
  <c r="D18" i="1"/>
  <c r="E18" i="1"/>
  <c r="G18" i="1"/>
  <c r="D19" i="1"/>
  <c r="E19" i="1"/>
  <c r="G19" i="1"/>
  <c r="D20" i="1"/>
  <c r="E20" i="1"/>
  <c r="G20" i="1"/>
  <c r="D21" i="1"/>
  <c r="E21" i="1"/>
  <c r="G21" i="1"/>
  <c r="D22" i="1"/>
  <c r="E22" i="1"/>
  <c r="G22" i="1"/>
  <c r="H22" i="1" s="1"/>
  <c r="D23" i="1"/>
  <c r="E23" i="1"/>
  <c r="G23" i="1"/>
  <c r="D24" i="1"/>
  <c r="E24" i="1"/>
  <c r="G24" i="1"/>
  <c r="D25" i="1"/>
  <c r="E25" i="1"/>
  <c r="G25" i="1"/>
  <c r="D26" i="1"/>
  <c r="E26" i="1"/>
  <c r="G26" i="1"/>
  <c r="E6" i="1"/>
  <c r="H7" i="1"/>
  <c r="H8" i="1"/>
  <c r="H9" i="1"/>
  <c r="H10" i="1"/>
  <c r="H11" i="1"/>
  <c r="H12" i="1"/>
  <c r="H13" i="1"/>
  <c r="H15" i="1"/>
  <c r="H16" i="1"/>
  <c r="H17" i="1"/>
  <c r="H18" i="1"/>
  <c r="H19" i="1"/>
  <c r="H20" i="1"/>
  <c r="H21" i="1"/>
  <c r="H23" i="1"/>
  <c r="H24" i="1"/>
  <c r="H25" i="1"/>
  <c r="H26" i="1"/>
  <c r="H6" i="1" l="1"/>
  <c r="E29" i="2" l="1"/>
  <c r="F18" i="2"/>
  <c r="G18" i="2"/>
  <c r="H18" i="2"/>
  <c r="H17" i="2"/>
  <c r="G17" i="2"/>
  <c r="F17" i="2"/>
  <c r="H23" i="2"/>
  <c r="F23" i="2"/>
  <c r="H33" i="2"/>
  <c r="G33" i="2"/>
  <c r="F33" i="2"/>
  <c r="H32" i="2"/>
  <c r="G32" i="2"/>
  <c r="F32" i="2"/>
  <c r="H26" i="2"/>
  <c r="G26" i="2"/>
  <c r="F26" i="2"/>
  <c r="H31" i="2"/>
  <c r="F31" i="2"/>
  <c r="D33" i="2"/>
  <c r="B33" i="2"/>
  <c r="E31" i="2"/>
  <c r="D31" i="2"/>
  <c r="B31" i="2"/>
  <c r="H11" i="2"/>
  <c r="G11" i="2"/>
  <c r="F11" i="2"/>
  <c r="H9" i="2"/>
  <c r="G9" i="2"/>
  <c r="F9" i="2"/>
  <c r="H8" i="2"/>
  <c r="F8" i="2"/>
  <c r="H7" i="2"/>
  <c r="F7" i="2"/>
  <c r="H4" i="2"/>
  <c r="F4" i="2"/>
  <c r="H3" i="2"/>
  <c r="F3" i="2"/>
  <c r="H2" i="2"/>
  <c r="F2" i="2"/>
  <c r="H30" i="2"/>
  <c r="F30" i="2"/>
  <c r="E30" i="2"/>
  <c r="H28" i="2"/>
  <c r="F28" i="2"/>
  <c r="E28" i="2"/>
  <c r="D28" i="2"/>
  <c r="B28" i="2"/>
  <c r="E26" i="2"/>
  <c r="D26" i="2"/>
  <c r="B26" i="2"/>
  <c r="D20" i="2"/>
  <c r="B20" i="2"/>
  <c r="D18" i="2"/>
  <c r="B18" i="2"/>
  <c r="G15" i="2"/>
  <c r="D15" i="2"/>
  <c r="C15" i="2" s="1"/>
  <c r="B15" i="2"/>
  <c r="D13" i="2"/>
  <c r="B13" i="2"/>
  <c r="E10" i="2"/>
  <c r="B10" i="2"/>
  <c r="E9" i="2"/>
  <c r="D9" i="2"/>
  <c r="B9" i="2"/>
  <c r="E8" i="2"/>
  <c r="B8" i="2"/>
  <c r="E5" i="2"/>
  <c r="D5" i="2"/>
  <c r="B5" i="2"/>
  <c r="B3" i="2"/>
  <c r="B4" i="2"/>
  <c r="B2" i="2"/>
  <c r="D3" i="2"/>
  <c r="D4" i="2"/>
  <c r="D2" i="2"/>
  <c r="E3" i="2"/>
  <c r="E4" i="2"/>
  <c r="E2" i="2"/>
  <c r="C10" i="2"/>
  <c r="V7" i="2"/>
  <c r="G14" i="2"/>
  <c r="G5" i="2" l="1"/>
  <c r="G29" i="2"/>
  <c r="B29" i="2"/>
  <c r="C9" i="2"/>
  <c r="D29" i="2"/>
  <c r="G16" i="2"/>
  <c r="D16" i="2"/>
  <c r="C16" i="2"/>
  <c r="B16" i="2"/>
  <c r="C26" i="2"/>
  <c r="D30" i="2"/>
  <c r="C30" i="2"/>
  <c r="B30" i="2"/>
  <c r="G30" i="2"/>
  <c r="C29" i="2" l="1"/>
  <c r="V3" i="2" l="1"/>
  <c r="V4" i="2"/>
  <c r="V2" i="2"/>
  <c r="J6" i="1" l="1"/>
  <c r="J7" i="1" s="1"/>
  <c r="J8" i="1" s="1"/>
  <c r="J9" i="1" s="1"/>
  <c r="J10" i="1" l="1"/>
  <c r="J11" i="1" l="1"/>
  <c r="K9" i="1"/>
  <c r="J12" i="1" l="1"/>
  <c r="K11" i="1"/>
  <c r="K10" i="1"/>
  <c r="G23" i="2"/>
  <c r="C2" i="2"/>
  <c r="C4" i="2"/>
  <c r="C3" i="2"/>
  <c r="C31" i="2"/>
  <c r="G12" i="2"/>
  <c r="J13" i="1" l="1"/>
  <c r="K12" i="1"/>
  <c r="C78" i="4"/>
  <c r="B78" i="4"/>
  <c r="E104" i="4"/>
  <c r="E103" i="4"/>
  <c r="E81" i="4"/>
  <c r="E60" i="4"/>
  <c r="E47" i="4"/>
  <c r="E46" i="4"/>
  <c r="E45" i="4"/>
  <c r="E42" i="4"/>
  <c r="E41" i="4"/>
  <c r="E31" i="4"/>
  <c r="C21" i="4"/>
  <c r="E21" i="4"/>
  <c r="E20" i="4"/>
  <c r="E108" i="4"/>
  <c r="C108" i="4"/>
  <c r="C104" i="4"/>
  <c r="C103" i="4"/>
  <c r="C81" i="4"/>
  <c r="C60" i="4"/>
  <c r="C47" i="4"/>
  <c r="C46" i="4"/>
  <c r="C45" i="4"/>
  <c r="C42" i="4"/>
  <c r="C41" i="4"/>
  <c r="C31" i="4"/>
  <c r="C20" i="4"/>
  <c r="B112" i="4"/>
  <c r="B53" i="4"/>
  <c r="B102" i="4" s="1"/>
  <c r="L24" i="4"/>
  <c r="P24" i="4"/>
  <c r="N24" i="4"/>
  <c r="J24" i="4"/>
  <c r="K8" i="1"/>
  <c r="C8" i="2"/>
  <c r="C102" i="4" l="1"/>
  <c r="J14" i="1"/>
  <c r="K13" i="1"/>
  <c r="G7" i="2"/>
  <c r="J15" i="1" l="1"/>
  <c r="K15" i="1" s="1"/>
  <c r="K14" i="1"/>
  <c r="G6" i="2"/>
  <c r="G20" i="2"/>
  <c r="G13" i="2"/>
  <c r="G27" i="2"/>
  <c r="G19" i="2"/>
  <c r="G24" i="2"/>
  <c r="G25" i="2"/>
  <c r="G21" i="2"/>
  <c r="J16" i="1" l="1"/>
  <c r="J17" i="1" s="1"/>
  <c r="J18" i="1" s="1"/>
  <c r="J19" i="1" s="1"/>
  <c r="J20" i="1" s="1"/>
  <c r="J21" i="1" s="1"/>
  <c r="J22" i="1" s="1"/>
  <c r="J23" i="1" s="1"/>
  <c r="J24" i="1" s="1"/>
  <c r="J25" i="1" s="1"/>
  <c r="J26" i="1" s="1"/>
  <c r="K7" i="1" l="1"/>
  <c r="K6" i="1"/>
  <c r="K16" i="1"/>
  <c r="C33" i="2"/>
  <c r="C32" i="2"/>
  <c r="D32" i="2" s="1"/>
  <c r="C27" i="2"/>
  <c r="D27" i="2" s="1"/>
  <c r="C25" i="2"/>
  <c r="C24" i="2"/>
  <c r="D24" i="2" s="1"/>
  <c r="C23" i="2"/>
  <c r="C21" i="2"/>
  <c r="C20" i="2"/>
  <c r="C19" i="2"/>
  <c r="D19" i="2" s="1"/>
  <c r="C18" i="2"/>
  <c r="C17" i="2"/>
  <c r="D17" i="2" s="1"/>
  <c r="C14" i="2"/>
  <c r="D14" i="2" s="1"/>
  <c r="C13" i="2"/>
  <c r="C12" i="2"/>
  <c r="C11" i="2"/>
  <c r="B11" i="2" s="1"/>
  <c r="C6" i="2"/>
  <c r="D6" i="2" s="1"/>
  <c r="C7" i="2"/>
  <c r="D7" i="2" s="1"/>
  <c r="K17" i="1" l="1"/>
  <c r="D12" i="2"/>
  <c r="B21" i="2"/>
  <c r="D23" i="2"/>
  <c r="B25" i="2"/>
  <c r="B19" i="2"/>
  <c r="D21" i="2"/>
  <c r="D11" i="2"/>
  <c r="B12" i="2"/>
  <c r="D25" i="2"/>
  <c r="B14" i="2"/>
  <c r="B23" i="2"/>
  <c r="B32" i="2"/>
  <c r="B6" i="2"/>
  <c r="B27" i="2"/>
  <c r="B17" i="2"/>
  <c r="B24" i="2"/>
  <c r="B7" i="2"/>
  <c r="K18" i="1" l="1"/>
  <c r="G1" i="1"/>
  <c r="G2" i="1" s="1"/>
  <c r="G3" i="1" s="1"/>
  <c r="K19" i="1" l="1"/>
  <c r="K20" i="1" l="1"/>
  <c r="K21" i="1" l="1"/>
  <c r="K22" i="1" l="1"/>
  <c r="K23" i="1" l="1"/>
  <c r="K24" i="1" l="1"/>
  <c r="K25" i="1" l="1"/>
  <c r="K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C1" authorId="0" shapeId="0" xr:uid="{9B8277E9-F6F7-4438-B142-8C07F4740F61}">
      <text>
        <r>
          <rPr>
            <b/>
            <sz val="9"/>
            <color indexed="81"/>
            <rFont val="Tahoma"/>
            <family val="2"/>
          </rPr>
          <t>Bart vV:</t>
        </r>
        <r>
          <rPr>
            <sz val="9"/>
            <color indexed="81"/>
            <rFont val="Tahoma"/>
            <family val="2"/>
          </rPr>
          <t xml:space="preserve">
Unit is kgCO2/kg, unless otherwise specified in column D.</t>
        </r>
      </text>
    </comment>
    <comment ref="G8" authorId="0" shapeId="0" xr:uid="{34CDFD81-9287-4C48-93AB-BC0CB214BD13}">
      <text>
        <r>
          <rPr>
            <b/>
            <sz val="9"/>
            <color indexed="81"/>
            <rFont val="Tahoma"/>
            <family val="2"/>
          </rPr>
          <t>Bart vV:</t>
        </r>
        <r>
          <rPr>
            <sz val="9"/>
            <color indexed="81"/>
            <rFont val="Tahoma"/>
            <family val="2"/>
          </rPr>
          <t xml:space="preserve">
Is only the density of the compressed straw part of a panel. The carbon content is for an average panel including wooden beams.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D4" authorId="0" shapeId="0" xr:uid="{4C4BA098-A825-4BA0-A473-9E17E51BD13F}">
      <text>
        <r>
          <rPr>
            <b/>
            <sz val="9"/>
            <color indexed="81"/>
            <rFont val="Tahoma"/>
            <family val="2"/>
          </rPr>
          <t>Bart vV:</t>
        </r>
        <r>
          <rPr>
            <sz val="9"/>
            <color indexed="81"/>
            <rFont val="Tahoma"/>
            <family val="2"/>
          </rPr>
          <t xml:space="preserve">
Weight classes are total, hence including both load and vehicle.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Bart vV</author>
  </authors>
  <commentList>
    <comment ref="E1" authorId="0" shapeId="0" xr:uid="{C41B0A49-914C-40FC-BFDA-363FDB9BCB6C}">
      <text>
        <r>
          <rPr>
            <b/>
            <sz val="9"/>
            <color indexed="81"/>
            <rFont val="Tahoma"/>
            <family val="2"/>
          </rPr>
          <t>Bart vV:</t>
        </r>
        <r>
          <rPr>
            <sz val="9"/>
            <color indexed="81"/>
            <rFont val="Tahoma"/>
            <family val="2"/>
          </rPr>
          <t xml:space="preserve">
Hemp-Shives Content</t>
        </r>
      </text>
    </comment>
    <comment ref="K6" authorId="0" shapeId="0" xr:uid="{A43D7DFE-ACC9-4B01-A393-58B695873494}">
      <text>
        <r>
          <rPr>
            <b/>
            <sz val="9"/>
            <color indexed="81"/>
            <rFont val="Tahoma"/>
            <family val="2"/>
          </rPr>
          <t>Bart vV:</t>
        </r>
        <r>
          <rPr>
            <sz val="9"/>
            <color indexed="81"/>
            <rFont val="Tahoma"/>
            <family val="2"/>
          </rPr>
          <t xml:space="preserve">
?? is a grade of paperboard typically made from layers of waste paper or recycled fibers. Most often it comes with two to three layers of coating on the top and one layer on the reverse side. Because of its recycled content it will be grey from the inside.</t>
        </r>
      </text>
    </comment>
    <comment ref="K15" authorId="0" shapeId="0" xr:uid="{37EDD9EE-4F6B-4E2D-9FC5-792738C8D0A5}">
      <text>
        <r>
          <rPr>
            <b/>
            <sz val="9"/>
            <color indexed="81"/>
            <rFont val="Tahoma"/>
            <family val="2"/>
          </rPr>
          <t>Bart vV:</t>
        </r>
        <r>
          <rPr>
            <sz val="9"/>
            <color indexed="81"/>
            <rFont val="Tahoma"/>
            <family val="2"/>
          </rPr>
          <t xml:space="preserve">
Particle board, also known as chipboard, is an engineered wood product manufactured from wood chips or jute-stick chips and a synthetic resin or other suitable binder, which is pressed and extruded.</t>
        </r>
      </text>
    </comment>
    <comment ref="K16" authorId="0" shapeId="0" xr:uid="{6C1B776D-108E-468D-A299-D0DAD900BA07}">
      <text>
        <r>
          <rPr>
            <b/>
            <sz val="9"/>
            <color indexed="81"/>
            <rFont val="Tahoma"/>
            <family val="2"/>
          </rPr>
          <t>Bart vV:</t>
        </r>
        <r>
          <rPr>
            <sz val="9"/>
            <color indexed="81"/>
            <rFont val="Tahoma"/>
            <family val="2"/>
          </rPr>
          <t xml:space="preserve">
Plywood is a material manufactured from thin layers or "plies" of wood veneer that are glued together with adjacent layers having their wood grain rotated up to 90 degrees to one another.</t>
        </r>
      </text>
    </comment>
  </commentList>
</comments>
</file>

<file path=xl/sharedStrings.xml><?xml version="1.0" encoding="utf-8"?>
<sst xmlns="http://schemas.openxmlformats.org/spreadsheetml/2006/main" count="968" uniqueCount="458">
  <si>
    <t>CLT</t>
  </si>
  <si>
    <r>
      <t>Min.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</si>
  <si>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Max.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</si>
  <si>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t>ICE database</t>
  </si>
  <si>
    <r>
      <t>Av. Density from spruces (kg/m</t>
    </r>
    <r>
      <rPr>
        <vertAlign val="superscript"/>
        <sz val="11"/>
        <color theme="1"/>
        <rFont val="Calibri"/>
        <family val="2"/>
        <scheme val="minor"/>
      </rPr>
      <t>3</t>
    </r>
    <r>
      <rPr>
        <sz val="11"/>
        <color theme="1"/>
        <rFont val="Calibri"/>
        <family val="2"/>
        <scheme val="minor"/>
      </rPr>
      <t>)</t>
    </r>
  </si>
  <si>
    <r>
      <t>Av. Density from larchs (kg/m</t>
    </r>
    <r>
      <rPr>
        <vertAlign val="superscript"/>
        <sz val="11"/>
        <color theme="1"/>
        <rFont val="Calibri"/>
        <family val="2"/>
        <scheme val="minor"/>
      </rPr>
      <t>3</t>
    </r>
    <r>
      <rPr>
        <sz val="11"/>
        <color theme="1"/>
        <rFont val="Calibri"/>
        <family val="2"/>
        <scheme val="minor"/>
      </rPr>
      <t>)</t>
    </r>
  </si>
  <si>
    <t>CLT Technical detail SBR.1 (crosslamtimber.com.au)</t>
  </si>
  <si>
    <t>Chipboard</t>
  </si>
  <si>
    <t>Product</t>
  </si>
  <si>
    <t>n datapoints</t>
  </si>
  <si>
    <t>Closed panel timber frame system</t>
  </si>
  <si>
    <t>Fibreboard</t>
  </si>
  <si>
    <t>Glulam</t>
  </si>
  <si>
    <t>Hardboard</t>
  </si>
  <si>
    <t>Hardwood</t>
  </si>
  <si>
    <t>Laminate</t>
  </si>
  <si>
    <t>Laminated strand lumber</t>
  </si>
  <si>
    <t>Laminated veneer lumber</t>
  </si>
  <si>
    <t>MDF</t>
  </si>
  <si>
    <t>Open panel timber frame system</t>
  </si>
  <si>
    <t>OSB</t>
  </si>
  <si>
    <t>Parquet</t>
  </si>
  <si>
    <t>Particle board</t>
  </si>
  <si>
    <t>Plywood</t>
  </si>
  <si>
    <t>Softwood</t>
  </si>
  <si>
    <t>Wood I-beam</t>
  </si>
  <si>
    <t>Wood-plastic composite</t>
  </si>
  <si>
    <t>https://www.sciencedirect.com/science/article/abs/pii/S0961953403000333</t>
  </si>
  <si>
    <t>Hemp-shives containing products</t>
  </si>
  <si>
    <r>
      <t>Av. of mid. range Density (kg/m</t>
    </r>
    <r>
      <rPr>
        <vertAlign val="superscript"/>
        <sz val="11"/>
        <color theme="1"/>
        <rFont val="Calibri"/>
        <family val="2"/>
        <scheme val="minor"/>
      </rPr>
      <t>3</t>
    </r>
    <r>
      <rPr>
        <sz val="11"/>
        <color theme="1"/>
        <rFont val="Calibri"/>
        <family val="2"/>
        <scheme val="minor"/>
      </rPr>
      <t>)</t>
    </r>
  </si>
  <si>
    <r>
      <t>Min. Density (kg/m</t>
    </r>
    <r>
      <rPr>
        <vertAlign val="superscript"/>
        <sz val="11"/>
        <color theme="1"/>
        <rFont val="Calibri"/>
        <family val="2"/>
        <scheme val="minor"/>
      </rPr>
      <t>3</t>
    </r>
    <r>
      <rPr>
        <sz val="11"/>
        <color theme="1"/>
        <rFont val="Calibri"/>
        <family val="2"/>
        <scheme val="minor"/>
      </rPr>
      <t>)</t>
    </r>
  </si>
  <si>
    <r>
      <t>Max. Density (kg/m</t>
    </r>
    <r>
      <rPr>
        <vertAlign val="superscript"/>
        <sz val="11"/>
        <color theme="1"/>
        <rFont val="Calibri"/>
        <family val="2"/>
        <scheme val="minor"/>
      </rPr>
      <t>3</t>
    </r>
    <r>
      <rPr>
        <sz val="11"/>
        <color theme="1"/>
        <rFont val="Calibri"/>
        <family val="2"/>
        <scheme val="minor"/>
      </rPr>
      <t>)</t>
    </r>
  </si>
  <si>
    <t>Houtdatabase | Houtdatabase</t>
  </si>
  <si>
    <t>Construction level</t>
  </si>
  <si>
    <t>Foundation</t>
  </si>
  <si>
    <t>Basement</t>
  </si>
  <si>
    <t>Ground floor</t>
  </si>
  <si>
    <t>1st floor</t>
  </si>
  <si>
    <t>2nd floor</t>
  </si>
  <si>
    <t>3nd floor</t>
  </si>
  <si>
    <t>Roof</t>
  </si>
  <si>
    <t>Next floor(s)</t>
  </si>
  <si>
    <t>Biobased products</t>
  </si>
  <si>
    <t>Quantity of product</t>
  </si>
  <si>
    <t>Unit</t>
  </si>
  <si>
    <t>kg</t>
  </si>
  <si>
    <t>ton</t>
  </si>
  <si>
    <r>
      <t>m</t>
    </r>
    <r>
      <rPr>
        <vertAlign val="superscript"/>
        <sz val="11"/>
        <color theme="1"/>
        <rFont val="Calibri"/>
        <family val="2"/>
        <scheme val="minor"/>
      </rPr>
      <t>3</t>
    </r>
  </si>
  <si>
    <t>Biobased product</t>
  </si>
  <si>
    <t>Additional information</t>
  </si>
  <si>
    <t>Wood type</t>
  </si>
  <si>
    <t>Density w 12% moisture (kg/m³)</t>
  </si>
  <si>
    <t>Motivatie | Centrum hout co2 calculator (opslagco2inhout.nl)</t>
  </si>
  <si>
    <r>
      <t>Average density (kg/m</t>
    </r>
    <r>
      <rPr>
        <vertAlign val="superscript"/>
        <sz val="11"/>
        <color theme="1"/>
        <rFont val="Calibri"/>
        <family val="2"/>
        <scheme val="minor"/>
      </rPr>
      <t>3</t>
    </r>
    <r>
      <rPr>
        <sz val="11"/>
        <color theme="1"/>
        <rFont val="Calibri"/>
        <family val="2"/>
        <scheme val="minor"/>
      </rPr>
      <t>)</t>
    </r>
  </si>
  <si>
    <t>Input</t>
  </si>
  <si>
    <t>Calculation</t>
  </si>
  <si>
    <r>
      <t>The input cells of column A, B &amp; E contain drop-down lists that you are required to use. The calculated result of column F might return a value 0, when this happens it will be coded red. The value 0 is returned when there is missing data for density when using unit m</t>
    </r>
    <r>
      <rPr>
        <vertAlign val="superscript"/>
        <sz val="11"/>
        <color theme="1"/>
        <rFont val="Calibri"/>
        <family val="2"/>
        <scheme val="minor"/>
      </rPr>
      <t>3</t>
    </r>
    <r>
      <rPr>
        <sz val="11"/>
        <color theme="1"/>
        <rFont val="Calibri"/>
        <family val="2"/>
        <scheme val="minor"/>
      </rPr>
      <t xml:space="preserve">. </t>
    </r>
  </si>
  <si>
    <t>CO2-storage factors</t>
  </si>
  <si>
    <t>Source1</t>
  </si>
  <si>
    <t>Source2</t>
  </si>
  <si>
    <t xml:space="preserve">This sheet contains the data required behind the calculations. Data of CO2 storage and density of products. It is possible to expand the dataset yourself by adding products at the end of the table and filling in all the required/available data. Make sure the added data is included in the table extent. If correct, the product will be automatically included in the drop-down list and calculations will also be extended accordingly. </t>
  </si>
  <si>
    <t>Wood-types</t>
  </si>
  <si>
    <t>Drop-down lists</t>
  </si>
  <si>
    <t>Simply contains the information required for generating the drop-down lists.</t>
  </si>
  <si>
    <t>Calculation-input</t>
  </si>
  <si>
    <t>Spruces</t>
  </si>
  <si>
    <t>Larchs</t>
  </si>
  <si>
    <t>Unknown/mix</t>
  </si>
  <si>
    <r>
      <t>tCO</t>
    </r>
    <r>
      <rPr>
        <vertAlign val="subscript"/>
        <sz val="11"/>
        <color theme="1"/>
        <rFont val="Calibri"/>
        <family val="2"/>
        <scheme val="minor"/>
      </rPr>
      <t>2</t>
    </r>
    <r>
      <rPr>
        <sz val="11"/>
        <color theme="1"/>
        <rFont val="Calibri"/>
        <family val="2"/>
        <scheme val="minor"/>
      </rPr>
      <t xml:space="preserve"> stored</t>
    </r>
  </si>
  <si>
    <t>HSC</t>
  </si>
  <si>
    <t>Conditional drop-down list formula</t>
  </si>
  <si>
    <r>
      <t>Total stored CO</t>
    </r>
    <r>
      <rPr>
        <b/>
        <vertAlign val="subscript"/>
        <sz val="11"/>
        <color theme="1"/>
        <rFont val="Calibri"/>
        <family val="2"/>
        <scheme val="minor"/>
      </rPr>
      <t>2</t>
    </r>
    <r>
      <rPr>
        <b/>
        <sz val="11"/>
        <color theme="1"/>
        <rFont val="Calibri"/>
        <family val="2"/>
        <scheme val="minor"/>
      </rPr>
      <t>:</t>
    </r>
  </si>
  <si>
    <t>https://www.houtinfo.nl/node/190</t>
  </si>
  <si>
    <t>Other</t>
  </si>
  <si>
    <t>Contains wood densities of a wide variety of wood types that could be used for calculating CO2 storage in the respective wood type. Sequestration is based on the wood densities and calculated according to the NEN 16449.</t>
  </si>
  <si>
    <t>C =</t>
  </si>
  <si>
    <r>
      <t>CO</t>
    </r>
    <r>
      <rPr>
        <vertAlign val="subscript"/>
        <sz val="11"/>
        <color theme="1"/>
        <rFont val="Calibri"/>
        <family val="2"/>
        <scheme val="minor"/>
      </rPr>
      <t>2</t>
    </r>
    <r>
      <rPr>
        <sz val="11"/>
        <color theme="1"/>
        <rFont val="Calibri"/>
        <family val="2"/>
        <scheme val="minor"/>
      </rPr>
      <t xml:space="preserve"> =</t>
    </r>
  </si>
  <si>
    <t>https://www.academia.edu/39298982/STRAWBALE_CONSTRUCTION_A_LEAST_EMBODIED_ENERGY_MATERIAL</t>
  </si>
  <si>
    <t>https://materialspalette.org/straw-bale/</t>
  </si>
  <si>
    <t>https://ecococon.eu/assets/downloads/ecococon_brochure.pdf</t>
  </si>
  <si>
    <t>Source3</t>
  </si>
  <si>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3</t>
    </r>
    <r>
      <rPr>
        <sz val="11"/>
        <color theme="1"/>
        <rFont val="Calibri"/>
        <family val="2"/>
        <scheme val="minor"/>
      </rPr>
      <t>)</t>
    </r>
  </si>
  <si>
    <t>EcoCocon (straw frame timber beams included)</t>
  </si>
  <si>
    <t>g/mol</t>
  </si>
  <si>
    <t>Warning</t>
  </si>
  <si>
    <t>do not change value</t>
  </si>
  <si>
    <t>missing data in dataset</t>
  </si>
  <si>
    <r>
      <t>kgCO</t>
    </r>
    <r>
      <rPr>
        <vertAlign val="subscript"/>
        <sz val="11"/>
        <color theme="1"/>
        <rFont val="Calibri"/>
        <family val="2"/>
        <scheme val="minor"/>
      </rPr>
      <t>2-eq</t>
    </r>
    <r>
      <rPr>
        <sz val="11"/>
        <color theme="1"/>
        <rFont val="Calibri"/>
        <family val="2"/>
        <scheme val="minor"/>
      </rPr>
      <t>/kg</t>
    </r>
  </si>
  <si>
    <t>C-%</t>
  </si>
  <si>
    <t>±</t>
  </si>
  <si>
    <t>Sequoiadendron giganteum (sw)</t>
  </si>
  <si>
    <t>Sequoiadendron giganteum (tz)</t>
  </si>
  <si>
    <r>
      <rPr>
        <sz val="11"/>
        <color theme="1"/>
        <rFont val="Calibri"/>
        <family val="2"/>
        <scheme val="minor"/>
      </rPr>
      <t>Bigleaf maple</t>
    </r>
    <r>
      <rPr>
        <i/>
        <sz val="11"/>
        <color theme="1"/>
        <rFont val="Calibri"/>
        <family val="2"/>
        <scheme val="minor"/>
      </rPr>
      <t xml:space="preserve"> (Acer macrophyllum </t>
    </r>
    <r>
      <rPr>
        <sz val="11"/>
        <color theme="1"/>
        <rFont val="Calibri"/>
        <family val="2"/>
        <scheme val="minor"/>
      </rPr>
      <t>Pursh)</t>
    </r>
  </si>
  <si>
    <r>
      <rPr>
        <sz val="11"/>
        <color theme="1"/>
        <rFont val="Calibri"/>
        <family val="2"/>
        <scheme val="minor"/>
      </rPr>
      <t>Manitoba maple</t>
    </r>
    <r>
      <rPr>
        <i/>
        <sz val="11"/>
        <color theme="1"/>
        <rFont val="Calibri"/>
        <family val="2"/>
        <scheme val="minor"/>
      </rPr>
      <t xml:space="preserve"> (Acer negundo </t>
    </r>
    <r>
      <rPr>
        <sz val="11"/>
        <color theme="1"/>
        <rFont val="Calibri"/>
        <family val="2"/>
        <scheme val="minor"/>
      </rPr>
      <t>L.)</t>
    </r>
  </si>
  <si>
    <r>
      <rPr>
        <sz val="11"/>
        <color theme="1"/>
        <rFont val="Calibri"/>
        <family val="2"/>
        <scheme val="minor"/>
      </rPr>
      <t>Red maple</t>
    </r>
    <r>
      <rPr>
        <i/>
        <sz val="11"/>
        <color theme="1"/>
        <rFont val="Calibri"/>
        <family val="2"/>
        <scheme val="minor"/>
      </rPr>
      <t xml:space="preserve"> (Acer rubrum </t>
    </r>
    <r>
      <rPr>
        <sz val="11"/>
        <color theme="1"/>
        <rFont val="Calibri"/>
        <family val="2"/>
        <scheme val="minor"/>
      </rPr>
      <t>L.)</t>
    </r>
  </si>
  <si>
    <r>
      <rPr>
        <sz val="11"/>
        <color theme="1"/>
        <rFont val="Calibri"/>
        <family val="2"/>
        <scheme val="minor"/>
      </rPr>
      <t>Sugar maple</t>
    </r>
    <r>
      <rPr>
        <i/>
        <sz val="11"/>
        <color theme="1"/>
        <rFont val="Calibri"/>
        <family val="2"/>
        <scheme val="minor"/>
      </rPr>
      <t xml:space="preserve"> (Acer saccharum </t>
    </r>
    <r>
      <rPr>
        <sz val="11"/>
        <color theme="1"/>
        <rFont val="Calibri"/>
        <family val="2"/>
        <scheme val="minor"/>
      </rPr>
      <t>Marsh.)</t>
    </r>
  </si>
  <si>
    <r>
      <rPr>
        <sz val="11"/>
        <color theme="1"/>
        <rFont val="Calibri"/>
        <family val="2"/>
        <scheme val="minor"/>
      </rPr>
      <t>Red alder</t>
    </r>
    <r>
      <rPr>
        <i/>
        <sz val="11"/>
        <color theme="1"/>
        <rFont val="Calibri"/>
        <family val="2"/>
        <scheme val="minor"/>
      </rPr>
      <t xml:space="preserve"> (Alnus rubra </t>
    </r>
    <r>
      <rPr>
        <sz val="11"/>
        <color theme="1"/>
        <rFont val="Calibri"/>
        <family val="2"/>
        <scheme val="minor"/>
      </rPr>
      <t>Bong.)</t>
    </r>
  </si>
  <si>
    <r>
      <rPr>
        <sz val="11"/>
        <color theme="1"/>
        <rFont val="Calibri"/>
        <family val="2"/>
        <scheme val="minor"/>
      </rPr>
      <t xml:space="preserve">Yellow birch </t>
    </r>
    <r>
      <rPr>
        <i/>
        <sz val="11"/>
        <color theme="1"/>
        <rFont val="Calibri"/>
        <family val="2"/>
        <scheme val="minor"/>
      </rPr>
      <t xml:space="preserve">(Betula alleghaniesis </t>
    </r>
    <r>
      <rPr>
        <sz val="11"/>
        <color theme="1"/>
        <rFont val="Calibri"/>
        <family val="2"/>
        <scheme val="minor"/>
      </rPr>
      <t>Britton)</t>
    </r>
  </si>
  <si>
    <r>
      <rPr>
        <sz val="11"/>
        <color theme="1"/>
        <rFont val="Calibri"/>
        <family val="2"/>
        <scheme val="minor"/>
      </rPr>
      <t xml:space="preserve">Paper birch </t>
    </r>
    <r>
      <rPr>
        <i/>
        <sz val="11"/>
        <color theme="1"/>
        <rFont val="Calibri"/>
        <family val="2"/>
        <scheme val="minor"/>
      </rPr>
      <t xml:space="preserve">(Betula papyrifera </t>
    </r>
    <r>
      <rPr>
        <sz val="11"/>
        <color theme="1"/>
        <rFont val="Calibri"/>
        <family val="2"/>
        <scheme val="minor"/>
      </rPr>
      <t xml:space="preserve"> Marsh.)</t>
    </r>
  </si>
  <si>
    <r>
      <rPr>
        <sz val="11"/>
        <color theme="1"/>
        <rFont val="Calibri"/>
        <family val="2"/>
        <scheme val="minor"/>
      </rPr>
      <t>Hickory</t>
    </r>
    <r>
      <rPr>
        <i/>
        <sz val="11"/>
        <color theme="1"/>
        <rFont val="Calibri"/>
        <family val="2"/>
        <scheme val="minor"/>
      </rPr>
      <t xml:space="preserve"> (Carya </t>
    </r>
    <r>
      <rPr>
        <sz val="11"/>
        <color theme="1"/>
        <rFont val="Calibri"/>
        <family val="2"/>
        <scheme val="minor"/>
      </rPr>
      <t>Nutt.)</t>
    </r>
  </si>
  <si>
    <r>
      <rPr>
        <sz val="11"/>
        <color theme="1"/>
        <rFont val="Calibri"/>
        <family val="2"/>
        <scheme val="minor"/>
      </rPr>
      <t xml:space="preserve">American beech </t>
    </r>
    <r>
      <rPr>
        <i/>
        <sz val="11"/>
        <color theme="1"/>
        <rFont val="Calibri"/>
        <family val="2"/>
        <scheme val="minor"/>
      </rPr>
      <t xml:space="preserve">(Fagus grandifolia </t>
    </r>
    <r>
      <rPr>
        <sz val="11"/>
        <color theme="1"/>
        <rFont val="Calibri"/>
        <family val="2"/>
        <scheme val="minor"/>
      </rPr>
      <t>Ehrh.)</t>
    </r>
  </si>
  <si>
    <r>
      <rPr>
        <sz val="11"/>
        <color theme="1"/>
        <rFont val="Calibri"/>
        <family val="2"/>
        <scheme val="minor"/>
      </rPr>
      <t xml:space="preserve">Black ash </t>
    </r>
    <r>
      <rPr>
        <i/>
        <sz val="11"/>
        <color theme="1"/>
        <rFont val="Calibri"/>
        <family val="2"/>
        <scheme val="minor"/>
      </rPr>
      <t xml:space="preserve">(Fraxinus nigra </t>
    </r>
    <r>
      <rPr>
        <sz val="11"/>
        <color theme="1"/>
        <rFont val="Calibri"/>
        <family val="2"/>
        <scheme val="minor"/>
      </rPr>
      <t>Marsh.)</t>
    </r>
  </si>
  <si>
    <r>
      <rPr>
        <sz val="11"/>
        <color theme="1"/>
        <rFont val="Calibri"/>
        <family val="2"/>
        <scheme val="minor"/>
      </rPr>
      <t>American ash</t>
    </r>
    <r>
      <rPr>
        <i/>
        <sz val="11"/>
        <color theme="1"/>
        <rFont val="Calibri"/>
        <family val="2"/>
        <scheme val="minor"/>
      </rPr>
      <t xml:space="preserve"> (Fraxinus americana </t>
    </r>
    <r>
      <rPr>
        <sz val="11"/>
        <color theme="1"/>
        <rFont val="Calibri"/>
        <family val="2"/>
        <scheme val="minor"/>
      </rPr>
      <t xml:space="preserve"> L.)</t>
    </r>
  </si>
  <si>
    <r>
      <rPr>
        <sz val="11"/>
        <color theme="1"/>
        <rFont val="Calibri"/>
        <family val="2"/>
        <scheme val="minor"/>
      </rPr>
      <t>Butternut</t>
    </r>
    <r>
      <rPr>
        <i/>
        <sz val="11"/>
        <color theme="1"/>
        <rFont val="Calibri"/>
        <family val="2"/>
        <scheme val="minor"/>
      </rPr>
      <t xml:space="preserve"> (Juglans cinerea</t>
    </r>
    <r>
      <rPr>
        <sz val="11"/>
        <color theme="1"/>
        <rFont val="Calibri"/>
        <family val="2"/>
        <scheme val="minor"/>
      </rPr>
      <t xml:space="preserve"> L.)</t>
    </r>
  </si>
  <si>
    <r>
      <rPr>
        <sz val="11"/>
        <color theme="1"/>
        <rFont val="Calibri"/>
        <family val="2"/>
        <scheme val="minor"/>
      </rPr>
      <t>Eastern black walnut</t>
    </r>
    <r>
      <rPr>
        <i/>
        <sz val="11"/>
        <color theme="1"/>
        <rFont val="Calibri"/>
        <family val="2"/>
        <scheme val="minor"/>
      </rPr>
      <t xml:space="preserve"> (Juglans nigra</t>
    </r>
    <r>
      <rPr>
        <sz val="11"/>
        <color theme="1"/>
        <rFont val="Calibri"/>
        <family val="2"/>
        <scheme val="minor"/>
      </rPr>
      <t xml:space="preserve"> L.)</t>
    </r>
  </si>
  <si>
    <r>
      <rPr>
        <sz val="11"/>
        <color theme="1"/>
        <rFont val="Calibri"/>
        <family val="2"/>
        <scheme val="minor"/>
      </rPr>
      <t>American sycamore</t>
    </r>
    <r>
      <rPr>
        <i/>
        <sz val="11"/>
        <color theme="1"/>
        <rFont val="Calibri"/>
        <family val="2"/>
        <scheme val="minor"/>
      </rPr>
      <t xml:space="preserve"> (Platanus occidentalis </t>
    </r>
    <r>
      <rPr>
        <sz val="11"/>
        <color theme="1"/>
        <rFont val="Calibri"/>
        <family val="2"/>
        <scheme val="minor"/>
      </rPr>
      <t>L.)</t>
    </r>
  </si>
  <si>
    <r>
      <rPr>
        <sz val="11"/>
        <color theme="1"/>
        <rFont val="Calibri"/>
        <family val="2"/>
        <scheme val="minor"/>
      </rPr>
      <t xml:space="preserve">Quaking aspen </t>
    </r>
    <r>
      <rPr>
        <i/>
        <sz val="11"/>
        <color theme="1"/>
        <rFont val="Calibri"/>
        <family val="2"/>
        <scheme val="minor"/>
      </rPr>
      <t>(Populus tremuloides</t>
    </r>
    <r>
      <rPr>
        <sz val="11"/>
        <color theme="1"/>
        <rFont val="Calibri"/>
        <family val="2"/>
        <scheme val="minor"/>
      </rPr>
      <t xml:space="preserve"> Michx.)</t>
    </r>
  </si>
  <si>
    <r>
      <rPr>
        <sz val="11"/>
        <color theme="1"/>
        <rFont val="Calibri"/>
        <family val="2"/>
        <scheme val="minor"/>
      </rPr>
      <t>Black cottonwood</t>
    </r>
    <r>
      <rPr>
        <i/>
        <sz val="11"/>
        <color theme="1"/>
        <rFont val="Calibri"/>
        <family val="2"/>
        <scheme val="minor"/>
      </rPr>
      <t xml:space="preserve"> (Populus trichocarpa</t>
    </r>
    <r>
      <rPr>
        <sz val="11"/>
        <color theme="1"/>
        <rFont val="Calibri"/>
        <family val="2"/>
        <scheme val="minor"/>
      </rPr>
      <t xml:space="preserve"> Torr. &amp; Gray)</t>
    </r>
  </si>
  <si>
    <r>
      <rPr>
        <sz val="11"/>
        <color theme="1"/>
        <rFont val="Calibri"/>
        <family val="2"/>
        <scheme val="minor"/>
      </rPr>
      <t>Black cherry</t>
    </r>
    <r>
      <rPr>
        <i/>
        <sz val="11"/>
        <color theme="1"/>
        <rFont val="Calibri"/>
        <family val="2"/>
        <scheme val="minor"/>
      </rPr>
      <t xml:space="preserve"> (Prunus serotina </t>
    </r>
    <r>
      <rPr>
        <sz val="11"/>
        <color theme="1"/>
        <rFont val="Calibri"/>
        <family val="2"/>
        <scheme val="minor"/>
      </rPr>
      <t>Ehrh.)</t>
    </r>
  </si>
  <si>
    <r>
      <rPr>
        <sz val="11"/>
        <color theme="1"/>
        <rFont val="Calibri"/>
        <family val="2"/>
        <scheme val="minor"/>
      </rPr>
      <t>White oak</t>
    </r>
    <r>
      <rPr>
        <i/>
        <sz val="11"/>
        <color theme="1"/>
        <rFont val="Calibri"/>
        <family val="2"/>
        <scheme val="minor"/>
      </rPr>
      <t xml:space="preserve"> (Quercus alba</t>
    </r>
    <r>
      <rPr>
        <sz val="11"/>
        <color theme="1"/>
        <rFont val="Calibri"/>
        <family val="2"/>
        <scheme val="minor"/>
      </rPr>
      <t xml:space="preserve"> L.)</t>
    </r>
  </si>
  <si>
    <r>
      <rPr>
        <sz val="11"/>
        <color theme="1"/>
        <rFont val="Calibri"/>
        <family val="2"/>
        <scheme val="minor"/>
      </rPr>
      <t>Northern red oak</t>
    </r>
    <r>
      <rPr>
        <i/>
        <sz val="11"/>
        <color theme="1"/>
        <rFont val="Calibri"/>
        <family val="2"/>
        <scheme val="minor"/>
      </rPr>
      <t xml:space="preserve"> (Quercus rubra</t>
    </r>
    <r>
      <rPr>
        <sz val="11"/>
        <color theme="1"/>
        <rFont val="Calibri"/>
        <family val="2"/>
        <scheme val="minor"/>
      </rPr>
      <t xml:space="preserve"> L.)</t>
    </r>
  </si>
  <si>
    <r>
      <rPr>
        <sz val="11"/>
        <color theme="1"/>
        <rFont val="Calibri"/>
        <family val="2"/>
        <scheme val="minor"/>
      </rPr>
      <t xml:space="preserve">Willow </t>
    </r>
    <r>
      <rPr>
        <i/>
        <sz val="11"/>
        <color theme="1"/>
        <rFont val="Calibri"/>
        <family val="2"/>
        <scheme val="minor"/>
      </rPr>
      <t xml:space="preserve">(Salix </t>
    </r>
    <r>
      <rPr>
        <sz val="11"/>
        <color theme="1"/>
        <rFont val="Calibri"/>
        <family val="2"/>
        <scheme val="minor"/>
      </rPr>
      <t>L.)</t>
    </r>
  </si>
  <si>
    <r>
      <rPr>
        <sz val="11"/>
        <color theme="1"/>
        <rFont val="Calibri"/>
        <family val="2"/>
        <scheme val="minor"/>
      </rPr>
      <t xml:space="preserve">American linden </t>
    </r>
    <r>
      <rPr>
        <i/>
        <sz val="11"/>
        <color theme="1"/>
        <rFont val="Calibri"/>
        <family val="2"/>
        <scheme val="minor"/>
      </rPr>
      <t>(Tilia americana</t>
    </r>
    <r>
      <rPr>
        <sz val="11"/>
        <color theme="1"/>
        <rFont val="Calibri"/>
        <family val="2"/>
        <scheme val="minor"/>
      </rPr>
      <t xml:space="preserve"> L.)</t>
    </r>
  </si>
  <si>
    <r>
      <rPr>
        <sz val="11"/>
        <color theme="1"/>
        <rFont val="Calibri"/>
        <family val="2"/>
        <scheme val="minor"/>
      </rPr>
      <t xml:space="preserve">Elm </t>
    </r>
    <r>
      <rPr>
        <i/>
        <sz val="11"/>
        <color theme="1"/>
        <rFont val="Calibri"/>
        <family val="2"/>
        <scheme val="minor"/>
      </rPr>
      <t>(Ulmus</t>
    </r>
    <r>
      <rPr>
        <sz val="11"/>
        <color theme="1"/>
        <rFont val="Calibri"/>
        <family val="2"/>
        <scheme val="minor"/>
      </rPr>
      <t xml:space="preserve"> L.)</t>
    </r>
  </si>
  <si>
    <r>
      <rPr>
        <sz val="11"/>
        <color theme="1"/>
        <rFont val="Calibri"/>
        <family val="2"/>
        <scheme val="minor"/>
      </rPr>
      <t>Pacific silver fir</t>
    </r>
    <r>
      <rPr>
        <i/>
        <sz val="11"/>
        <color theme="1"/>
        <rFont val="Calibri"/>
        <family val="2"/>
        <scheme val="minor"/>
      </rPr>
      <t xml:space="preserve"> (Abies amabilis</t>
    </r>
    <r>
      <rPr>
        <sz val="11"/>
        <color theme="1"/>
        <rFont val="Calibri"/>
        <family val="2"/>
        <scheme val="minor"/>
      </rPr>
      <t xml:space="preserve"> (Dougl.) Forbes)</t>
    </r>
  </si>
  <si>
    <r>
      <rPr>
        <sz val="11"/>
        <color theme="1"/>
        <rFont val="Calibri"/>
        <family val="2"/>
        <scheme val="minor"/>
      </rPr>
      <t xml:space="preserve">Balsam fir </t>
    </r>
    <r>
      <rPr>
        <i/>
        <sz val="11"/>
        <color theme="1"/>
        <rFont val="Calibri"/>
        <family val="2"/>
        <scheme val="minor"/>
      </rPr>
      <t>(Abies balsamea</t>
    </r>
    <r>
      <rPr>
        <sz val="11"/>
        <color theme="1"/>
        <rFont val="Calibri"/>
        <family val="2"/>
        <scheme val="minor"/>
      </rPr>
      <t xml:space="preserve"> (L.) Mill.)</t>
    </r>
  </si>
  <si>
    <r>
      <rPr>
        <sz val="11"/>
        <color theme="1"/>
        <rFont val="Calibri"/>
        <family val="2"/>
        <scheme val="minor"/>
      </rPr>
      <t xml:space="preserve">Nootka cypress </t>
    </r>
    <r>
      <rPr>
        <i/>
        <sz val="11"/>
        <color theme="1"/>
        <rFont val="Calibri"/>
        <family val="2"/>
        <scheme val="minor"/>
      </rPr>
      <t>(Chamaecyparis nootkatensis</t>
    </r>
    <r>
      <rPr>
        <sz val="11"/>
        <color theme="1"/>
        <rFont val="Calibri"/>
        <family val="2"/>
        <scheme val="minor"/>
      </rPr>
      <t xml:space="preserve"> (D. Don) Spach)</t>
    </r>
  </si>
  <si>
    <r>
      <rPr>
        <sz val="11"/>
        <color theme="1"/>
        <rFont val="Calibri"/>
        <family val="2"/>
        <scheme val="minor"/>
      </rPr>
      <t>Red cedar</t>
    </r>
    <r>
      <rPr>
        <i/>
        <sz val="11"/>
        <color theme="1"/>
        <rFont val="Calibri"/>
        <family val="2"/>
        <scheme val="minor"/>
      </rPr>
      <t xml:space="preserve"> (Juniperus virginiana </t>
    </r>
    <r>
      <rPr>
        <sz val="11"/>
        <color theme="1"/>
        <rFont val="Calibri"/>
        <family val="2"/>
        <scheme val="minor"/>
      </rPr>
      <t>L.)</t>
    </r>
  </si>
  <si>
    <r>
      <rPr>
        <sz val="11"/>
        <color theme="1"/>
        <rFont val="Calibri"/>
        <family val="2"/>
        <scheme val="minor"/>
      </rPr>
      <t xml:space="preserve">American larch </t>
    </r>
    <r>
      <rPr>
        <i/>
        <sz val="11"/>
        <color theme="1"/>
        <rFont val="Calibri"/>
        <family val="2"/>
        <scheme val="minor"/>
      </rPr>
      <t>(Larix laricina</t>
    </r>
    <r>
      <rPr>
        <sz val="11"/>
        <color theme="1"/>
        <rFont val="Calibri"/>
        <family val="2"/>
        <scheme val="minor"/>
      </rPr>
      <t xml:space="preserve"> (Du Roi) K. Koch)</t>
    </r>
  </si>
  <si>
    <r>
      <rPr>
        <sz val="11"/>
        <color theme="1"/>
        <rFont val="Calibri"/>
        <family val="2"/>
        <scheme val="minor"/>
      </rPr>
      <t xml:space="preserve">Western larch </t>
    </r>
    <r>
      <rPr>
        <i/>
        <sz val="11"/>
        <color theme="1"/>
        <rFont val="Calibri"/>
        <family val="2"/>
        <scheme val="minor"/>
      </rPr>
      <t>(Larix occidentalis</t>
    </r>
    <r>
      <rPr>
        <sz val="11"/>
        <color theme="1"/>
        <rFont val="Calibri"/>
        <family val="2"/>
        <scheme val="minor"/>
      </rPr>
      <t xml:space="preserve"> Nutt.)</t>
    </r>
  </si>
  <si>
    <r>
      <rPr>
        <sz val="11"/>
        <color theme="1"/>
        <rFont val="Calibri"/>
        <family val="2"/>
        <scheme val="minor"/>
      </rPr>
      <t xml:space="preserve">White spruce </t>
    </r>
    <r>
      <rPr>
        <i/>
        <sz val="11"/>
        <color theme="1"/>
        <rFont val="Calibri"/>
        <family val="2"/>
        <scheme val="minor"/>
      </rPr>
      <t>(Picea glauca</t>
    </r>
    <r>
      <rPr>
        <sz val="11"/>
        <color theme="1"/>
        <rFont val="Calibri"/>
        <family val="2"/>
        <scheme val="minor"/>
      </rPr>
      <t xml:space="preserve"> (Moench) Voss)</t>
    </r>
  </si>
  <si>
    <r>
      <rPr>
        <sz val="11"/>
        <color theme="1"/>
        <rFont val="Calibri"/>
        <family val="2"/>
        <scheme val="minor"/>
      </rPr>
      <t xml:space="preserve">Sitka spruce </t>
    </r>
    <r>
      <rPr>
        <i/>
        <sz val="11"/>
        <color theme="1"/>
        <rFont val="Calibri"/>
        <family val="2"/>
        <scheme val="minor"/>
      </rPr>
      <t>(Picea sitchensis</t>
    </r>
    <r>
      <rPr>
        <sz val="11"/>
        <color theme="1"/>
        <rFont val="Calibri"/>
        <family val="2"/>
        <scheme val="minor"/>
      </rPr>
      <t xml:space="preserve"> (Bong.) Carr.)</t>
    </r>
  </si>
  <si>
    <r>
      <rPr>
        <sz val="11"/>
        <color theme="1"/>
        <rFont val="Calibri"/>
        <family val="2"/>
        <scheme val="minor"/>
      </rPr>
      <t xml:space="preserve">Jack pine </t>
    </r>
    <r>
      <rPr>
        <i/>
        <sz val="11"/>
        <color theme="1"/>
        <rFont val="Calibri"/>
        <family val="2"/>
        <scheme val="minor"/>
      </rPr>
      <t>(Pinus banksiana</t>
    </r>
    <r>
      <rPr>
        <sz val="11"/>
        <color theme="1"/>
        <rFont val="Calibri"/>
        <family val="2"/>
        <scheme val="minor"/>
      </rPr>
      <t xml:space="preserve"> Lamb.)</t>
    </r>
  </si>
  <si>
    <r>
      <rPr>
        <sz val="11"/>
        <color theme="1"/>
        <rFont val="Calibri"/>
        <family val="2"/>
        <scheme val="minor"/>
      </rPr>
      <t xml:space="preserve">Lodgepole pine </t>
    </r>
    <r>
      <rPr>
        <i/>
        <sz val="11"/>
        <color theme="1"/>
        <rFont val="Calibri"/>
        <family val="2"/>
        <scheme val="minor"/>
      </rPr>
      <t>(Pinus contorta</t>
    </r>
    <r>
      <rPr>
        <sz val="11"/>
        <color theme="1"/>
        <rFont val="Calibri"/>
        <family val="2"/>
        <scheme val="minor"/>
      </rPr>
      <t xml:space="preserve"> Dougl.)</t>
    </r>
  </si>
  <si>
    <r>
      <rPr>
        <sz val="11"/>
        <color theme="1"/>
        <rFont val="Calibri"/>
        <family val="2"/>
        <scheme val="minor"/>
      </rPr>
      <t xml:space="preserve">Ponderosa pine </t>
    </r>
    <r>
      <rPr>
        <i/>
        <sz val="11"/>
        <color theme="1"/>
        <rFont val="Calibri"/>
        <family val="2"/>
        <scheme val="minor"/>
      </rPr>
      <t>(Pinus ponderosa</t>
    </r>
    <r>
      <rPr>
        <sz val="11"/>
        <color theme="1"/>
        <rFont val="Calibri"/>
        <family val="2"/>
        <scheme val="minor"/>
      </rPr>
      <t xml:space="preserve"> Laws.)</t>
    </r>
  </si>
  <si>
    <r>
      <rPr>
        <sz val="11"/>
        <color theme="1"/>
        <rFont val="Calibri"/>
        <family val="2"/>
        <scheme val="minor"/>
      </rPr>
      <t xml:space="preserve">Red pine </t>
    </r>
    <r>
      <rPr>
        <i/>
        <sz val="11"/>
        <color theme="1"/>
        <rFont val="Calibri"/>
        <family val="2"/>
        <scheme val="minor"/>
      </rPr>
      <t>(Pinus resinosa</t>
    </r>
    <r>
      <rPr>
        <sz val="11"/>
        <color theme="1"/>
        <rFont val="Calibri"/>
        <family val="2"/>
        <scheme val="minor"/>
      </rPr>
      <t xml:space="preserve"> Ait.)</t>
    </r>
  </si>
  <si>
    <r>
      <rPr>
        <sz val="11"/>
        <color theme="1"/>
        <rFont val="Calibri"/>
        <family val="2"/>
        <scheme val="minor"/>
      </rPr>
      <t xml:space="preserve">Weymouth pine </t>
    </r>
    <r>
      <rPr>
        <i/>
        <sz val="11"/>
        <color theme="1"/>
        <rFont val="Calibri"/>
        <family val="2"/>
        <scheme val="minor"/>
      </rPr>
      <t>(Pinus strobus</t>
    </r>
    <r>
      <rPr>
        <sz val="11"/>
        <color theme="1"/>
        <rFont val="Calibri"/>
        <family val="2"/>
        <scheme val="minor"/>
      </rPr>
      <t xml:space="preserve"> L.)</t>
    </r>
  </si>
  <si>
    <r>
      <rPr>
        <sz val="11"/>
        <color theme="1"/>
        <rFont val="Calibri"/>
        <family val="2"/>
        <scheme val="minor"/>
      </rPr>
      <t xml:space="preserve">Douglas fir </t>
    </r>
    <r>
      <rPr>
        <i/>
        <sz val="11"/>
        <color theme="1"/>
        <rFont val="Calibri"/>
        <family val="2"/>
        <scheme val="minor"/>
      </rPr>
      <t>(Pseudotsuga menziesii</t>
    </r>
    <r>
      <rPr>
        <sz val="11"/>
        <color theme="1"/>
        <rFont val="Calibri"/>
        <family val="2"/>
        <scheme val="minor"/>
      </rPr>
      <t xml:space="preserve"> (Mirb.) Franco)</t>
    </r>
  </si>
  <si>
    <r>
      <rPr>
        <sz val="11"/>
        <color theme="1"/>
        <rFont val="Calibri"/>
        <family val="2"/>
        <scheme val="minor"/>
      </rPr>
      <t xml:space="preserve">Northern white cedar </t>
    </r>
    <r>
      <rPr>
        <i/>
        <sz val="11"/>
        <color theme="1"/>
        <rFont val="Calibri"/>
        <family val="2"/>
        <scheme val="minor"/>
      </rPr>
      <t>(Thuja occidentalis</t>
    </r>
    <r>
      <rPr>
        <sz val="11"/>
        <color theme="1"/>
        <rFont val="Calibri"/>
        <family val="2"/>
        <scheme val="minor"/>
      </rPr>
      <t xml:space="preserve"> L.)</t>
    </r>
  </si>
  <si>
    <r>
      <rPr>
        <sz val="11"/>
        <color theme="1"/>
        <rFont val="Calibri"/>
        <family val="2"/>
        <scheme val="minor"/>
      </rPr>
      <t xml:space="preserve">Western red cedar </t>
    </r>
    <r>
      <rPr>
        <i/>
        <sz val="11"/>
        <color theme="1"/>
        <rFont val="Calibri"/>
        <family val="2"/>
        <scheme val="minor"/>
      </rPr>
      <t>(Thuja plicata</t>
    </r>
    <r>
      <rPr>
        <sz val="11"/>
        <color theme="1"/>
        <rFont val="Calibri"/>
        <family val="2"/>
        <scheme val="minor"/>
      </rPr>
      <t xml:space="preserve"> Donn)</t>
    </r>
  </si>
  <si>
    <r>
      <rPr>
        <sz val="11"/>
        <color theme="1"/>
        <rFont val="Calibri"/>
        <family val="2"/>
        <scheme val="minor"/>
      </rPr>
      <t xml:space="preserve">Canadian hemlock </t>
    </r>
    <r>
      <rPr>
        <i/>
        <sz val="11"/>
        <color theme="1"/>
        <rFont val="Calibri"/>
        <family val="2"/>
        <scheme val="minor"/>
      </rPr>
      <t>(Tsuga canadensis</t>
    </r>
    <r>
      <rPr>
        <sz val="11"/>
        <color theme="1"/>
        <rFont val="Calibri"/>
        <family val="2"/>
        <scheme val="minor"/>
      </rPr>
      <t xml:space="preserve"> (L.))</t>
    </r>
  </si>
  <si>
    <r>
      <rPr>
        <sz val="11"/>
        <color theme="1"/>
        <rFont val="Calibri"/>
        <family val="2"/>
        <scheme val="minor"/>
      </rPr>
      <t xml:space="preserve">Western hemlock </t>
    </r>
    <r>
      <rPr>
        <i/>
        <sz val="11"/>
        <color theme="1"/>
        <rFont val="Calibri"/>
        <family val="2"/>
        <scheme val="minor"/>
      </rPr>
      <t>(Tsuga heterophylla</t>
    </r>
    <r>
      <rPr>
        <sz val="11"/>
        <color theme="1"/>
        <rFont val="Calibri"/>
        <family val="2"/>
        <scheme val="minor"/>
      </rPr>
      <t xml:space="preserve"> (Raf.) Sarg.)</t>
    </r>
  </si>
  <si>
    <r>
      <rPr>
        <sz val="11"/>
        <color theme="1"/>
        <rFont val="Calibri"/>
        <family val="2"/>
        <scheme val="minor"/>
      </rPr>
      <t xml:space="preserve">Giant redwood </t>
    </r>
    <r>
      <rPr>
        <i/>
        <sz val="11"/>
        <color theme="1"/>
        <rFont val="Calibri"/>
        <family val="2"/>
        <scheme val="minor"/>
      </rPr>
      <t>(Sequoiadendron giganteum</t>
    </r>
    <r>
      <rPr>
        <sz val="11"/>
        <color theme="1"/>
        <rFont val="Calibri"/>
        <family val="2"/>
        <scheme val="minor"/>
      </rPr>
      <t xml:space="preserve"> (Lindl.) Bucholz (hw))</t>
    </r>
  </si>
  <si>
    <t xml:space="preserve">Deciduous trees </t>
  </si>
  <si>
    <t>Coniferous trees</t>
  </si>
  <si>
    <t>Average:</t>
  </si>
  <si>
    <t>Estimated C-%</t>
  </si>
  <si>
    <r>
      <t>Abachi (</t>
    </r>
    <r>
      <rPr>
        <i/>
        <sz val="11"/>
        <color theme="1"/>
        <rFont val="Calibri"/>
        <family val="2"/>
        <scheme val="minor"/>
      </rPr>
      <t>Triplchiton scleroxylon</t>
    </r>
    <r>
      <rPr>
        <sz val="11"/>
        <color theme="1"/>
        <rFont val="Calibri"/>
        <family val="2"/>
        <scheme val="minor"/>
      </rPr>
      <t>)</t>
    </r>
  </si>
  <si>
    <r>
      <t>Abuirana (</t>
    </r>
    <r>
      <rPr>
        <i/>
        <sz val="11"/>
        <color theme="1"/>
        <rFont val="Calibri"/>
        <family val="2"/>
        <scheme val="minor"/>
      </rPr>
      <t>Pouteria spp</t>
    </r>
    <r>
      <rPr>
        <sz val="11"/>
        <color theme="1"/>
        <rFont val="Calibri"/>
        <family val="2"/>
        <scheme val="minor"/>
      </rPr>
      <t>)</t>
    </r>
  </si>
  <si>
    <r>
      <t>Acapu / Bruinhart (</t>
    </r>
    <r>
      <rPr>
        <i/>
        <sz val="11"/>
        <color theme="1"/>
        <rFont val="Calibri"/>
        <family val="2"/>
        <scheme val="minor"/>
      </rPr>
      <t>Vouacapoua americana</t>
    </r>
    <r>
      <rPr>
        <sz val="11"/>
        <color theme="1"/>
        <rFont val="Calibri"/>
        <family val="2"/>
        <scheme val="minor"/>
      </rPr>
      <t>)</t>
    </r>
  </si>
  <si>
    <r>
      <t>Afzelia - Doussié (</t>
    </r>
    <r>
      <rPr>
        <i/>
        <sz val="11"/>
        <color theme="1"/>
        <rFont val="Calibri"/>
        <family val="2"/>
        <scheme val="minor"/>
      </rPr>
      <t>Afzelia bipindensis</t>
    </r>
    <r>
      <rPr>
        <sz val="11"/>
        <color theme="1"/>
        <rFont val="Calibri"/>
        <family val="2"/>
        <scheme val="minor"/>
      </rPr>
      <t>)</t>
    </r>
  </si>
  <si>
    <r>
      <t>Aldina / Sucupira vermelho (</t>
    </r>
    <r>
      <rPr>
        <i/>
        <sz val="11"/>
        <color theme="1"/>
        <rFont val="Calibri"/>
        <family val="2"/>
        <scheme val="minor"/>
      </rPr>
      <t>Aldina heterophylla</t>
    </r>
    <r>
      <rPr>
        <sz val="11"/>
        <color theme="1"/>
        <rFont val="Calibri"/>
        <family val="2"/>
        <scheme val="minor"/>
      </rPr>
      <t>)</t>
    </r>
  </si>
  <si>
    <r>
      <t>Angelim pedra / Sapupira (</t>
    </r>
    <r>
      <rPr>
        <i/>
        <sz val="11"/>
        <color theme="1"/>
        <rFont val="Calibri"/>
        <family val="2"/>
        <scheme val="minor"/>
      </rPr>
      <t>Hymenolobium spp.</t>
    </r>
    <r>
      <rPr>
        <sz val="11"/>
        <color theme="1"/>
        <rFont val="Calibri"/>
        <family val="2"/>
        <scheme val="minor"/>
      </rPr>
      <t>)</t>
    </r>
  </si>
  <si>
    <r>
      <t>Angelim vermelho (</t>
    </r>
    <r>
      <rPr>
        <i/>
        <sz val="11"/>
        <color theme="1"/>
        <rFont val="Calibri"/>
        <family val="2"/>
        <scheme val="minor"/>
      </rPr>
      <t>Dinizia spp.</t>
    </r>
    <r>
      <rPr>
        <sz val="11"/>
        <color theme="1"/>
        <rFont val="Calibri"/>
        <family val="2"/>
        <scheme val="minor"/>
      </rPr>
      <t>)</t>
    </r>
  </si>
  <si>
    <r>
      <t>Araracanga (</t>
    </r>
    <r>
      <rPr>
        <i/>
        <sz val="11"/>
        <color theme="1"/>
        <rFont val="Calibri"/>
        <family val="2"/>
        <scheme val="minor"/>
      </rPr>
      <t>Aspidosperma spp.</t>
    </r>
    <r>
      <rPr>
        <sz val="11"/>
        <color theme="1"/>
        <rFont val="Calibri"/>
        <family val="2"/>
        <scheme val="minor"/>
      </rPr>
      <t>)</t>
    </r>
  </si>
  <si>
    <r>
      <t>Ayous (</t>
    </r>
    <r>
      <rPr>
        <i/>
        <sz val="11"/>
        <color theme="1"/>
        <rFont val="Calibri"/>
        <family val="2"/>
        <scheme val="minor"/>
      </rPr>
      <t>Triplchiton scleroxylon</t>
    </r>
    <r>
      <rPr>
        <sz val="11"/>
        <color theme="1"/>
        <rFont val="Calibri"/>
        <family val="2"/>
        <scheme val="minor"/>
      </rPr>
      <t>)</t>
    </r>
  </si>
  <si>
    <r>
      <t>Azobé (</t>
    </r>
    <r>
      <rPr>
        <i/>
        <sz val="11"/>
        <color theme="1"/>
        <rFont val="Calibri"/>
        <family val="2"/>
        <scheme val="minor"/>
      </rPr>
      <t>Lophira alata</t>
    </r>
    <r>
      <rPr>
        <sz val="11"/>
        <color theme="1"/>
        <rFont val="Calibri"/>
        <family val="2"/>
        <scheme val="minor"/>
      </rPr>
      <t>)</t>
    </r>
  </si>
  <si>
    <r>
      <t>Bangkirai (</t>
    </r>
    <r>
      <rPr>
        <i/>
        <sz val="11"/>
        <color theme="1"/>
        <rFont val="Calibri"/>
        <family val="2"/>
        <scheme val="minor"/>
      </rPr>
      <t>Shorea spp.</t>
    </r>
    <r>
      <rPr>
        <sz val="11"/>
        <color theme="1"/>
        <rFont val="Calibri"/>
        <family val="2"/>
        <scheme val="minor"/>
      </rPr>
      <t>)</t>
    </r>
  </si>
  <si>
    <r>
      <t>Basralocus (</t>
    </r>
    <r>
      <rPr>
        <i/>
        <sz val="11"/>
        <color theme="1"/>
        <rFont val="Calibri"/>
        <family val="2"/>
        <scheme val="minor"/>
      </rPr>
      <t>Dycorinia guianensis</t>
    </r>
    <r>
      <rPr>
        <sz val="11"/>
        <color theme="1"/>
        <rFont val="Calibri"/>
        <family val="2"/>
        <scheme val="minor"/>
      </rPr>
      <t>)</t>
    </r>
  </si>
  <si>
    <r>
      <t>Berken (</t>
    </r>
    <r>
      <rPr>
        <i/>
        <sz val="11"/>
        <color theme="1"/>
        <rFont val="Calibri"/>
        <family val="2"/>
        <scheme val="minor"/>
      </rPr>
      <t>Betula spp.</t>
    </r>
    <r>
      <rPr>
        <sz val="11"/>
        <color theme="1"/>
        <rFont val="Calibri"/>
        <family val="2"/>
        <scheme val="minor"/>
      </rPr>
      <t>)</t>
    </r>
  </si>
  <si>
    <r>
      <t>Beuken (</t>
    </r>
    <r>
      <rPr>
        <i/>
        <sz val="11"/>
        <color theme="1"/>
        <rFont val="Calibri"/>
        <family val="2"/>
        <scheme val="minor"/>
      </rPr>
      <t>Fagus sylvatica</t>
    </r>
    <r>
      <rPr>
        <sz val="11"/>
        <color theme="1"/>
        <rFont val="Calibri"/>
        <family val="2"/>
        <scheme val="minor"/>
      </rPr>
      <t>)</t>
    </r>
  </si>
  <si>
    <r>
      <t>Bilinga (</t>
    </r>
    <r>
      <rPr>
        <i/>
        <sz val="11"/>
        <color theme="1"/>
        <rFont val="Calibri"/>
        <family val="2"/>
        <scheme val="minor"/>
      </rPr>
      <t>Nauclea spec. div.</t>
    </r>
    <r>
      <rPr>
        <sz val="11"/>
        <color theme="1"/>
        <rFont val="Calibri"/>
        <family val="2"/>
        <scheme val="minor"/>
      </rPr>
      <t>)</t>
    </r>
  </si>
  <si>
    <r>
      <t>Bintangor (</t>
    </r>
    <r>
      <rPr>
        <i/>
        <sz val="11"/>
        <color theme="1"/>
        <rFont val="Calibri"/>
        <family val="2"/>
        <scheme val="minor"/>
      </rPr>
      <t>Calophyllum spp.</t>
    </r>
    <r>
      <rPr>
        <sz val="11"/>
        <color theme="1"/>
        <rFont val="Calibri"/>
        <family val="2"/>
        <scheme val="minor"/>
      </rPr>
      <t>)</t>
    </r>
  </si>
  <si>
    <r>
      <t>Bossé (</t>
    </r>
    <r>
      <rPr>
        <i/>
        <sz val="11"/>
        <color theme="1"/>
        <rFont val="Calibri"/>
        <family val="2"/>
        <scheme val="minor"/>
      </rPr>
      <t>Guarea cedrata</t>
    </r>
    <r>
      <rPr>
        <sz val="11"/>
        <color theme="1"/>
        <rFont val="Calibri"/>
        <family val="2"/>
        <scheme val="minor"/>
      </rPr>
      <t>)</t>
    </r>
  </si>
  <si>
    <r>
      <t>Californian redwood (</t>
    </r>
    <r>
      <rPr>
        <i/>
        <sz val="11"/>
        <color theme="1"/>
        <rFont val="Calibri"/>
        <family val="2"/>
        <scheme val="minor"/>
      </rPr>
      <t>Sequoia sempervirens</t>
    </r>
    <r>
      <rPr>
        <sz val="11"/>
        <color theme="1"/>
        <rFont val="Calibri"/>
        <family val="2"/>
        <scheme val="minor"/>
      </rPr>
      <t>)</t>
    </r>
  </si>
  <si>
    <r>
      <t>Ceder (</t>
    </r>
    <r>
      <rPr>
        <i/>
        <sz val="11"/>
        <color theme="1"/>
        <rFont val="Calibri"/>
        <family val="2"/>
        <scheme val="minor"/>
      </rPr>
      <t>Cedrela odorata</t>
    </r>
    <r>
      <rPr>
        <sz val="11"/>
        <color theme="1"/>
        <rFont val="Calibri"/>
        <family val="2"/>
        <scheme val="minor"/>
      </rPr>
      <t>)</t>
    </r>
  </si>
  <si>
    <r>
      <t>Cedrorana (</t>
    </r>
    <r>
      <rPr>
        <i/>
        <sz val="11"/>
        <color theme="1"/>
        <rFont val="Calibri"/>
        <family val="2"/>
        <scheme val="minor"/>
      </rPr>
      <t>Cedrelinga catenaeformis</t>
    </r>
    <r>
      <rPr>
        <sz val="11"/>
        <color theme="1"/>
        <rFont val="Calibri"/>
        <family val="2"/>
        <scheme val="minor"/>
      </rPr>
      <t>)</t>
    </r>
  </si>
  <si>
    <r>
      <t>Congo Khaya (</t>
    </r>
    <r>
      <rPr>
        <i/>
        <sz val="11"/>
        <color theme="1"/>
        <rFont val="Calibri"/>
        <family val="2"/>
        <scheme val="minor"/>
      </rPr>
      <t>Khaya grandifoliola</t>
    </r>
    <r>
      <rPr>
        <sz val="11"/>
        <color theme="1"/>
        <rFont val="Calibri"/>
        <family val="2"/>
        <scheme val="minor"/>
      </rPr>
      <t>)</t>
    </r>
  </si>
  <si>
    <r>
      <t>Courbaril / Jatoba (</t>
    </r>
    <r>
      <rPr>
        <i/>
        <sz val="11"/>
        <color theme="1"/>
        <rFont val="Calibri"/>
        <family val="2"/>
        <scheme val="minor"/>
      </rPr>
      <t>Hymynea spp.</t>
    </r>
    <r>
      <rPr>
        <sz val="11"/>
        <color theme="1"/>
        <rFont val="Calibri"/>
        <family val="2"/>
        <scheme val="minor"/>
      </rPr>
      <t>)</t>
    </r>
  </si>
  <si>
    <r>
      <t>Cumaru (</t>
    </r>
    <r>
      <rPr>
        <i/>
        <sz val="11"/>
        <color theme="1"/>
        <rFont val="Calibri"/>
        <family val="2"/>
        <scheme val="minor"/>
      </rPr>
      <t>Dypteryx odorata</t>
    </r>
    <r>
      <rPr>
        <sz val="11"/>
        <color theme="1"/>
        <rFont val="Calibri"/>
        <family val="2"/>
        <scheme val="minor"/>
      </rPr>
      <t>)</t>
    </r>
  </si>
  <si>
    <r>
      <t>Cupiúba /Kopie (</t>
    </r>
    <r>
      <rPr>
        <i/>
        <sz val="11"/>
        <color theme="1"/>
        <rFont val="Calibri"/>
        <family val="2"/>
        <scheme val="minor"/>
      </rPr>
      <t>Goupia glabra</t>
    </r>
    <r>
      <rPr>
        <sz val="11"/>
        <color theme="1"/>
        <rFont val="Calibri"/>
        <family val="2"/>
        <scheme val="minor"/>
      </rPr>
      <t>)</t>
    </r>
  </si>
  <si>
    <r>
      <t>Curupay (</t>
    </r>
    <r>
      <rPr>
        <i/>
        <sz val="11"/>
        <color theme="1"/>
        <rFont val="Calibri"/>
        <family val="2"/>
        <scheme val="minor"/>
      </rPr>
      <t>Anadenanthera colubrina</t>
    </r>
    <r>
      <rPr>
        <sz val="11"/>
        <color theme="1"/>
        <rFont val="Calibri"/>
        <family val="2"/>
        <scheme val="minor"/>
      </rPr>
      <t>)</t>
    </r>
  </si>
  <si>
    <r>
      <t>Demerare groenhart (</t>
    </r>
    <r>
      <rPr>
        <i/>
        <sz val="11"/>
        <color theme="1"/>
        <rFont val="Calibri"/>
        <family val="2"/>
        <scheme val="minor"/>
      </rPr>
      <t>Chlorocardium rodiei</t>
    </r>
    <r>
      <rPr>
        <sz val="11"/>
        <color theme="1"/>
        <rFont val="Calibri"/>
        <family val="2"/>
        <scheme val="minor"/>
      </rPr>
      <t>)</t>
    </r>
  </si>
  <si>
    <r>
      <t>Dennen (</t>
    </r>
    <r>
      <rPr>
        <i/>
        <sz val="11"/>
        <color theme="1"/>
        <rFont val="Calibri"/>
        <family val="2"/>
        <scheme val="minor"/>
      </rPr>
      <t>Abies spp</t>
    </r>
    <r>
      <rPr>
        <sz val="11"/>
        <color theme="1"/>
        <rFont val="Calibri"/>
        <family val="2"/>
        <scheme val="minor"/>
      </rPr>
      <t>)</t>
    </r>
  </si>
  <si>
    <r>
      <t>Douglas (</t>
    </r>
    <r>
      <rPr>
        <i/>
        <sz val="11"/>
        <color theme="1"/>
        <rFont val="Calibri"/>
        <family val="2"/>
        <scheme val="minor"/>
      </rPr>
      <t>Pseudotsuga menziesii</t>
    </r>
    <r>
      <rPr>
        <sz val="11"/>
        <color theme="1"/>
        <rFont val="Calibri"/>
        <family val="2"/>
        <scheme val="minor"/>
      </rPr>
      <t>)</t>
    </r>
  </si>
  <si>
    <r>
      <t>Esdoorn (</t>
    </r>
    <r>
      <rPr>
        <i/>
        <sz val="11"/>
        <color theme="1"/>
        <rFont val="Calibri"/>
        <family val="2"/>
        <scheme val="minor"/>
      </rPr>
      <t>Acer spp.</t>
    </r>
    <r>
      <rPr>
        <sz val="11"/>
        <color theme="1"/>
        <rFont val="Calibri"/>
        <family val="2"/>
        <scheme val="minor"/>
      </rPr>
      <t>)</t>
    </r>
  </si>
  <si>
    <r>
      <t>Essen (</t>
    </r>
    <r>
      <rPr>
        <i/>
        <sz val="11"/>
        <color theme="1"/>
        <rFont val="Calibri"/>
        <family val="2"/>
        <scheme val="minor"/>
      </rPr>
      <t>Fraxinus spp</t>
    </r>
    <r>
      <rPr>
        <sz val="11"/>
        <color theme="1"/>
        <rFont val="Calibri"/>
        <family val="2"/>
        <scheme val="minor"/>
      </rPr>
      <t>)</t>
    </r>
  </si>
  <si>
    <r>
      <t>Europees eiken (</t>
    </r>
    <r>
      <rPr>
        <i/>
        <sz val="11"/>
        <color theme="1"/>
        <rFont val="Calibri"/>
        <family val="2"/>
        <scheme val="minor"/>
      </rPr>
      <t>Quercus spp.</t>
    </r>
    <r>
      <rPr>
        <sz val="11"/>
        <color theme="1"/>
        <rFont val="Calibri"/>
        <family val="2"/>
        <scheme val="minor"/>
      </rPr>
      <t>)</t>
    </r>
  </si>
  <si>
    <r>
      <t>Fraké (</t>
    </r>
    <r>
      <rPr>
        <i/>
        <sz val="11"/>
        <color theme="1"/>
        <rFont val="Calibri"/>
        <family val="2"/>
        <scheme val="minor"/>
      </rPr>
      <t>Terminalia superba</t>
    </r>
    <r>
      <rPr>
        <sz val="11"/>
        <color theme="1"/>
        <rFont val="Calibri"/>
        <family val="2"/>
        <scheme val="minor"/>
      </rPr>
      <t>)</t>
    </r>
  </si>
  <si>
    <r>
      <t>Gonsalo alves (</t>
    </r>
    <r>
      <rPr>
        <i/>
        <sz val="11"/>
        <color theme="1"/>
        <rFont val="Calibri"/>
        <family val="2"/>
        <scheme val="minor"/>
      </rPr>
      <t>Astrionium spp.</t>
    </r>
    <r>
      <rPr>
        <sz val="11"/>
        <color theme="1"/>
        <rFont val="Calibri"/>
        <family val="2"/>
        <scheme val="minor"/>
      </rPr>
      <t>)</t>
    </r>
  </si>
  <si>
    <r>
      <t>Grenen (</t>
    </r>
    <r>
      <rPr>
        <i/>
        <sz val="11"/>
        <color theme="1"/>
        <rFont val="Calibri"/>
        <family val="2"/>
        <scheme val="minor"/>
      </rPr>
      <t>Pinus sylvestris</t>
    </r>
    <r>
      <rPr>
        <sz val="11"/>
        <color theme="1"/>
        <rFont val="Calibri"/>
        <family val="2"/>
        <scheme val="minor"/>
      </rPr>
      <t>)</t>
    </r>
  </si>
  <si>
    <r>
      <t>Guariuba (</t>
    </r>
    <r>
      <rPr>
        <i/>
        <sz val="11"/>
        <color theme="1"/>
        <rFont val="Calibri"/>
        <family val="2"/>
        <scheme val="minor"/>
      </rPr>
      <t>Clarisia racemosa</t>
    </r>
    <r>
      <rPr>
        <sz val="11"/>
        <color theme="1"/>
        <rFont val="Calibri"/>
        <family val="2"/>
        <scheme val="minor"/>
      </rPr>
      <t>)</t>
    </r>
  </si>
  <si>
    <r>
      <t>Ipé (</t>
    </r>
    <r>
      <rPr>
        <i/>
        <sz val="11"/>
        <color theme="1"/>
        <rFont val="Calibri"/>
        <family val="2"/>
        <scheme val="minor"/>
      </rPr>
      <t>Handroanthus spec. div.</t>
    </r>
    <r>
      <rPr>
        <sz val="11"/>
        <color theme="1"/>
        <rFont val="Calibri"/>
        <family val="2"/>
        <scheme val="minor"/>
      </rPr>
      <t>)</t>
    </r>
  </si>
  <si>
    <r>
      <t>Iroko (</t>
    </r>
    <r>
      <rPr>
        <i/>
        <sz val="11"/>
        <color theme="1"/>
        <rFont val="Calibri"/>
        <family val="2"/>
        <scheme val="minor"/>
      </rPr>
      <t>Milicia excelsa, M. regia</t>
    </r>
    <r>
      <rPr>
        <sz val="11"/>
        <color theme="1"/>
        <rFont val="Calibri"/>
        <family val="2"/>
        <scheme val="minor"/>
      </rPr>
      <t>)</t>
    </r>
  </si>
  <si>
    <r>
      <t>Itauba (</t>
    </r>
    <r>
      <rPr>
        <i/>
        <sz val="11"/>
        <color theme="1"/>
        <rFont val="Calibri"/>
        <family val="2"/>
        <scheme val="minor"/>
      </rPr>
      <t>Mezilaurus ita-uba</t>
    </r>
    <r>
      <rPr>
        <sz val="11"/>
        <color theme="1"/>
        <rFont val="Calibri"/>
        <family val="2"/>
        <scheme val="minor"/>
      </rPr>
      <t>)</t>
    </r>
  </si>
  <si>
    <r>
      <t>Karri (</t>
    </r>
    <r>
      <rPr>
        <i/>
        <sz val="11"/>
        <color theme="1"/>
        <rFont val="Calibri"/>
        <family val="2"/>
        <scheme val="minor"/>
      </rPr>
      <t>Eucalyptus diversicolor</t>
    </r>
    <r>
      <rPr>
        <sz val="11"/>
        <color theme="1"/>
        <rFont val="Calibri"/>
        <family val="2"/>
        <scheme val="minor"/>
      </rPr>
      <t>)</t>
    </r>
  </si>
  <si>
    <r>
      <t>Kosipo(-mahonie) (</t>
    </r>
    <r>
      <rPr>
        <i/>
        <sz val="11"/>
        <color theme="1"/>
        <rFont val="Calibri"/>
        <family val="2"/>
        <scheme val="minor"/>
      </rPr>
      <t>Entandrophragma candollei</t>
    </r>
    <r>
      <rPr>
        <sz val="11"/>
        <color theme="1"/>
        <rFont val="Calibri"/>
        <family val="2"/>
        <scheme val="minor"/>
      </rPr>
      <t>)</t>
    </r>
  </si>
  <si>
    <r>
      <t>Lariks (</t>
    </r>
    <r>
      <rPr>
        <i/>
        <sz val="11"/>
        <color theme="1"/>
        <rFont val="Calibri"/>
        <family val="2"/>
        <scheme val="minor"/>
      </rPr>
      <t>Larix decidua</t>
    </r>
    <r>
      <rPr>
        <sz val="11"/>
        <color theme="1"/>
        <rFont val="Calibri"/>
        <family val="2"/>
        <scheme val="minor"/>
      </rPr>
      <t>)</t>
    </r>
  </si>
  <si>
    <r>
      <t>Lauan, red (</t>
    </r>
    <r>
      <rPr>
        <i/>
        <sz val="11"/>
        <color theme="1"/>
        <rFont val="Calibri"/>
        <family val="2"/>
        <scheme val="minor"/>
      </rPr>
      <t>Shorea negrosensis</t>
    </r>
    <r>
      <rPr>
        <sz val="11"/>
        <color theme="1"/>
        <rFont val="Calibri"/>
        <family val="2"/>
        <scheme val="minor"/>
      </rPr>
      <t>)</t>
    </r>
  </si>
  <si>
    <r>
      <t>Limba (</t>
    </r>
    <r>
      <rPr>
        <i/>
        <sz val="11"/>
        <color theme="1"/>
        <rFont val="Calibri"/>
        <family val="2"/>
        <scheme val="minor"/>
      </rPr>
      <t>Terminalia superba</t>
    </r>
    <r>
      <rPr>
        <sz val="11"/>
        <color theme="1"/>
        <rFont val="Calibri"/>
        <family val="2"/>
        <scheme val="minor"/>
      </rPr>
      <t>)</t>
    </r>
  </si>
  <si>
    <r>
      <t>Louro gamela / Louro vermelho (</t>
    </r>
    <r>
      <rPr>
        <i/>
        <sz val="11"/>
        <color theme="1"/>
        <rFont val="Calibri"/>
        <family val="2"/>
        <scheme val="minor"/>
      </rPr>
      <t>Sextonia rubra</t>
    </r>
    <r>
      <rPr>
        <sz val="11"/>
        <color theme="1"/>
        <rFont val="Calibri"/>
        <family val="2"/>
        <scheme val="minor"/>
      </rPr>
      <t>)</t>
    </r>
  </si>
  <si>
    <r>
      <t>Makoré (</t>
    </r>
    <r>
      <rPr>
        <i/>
        <sz val="11"/>
        <color theme="1"/>
        <rFont val="Calibri"/>
        <family val="2"/>
        <scheme val="minor"/>
      </rPr>
      <t>Tieghemella heckelii</t>
    </r>
    <r>
      <rPr>
        <sz val="11"/>
        <color theme="1"/>
        <rFont val="Calibri"/>
        <family val="2"/>
        <scheme val="minor"/>
      </rPr>
      <t>)</t>
    </r>
  </si>
  <si>
    <r>
      <t>Manbarklak (</t>
    </r>
    <r>
      <rPr>
        <i/>
        <sz val="11"/>
        <color theme="1"/>
        <rFont val="Calibri"/>
        <family val="2"/>
        <scheme val="minor"/>
      </rPr>
      <t>Eschweilera spp.</t>
    </r>
    <r>
      <rPr>
        <sz val="11"/>
        <color theme="1"/>
        <rFont val="Calibri"/>
        <family val="2"/>
        <scheme val="minor"/>
      </rPr>
      <t>)</t>
    </r>
  </si>
  <si>
    <r>
      <t>Massaranduba (</t>
    </r>
    <r>
      <rPr>
        <i/>
        <sz val="11"/>
        <color theme="1"/>
        <rFont val="Calibri"/>
        <family val="2"/>
        <scheme val="minor"/>
      </rPr>
      <t>Manilkara bidentata</t>
    </r>
    <r>
      <rPr>
        <sz val="11"/>
        <color theme="1"/>
        <rFont val="Calibri"/>
        <family val="2"/>
        <scheme val="minor"/>
      </rPr>
      <t>)</t>
    </r>
  </si>
  <si>
    <r>
      <t>Meranti, donker rood (</t>
    </r>
    <r>
      <rPr>
        <i/>
        <sz val="11"/>
        <color theme="1"/>
        <rFont val="Calibri"/>
        <family val="2"/>
        <scheme val="minor"/>
      </rPr>
      <t>Shorea spp.</t>
    </r>
    <r>
      <rPr>
        <sz val="11"/>
        <color theme="1"/>
        <rFont val="Calibri"/>
        <family val="2"/>
        <scheme val="minor"/>
      </rPr>
      <t>)</t>
    </r>
  </si>
  <si>
    <r>
      <t>Merbau (</t>
    </r>
    <r>
      <rPr>
        <i/>
        <sz val="11"/>
        <color theme="1"/>
        <rFont val="Calibri"/>
        <family val="2"/>
        <scheme val="minor"/>
      </rPr>
      <t>Intsia buijuga</t>
    </r>
    <r>
      <rPr>
        <sz val="11"/>
        <color theme="1"/>
        <rFont val="Calibri"/>
        <family val="2"/>
        <scheme val="minor"/>
      </rPr>
      <t>)</t>
    </r>
  </si>
  <si>
    <r>
      <t>Moabi (</t>
    </r>
    <r>
      <rPr>
        <i/>
        <sz val="11"/>
        <color theme="1"/>
        <rFont val="Calibri"/>
        <family val="2"/>
        <scheme val="minor"/>
      </rPr>
      <t>Baillonella toxisperma</t>
    </r>
    <r>
      <rPr>
        <sz val="11"/>
        <color theme="1"/>
        <rFont val="Calibri"/>
        <family val="2"/>
        <scheme val="minor"/>
      </rPr>
      <t>)</t>
    </r>
  </si>
  <si>
    <r>
      <t>Okan (</t>
    </r>
    <r>
      <rPr>
        <i/>
        <sz val="11"/>
        <color theme="1"/>
        <rFont val="Calibri"/>
        <family val="2"/>
        <scheme val="minor"/>
      </rPr>
      <t>Cylicodiscus gabunensis</t>
    </r>
    <r>
      <rPr>
        <sz val="11"/>
        <color theme="1"/>
        <rFont val="Calibri"/>
        <family val="2"/>
        <scheme val="minor"/>
      </rPr>
      <t>)</t>
    </r>
  </si>
  <si>
    <r>
      <t>Okoumé (</t>
    </r>
    <r>
      <rPr>
        <i/>
        <sz val="11"/>
        <color theme="1"/>
        <rFont val="Calibri"/>
        <family val="2"/>
        <scheme val="minor"/>
      </rPr>
      <t>Aucoumea klaineana</t>
    </r>
    <r>
      <rPr>
        <sz val="11"/>
        <color theme="1"/>
        <rFont val="Calibri"/>
        <family val="2"/>
        <scheme val="minor"/>
      </rPr>
      <t>)</t>
    </r>
  </si>
  <si>
    <r>
      <t>Piquia (</t>
    </r>
    <r>
      <rPr>
        <i/>
        <sz val="11"/>
        <color theme="1"/>
        <rFont val="Calibri"/>
        <family val="2"/>
        <scheme val="minor"/>
      </rPr>
      <t>Caryocar villosum</t>
    </r>
    <r>
      <rPr>
        <sz val="11"/>
        <color theme="1"/>
        <rFont val="Calibri"/>
        <family val="2"/>
        <scheme val="minor"/>
      </rPr>
      <t>)</t>
    </r>
  </si>
  <si>
    <r>
      <t>Populier (</t>
    </r>
    <r>
      <rPr>
        <i/>
        <sz val="11"/>
        <color theme="1"/>
        <rFont val="Calibri"/>
        <family val="2"/>
        <scheme val="minor"/>
      </rPr>
      <t>Populus spp.</t>
    </r>
    <r>
      <rPr>
        <sz val="11"/>
        <color theme="1"/>
        <rFont val="Calibri"/>
        <family val="2"/>
        <scheme val="minor"/>
      </rPr>
      <t>)</t>
    </r>
  </si>
  <si>
    <r>
      <t>Purperhart (</t>
    </r>
    <r>
      <rPr>
        <i/>
        <sz val="11"/>
        <color theme="1"/>
        <rFont val="Calibri"/>
        <family val="2"/>
        <scheme val="minor"/>
      </rPr>
      <t>Peltogyne spp.</t>
    </r>
    <r>
      <rPr>
        <sz val="11"/>
        <color theme="1"/>
        <rFont val="Calibri"/>
        <family val="2"/>
        <scheme val="minor"/>
      </rPr>
      <t>)</t>
    </r>
  </si>
  <si>
    <r>
      <t>Radiata pine (</t>
    </r>
    <r>
      <rPr>
        <i/>
        <sz val="11"/>
        <color theme="1"/>
        <rFont val="Calibri"/>
        <family val="2"/>
        <scheme val="minor"/>
      </rPr>
      <t>Pinus radiata</t>
    </r>
    <r>
      <rPr>
        <sz val="11"/>
        <color theme="1"/>
        <rFont val="Calibri"/>
        <family val="2"/>
        <scheme val="minor"/>
      </rPr>
      <t xml:space="preserve"> - Accoya)</t>
    </r>
  </si>
  <si>
    <r>
      <t>Robinia (</t>
    </r>
    <r>
      <rPr>
        <i/>
        <sz val="11"/>
        <color theme="1"/>
        <rFont val="Calibri"/>
        <family val="2"/>
        <scheme val="minor"/>
      </rPr>
      <t>Robinia pseudoacacia</t>
    </r>
    <r>
      <rPr>
        <sz val="11"/>
        <color theme="1"/>
        <rFont val="Calibri"/>
        <family val="2"/>
        <scheme val="minor"/>
      </rPr>
      <t>)</t>
    </r>
  </si>
  <si>
    <r>
      <t>Sapeli(-mahonie) (</t>
    </r>
    <r>
      <rPr>
        <i/>
        <sz val="11"/>
        <color theme="1"/>
        <rFont val="Calibri"/>
        <family val="2"/>
        <scheme val="minor"/>
      </rPr>
      <t>Entandrophragma cylindricum</t>
    </r>
    <r>
      <rPr>
        <sz val="11"/>
        <color theme="1"/>
        <rFont val="Calibri"/>
        <family val="2"/>
        <scheme val="minor"/>
      </rPr>
      <t>)</t>
    </r>
  </si>
  <si>
    <r>
      <t>Serraya, White (</t>
    </r>
    <r>
      <rPr>
        <i/>
        <sz val="11"/>
        <color theme="1"/>
        <rFont val="Calibri"/>
        <family val="2"/>
        <scheme val="minor"/>
      </rPr>
      <t>Parashorea malaanonan</t>
    </r>
    <r>
      <rPr>
        <sz val="11"/>
        <color theme="1"/>
        <rFont val="Calibri"/>
        <family val="2"/>
        <scheme val="minor"/>
      </rPr>
      <t>)</t>
    </r>
  </si>
  <si>
    <r>
      <t>Sipo(-mahonie) (</t>
    </r>
    <r>
      <rPr>
        <i/>
        <sz val="11"/>
        <color theme="1"/>
        <rFont val="Calibri"/>
        <family val="2"/>
        <scheme val="minor"/>
      </rPr>
      <t>Entandrophragma utile</t>
    </r>
    <r>
      <rPr>
        <sz val="11"/>
        <color theme="1"/>
        <rFont val="Calibri"/>
        <family val="2"/>
        <scheme val="minor"/>
      </rPr>
      <t>)</t>
    </r>
  </si>
  <si>
    <r>
      <t>Tali (</t>
    </r>
    <r>
      <rPr>
        <i/>
        <sz val="11"/>
        <color theme="1"/>
        <rFont val="Calibri"/>
        <family val="2"/>
        <scheme val="minor"/>
      </rPr>
      <t>Erythrophleum spec.</t>
    </r>
    <r>
      <rPr>
        <sz val="11"/>
        <color theme="1"/>
        <rFont val="Calibri"/>
        <family val="2"/>
        <scheme val="minor"/>
      </rPr>
      <t xml:space="preserve"> div.)</t>
    </r>
  </si>
  <si>
    <r>
      <t>Tamme kastanje (</t>
    </r>
    <r>
      <rPr>
        <i/>
        <sz val="11"/>
        <color theme="1"/>
        <rFont val="Calibri"/>
        <family val="2"/>
        <scheme val="minor"/>
      </rPr>
      <t>Castanea sativa</t>
    </r>
    <r>
      <rPr>
        <sz val="11"/>
        <color theme="1"/>
        <rFont val="Calibri"/>
        <family val="2"/>
        <scheme val="minor"/>
      </rPr>
      <t>)</t>
    </r>
  </si>
  <si>
    <r>
      <t>Tatajuba (</t>
    </r>
    <r>
      <rPr>
        <i/>
        <sz val="11"/>
        <color theme="1"/>
        <rFont val="Calibri"/>
        <family val="2"/>
        <scheme val="minor"/>
      </rPr>
      <t>Bagassa guianensis</t>
    </r>
    <r>
      <rPr>
        <sz val="11"/>
        <color theme="1"/>
        <rFont val="Calibri"/>
        <family val="2"/>
        <scheme val="minor"/>
      </rPr>
      <t>)</t>
    </r>
  </si>
  <si>
    <r>
      <t>Teak (</t>
    </r>
    <r>
      <rPr>
        <i/>
        <sz val="11"/>
        <color theme="1"/>
        <rFont val="Calibri"/>
        <family val="2"/>
        <scheme val="minor"/>
      </rPr>
      <t>Tectona grandis</t>
    </r>
    <r>
      <rPr>
        <sz val="11"/>
        <color theme="1"/>
        <rFont val="Calibri"/>
        <family val="2"/>
        <scheme val="minor"/>
      </rPr>
      <t>)</t>
    </r>
  </si>
  <si>
    <r>
      <t>Uchi torrado (</t>
    </r>
    <r>
      <rPr>
        <i/>
        <sz val="11"/>
        <color theme="1"/>
        <rFont val="Calibri"/>
        <family val="2"/>
        <scheme val="minor"/>
      </rPr>
      <t>Sacoglottis/Vantanea</t>
    </r>
    <r>
      <rPr>
        <sz val="11"/>
        <color theme="1"/>
        <rFont val="Calibri"/>
        <family val="2"/>
        <scheme val="minor"/>
      </rPr>
      <t>)</t>
    </r>
  </si>
  <si>
    <r>
      <t>Vuren (</t>
    </r>
    <r>
      <rPr>
        <i/>
        <sz val="11"/>
        <color theme="1"/>
        <rFont val="Calibri"/>
        <family val="2"/>
        <scheme val="minor"/>
      </rPr>
      <t>Picea spp</t>
    </r>
    <r>
      <rPr>
        <sz val="11"/>
        <color theme="1"/>
        <rFont val="Calibri"/>
        <family val="2"/>
        <scheme val="minor"/>
      </rPr>
      <t>)</t>
    </r>
  </si>
  <si>
    <r>
      <t>Walnoot (</t>
    </r>
    <r>
      <rPr>
        <i/>
        <sz val="11"/>
        <color theme="1"/>
        <rFont val="Calibri"/>
        <family val="2"/>
        <scheme val="minor"/>
      </rPr>
      <t>Juglans spp</t>
    </r>
    <r>
      <rPr>
        <sz val="11"/>
        <color theme="1"/>
        <rFont val="Calibri"/>
        <family val="2"/>
        <scheme val="minor"/>
      </rPr>
      <t>)</t>
    </r>
  </si>
  <si>
    <r>
      <t>Wengé (</t>
    </r>
    <r>
      <rPr>
        <i/>
        <sz val="11"/>
        <color theme="1"/>
        <rFont val="Calibri"/>
        <family val="2"/>
        <scheme val="minor"/>
      </rPr>
      <t>Millettia laurentii</t>
    </r>
    <r>
      <rPr>
        <sz val="11"/>
        <color theme="1"/>
        <rFont val="Calibri"/>
        <family val="2"/>
        <scheme val="minor"/>
      </rPr>
      <t>)</t>
    </r>
  </si>
  <si>
    <r>
      <t>Western red cedar (</t>
    </r>
    <r>
      <rPr>
        <i/>
        <sz val="11"/>
        <color theme="1"/>
        <rFont val="Calibri"/>
        <family val="2"/>
        <scheme val="minor"/>
      </rPr>
      <t>Thuja plicata</t>
    </r>
    <r>
      <rPr>
        <sz val="11"/>
        <color theme="1"/>
        <rFont val="Calibri"/>
        <family val="2"/>
        <scheme val="minor"/>
      </rPr>
      <t>)</t>
    </r>
  </si>
  <si>
    <t>Houtinfo</t>
  </si>
  <si>
    <t>Western Red Cedar | The Wood Database - Lumber Identification (Softwood) (wood-database.com)</t>
  </si>
  <si>
    <t>Alaskan Yellow Cedar | The Wood Database - Lumber Identification (Softwood) (wood-database.com)</t>
  </si>
  <si>
    <t>Pacific Silver Fir | The Wood Database - Lumber Identification (Softwood) (wood-database.com)</t>
  </si>
  <si>
    <t>Balsam Fir | The Wood Database - Lumber Identification (Softwood) (wood-database.com)</t>
  </si>
  <si>
    <t>Box Elder | The Wood Database - Lumber Identification (Hardwood) (wood-database.com)</t>
  </si>
  <si>
    <t>Bigleaf maple | The Wood Database - Lumber Identification (Hardwood) (wood-database.com)</t>
  </si>
  <si>
    <r>
      <rPr>
        <sz val="11"/>
        <color theme="1"/>
        <rFont val="Calibri"/>
        <family val="2"/>
        <scheme val="minor"/>
      </rPr>
      <t>Box elder</t>
    </r>
    <r>
      <rPr>
        <i/>
        <sz val="11"/>
        <color theme="1"/>
        <rFont val="Calibri"/>
        <family val="2"/>
        <scheme val="minor"/>
      </rPr>
      <t xml:space="preserve"> (Acer negundo </t>
    </r>
    <r>
      <rPr>
        <sz val="11"/>
        <color theme="1"/>
        <rFont val="Calibri"/>
        <family val="2"/>
        <scheme val="minor"/>
      </rPr>
      <t>L.)</t>
    </r>
  </si>
  <si>
    <t>Hard maple | The Wood Database - Lumber Identification (Hardwood) (wood-database.com)</t>
  </si>
  <si>
    <t>Red maple | The Wood Database - Lumber Identification (Hardwood) (wood-database.com)</t>
  </si>
  <si>
    <t>Red alder | The Wood Database - Lumber Identification (Hardwood) (wood-database.com)</t>
  </si>
  <si>
    <t>Black Ash | The Wood Database - Lumber Identification (Hardwood) (wood-database.com)</t>
  </si>
  <si>
    <t>White Ash | The Wood Database - Lumber Identification (Hardwood) (wood-database.com)</t>
  </si>
  <si>
    <t>White Oak | The Wood Database - Lumber Identification (Hardwood) (wood-database.com)</t>
  </si>
  <si>
    <t>Red Oak | The Wood Database - Lumber Identification (Hardwood) (wood-database.com)</t>
  </si>
  <si>
    <t>Lodgepole Pine | The Wood Database - Lumber Identification (Softwood) (wood-database.com)</t>
  </si>
  <si>
    <t>Jack Pine | The Wood Database - Lumber Identification (Softwood) (wood-database.com)</t>
  </si>
  <si>
    <t>Ponderosa Pine | The Wood Database - Lumber Identification (Softwood) (wood-database.com)</t>
  </si>
  <si>
    <t>Red Pine | The Wood Database - Lumber Identification (Softwood) (wood-database.com)</t>
  </si>
  <si>
    <t>Eastern White Pine | The Wood Database - Lumber Identification (Softwood) (wood-database.com)</t>
  </si>
  <si>
    <t>You searched for carya - The Wood Database (wood-database.com)</t>
  </si>
  <si>
    <t>Tamarack | The Wood Database - Lumber Identification (Softwood) (wood-database.com)</t>
  </si>
  <si>
    <t>Western Larch | The Wood Database - Lumber Identification (Softwood) (wood-database.com)</t>
  </si>
  <si>
    <t>Sycamore | The Wood Database - Lumber Identification (Hardwood) (wood-database.com)</t>
  </si>
  <si>
    <t>Black Cottonwood | The Wood Database - Lumber Identification (Hardwood) (wood-database.com)</t>
  </si>
  <si>
    <t>Quaking Aspen | The Wood Database - Lumber Identification (Hardwood) (wood-database.com)</t>
  </si>
  <si>
    <t>Black Cherry | The Wood Database - Lumber Identification (Hardwood) (wood-database.com)</t>
  </si>
  <si>
    <t>Sitka Spruce | The Wood Database - Lumber Identification (Softwood) (wood-database.com)</t>
  </si>
  <si>
    <t>White Spruce | The Wood Database - Lumber Identification (Softwood) (wood-database.com)</t>
  </si>
  <si>
    <t>You searched for salix - The Wood Database (wood-database.com)</t>
  </si>
  <si>
    <t>Black Walnut | The Wood Database - Lumber Identification (Hardwood) (wood-database.com)</t>
  </si>
  <si>
    <t>Butternut | The Wood Database - Lumber Identification (Hardwood) (wood-database.com)</t>
  </si>
  <si>
    <t>Western Hemlock | The Wood Database - Lumber Identification (Softwood) (wood-database.com)</t>
  </si>
  <si>
    <t>Eastern Hemlock | The Wood Database - Lumber Identification (Softwood) (wood-database.com)</t>
  </si>
  <si>
    <t>Northern White Cedar | The Wood Database - Lumber Identification (Softwood) (wood-database.com)</t>
  </si>
  <si>
    <t>Yellow Birch | The Wood Database - Lumber Identification (Hardwood) (wood-database.com)</t>
  </si>
  <si>
    <t>Paper Birch | The Wood Database - Lumber Identification (Hardwood) (wood-database.com)</t>
  </si>
  <si>
    <t>American Beech | The Wood Database - Lumber Identification (Hardwood) (wood-database.com)</t>
  </si>
  <si>
    <r>
      <t>Pines (</t>
    </r>
    <r>
      <rPr>
        <i/>
        <sz val="11"/>
        <color theme="1"/>
        <rFont val="Calibri"/>
        <family val="2"/>
        <scheme val="minor"/>
      </rPr>
      <t>Pinus spp</t>
    </r>
    <r>
      <rPr>
        <sz val="11"/>
        <color theme="1"/>
        <rFont val="Calibri"/>
        <family val="2"/>
        <scheme val="minor"/>
      </rPr>
      <t>)</t>
    </r>
  </si>
  <si>
    <t>(1) (PDF) Carbon content in Juvenile and mature wood of Scots Pine (Pinus sylyestris L.) (researchgate.net)</t>
  </si>
  <si>
    <t>Thermo wood</t>
  </si>
  <si>
    <t>North American Glued Laminated Timber – Environmental Product Declaration (awc.org)</t>
  </si>
  <si>
    <t>Data (environdec.com)</t>
  </si>
  <si>
    <t>479.EPD_FOR_Structurlam_Glulam_20200113.pdf (astm.org)</t>
  </si>
  <si>
    <t>Source4</t>
  </si>
  <si>
    <t>EPD_Nordic_Lam.pdf</t>
  </si>
  <si>
    <t>Source5</t>
  </si>
  <si>
    <t>Accoya (Radiata Pine)</t>
  </si>
  <si>
    <t>Accoya (Scots Pine)</t>
  </si>
  <si>
    <t>Accoya (Beech)</t>
  </si>
  <si>
    <t>Environmental-Product-Declaration-–-cladding-decking-planed-timber-–-EN-15804.pdf (accoya.com)</t>
  </si>
  <si>
    <t>https://epd-online.com/EmbeddedEpdList/Download/5751</t>
  </si>
  <si>
    <t>Technical Data Sheet | Parquet by Dian</t>
  </si>
  <si>
    <t>Number of residencies:</t>
  </si>
  <si>
    <t>Living surface area:</t>
  </si>
  <si>
    <r>
      <t>tCO</t>
    </r>
    <r>
      <rPr>
        <vertAlign val="subscript"/>
        <sz val="11"/>
        <color theme="1"/>
        <rFont val="Calibri"/>
        <family val="2"/>
        <scheme val="minor"/>
      </rPr>
      <t>2</t>
    </r>
    <r>
      <rPr>
        <sz val="11"/>
        <color theme="1"/>
        <rFont val="Calibri"/>
        <family val="2"/>
        <scheme val="minor"/>
      </rPr>
      <t>/residency</t>
    </r>
  </si>
  <si>
    <r>
      <t>tCO</t>
    </r>
    <r>
      <rPr>
        <vertAlign val="subscript"/>
        <sz val="11"/>
        <color theme="1"/>
        <rFont val="Calibri"/>
        <family val="2"/>
        <scheme val="minor"/>
      </rPr>
      <t>2</t>
    </r>
    <r>
      <rPr>
        <sz val="11"/>
        <color theme="1"/>
        <rFont val="Calibri"/>
        <family val="2"/>
        <scheme val="minor"/>
      </rPr>
      <t>/120m</t>
    </r>
    <r>
      <rPr>
        <vertAlign val="superscript"/>
        <sz val="11"/>
        <color theme="1"/>
        <rFont val="Calibri"/>
        <family val="2"/>
        <scheme val="minor"/>
      </rPr>
      <t>2</t>
    </r>
  </si>
  <si>
    <t>=ALS(B6="CLT";CLT;ALS(B6="Hemp-shives containing products";HSC;ALS(B6="Wood material";Wtype;'Drop-down_lists'!$D$9)))</t>
  </si>
  <si>
    <t>Ontwikkeld door:</t>
  </si>
  <si>
    <t>Bart van Valenberg | LinkedIn</t>
  </si>
  <si>
    <t>Insulation</t>
  </si>
  <si>
    <t>Unknown (average wood density)</t>
  </si>
  <si>
    <t>Green roof</t>
  </si>
  <si>
    <r>
      <t>Av. CO</t>
    </r>
    <r>
      <rPr>
        <vertAlign val="subscript"/>
        <sz val="11"/>
        <color theme="1"/>
        <rFont val="Calibri"/>
        <family val="2"/>
        <scheme val="minor"/>
      </rPr>
      <t>2</t>
    </r>
    <r>
      <rPr>
        <sz val="11"/>
        <color theme="1"/>
        <rFont val="Calibri"/>
        <family val="2"/>
        <scheme val="minor"/>
      </rPr>
      <t>-storage (kgCO</t>
    </r>
    <r>
      <rPr>
        <vertAlign val="subscript"/>
        <sz val="11"/>
        <color theme="1"/>
        <rFont val="Calibri"/>
        <family val="2"/>
        <scheme val="minor"/>
      </rPr>
      <t>2</t>
    </r>
    <r>
      <rPr>
        <sz val="11"/>
        <color theme="1"/>
        <rFont val="Calibri"/>
        <family val="2"/>
        <scheme val="minor"/>
      </rPr>
      <t>/kg)*</t>
    </r>
  </si>
  <si>
    <r>
      <t>kgCO</t>
    </r>
    <r>
      <rPr>
        <vertAlign val="subscript"/>
        <sz val="11"/>
        <color theme="1"/>
        <rFont val="Calibri"/>
        <family val="2"/>
        <scheme val="minor"/>
      </rPr>
      <t>2</t>
    </r>
    <r>
      <rPr>
        <sz val="11"/>
        <color theme="1"/>
        <rFont val="Calibri"/>
        <family val="2"/>
        <scheme val="minor"/>
      </rPr>
      <t>/m</t>
    </r>
    <r>
      <rPr>
        <vertAlign val="superscript"/>
        <sz val="11"/>
        <color theme="1"/>
        <rFont val="Calibri"/>
        <family val="2"/>
        <scheme val="minor"/>
      </rPr>
      <t>2</t>
    </r>
  </si>
  <si>
    <t>https://www.researchgate.net/publication/38028912_Carbon_Sequestration_Potential_of_Extensive_Green_Roofs</t>
  </si>
  <si>
    <r>
      <t>m</t>
    </r>
    <r>
      <rPr>
        <vertAlign val="superscript"/>
        <sz val="11"/>
        <color theme="1"/>
        <rFont val="Calibri"/>
        <family val="2"/>
        <scheme val="minor"/>
      </rPr>
      <t>2</t>
    </r>
    <r>
      <rPr>
        <sz val="11"/>
        <color theme="1"/>
        <rFont val="Calibri"/>
        <family val="2"/>
        <scheme val="minor"/>
      </rPr>
      <t xml:space="preserve"> </t>
    </r>
  </si>
  <si>
    <t>Groendak | Aanleggen en leveren van groene daken</t>
  </si>
  <si>
    <t>Solar Sedum</t>
  </si>
  <si>
    <t>kerto, kerto ripa, agepan</t>
  </si>
  <si>
    <t>Invalid</t>
  </si>
  <si>
    <t>Do not change unit</t>
  </si>
  <si>
    <t>Fixed unit</t>
  </si>
  <si>
    <t>Green roof type</t>
  </si>
  <si>
    <t>Herbaceous perennials and grasses</t>
  </si>
  <si>
    <t>Native prairie mix</t>
  </si>
  <si>
    <t>Succulent rock garden</t>
  </si>
  <si>
    <t>Vegetable and herb garden</t>
  </si>
  <si>
    <t>Carbon content of soil or substrate (kg/m2)</t>
  </si>
  <si>
    <t>CO2 stored of soil or substrate (kg/m2)</t>
  </si>
  <si>
    <t>cm thick substrate layer</t>
  </si>
  <si>
    <t>Frames and walls</t>
  </si>
  <si>
    <t>Floors</t>
  </si>
  <si>
    <t>Product categories</t>
  </si>
  <si>
    <t>Construction categories</t>
  </si>
  <si>
    <t>Bottom valves/Bodemafsluiters</t>
  </si>
  <si>
    <t>Inheritance divorces/Erfafscheidingen</t>
  </si>
  <si>
    <t>Sub-categories</t>
  </si>
  <si>
    <t>LDPE-folie</t>
  </si>
  <si>
    <t>Zand</t>
  </si>
  <si>
    <t>Schelpen</t>
  </si>
  <si>
    <t>Beton, verdicht; ongewapend</t>
  </si>
  <si>
    <t>Schuimbeton</t>
  </si>
  <si>
    <t>Geëxpandeerde kleikorrels</t>
  </si>
  <si>
    <t>13 | Soil facilities/Bodemvoorzieningen</t>
  </si>
  <si>
    <t>16 | Foundation construction/Funderingsconstructie</t>
  </si>
  <si>
    <t>21 | Outer walls/Buitenwanden</t>
  </si>
  <si>
    <t>22 | Inner walls/Binnenwanden</t>
  </si>
  <si>
    <t>23 | Floors/Vloeren</t>
  </si>
  <si>
    <t>24 | Stairs and slopes/Trappen en hellingen</t>
  </si>
  <si>
    <t>27 | Roofs/Daken</t>
  </si>
  <si>
    <t>28 | Main supporting structures/Hoofddraagconstructies</t>
  </si>
  <si>
    <t>31 | Exterior wall openings/Buitenwandopeningen</t>
  </si>
  <si>
    <t>32 | Interior wall openings/Binnenwandopeningen</t>
  </si>
  <si>
    <t>34 | Balustrades and handrails/Balustrades en leuningen</t>
  </si>
  <si>
    <t>40 | Finishes/Afwerkingen</t>
  </si>
  <si>
    <t>52 | Dispose/Afvoeren</t>
  </si>
  <si>
    <t>53 | Waterpipes/Waterleidingen</t>
  </si>
  <si>
    <t>54 | Gas pipes/Gasleidingen</t>
  </si>
  <si>
    <t>57 | Air treatment/Luchtbehandeling</t>
  </si>
  <si>
    <t>60 | Electrotechnical facilities/Elektrotechnische voorzieningen</t>
  </si>
  <si>
    <t>90 | Grounds facilities/Terreinvoorzieningen</t>
  </si>
  <si>
    <t>Foundation on steel (beams and strips)/Fundering op staal (balken en stroken)</t>
  </si>
  <si>
    <t>Foundation piles/Funderingspalen</t>
  </si>
  <si>
    <t>Exterior wall paint stone (facade finish)/Buitenmuurverf steen (gevelafwerking)</t>
  </si>
  <si>
    <t>Masonry mortar/Metselmortel</t>
  </si>
  <si>
    <t>Exterior facade insulation/Buitengevel isolatie</t>
  </si>
  <si>
    <t>Sandwich panels/Sandwich panelen</t>
  </si>
  <si>
    <t>Facade cladding fire resistant/Gevelbekleding brandwerend</t>
  </si>
  <si>
    <t>Insulation retention wall/Isolatie voorzetwand</t>
  </si>
  <si>
    <t>Curtain wall per m2/Vliesgevel per m2</t>
  </si>
  <si>
    <t>Injected cavity insulation (post-insulation system)/Ingespoten spouwisolatie (na-isolatiesysteem)</t>
  </si>
  <si>
    <t>Exterior facade system: load-bearing, insulation (Rc&gt; 4.5 m? K / W) and exterior finish/Buitengevel systeem: dragend uitgevoerd, isolatie(Rc &gt; 4,5 m?K/W) en buitenafwerking</t>
  </si>
  <si>
    <t>System walls with higher performance requirements/Systeemwanden met hogere prestatie-eisen</t>
  </si>
  <si>
    <t>Exterior facade system: insulation (Rc&gt; 4.5 m²K / W)/Buitengevel systeem: isolatie(Rc &gt; 4,5 m²K/W)</t>
  </si>
  <si>
    <t>Facade cladding wood/Gevelbekleding hout</t>
  </si>
  <si>
    <t>Facade cladding metal/Gevelbekleding metaal</t>
  </si>
  <si>
    <t>Facade cladding plastic and stone/Gevelbekleding kunststof en steen</t>
  </si>
  <si>
    <t>Painting woodwork (outside)/Schilderwerk houtwerk (buiten)</t>
  </si>
  <si>
    <t>Outer cavity leaf/Buitenspouwblad</t>
  </si>
  <si>
    <t>Cavity insulation/Spouwisolatie</t>
  </si>
  <si>
    <t>Inner cavity leaf (load-bearing) incl. finish/Binnenspouwblad (dragend) incl. afwerking</t>
  </si>
  <si>
    <t>Solid load-bearing interior walls (min. Nrd of 140 N / m1)/Massief dragende binnenwanden (min. Nrd van 140 N/m1)</t>
  </si>
  <si>
    <t>Solid load-bearing interior walls (min. No. of 220 N / m1)/Massief dragende binnenwanden (min. Nrd van 220 N/m1)</t>
  </si>
  <si>
    <t>Solid, non-load-bearing interior walls incl. finish/Massief niet-dragende binnenwanden incl. afwerking</t>
  </si>
  <si>
    <t>Wall finish (inside)/Wandafwerking (binnen)</t>
  </si>
  <si>
    <t>Wall tiling/Wandtegelwerk</t>
  </si>
  <si>
    <t>House dividing wall incl. finish/Woningscheidende wand incl. afwerking</t>
  </si>
  <si>
    <t>Ground floor/Begane grondvloer</t>
  </si>
  <si>
    <t>Floor insulation/Vloerisolatie</t>
  </si>
  <si>
    <t>Screed/Dekvloer</t>
  </si>
  <si>
    <t>Pressure-resistant floor insulation/Drukvaste vloerisolatie</t>
  </si>
  <si>
    <t>Storey floor (span of 5.4 m)/Verdiepingsvloer (overspanning van 5,4 m)</t>
  </si>
  <si>
    <t>Storey floor (span of 7.2 m)/Verdiepingsvloer (overspanning van 7,2 m)</t>
  </si>
  <si>
    <t>Floor tiling/Vloertegelwerk</t>
  </si>
  <si>
    <t>Stairs house construction/Trappen woningbouw</t>
  </si>
  <si>
    <t>Eaves fascia/Dakrand-boeiboord</t>
  </si>
  <si>
    <t>Sloping roof boarding/Dakbeschot hellend dak</t>
  </si>
  <si>
    <t>Insulated sloping roof elements (Renovation Rc 3.5 m²K / W)/Geïsoleerde hellend dakelementen (Renovatie Rc 3,5 m²K/W)</t>
  </si>
  <si>
    <t>Pitched roof insulation/Isolatie hellend dak</t>
  </si>
  <si>
    <t>Passively insulated sloping roof elements/Passief geïsoleerde hellend dakelementen</t>
  </si>
  <si>
    <t>Insulated sloping roof elements (Rc 6.0m²K / W)/Geïsoleerde hellend dakelementen (Rc 6,0m²K/W)</t>
  </si>
  <si>
    <t>After insulation, sloping roof from the inside (cold roof)/Na isolatie hellend dak vanaf binnenzijde (koud dak)</t>
  </si>
  <si>
    <t>After insulation sloping roof from outside (warm roof)/Na isolatie hellend dak vanaf buitenzijde (warm dak)</t>
  </si>
  <si>
    <t>Flat roof roofing, mechanically attached/Dakbedekking plat dak, mechanisch bevestigd</t>
  </si>
  <si>
    <t>Roofing flat roof, glued/Dakbedekking plat dak, verkleefd</t>
  </si>
  <si>
    <t>Roofing sloping roof/Dakbedekking hellend dak</t>
  </si>
  <si>
    <t>Flat roof insulation/Isolatie plat dak</t>
  </si>
  <si>
    <t>Construction single-family house, grid 5,4m</t>
  </si>
  <si>
    <t>Construction app., 4 layers, grid 5,4m</t>
  </si>
  <si>
    <t>Construction app., 4 layers, grid 7,2m</t>
  </si>
  <si>
    <t>Construction app., 7 layers, grid 5,4m</t>
  </si>
  <si>
    <t>Construction app., 7 layers, grid 7,2m</t>
  </si>
  <si>
    <t>Construction app., 12 layers, grid 5,4m</t>
  </si>
  <si>
    <t>Construction app., 12 layers, grid 7,2m</t>
  </si>
  <si>
    <t>Construction office, 3 layers, grid 5,4m</t>
  </si>
  <si>
    <t>Construction office, 3 layers, grid 7,2m</t>
  </si>
  <si>
    <t>Construction office, 3 layers, grid 10,8m</t>
  </si>
  <si>
    <t>Construction office, 8 layers, grid 5,4m</t>
  </si>
  <si>
    <t>Construction office, 8 layers, grid 7,2m</t>
  </si>
  <si>
    <t>Construction office, 8 layers, grid 10,8m</t>
  </si>
  <si>
    <t>Construction office, 15 layers, grid 5,4m</t>
  </si>
  <si>
    <t>Construction office, 15 layers, grid 7,2m</t>
  </si>
  <si>
    <t>Construction office, 15 layers, grid 10,8m</t>
  </si>
  <si>
    <t>Door (outer facade)/Deur (buitengevel)</t>
  </si>
  <si>
    <t>Window sills/Vensterbanken</t>
  </si>
  <si>
    <t>Exterior blinds/Buitenzonwering</t>
  </si>
  <si>
    <t>Lower sills/Onderdorpels</t>
  </si>
  <si>
    <t>Rotating parts of the window frame per m1/Draaiende delen raamkozijn per m1</t>
  </si>
  <si>
    <t>Window frame (exterior facade) per m2/Raamkozijn (buitengevel) per m2</t>
  </si>
  <si>
    <t>Sliding doors per m2/Schuifpui per m2</t>
  </si>
  <si>
    <t>Window sills/Raamdorpels</t>
  </si>
  <si>
    <t>Waterproof connection for facade and roof elements /Waterdichte aansluiting voor gevel- en dak elementen</t>
  </si>
  <si>
    <t>Inner door system/Binnendeur systeem</t>
  </si>
  <si>
    <t>Inner door/Binnendeur</t>
  </si>
  <si>
    <t>Door frame (inside)/Deurkozijn (binnen)</t>
  </si>
  <si>
    <t>Product category</t>
  </si>
  <si>
    <t>Other wood material</t>
  </si>
  <si>
    <t>Please select product category first</t>
  </si>
  <si>
    <t>Roofs</t>
  </si>
  <si>
    <t>=ALS(B6="Floors";Floors;ALS(B6="Frames and walls";Frames_walls;ALS(B6="Insulation";Insulation;ALS(B6="Wood boards/planks";Wood_boards;'Drop-down_lists'!$A$27))))</t>
  </si>
  <si>
    <t>2,97kgCO2/m2 omgezet in O2</t>
  </si>
  <si>
    <t>Mode of transport</t>
  </si>
  <si>
    <r>
      <t>kgCO</t>
    </r>
    <r>
      <rPr>
        <vertAlign val="subscript"/>
        <sz val="11"/>
        <color theme="1"/>
        <rFont val="Calibri"/>
        <family val="2"/>
        <scheme val="minor"/>
      </rPr>
      <t>2</t>
    </r>
    <r>
      <rPr>
        <sz val="11"/>
        <color theme="1"/>
        <rFont val="Calibri"/>
        <family val="2"/>
        <scheme val="minor"/>
      </rPr>
      <t>/tonkilometer (Well to Wheel)</t>
    </r>
  </si>
  <si>
    <t>Bulk and general cargo</t>
  </si>
  <si>
    <t>Delivery van</t>
  </si>
  <si>
    <t>Lorry/truck</t>
  </si>
  <si>
    <t>10 ton</t>
  </si>
  <si>
    <t>10-20 ton</t>
  </si>
  <si>
    <t>&gt;20 ton + trailer</t>
  </si>
  <si>
    <t>LZV</t>
  </si>
  <si>
    <t>Train</t>
  </si>
  <si>
    <t>Diesel</t>
  </si>
  <si>
    <t>Electric</t>
  </si>
  <si>
    <t>Combination</t>
  </si>
  <si>
    <t>Inland shipping</t>
  </si>
  <si>
    <t>300-600 ton</t>
  </si>
  <si>
    <t>1500-3000 ton</t>
  </si>
  <si>
    <t>5000-11000 ton</t>
  </si>
  <si>
    <t>Average shipping</t>
  </si>
  <si>
    <t>Maritime shipping</t>
  </si>
  <si>
    <t>Short sea shipping</t>
  </si>
  <si>
    <t>Deep Sea</t>
  </si>
  <si>
    <t>Aviation</t>
  </si>
  <si>
    <t>Long-haul</t>
  </si>
  <si>
    <t>Containers</t>
  </si>
  <si>
    <t>&gt;20 ton</t>
  </si>
  <si>
    <t>Heavy load tuck + trialer</t>
  </si>
  <si>
    <t>Heavy load truck + trailer</t>
  </si>
  <si>
    <t>40 TEU</t>
  </si>
  <si>
    <t>96 TEU</t>
  </si>
  <si>
    <t>208 TEU</t>
  </si>
  <si>
    <t>348 TEU</t>
  </si>
  <si>
    <t>https://llufb.llu.lv/conference/NJF/NJF_2015_Proceedings_Latvia-156-160.pdf</t>
  </si>
  <si>
    <t>https://www.hollandhoutland.nl/wp-content/uploads/2021/03/HH_Biobased-Bouwen-Bedrijvengids_BOOK_19-03_web.pdf</t>
  </si>
  <si>
    <t>-</t>
  </si>
  <si>
    <t>.</t>
  </si>
  <si>
    <t>Sheep wool</t>
  </si>
  <si>
    <t>https://iwto.org/sustainability/carbon-cycle/</t>
  </si>
  <si>
    <t>Hemp-lime blocks (non-load bearing)</t>
  </si>
  <si>
    <t>https://www.researchgate.net/publication/313961941_Life_cycle_assessment_of_natural_building_materials_the_role_of_carbonation_mixture_components_and_transport_in_the_environmental_impacts_of_hempcrete_blocks</t>
  </si>
  <si>
    <t>Life cycle greenhouse gas emissions of hemp–lime wall constructions in the UK - ScienceDirect</t>
  </si>
  <si>
    <t>Hemp insulation</t>
  </si>
  <si>
    <t>Elephant grass</t>
  </si>
  <si>
    <t>https://www.carbontrap.org/about-miscanthus</t>
  </si>
  <si>
    <t>Straw</t>
  </si>
  <si>
    <t>Bamboo plywood</t>
  </si>
  <si>
    <t>Carbon dioxide emission from bamboo culms - Zachariah - 2016 - Plant Biology - Wiley Online Library</t>
  </si>
  <si>
    <t>Strand woven bamboo</t>
  </si>
  <si>
    <t>Boards/planks</t>
  </si>
  <si>
    <t>Thatch/reed roof</t>
  </si>
  <si>
    <t>=ALS(B6="Floors";Floors;ALS(B6="Frames and walls";Frames_walls;ALS(B6="Insulation";Insulation;ALS(B6="Roofs";Roofs;ALS(B6="Boards/planks";Boards_planks;'Drop-down_lists'!$A$27)))))</t>
  </si>
  <si>
    <t>https://www.isolatie-info.nl/isolatiemateriaal/hennep</t>
  </si>
  <si>
    <t>https://www.researchgate.net/publication/263268778_Carbon_sequestration_in_LCA_a_proposal_for_a_new_approach_based_on_the_global_carbon_cycle_Cases_on_wood_and_on_bamboo</t>
  </si>
  <si>
    <t>Extensive green roof (sedum)</t>
  </si>
  <si>
    <t>https://www.groenebouwmaterialen.nl/thermo-hennep-premium-hennep-isolatie.html</t>
  </si>
  <si>
    <t>https://www.hempitecture.com/hempwool</t>
  </si>
  <si>
    <t>https://innovativebuildingmaterials.com/hemp-insulation/</t>
  </si>
  <si>
    <t>Project name:</t>
  </si>
  <si>
    <t>Azobé (Lophira alata)</t>
  </si>
  <si>
    <t>m3</t>
  </si>
  <si>
    <t>Brug Oirschot Ballast Nedam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</si>
</sst>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1"/>
      <color theme="1"/>
      <name val="Calibri"/>
      <family val="2"/>
      <scheme val="minor"/>
    </font>
    <font>
      <sz val="11"/>
      <color rgb="FF9C0006"/>
      <name val="Calibri"/>
      <family val="2"/>
      <scheme val="minor"/>
    </font>
    <font>
      <vertAlign val="subscript"/>
      <sz val="11"/>
      <color theme="1"/>
      <name val="Calibri"/>
      <family val="2"/>
      <scheme val="minor"/>
    </font>
    <font>
      <u/>
      <sz val="11"/>
      <color theme="10"/>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sz val="11"/>
      <color rgb="FF3F3F76"/>
      <name val="Calibri"/>
      <family val="2"/>
      <scheme val="minor"/>
    </font>
    <font>
      <b/>
      <sz val="11"/>
      <color rgb="FFFA7D00"/>
      <name val="Calibri"/>
      <family val="2"/>
      <scheme val="minor"/>
    </font>
    <font>
      <b/>
      <sz val="11"/>
      <color theme="1"/>
      <name val="Calibri"/>
      <family val="2"/>
      <scheme val="minor"/>
    </font>
    <font>
      <b/>
      <vertAlign val="subscript"/>
      <sz val="11"/>
      <color theme="1"/>
      <name val="Calibri"/>
      <family val="2"/>
      <scheme val="minor"/>
    </font>
    <font>
      <sz val="8"/>
      <name val="Calibri"/>
      <family val="2"/>
      <scheme val="minor"/>
    </font>
    <font>
      <sz val="11"/>
      <color rgb="FFFF0000"/>
      <name val="Calibri"/>
      <family val="2"/>
      <scheme val="minor"/>
    </font>
    <font>
      <sz val="11"/>
      <color theme="1"/>
      <name val="Calibri"/>
      <family val="2"/>
      <scheme val="minor"/>
    </font>
    <font>
      <i/>
      <sz val="11"/>
      <color theme="1"/>
      <name val="Calibri"/>
      <family val="2"/>
      <scheme val="minor"/>
    </font>
    <font>
      <sz val="11"/>
      <color theme="1"/>
      <name val="Calibri"/>
      <family val="2"/>
    </font>
    <font>
      <b/>
      <sz val="11"/>
      <color theme="1"/>
      <name val="Calibri"/>
      <family val="2"/>
    </font>
    <font>
      <sz val="11"/>
      <name val="Calibri"/>
      <family val="2"/>
      <scheme val="minor"/>
    </font>
    <font>
      <u/>
      <sz val="11"/>
      <color theme="1"/>
      <name val="Calibri"/>
      <family val="2"/>
      <scheme val="minor"/>
    </font>
    <font>
      <sz val="11"/>
      <color theme="0"/>
      <name val="Calibri"/>
      <family val="2"/>
      <scheme val="minor"/>
    </font>
    <font>
      <sz val="11"/>
      <color rgb="FF9C5700"/>
      <name val="Calibri"/>
      <family val="2"/>
      <scheme val="minor"/>
    </font>
  </fonts>
  <fills count="11">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CC"/>
        <bgColor indexed="64"/>
      </patternFill>
    </fill>
    <fill>
      <patternFill patternType="solid">
        <fgColor rgb="FFFFFF00"/>
        <bgColor indexed="64"/>
      </patternFill>
    </fill>
    <fill>
      <patternFill patternType="solid">
        <fgColor rgb="FF7F7F7F"/>
        <bgColor indexed="64"/>
      </patternFill>
    </fill>
    <fill>
      <patternFill patternType="darkUp"/>
    </fill>
    <fill>
      <patternFill patternType="solid">
        <fgColor rgb="FFFFEB9C"/>
      </patternFill>
    </fill>
    <fill>
      <patternFill patternType="solid">
        <fgColor rgb="FFFFCC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right/>
      <top/>
      <bottom style="medium">
        <color rgb="FFEEEEEE"/>
      </bottom>
      <diagonal/>
    </border>
    <border>
      <left/>
      <right style="double">
        <color indexed="64"/>
      </right>
      <top/>
      <bottom/>
      <diagonal/>
    </border>
    <border>
      <left/>
      <right style="mediumDashed">
        <color indexed="64"/>
      </right>
      <top/>
      <bottom/>
      <diagonal/>
    </border>
    <border>
      <left style="double">
        <color indexed="64"/>
      </left>
      <right/>
      <top/>
      <bottom/>
      <diagonal/>
    </border>
  </borders>
  <cellStyleXfs count="8">
    <xf numFmtId="0" fontId="0" fillId="0" borderId="0"/>
    <xf numFmtId="0" fontId="1" fillId="2" borderId="0" applyNumberFormat="0" applyBorder="0" applyAlignment="0" applyProtection="0"/>
    <xf numFmtId="0" fontId="3" fillId="0" borderId="0" applyNumberFormat="0" applyFill="0" applyBorder="0" applyAlignment="0" applyProtection="0"/>
    <xf numFmtId="0" fontId="7" fillId="3" borderId="1" applyNumberFormat="0" applyAlignment="0" applyProtection="0"/>
    <xf numFmtId="0" fontId="8" fillId="4" borderId="1" applyNumberFormat="0" applyAlignment="0" applyProtection="0"/>
    <xf numFmtId="0" fontId="12" fillId="0" borderId="0" applyNumberFormat="0" applyFill="0" applyBorder="0" applyAlignment="0" applyProtection="0"/>
    <xf numFmtId="9" fontId="13" fillId="0" borderId="0" applyFont="0" applyFill="0" applyBorder="0" applyAlignment="0" applyProtection="0"/>
    <xf numFmtId="0" fontId="20" fillId="9" borderId="0" applyNumberFormat="0" applyBorder="0" applyAlignment="0" applyProtection="0"/>
  </cellStyleXfs>
  <cellXfs count="105">
    <xf numFmtId="0" fontId="0" fillId="0" borderId="0" xfId="0"/>
    <xf numFmtId="2" fontId="0" fillId="0" borderId="0" xfId="0" applyNumberFormat="1"/>
    <xf numFmtId="0" fontId="0" fillId="0" borderId="0" xfId="0" applyAlignment="1">
      <alignment wrapText="1"/>
    </xf>
    <xf numFmtId="0" fontId="3" fillId="0" borderId="0" xfId="2"/>
    <xf numFmtId="0" fontId="0" fillId="0" borderId="0" xfId="0" applyAlignment="1">
      <alignment horizontal="right"/>
    </xf>
    <xf numFmtId="0" fontId="0" fillId="0" borderId="0" xfId="0" applyAlignment="1">
      <alignment horizontal="left"/>
    </xf>
    <xf numFmtId="0" fontId="7" fillId="3" borderId="1" xfId="3"/>
    <xf numFmtId="0" fontId="8" fillId="4" borderId="1" xfId="4"/>
    <xf numFmtId="0" fontId="0" fillId="0" borderId="0" xfId="0" applyAlignment="1">
      <alignment vertical="top"/>
    </xf>
    <xf numFmtId="164" fontId="0" fillId="0" borderId="0" xfId="0" applyNumberFormat="1"/>
    <xf numFmtId="9" fontId="0" fillId="0" borderId="0" xfId="0" applyNumberFormat="1"/>
    <xf numFmtId="0" fontId="0" fillId="0" borderId="0" xfId="0" quotePrefix="1"/>
    <xf numFmtId="0" fontId="9" fillId="0" borderId="0" xfId="0" applyFont="1" applyAlignment="1">
      <alignment horizontal="right"/>
    </xf>
    <xf numFmtId="164" fontId="8" fillId="4" borderId="1" xfId="4" applyNumberFormat="1" applyFont="1"/>
    <xf numFmtId="0" fontId="9" fillId="0" borderId="0" xfId="0" applyFont="1"/>
    <xf numFmtId="0" fontId="12" fillId="0" borderId="0" xfId="5"/>
    <xf numFmtId="0" fontId="1" fillId="2" borderId="0" xfId="1"/>
    <xf numFmtId="0" fontId="14" fillId="0" borderId="0" xfId="0" applyFont="1"/>
    <xf numFmtId="0" fontId="15" fillId="0" borderId="0" xfId="0" applyFont="1"/>
    <xf numFmtId="0" fontId="0" fillId="0" borderId="0" xfId="0" applyFont="1"/>
    <xf numFmtId="0" fontId="16" fillId="0" borderId="0" xfId="0" applyFont="1"/>
    <xf numFmtId="165" fontId="0" fillId="0" borderId="0" xfId="0" quotePrefix="1" applyNumberFormat="1" applyAlignment="1"/>
    <xf numFmtId="10" fontId="0" fillId="0" borderId="0" xfId="6" applyNumberFormat="1" applyFont="1"/>
    <xf numFmtId="10" fontId="9" fillId="0" borderId="0" xfId="6" applyNumberFormat="1" applyFont="1"/>
    <xf numFmtId="10" fontId="0" fillId="0" borderId="0" xfId="6" applyNumberFormat="1" applyFont="1" applyAlignment="1">
      <alignment horizontal="left"/>
    </xf>
    <xf numFmtId="10" fontId="9" fillId="0" borderId="0" xfId="6" applyNumberFormat="1" applyFont="1" applyAlignment="1">
      <alignment horizontal="left"/>
    </xf>
    <xf numFmtId="10" fontId="16" fillId="0" borderId="0" xfId="6" applyNumberFormat="1" applyFont="1"/>
    <xf numFmtId="10" fontId="0" fillId="0" borderId="0" xfId="6" applyNumberFormat="1" applyFont="1" applyAlignment="1"/>
    <xf numFmtId="10" fontId="15" fillId="0" borderId="0" xfId="6" applyNumberFormat="1" applyFont="1"/>
    <xf numFmtId="10" fontId="0" fillId="0" borderId="0" xfId="6" quotePrefix="1" applyNumberFormat="1" applyFont="1" applyAlignment="1">
      <alignment horizontal="left"/>
    </xf>
    <xf numFmtId="0" fontId="14" fillId="6" borderId="0" xfId="0" applyFont="1" applyFill="1"/>
    <xf numFmtId="10" fontId="0" fillId="6" borderId="0" xfId="6" applyNumberFormat="1" applyFont="1" applyFill="1"/>
    <xf numFmtId="0" fontId="15" fillId="6" borderId="0" xfId="0" applyFont="1" applyFill="1"/>
    <xf numFmtId="10" fontId="0" fillId="6" borderId="0" xfId="6" applyNumberFormat="1" applyFont="1" applyFill="1" applyAlignment="1">
      <alignment horizontal="left"/>
    </xf>
    <xf numFmtId="10" fontId="12" fillId="0" borderId="0" xfId="5" applyNumberFormat="1"/>
    <xf numFmtId="10" fontId="12" fillId="0" borderId="0" xfId="5" applyNumberFormat="1" applyAlignment="1">
      <alignment horizontal="left"/>
    </xf>
    <xf numFmtId="0" fontId="3" fillId="0" borderId="0" xfId="2" applyAlignment="1">
      <alignment horizontal="left"/>
    </xf>
    <xf numFmtId="0" fontId="3" fillId="0" borderId="0" xfId="2" applyFont="1" applyAlignment="1">
      <alignment horizontal="left"/>
    </xf>
    <xf numFmtId="0" fontId="12" fillId="0" borderId="0" xfId="0" applyFont="1" applyAlignment="1">
      <alignment horizontal="right"/>
    </xf>
    <xf numFmtId="10" fontId="17" fillId="0" borderId="0" xfId="5" applyNumberFormat="1" applyFont="1"/>
    <xf numFmtId="164" fontId="8" fillId="4" borderId="1" xfId="4" applyNumberFormat="1"/>
    <xf numFmtId="3" fontId="7" fillId="3" borderId="1" xfId="3" applyNumberFormat="1"/>
    <xf numFmtId="4" fontId="7" fillId="3" borderId="1" xfId="3" applyNumberFormat="1"/>
    <xf numFmtId="1" fontId="8" fillId="4" borderId="1" xfId="4" applyNumberFormat="1" applyAlignment="1">
      <alignment horizontal="right"/>
    </xf>
    <xf numFmtId="10" fontId="8" fillId="4" borderId="1" xfId="6" applyNumberFormat="1" applyFont="1" applyFill="1" applyBorder="1" applyAlignment="1">
      <alignment horizontal="right"/>
    </xf>
    <xf numFmtId="0" fontId="8" fillId="4" borderId="1" xfId="4" applyAlignment="1">
      <alignment horizontal="right"/>
    </xf>
    <xf numFmtId="10" fontId="8" fillId="4" borderId="1" xfId="4" applyNumberFormat="1"/>
    <xf numFmtId="10" fontId="8" fillId="4" borderId="1" xfId="4" applyNumberFormat="1" applyAlignment="1">
      <alignment horizontal="left"/>
    </xf>
    <xf numFmtId="164" fontId="0" fillId="0" borderId="0" xfId="0" quotePrefix="1" applyNumberFormat="1"/>
    <xf numFmtId="165" fontId="0" fillId="0" borderId="0" xfId="0" applyNumberFormat="1"/>
    <xf numFmtId="0" fontId="8" fillId="7" borderId="1" xfId="4" applyFill="1"/>
    <xf numFmtId="0" fontId="0" fillId="0" borderId="0" xfId="0" applyAlignment="1"/>
    <xf numFmtId="0" fontId="9" fillId="0" borderId="0" xfId="0" applyFont="1" applyAlignment="1"/>
    <xf numFmtId="0" fontId="3" fillId="0" borderId="2" xfId="2" applyFill="1" applyBorder="1" applyAlignment="1">
      <alignment horizontal="left" vertical="top" wrapText="1"/>
    </xf>
    <xf numFmtId="0" fontId="0" fillId="0" borderId="0" xfId="0" applyFill="1"/>
    <xf numFmtId="0" fontId="14" fillId="0" borderId="0" xfId="0" applyFont="1" applyAlignment="1"/>
    <xf numFmtId="0" fontId="18" fillId="0" borderId="0" xfId="0" applyFont="1"/>
    <xf numFmtId="0" fontId="18" fillId="0" borderId="0" xfId="0" applyFont="1" applyAlignment="1"/>
    <xf numFmtId="0" fontId="0" fillId="0" borderId="3" xfId="0" applyBorder="1" applyAlignment="1">
      <alignment wrapText="1"/>
    </xf>
    <xf numFmtId="0" fontId="0" fillId="0" borderId="3" xfId="0" applyBorder="1"/>
    <xf numFmtId="2" fontId="0" fillId="0" borderId="3" xfId="0" applyNumberFormat="1" applyBorder="1"/>
    <xf numFmtId="1" fontId="0" fillId="0" borderId="3" xfId="0" applyNumberFormat="1" applyBorder="1"/>
    <xf numFmtId="0" fontId="0" fillId="0" borderId="4" xfId="0" applyBorder="1" applyAlignment="1">
      <alignment wrapText="1"/>
    </xf>
    <xf numFmtId="0" fontId="0" fillId="0" borderId="4" xfId="0" applyBorder="1"/>
    <xf numFmtId="1" fontId="0" fillId="0" borderId="4" xfId="0" applyNumberFormat="1" applyBorder="1"/>
    <xf numFmtId="0" fontId="0" fillId="0" borderId="0" xfId="0" applyBorder="1"/>
    <xf numFmtId="0" fontId="0" fillId="0" borderId="5" xfId="0" applyBorder="1" applyAlignment="1">
      <alignment wrapText="1"/>
    </xf>
    <xf numFmtId="0" fontId="0" fillId="0" borderId="5" xfId="0" applyBorder="1"/>
    <xf numFmtId="1" fontId="0" fillId="0" borderId="5" xfId="0" applyNumberFormat="1" applyBorder="1"/>
    <xf numFmtId="0" fontId="0" fillId="8" borderId="3" xfId="0" applyFill="1" applyBorder="1"/>
    <xf numFmtId="0" fontId="3" fillId="0" borderId="0" xfId="2" applyBorder="1"/>
    <xf numFmtId="0" fontId="19" fillId="0" borderId="0" xfId="0" applyFont="1"/>
    <xf numFmtId="2" fontId="0" fillId="0" borderId="0" xfId="0" applyNumberFormat="1" applyBorder="1"/>
    <xf numFmtId="0" fontId="3" fillId="0" borderId="0" xfId="2" applyBorder="1" applyAlignment="1"/>
    <xf numFmtId="0" fontId="0" fillId="0" borderId="0" xfId="0" applyBorder="1" applyAlignment="1">
      <alignment wrapText="1"/>
    </xf>
    <xf numFmtId="2" fontId="0" fillId="0" borderId="0" xfId="0" applyNumberFormat="1" applyBorder="1" applyAlignment="1">
      <alignment wrapText="1"/>
    </xf>
    <xf numFmtId="0" fontId="0" fillId="8" borderId="0" xfId="0" applyFill="1" applyBorder="1"/>
    <xf numFmtId="0" fontId="0" fillId="5" borderId="0" xfId="0" applyFill="1" applyBorder="1"/>
    <xf numFmtId="1" fontId="0" fillId="0" borderId="0" xfId="0" applyNumberFormat="1" applyBorder="1"/>
    <xf numFmtId="0" fontId="17" fillId="0" borderId="3" xfId="0" applyFont="1" applyBorder="1"/>
    <xf numFmtId="0" fontId="0" fillId="0" borderId="0" xfId="0" applyFont="1" applyFill="1"/>
    <xf numFmtId="0" fontId="7" fillId="3" borderId="1" xfId="3" applyAlignment="1">
      <alignment wrapText="1"/>
    </xf>
    <xf numFmtId="164" fontId="7" fillId="3" borderId="1" xfId="3" applyNumberFormat="1" applyAlignment="1">
      <alignment wrapText="1"/>
    </xf>
    <xf numFmtId="4" fontId="8" fillId="4" borderId="1" xfId="4" applyNumberFormat="1" applyAlignment="1">
      <alignment wrapText="1"/>
    </xf>
    <xf numFmtId="0" fontId="20" fillId="9" borderId="3" xfId="7" applyBorder="1"/>
    <xf numFmtId="2" fontId="20" fillId="9" borderId="0" xfId="7" applyNumberFormat="1" applyBorder="1"/>
    <xf numFmtId="2" fontId="20" fillId="9" borderId="3" xfId="7" applyNumberFormat="1" applyBorder="1"/>
    <xf numFmtId="0" fontId="20" fillId="9" borderId="0" xfId="7" applyBorder="1"/>
    <xf numFmtId="1" fontId="20" fillId="9" borderId="4" xfId="7" applyNumberFormat="1" applyBorder="1"/>
    <xf numFmtId="0" fontId="20" fillId="9" borderId="0" xfId="7" applyBorder="1" applyAlignment="1"/>
    <xf numFmtId="0" fontId="1" fillId="2" borderId="5" xfId="1" applyBorder="1"/>
    <xf numFmtId="0" fontId="1" fillId="2" borderId="0" xfId="1" applyBorder="1"/>
    <xf numFmtId="0" fontId="1" fillId="2" borderId="4" xfId="1" applyBorder="1"/>
    <xf numFmtId="0" fontId="0" fillId="8" borderId="5" xfId="0" applyFill="1" applyBorder="1"/>
    <xf numFmtId="1" fontId="0" fillId="8" borderId="0" xfId="0" applyNumberFormat="1" applyFill="1" applyBorder="1"/>
    <xf numFmtId="0" fontId="0" fillId="8" borderId="4" xfId="0" applyFill="1" applyBorder="1"/>
    <xf numFmtId="0" fontId="20" fillId="9" borderId="5" xfId="7" applyBorder="1"/>
    <xf numFmtId="2" fontId="0" fillId="8" borderId="0" xfId="0" applyNumberFormat="1" applyFill="1" applyBorder="1"/>
    <xf numFmtId="0" fontId="3" fillId="8" borderId="0" xfId="2" applyFill="1" applyBorder="1" applyAlignment="1"/>
    <xf numFmtId="1" fontId="0" fillId="0" borderId="0" xfId="0" applyNumberFormat="1"/>
    <xf numFmtId="164" fontId="0" fillId="0" borderId="0" xfId="0" applyNumberFormat="1" applyAlignment="1"/>
    <xf numFmtId="0" fontId="7" fillId="3" borderId="1" xfId="3" applyAlignment="1"/>
    <xf numFmtId="1" fontId="8" fillId="10" borderId="1" xfId="0" applyNumberFormat="1" applyFont="1" applyFill="1" applyBorder="1" applyAlignment="1">
      <alignment wrapText="1"/>
    </xf>
    <xf numFmtId="0" fontId="0" fillId="0" borderId="0" xfId="0" applyAlignment="1">
      <alignment horizontal="left" vertical="top" wrapText="1"/>
    </xf>
    <xf numFmtId="0" fontId="0" fillId="0" borderId="0" xfId="0" applyAlignment="1">
      <alignment horizontal="center"/>
    </xf>
  </cellXfs>
  <cellStyles count="8">
    <cellStyle name="Bad" xfId="1" builtinId="27"/>
    <cellStyle name="Calculation" xfId="4" builtinId="22"/>
    <cellStyle name="Hyperlink" xfId="2" builtinId="8"/>
    <cellStyle name="Input" xfId="3" builtinId="20"/>
    <cellStyle name="Neutral" xfId="7" builtinId="28"/>
    <cellStyle name="Normal" xfId="0" builtinId="0"/>
    <cellStyle name="Per cent" xfId="6" builtinId="5"/>
    <cellStyle name="Warning Text" xfId="5" builtinId="11"/>
  </cellStyles>
  <dxfs count="19">
    <dxf>
      <alignment horizontal="general" vertical="bottom" textRotation="0" wrapText="0" indent="0" justifyLastLine="0" shrinkToFit="0" readingOrder="0"/>
    </dxf>
    <dxf>
      <border diagonalUp="0" diagonalDown="0">
        <left/>
        <right style="double">
          <color indexed="64"/>
        </right>
        <top/>
        <bottom/>
        <vertical/>
        <horizontal/>
      </border>
    </dxf>
    <dxf>
      <border diagonalUp="0" diagonalDown="0">
        <left/>
        <right style="mediumDashed">
          <color indexed="64"/>
        </right>
        <top/>
        <bottom/>
        <vertical/>
        <horizontal/>
      </border>
    </dxf>
    <dxf>
      <border diagonalUp="0" diagonalDown="0">
        <left style="double">
          <color indexed="64"/>
        </left>
        <right/>
        <top/>
        <bottom/>
        <vertical/>
        <horizontal/>
      </border>
    </dxf>
    <dxf>
      <border diagonalUp="0" diagonalDown="0">
        <left/>
        <right style="double">
          <color indexed="64"/>
        </right>
        <top/>
        <bottom/>
        <vertical/>
        <horizontal/>
      </border>
    </dxf>
    <dxf>
      <numFmt numFmtId="2" formatCode="0.00"/>
    </dxf>
    <dxf>
      <numFmt numFmtId="2" formatCode="0.00"/>
    </dxf>
    <dxf>
      <numFmt numFmtId="2" formatCode="0.00"/>
    </dxf>
    <dxf>
      <border diagonalUp="0" diagonalDown="0">
        <left/>
        <right style="double">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b/>
        <i val="0"/>
        <color theme="5"/>
      </font>
      <fill>
        <patternFill>
          <bgColor rgb="FF7F7F7F"/>
        </patternFill>
      </fill>
    </dxf>
    <dxf>
      <font>
        <b/>
        <i val="0"/>
        <color theme="5"/>
      </font>
      <fill>
        <patternFill>
          <bgColor rgb="FF7F7F7F"/>
        </patternFill>
      </fill>
    </dxf>
    <dxf>
      <font>
        <b/>
        <i val="0"/>
        <color theme="5"/>
      </font>
      <fill>
        <patternFill>
          <bgColor rgb="FF7F7F7F"/>
        </patternFill>
      </fill>
    </dxf>
    <dxf>
      <font>
        <color rgb="FF9C0006"/>
      </font>
      <fill>
        <patternFill>
          <bgColor rgb="FFFFC7CE"/>
        </patternFill>
      </fill>
    </dxf>
    <dxf>
      <font>
        <color rgb="FF3F3F76"/>
      </font>
      <fill>
        <patternFill>
          <bgColor rgb="FFFFCC99"/>
        </patternFill>
      </fill>
      <border>
        <left style="thin">
          <color rgb="FF7F7F7F"/>
        </left>
        <right style="thin">
          <color rgb="FF7F7F7F"/>
        </right>
        <top style="thin">
          <color rgb="FF7F7F7F"/>
        </top>
        <bottom style="thin">
          <color rgb="FF7F7F7F"/>
        </bottom>
      </border>
    </dxf>
    <dxf>
      <font>
        <color rgb="FF3F3F76"/>
      </font>
      <fill>
        <patternFill>
          <bgColor rgb="FFFFCC99"/>
        </patternFill>
      </fill>
      <border>
        <left style="thin">
          <color rgb="FF7F7F7F"/>
        </left>
        <right style="thin">
          <color rgb="FF7F7F7F"/>
        </right>
        <top style="thin">
          <color rgb="FF7F7F7F"/>
        </top>
        <bottom style="thin">
          <color rgb="FF7F7F7F"/>
        </bottom>
      </border>
    </dxf>
  </dxfs>
  <tableStyles count="0" defaultTableStyle="TableStyleMedium2" defaultPivotStyle="PivotStyleLight16"/>
  <colors>
    <mruColors>
      <color rgb="FF7F7F7F"/>
      <color rgb="FFFA7D00"/>
      <color rgb="FFFFCC99"/>
      <color rgb="FFFF6565"/>
      <color rgb="FFFFFFCC"/>
      <color rgb="FF3F3F76"/>
      <color rgb="FFC48A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ton CO2 stored by product</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1"/>
          <c:order val="0"/>
          <c:tx>
            <c:strRef>
              <c:f>'Calculation-input'!$K$5</c:f>
              <c:strCache>
                <c:ptCount val="1"/>
                <c:pt idx="0">
                  <c:v>tCO2 stored</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CFD-4A77-9338-23D6ADD4912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CFD-4A77-9338-23D6ADD4912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CFD-4A77-9338-23D6ADD4912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CFD-4A77-9338-23D6ADD4912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CFD-4A77-9338-23D6ADD4912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0CFD-4A77-9338-23D6ADD4912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CFD-4A77-9338-23D6ADD4912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0CFD-4A77-9338-23D6ADD4912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CFD-4A77-9338-23D6ADD4912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0CFD-4A77-9338-23D6ADD49120}"/>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CFD-4A77-9338-23D6ADD49120}"/>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0CFD-4A77-9338-23D6ADD49120}"/>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0CFD-4A77-9338-23D6ADD49120}"/>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0CFD-4A77-9338-23D6ADD49120}"/>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0CFD-4A77-9338-23D6ADD49120}"/>
              </c:ext>
            </c:extLst>
          </c:dPt>
          <c:dPt>
            <c:idx val="15"/>
            <c:bubble3D val="0"/>
            <c:spPr>
              <a:solidFill>
                <a:schemeClr val="accent4">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0CFD-4A77-9338-23D6ADD49120}"/>
              </c:ext>
            </c:extLst>
          </c:dPt>
          <c:dPt>
            <c:idx val="16"/>
            <c:bubble3D val="0"/>
            <c:spPr>
              <a:solidFill>
                <a:schemeClr val="accent5">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0CFD-4A77-9338-23D6ADD49120}"/>
              </c:ext>
            </c:extLst>
          </c:dPt>
          <c:dPt>
            <c:idx val="17"/>
            <c:bubble3D val="0"/>
            <c:spPr>
              <a:solidFill>
                <a:schemeClr val="accent6">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0CFD-4A77-9338-23D6ADD49120}"/>
              </c:ext>
            </c:extLst>
          </c:dPt>
          <c:dPt>
            <c:idx val="18"/>
            <c:bubble3D val="0"/>
            <c:spPr>
              <a:solidFill>
                <a:schemeClr val="accent1">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0CFD-4A77-9338-23D6ADD49120}"/>
              </c:ext>
            </c:extLst>
          </c:dPt>
          <c:dPt>
            <c:idx val="19"/>
            <c:bubble3D val="0"/>
            <c:spPr>
              <a:solidFill>
                <a:schemeClr val="accent2">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0CFD-4A77-9338-23D6ADD49120}"/>
              </c:ext>
            </c:extLst>
          </c:dPt>
          <c:dPt>
            <c:idx val="20"/>
            <c:bubble3D val="0"/>
            <c:spPr>
              <a:solidFill>
                <a:schemeClr val="accent3">
                  <a:lumMod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7-0CFD-4A77-9338-23D6ADD4912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3-0CFD-4A77-9338-23D6ADD4912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4-0CFD-4A77-9338-23D6ADD4912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5-0CFD-4A77-9338-23D6ADD4912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6-0CFD-4A77-9338-23D6ADD4912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7-0CFD-4A77-9338-23D6ADD4912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8-0CFD-4A77-9338-23D6ADD49120}"/>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9-0CFD-4A77-9338-23D6ADD49120}"/>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A-0CFD-4A77-9338-23D6ADD49120}"/>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B-0CFD-4A77-9338-23D6ADD49120}"/>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C-0CFD-4A77-9338-23D6ADD49120}"/>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D-0CFD-4A77-9338-23D6ADD49120}"/>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E-0CFD-4A77-9338-23D6ADD49120}"/>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0F-0CFD-4A77-9338-23D6ADD49120}"/>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10-0CFD-4A77-9338-23D6ADD49120}"/>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11-0CFD-4A77-9338-23D6ADD49120}"/>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12-0CFD-4A77-9338-23D6ADD49120}"/>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13-0CFD-4A77-9338-23D6ADD49120}"/>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14-0CFD-4A77-9338-23D6ADD49120}"/>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15-0CFD-4A77-9338-23D6ADD49120}"/>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16-0CFD-4A77-9338-23D6ADD49120}"/>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NL"/>
                </a:p>
              </c:txPr>
              <c:dLblPos val="outEnd"/>
              <c:showLegendKey val="0"/>
              <c:showVal val="1"/>
              <c:showCatName val="1"/>
              <c:showSerName val="0"/>
              <c:showPercent val="1"/>
              <c:showBubbleSize val="0"/>
              <c:extLst>
                <c:ext xmlns:c16="http://schemas.microsoft.com/office/drawing/2014/chart" uri="{C3380CC4-5D6E-409C-BE32-E72D297353CC}">
                  <c16:uniqueId val="{00000017-0CFD-4A77-9338-23D6ADD49120}"/>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'Calculation-input'!$J$6:$J$26</c:f>
              <c:strCache>
                <c:ptCount val="21"/>
                <c:pt idx="0">
                  <c:v>Other wood material</c:v>
                </c:pt>
                <c:pt idx="1">
                  <c:v>0</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strCache>
            </c:strRef>
          </c:cat>
          <c:val>
            <c:numRef>
              <c:f>'Calculation-input'!$K$6:$K$26</c:f>
              <c:numCache>
                <c:formatCode>0.0</c:formatCode>
                <c:ptCount val="21"/>
                <c:pt idx="0">
                  <c:v>176.90730762426111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0CFD-4A77-9338-23D6ADD4912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3</xdr:row>
      <xdr:rowOff>190499</xdr:rowOff>
    </xdr:from>
    <xdr:to>
      <xdr:col>17</xdr:col>
      <xdr:colOff>0</xdr:colOff>
      <xdr:row>25</xdr:row>
      <xdr:rowOff>190499</xdr:rowOff>
    </xdr:to>
    <xdr:graphicFrame macro="">
      <xdr:nvGraphicFramePr>
        <xdr:cNvPr id="3" name="Grafiek 2">
          <a:extLst>
            <a:ext uri="{FF2B5EF4-FFF2-40B4-BE49-F238E27FC236}">
              <a16:creationId xmlns:a16="http://schemas.microsoft.com/office/drawing/2014/main" id="{F4B0A993-B777-4AFD-87D4-AA1E8D4E0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415464</xdr:colOff>
      <xdr:row>24</xdr:row>
      <xdr:rowOff>175780</xdr:rowOff>
    </xdr:from>
    <xdr:to>
      <xdr:col>16</xdr:col>
      <xdr:colOff>174</xdr:colOff>
      <xdr:row>31</xdr:row>
      <xdr:rowOff>124345</xdr:rowOff>
    </xdr:to>
    <xdr:pic>
      <xdr:nvPicPr>
        <xdr:cNvPr id="2" name="Afbeelding 1">
          <a:extLst>
            <a:ext uri="{FF2B5EF4-FFF2-40B4-BE49-F238E27FC236}">
              <a16:creationId xmlns:a16="http://schemas.microsoft.com/office/drawing/2014/main" id="{D244B6F5-ED31-4DB4-AE11-5CEC4062ED80}"/>
            </a:ext>
          </a:extLst>
        </xdr:cNvPr>
        <xdr:cNvPicPr>
          <a:picLocks noChangeAspect="1" noChangeArrowheads="1"/>
        </xdr:cNvPicPr>
      </xdr:nvPicPr>
      <xdr:blipFill>
        <a:blip xmlns:r="http://schemas.openxmlformats.org/officeDocument/2006/relationships" r:embed="rId1">
          <a:grayscl/>
          <a:extLst>
            <a:ext uri="{BEBA8EAE-BF5A-486C-A8C5-ECC9F3942E4B}">
              <a14:imgProps xmlns:a14="http://schemas.microsoft.com/office/drawing/2010/main">
                <a14:imgLayer r:embed="rId2">
                  <a14:imgEffect>
                    <a14:sharpenSoften amount="50000"/>
                  </a14:imgEffect>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11403850" y="4938280"/>
          <a:ext cx="4468438" cy="1282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BFF975-0F68-48A5-880A-9CED6B322BD1}" name="Tabel1" displayName="Tabel1" ref="A1:O33" totalsRowShown="0" headerRowDxfId="10" tableBorderDxfId="9">
  <autoFilter ref="A1:O33" xr:uid="{B6F89086-9B82-4A0F-9028-DAB52B16992D}"/>
  <sortState xmlns:xlrd2="http://schemas.microsoft.com/office/spreadsheetml/2017/richdata2" ref="A2:O33">
    <sortCondition ref="A1:A33"/>
  </sortState>
  <tableColumns count="15">
    <tableColumn id="1" xr3:uid="{2081E066-29DB-4673-B755-D9CA2FDEA7B4}" name="Product" dataDxfId="8"/>
    <tableColumn id="2" xr3:uid="{5320F8A3-4657-46BB-9BF5-133202804871}" name="Min. CO2-storage (kgCO2/kg)" dataDxfId="7"/>
    <tableColumn id="3" xr3:uid="{3F84CEF9-74C5-4A9C-ADFC-980A2E21AB29}" name="Av. CO2-storage (kgCO2/kg)*" dataDxfId="6"/>
    <tableColumn id="4" xr3:uid="{1712F483-5B99-4987-B8C8-DDBC0E95BAC9}" name="Max. CO2-storage (kgCO2/kg)" dataDxfId="5"/>
    <tableColumn id="5" xr3:uid="{28341A7D-ED4F-4946-8FE3-1459FD01D80D}" name="n datapoints" dataDxfId="4"/>
    <tableColumn id="6" xr3:uid="{6C5756FF-C428-446E-B5B4-FCB4E45DCE5D}" name="Min. Density (kg/m3)" dataDxfId="3"/>
    <tableColumn id="7" xr3:uid="{7462E52B-6144-4452-96D0-97498D1F9D24}" name="Av. of mid. range Density (kg/m3)"/>
    <tableColumn id="8" xr3:uid="{E3291A64-CDF8-4728-B2CC-F820CF8EBB96}" name="Max. Density (kg/m3)" dataDxfId="2"/>
    <tableColumn id="9" xr3:uid="{70F553E0-396E-45E9-84A4-FE5E396F418C}" name="Av. Density from spruces (kg/m3)"/>
    <tableColumn id="10" xr3:uid="{C7060F08-ECAA-4A90-A62D-29D1C8A71489}" name="Av. Density from larchs (kg/m3)" dataDxfId="1"/>
    <tableColumn id="11" xr3:uid="{B8D8C81E-F0B4-4A51-9411-668548B59B94}" name="Source1" dataDxfId="0" dataCellStyle="Hyperlink"/>
    <tableColumn id="12" xr3:uid="{A3994771-2EC8-469D-A98B-320F40B67788}" name="Source2"/>
    <tableColumn id="13" xr3:uid="{DD1AB8C1-4C76-4EA4-A82A-D5CC8993182A}" name="Source3"/>
    <tableColumn id="14" xr3:uid="{0B502E4A-B33D-4136-A7D9-10A9115BC1E6}" name="Source4"/>
    <tableColumn id="15" xr3:uid="{BB3ED56F-FA5B-4336-AA8B-5B3726C811DC}" name="Source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linkedin.com/in/bart-van-valenberg-6-201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awc.org/pdf/greenbuilding/epd/AWC_EPD_NorthAmericanGluedLaminatedTimber_20200605.pdf" TargetMode="External"/><Relationship Id="rId18" Type="http://schemas.openxmlformats.org/officeDocument/2006/relationships/hyperlink" Target="https://www.accoya.com/app/uploads/2020/05/Environmental-Product-Declaration-%E2%80%93-cladding-decking-planed-timber-%E2%80%93-EN-15804.pdf" TargetMode="External"/><Relationship Id="rId26"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9" Type="http://schemas.openxmlformats.org/officeDocument/2006/relationships/hyperlink" Target="https://innovativebuildingmaterials.com/hemp-insulation/" TargetMode="External"/><Relationship Id="rId21" Type="http://schemas.openxmlformats.org/officeDocument/2006/relationships/hyperlink" Target="https://epd-online.com/EmbeddedEpdList/Download/5751" TargetMode="External"/><Relationship Id="rId34" Type="http://schemas.openxmlformats.org/officeDocument/2006/relationships/hyperlink" Target="https://llufb.llu.lv/conference/NJF/NJF_2015_Proceedings_Latvia-156-160.pdf" TargetMode="External"/><Relationship Id="rId42" Type="http://schemas.openxmlformats.org/officeDocument/2006/relationships/table" Target="../tables/table1.xml"/><Relationship Id="rId7" Type="http://schemas.openxmlformats.org/officeDocument/2006/relationships/hyperlink" Target="https://www.houtdatabase.nl/" TargetMode="External"/><Relationship Id="rId2" Type="http://schemas.openxmlformats.org/officeDocument/2006/relationships/hyperlink" Target="https://www.houtdatabase.nl/" TargetMode="External"/><Relationship Id="rId16" Type="http://schemas.openxmlformats.org/officeDocument/2006/relationships/hyperlink" Target="https://www.nordic.ca/data/files/datasheet/file/EPD_Nordic_Lam.pdf" TargetMode="External"/><Relationship Id="rId20" Type="http://schemas.openxmlformats.org/officeDocument/2006/relationships/hyperlink" Target="https://www.accoya.com/app/uploads/2020/05/Environmental-Product-Declaration-%E2%80%93-cladding-decking-planed-timber-%E2%80%93-EN-15804.pdf" TargetMode="External"/><Relationship Id="rId29" Type="http://schemas.openxmlformats.org/officeDocument/2006/relationships/hyperlink" Target="https://onlinelibrary.wiley.com/doi/abs/10.1111/plb.12435" TargetMode="External"/><Relationship Id="rId41" Type="http://schemas.openxmlformats.org/officeDocument/2006/relationships/vmlDrawing" Target="../drawings/vmlDrawing1.vml"/><Relationship Id="rId1" Type="http://schemas.openxmlformats.org/officeDocument/2006/relationships/hyperlink" Target="https://www.groendak.nl/" TargetMode="External"/><Relationship Id="rId6" Type="http://schemas.openxmlformats.org/officeDocument/2006/relationships/hyperlink" Target="https://www.houtdatabase.nl/" TargetMode="External"/><Relationship Id="rId11" Type="http://schemas.openxmlformats.org/officeDocument/2006/relationships/hyperlink" Target="https://materialspalette.org/straw-bale/" TargetMode="External"/><Relationship Id="rId24" Type="http://schemas.openxmlformats.org/officeDocument/2006/relationships/hyperlink" Target="https://iwto.org/sustainability/carbon-cycle/" TargetMode="External"/><Relationship Id="rId32" Type="http://schemas.openxmlformats.org/officeDocument/2006/relationships/hyperlink" Target="https://www.researchgate.net/publication/313961941_Life_cycle_assessment_of_natural_building_materials_the_role_of_carbonation_mixture_components_and_transport_in_the_environmental_impacts_of_hempcrete_blocks" TargetMode="External"/><Relationship Id="rId37" Type="http://schemas.openxmlformats.org/officeDocument/2006/relationships/hyperlink" Target="https://www.groenebouwmaterialen.nl/thermo-hennep-premium-hennep-isolatie.html" TargetMode="External"/><Relationship Id="rId40" Type="http://schemas.openxmlformats.org/officeDocument/2006/relationships/printerSettings" Target="../printerSettings/printerSettings3.bin"/><Relationship Id="rId5" Type="http://schemas.openxmlformats.org/officeDocument/2006/relationships/hyperlink" Target="https://www.houtdatabase.nl/" TargetMode="External"/><Relationship Id="rId15" Type="http://schemas.openxmlformats.org/officeDocument/2006/relationships/hyperlink" Target="https://www.astm.org/CERTIFICATION/DOCS/479.EPD_FOR_Structurlam_Glulam_20200113.pdf" TargetMode="External"/><Relationship Id="rId23" Type="http://schemas.openxmlformats.org/officeDocument/2006/relationships/hyperlink" Target="https://www.researchgate.net/publication/38028912_Carbon_Sequestration_Potential_of_Extensive_Green_Roofs" TargetMode="External"/><Relationship Id="rId28" Type="http://schemas.openxmlformats.org/officeDocument/2006/relationships/hyperlink" Target="https://www.researchgate.net/publication/263268778_Carbon_sequestration_in_LCA_a_proposal_for_a_new_approach_based_on_the_global_carbon_cycle_Cases_on_wood_and_on_bamboo" TargetMode="External"/><Relationship Id="rId36" Type="http://schemas.openxmlformats.org/officeDocument/2006/relationships/hyperlink" Target="https://www.isolatie-info.nl/isolatiemateriaal/hennep" TargetMode="External"/><Relationship Id="rId10" Type="http://schemas.openxmlformats.org/officeDocument/2006/relationships/hyperlink" Target="https://www.academia.edu/39298982/STRAWBALE_CONSTRUCTION_A_LEAST_EMBODIED_ENERGY_MATERIAL" TargetMode="External"/><Relationship Id="rId19" Type="http://schemas.openxmlformats.org/officeDocument/2006/relationships/hyperlink" Target="https://www.accoya.com/app/uploads/2020/05/Environmental-Product-Declaration-%E2%80%93-cladding-decking-planed-timber-%E2%80%93-EN-15804.pdf" TargetMode="External"/><Relationship Id="rId31" Type="http://schemas.openxmlformats.org/officeDocument/2006/relationships/hyperlink" Target="https://www.hollandhoutland.nl/wp-content/uploads/2021/03/HH_Biobased-Bouwen-Bedrijvengids_BOOK_19-03_web.pdf" TargetMode="External"/><Relationship Id="rId4" Type="http://schemas.openxmlformats.org/officeDocument/2006/relationships/hyperlink" Target="https://www.houtdatabase.nl/" TargetMode="External"/><Relationship Id="rId9" Type="http://schemas.openxmlformats.org/officeDocument/2006/relationships/hyperlink" Target="https://www.houtdatabase.nl/" TargetMode="External"/><Relationship Id="rId14" Type="http://schemas.openxmlformats.org/officeDocument/2006/relationships/hyperlink" Target="https://portal.environdec.com/api/api/v1/EPDLibrary/Files/2263eda0-231e-412c-91e4-0a1894bf1a5d/Data" TargetMode="External"/><Relationship Id="rId22" Type="http://schemas.openxmlformats.org/officeDocument/2006/relationships/hyperlink" Target="https://parquet.com/technical-data-sheet/" TargetMode="External"/><Relationship Id="rId27" Type="http://schemas.openxmlformats.org/officeDocument/2006/relationships/hyperlink" Target="https://onlinelibrary.wiley.com/doi/abs/10.1111/plb.12435" TargetMode="External"/><Relationship Id="rId30" Type="http://schemas.openxmlformats.org/officeDocument/2006/relationships/hyperlink" Target="https://www.hollandhoutland.nl/wp-content/uploads/2021/03/HH_Biobased-Bouwen-Bedrijvengids_BOOK_19-03_web.pdf" TargetMode="External"/><Relationship Id="rId35" Type="http://schemas.openxmlformats.org/officeDocument/2006/relationships/hyperlink" Target="https://www.hollandhoutland.nl/wp-content/uploads/2021/03/HH_Biobased-Bouwen-Bedrijvengids_BOOK_19-03_web.pdf" TargetMode="External"/><Relationship Id="rId43" Type="http://schemas.openxmlformats.org/officeDocument/2006/relationships/comments" Target="../comments1.xml"/><Relationship Id="rId8" Type="http://schemas.openxmlformats.org/officeDocument/2006/relationships/hyperlink" Target="https://www.houtdatabase.nl/" TargetMode="External"/><Relationship Id="rId3" Type="http://schemas.openxmlformats.org/officeDocument/2006/relationships/hyperlink" Target="https://www.houtdatabase.nl/" TargetMode="External"/><Relationship Id="rId12" Type="http://schemas.openxmlformats.org/officeDocument/2006/relationships/hyperlink" Target="https://ecococon.eu/assets/downloads/ecococon_brochure.pdf" TargetMode="External"/><Relationship Id="rId17" Type="http://schemas.openxmlformats.org/officeDocument/2006/relationships/hyperlink" Target="https://portal.environdec.com/api/api/v1/EPDLibrary/Files/b7b4e26b-41b8-4b7f-802c-08d8e2c71993/Data" TargetMode="External"/><Relationship Id="rId25" Type="http://schemas.openxmlformats.org/officeDocument/2006/relationships/hyperlink" Target="https://www.carbontrap.org/about-miscanthus" TargetMode="External"/><Relationship Id="rId33" Type="http://schemas.openxmlformats.org/officeDocument/2006/relationships/hyperlink" Target="https://www.sciencedirect.com/science/article/abs/pii/S0921344912001620" TargetMode="External"/><Relationship Id="rId38" Type="http://schemas.openxmlformats.org/officeDocument/2006/relationships/hyperlink" Target="https://www.hempitecture.com/hempwoo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sciencedirect.com/science/article/abs/pii/S0961953403000333" TargetMode="External"/><Relationship Id="rId21" Type="http://schemas.openxmlformats.org/officeDocument/2006/relationships/hyperlink" Target="https://www.sciencedirect.com/science/article/abs/pii/S0961953403000333" TargetMode="External"/><Relationship Id="rId42" Type="http://schemas.openxmlformats.org/officeDocument/2006/relationships/hyperlink" Target="https://www.houtinfo.nl/node/224" TargetMode="External"/><Relationship Id="rId47" Type="http://schemas.openxmlformats.org/officeDocument/2006/relationships/hyperlink" Target="https://www.wood-database.com/balsam-fir/" TargetMode="External"/><Relationship Id="rId63" Type="http://schemas.openxmlformats.org/officeDocument/2006/relationships/hyperlink" Target="https://www.wood-database.com/tamarack/" TargetMode="External"/><Relationship Id="rId68" Type="http://schemas.openxmlformats.org/officeDocument/2006/relationships/hyperlink" Target="https://www.wood-database.com/black-cherry/" TargetMode="External"/><Relationship Id="rId16" Type="http://schemas.openxmlformats.org/officeDocument/2006/relationships/hyperlink" Target="https://www.sciencedirect.com/science/article/abs/pii/S0961953403000333" TargetMode="External"/><Relationship Id="rId11" Type="http://schemas.openxmlformats.org/officeDocument/2006/relationships/hyperlink" Target="https://www.sciencedirect.com/science/article/abs/pii/S0961953403000333" TargetMode="External"/><Relationship Id="rId32" Type="http://schemas.openxmlformats.org/officeDocument/2006/relationships/hyperlink" Target="https://www.sciencedirect.com/science/article/abs/pii/S0961953403000333" TargetMode="External"/><Relationship Id="rId37" Type="http://schemas.openxmlformats.org/officeDocument/2006/relationships/hyperlink" Target="https://www.sciencedirect.com/science/article/abs/pii/S0961953403000333" TargetMode="External"/><Relationship Id="rId53" Type="http://schemas.openxmlformats.org/officeDocument/2006/relationships/hyperlink" Target="https://www.wood-database.com/black-ash/" TargetMode="External"/><Relationship Id="rId58" Type="http://schemas.openxmlformats.org/officeDocument/2006/relationships/hyperlink" Target="https://www.wood-database.com/jack-pine/" TargetMode="External"/><Relationship Id="rId74" Type="http://schemas.openxmlformats.org/officeDocument/2006/relationships/hyperlink" Target="https://www.wood-database.com/western-hemlock/" TargetMode="External"/><Relationship Id="rId79" Type="http://schemas.openxmlformats.org/officeDocument/2006/relationships/hyperlink" Target="https://www.wood-database.com/american-beech/" TargetMode="External"/><Relationship Id="rId5" Type="http://schemas.openxmlformats.org/officeDocument/2006/relationships/hyperlink" Target="https://www.sciencedirect.com/science/article/abs/pii/S0961953403000333" TargetMode="External"/><Relationship Id="rId61" Type="http://schemas.openxmlformats.org/officeDocument/2006/relationships/hyperlink" Target="https://www.wood-database.com/eastern-white-pine/" TargetMode="External"/><Relationship Id="rId82" Type="http://schemas.openxmlformats.org/officeDocument/2006/relationships/drawing" Target="../drawings/drawing2.xml"/><Relationship Id="rId19" Type="http://schemas.openxmlformats.org/officeDocument/2006/relationships/hyperlink" Target="https://www.sciencedirect.com/science/article/abs/pii/S0961953403000333" TargetMode="External"/><Relationship Id="rId14" Type="http://schemas.openxmlformats.org/officeDocument/2006/relationships/hyperlink" Target="https://www.sciencedirect.com/science/article/abs/pii/S0961953403000333" TargetMode="External"/><Relationship Id="rId22" Type="http://schemas.openxmlformats.org/officeDocument/2006/relationships/hyperlink" Target="https://www.sciencedirect.com/science/article/abs/pii/S0961953403000333" TargetMode="External"/><Relationship Id="rId27" Type="http://schemas.openxmlformats.org/officeDocument/2006/relationships/hyperlink" Target="https://www.sciencedirect.com/science/article/abs/pii/S0961953403000333" TargetMode="External"/><Relationship Id="rId30" Type="http://schemas.openxmlformats.org/officeDocument/2006/relationships/hyperlink" Target="https://www.sciencedirect.com/science/article/abs/pii/S0961953403000333" TargetMode="External"/><Relationship Id="rId35" Type="http://schemas.openxmlformats.org/officeDocument/2006/relationships/hyperlink" Target="https://www.sciencedirect.com/science/article/abs/pii/S0961953403000333" TargetMode="External"/><Relationship Id="rId43" Type="http://schemas.openxmlformats.org/officeDocument/2006/relationships/hyperlink" Target="https://www.houtinfo.nl/node/255" TargetMode="External"/><Relationship Id="rId48" Type="http://schemas.openxmlformats.org/officeDocument/2006/relationships/hyperlink" Target="https://www.wood-database.com/box-elder/" TargetMode="External"/><Relationship Id="rId56" Type="http://schemas.openxmlformats.org/officeDocument/2006/relationships/hyperlink" Target="https://www.wood-database.com/red-oak/" TargetMode="External"/><Relationship Id="rId64" Type="http://schemas.openxmlformats.org/officeDocument/2006/relationships/hyperlink" Target="https://www.wood-database.com/western-larch/" TargetMode="External"/><Relationship Id="rId69" Type="http://schemas.openxmlformats.org/officeDocument/2006/relationships/hyperlink" Target="https://www.wood-database.com/sitka-spruce/" TargetMode="External"/><Relationship Id="rId77" Type="http://schemas.openxmlformats.org/officeDocument/2006/relationships/hyperlink" Target="https://www.wood-database.com/yellow-birch/" TargetMode="External"/><Relationship Id="rId8" Type="http://schemas.openxmlformats.org/officeDocument/2006/relationships/hyperlink" Target="https://www.sciencedirect.com/science/article/abs/pii/S0961953403000333" TargetMode="External"/><Relationship Id="rId51" Type="http://schemas.openxmlformats.org/officeDocument/2006/relationships/hyperlink" Target="https://www.wood-database.com/red-maple/" TargetMode="External"/><Relationship Id="rId72" Type="http://schemas.openxmlformats.org/officeDocument/2006/relationships/hyperlink" Target="https://www.wood-database.com/black-walnut/" TargetMode="External"/><Relationship Id="rId80" Type="http://schemas.openxmlformats.org/officeDocument/2006/relationships/hyperlink" Target="https://www.researchgate.net/publication/287808853_Carbon_content_in_Juvenile_and_mature_wood_of_Scots_Pine_Pinus_sylyestris_L" TargetMode="External"/><Relationship Id="rId3" Type="http://schemas.openxmlformats.org/officeDocument/2006/relationships/hyperlink" Target="https://www.sciencedirect.com/science/article/abs/pii/S0961953403000333" TargetMode="External"/><Relationship Id="rId12" Type="http://schemas.openxmlformats.org/officeDocument/2006/relationships/hyperlink" Target="https://www.sciencedirect.com/science/article/abs/pii/S0961953403000333" TargetMode="External"/><Relationship Id="rId17" Type="http://schemas.openxmlformats.org/officeDocument/2006/relationships/hyperlink" Target="https://www.sciencedirect.com/science/article/abs/pii/S0961953403000333" TargetMode="External"/><Relationship Id="rId25" Type="http://schemas.openxmlformats.org/officeDocument/2006/relationships/hyperlink" Target="https://www.sciencedirect.com/science/article/abs/pii/S0961953403000333" TargetMode="External"/><Relationship Id="rId33" Type="http://schemas.openxmlformats.org/officeDocument/2006/relationships/hyperlink" Target="https://www.sciencedirect.com/science/article/abs/pii/S0961953403000333" TargetMode="External"/><Relationship Id="rId38" Type="http://schemas.openxmlformats.org/officeDocument/2006/relationships/hyperlink" Target="https://www.sciencedirect.com/science/article/abs/pii/S0961953403000333" TargetMode="External"/><Relationship Id="rId46" Type="http://schemas.openxmlformats.org/officeDocument/2006/relationships/hyperlink" Target="https://www.wood-database.com/pacific-silver-fir/" TargetMode="External"/><Relationship Id="rId59" Type="http://schemas.openxmlformats.org/officeDocument/2006/relationships/hyperlink" Target="https://www.wood-database.com/ponderosa-pine/" TargetMode="External"/><Relationship Id="rId67" Type="http://schemas.openxmlformats.org/officeDocument/2006/relationships/hyperlink" Target="https://www.wood-database.com/quaking-aspen/" TargetMode="External"/><Relationship Id="rId20" Type="http://schemas.openxmlformats.org/officeDocument/2006/relationships/hyperlink" Target="https://www.sciencedirect.com/science/article/abs/pii/S0961953403000333" TargetMode="External"/><Relationship Id="rId41" Type="http://schemas.openxmlformats.org/officeDocument/2006/relationships/hyperlink" Target="https://www.sciencedirect.com/science/article/abs/pii/S0961953403000333" TargetMode="External"/><Relationship Id="rId54" Type="http://schemas.openxmlformats.org/officeDocument/2006/relationships/hyperlink" Target="https://www.wood-database.com/white-ash/" TargetMode="External"/><Relationship Id="rId62" Type="http://schemas.openxmlformats.org/officeDocument/2006/relationships/hyperlink" Target="https://www.wood-database.com/?s=carya" TargetMode="External"/><Relationship Id="rId70" Type="http://schemas.openxmlformats.org/officeDocument/2006/relationships/hyperlink" Target="https://www.wood-database.com/white-spruce/" TargetMode="External"/><Relationship Id="rId75" Type="http://schemas.openxmlformats.org/officeDocument/2006/relationships/hyperlink" Target="https://www.wood-database.com/eastern-hemlock/" TargetMode="External"/><Relationship Id="rId1" Type="http://schemas.openxmlformats.org/officeDocument/2006/relationships/hyperlink" Target="https://opslagco2inhout.nl/motivatie" TargetMode="External"/><Relationship Id="rId6" Type="http://schemas.openxmlformats.org/officeDocument/2006/relationships/hyperlink" Target="https://www.sciencedirect.com/science/article/abs/pii/S0961953403000333" TargetMode="External"/><Relationship Id="rId15" Type="http://schemas.openxmlformats.org/officeDocument/2006/relationships/hyperlink" Target="https://www.sciencedirect.com/science/article/abs/pii/S0961953403000333" TargetMode="External"/><Relationship Id="rId23" Type="http://schemas.openxmlformats.org/officeDocument/2006/relationships/hyperlink" Target="https://www.sciencedirect.com/science/article/abs/pii/S0961953403000333" TargetMode="External"/><Relationship Id="rId28" Type="http://schemas.openxmlformats.org/officeDocument/2006/relationships/hyperlink" Target="https://www.sciencedirect.com/science/article/abs/pii/S0961953403000333" TargetMode="External"/><Relationship Id="rId36" Type="http://schemas.openxmlformats.org/officeDocument/2006/relationships/hyperlink" Target="https://www.sciencedirect.com/science/article/abs/pii/S0961953403000333" TargetMode="External"/><Relationship Id="rId49" Type="http://schemas.openxmlformats.org/officeDocument/2006/relationships/hyperlink" Target="https://www.wood-database.com/bigleaf-maple/" TargetMode="External"/><Relationship Id="rId57" Type="http://schemas.openxmlformats.org/officeDocument/2006/relationships/hyperlink" Target="https://www.wood-database.com/lodgepole-pine/" TargetMode="External"/><Relationship Id="rId10" Type="http://schemas.openxmlformats.org/officeDocument/2006/relationships/hyperlink" Target="https://www.sciencedirect.com/science/article/abs/pii/S0961953403000333" TargetMode="External"/><Relationship Id="rId31" Type="http://schemas.openxmlformats.org/officeDocument/2006/relationships/hyperlink" Target="https://www.sciencedirect.com/science/article/abs/pii/S0961953403000333" TargetMode="External"/><Relationship Id="rId44" Type="http://schemas.openxmlformats.org/officeDocument/2006/relationships/hyperlink" Target="https://www.wood-database.com/western-red-cedar/" TargetMode="External"/><Relationship Id="rId52" Type="http://schemas.openxmlformats.org/officeDocument/2006/relationships/hyperlink" Target="https://www.wood-database.com/red-alder/" TargetMode="External"/><Relationship Id="rId60" Type="http://schemas.openxmlformats.org/officeDocument/2006/relationships/hyperlink" Target="https://www.wood-database.com/red-pine/" TargetMode="External"/><Relationship Id="rId65" Type="http://schemas.openxmlformats.org/officeDocument/2006/relationships/hyperlink" Target="https://www.wood-database.com/sycamore/" TargetMode="External"/><Relationship Id="rId73" Type="http://schemas.openxmlformats.org/officeDocument/2006/relationships/hyperlink" Target="https://www.wood-database.com/butternut/" TargetMode="External"/><Relationship Id="rId78" Type="http://schemas.openxmlformats.org/officeDocument/2006/relationships/hyperlink" Target="https://www.wood-database.com/paper-birch/" TargetMode="External"/><Relationship Id="rId81" Type="http://schemas.openxmlformats.org/officeDocument/2006/relationships/printerSettings" Target="../printerSettings/printerSettings5.bin"/><Relationship Id="rId4" Type="http://schemas.openxmlformats.org/officeDocument/2006/relationships/hyperlink" Target="https://www.sciencedirect.com/science/article/abs/pii/S0961953403000333" TargetMode="External"/><Relationship Id="rId9" Type="http://schemas.openxmlformats.org/officeDocument/2006/relationships/hyperlink" Target="https://www.sciencedirect.com/science/article/abs/pii/S0961953403000333" TargetMode="External"/><Relationship Id="rId13" Type="http://schemas.openxmlformats.org/officeDocument/2006/relationships/hyperlink" Target="https://www.sciencedirect.com/science/article/abs/pii/S0961953403000333" TargetMode="External"/><Relationship Id="rId18" Type="http://schemas.openxmlformats.org/officeDocument/2006/relationships/hyperlink" Target="https://www.sciencedirect.com/science/article/abs/pii/S0961953403000333" TargetMode="External"/><Relationship Id="rId39" Type="http://schemas.openxmlformats.org/officeDocument/2006/relationships/hyperlink" Target="https://www.sciencedirect.com/science/article/abs/pii/S0961953403000333" TargetMode="External"/><Relationship Id="rId34" Type="http://schemas.openxmlformats.org/officeDocument/2006/relationships/hyperlink" Target="https://www.sciencedirect.com/science/article/abs/pii/S0961953403000333" TargetMode="External"/><Relationship Id="rId50" Type="http://schemas.openxmlformats.org/officeDocument/2006/relationships/hyperlink" Target="https://www.wood-database.com/hard-maple/" TargetMode="External"/><Relationship Id="rId55" Type="http://schemas.openxmlformats.org/officeDocument/2006/relationships/hyperlink" Target="https://www.wood-database.com/white-oak/" TargetMode="External"/><Relationship Id="rId76" Type="http://schemas.openxmlformats.org/officeDocument/2006/relationships/hyperlink" Target="https://www.wood-database.com/northern-white-cedar/" TargetMode="External"/><Relationship Id="rId7" Type="http://schemas.openxmlformats.org/officeDocument/2006/relationships/hyperlink" Target="https://www.sciencedirect.com/science/article/abs/pii/S0961953403000333" TargetMode="External"/><Relationship Id="rId71" Type="http://schemas.openxmlformats.org/officeDocument/2006/relationships/hyperlink" Target="https://www.wood-database.com/?s=salix" TargetMode="External"/><Relationship Id="rId2" Type="http://schemas.openxmlformats.org/officeDocument/2006/relationships/hyperlink" Target="https://www.houtinfo.nl/node/190" TargetMode="External"/><Relationship Id="rId29" Type="http://schemas.openxmlformats.org/officeDocument/2006/relationships/hyperlink" Target="https://www.sciencedirect.com/science/article/abs/pii/S0961953403000333" TargetMode="External"/><Relationship Id="rId24" Type="http://schemas.openxmlformats.org/officeDocument/2006/relationships/hyperlink" Target="https://www.sciencedirect.com/science/article/abs/pii/S0961953403000333" TargetMode="External"/><Relationship Id="rId40" Type="http://schemas.openxmlformats.org/officeDocument/2006/relationships/hyperlink" Target="https://www.sciencedirect.com/science/article/abs/pii/S0961953403000333" TargetMode="External"/><Relationship Id="rId45" Type="http://schemas.openxmlformats.org/officeDocument/2006/relationships/hyperlink" Target="https://www.wood-database.com/alaskan-yellow-cedar/" TargetMode="External"/><Relationship Id="rId66" Type="http://schemas.openxmlformats.org/officeDocument/2006/relationships/hyperlink" Target="https://www.wood-database.com/black-cottonwood/"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nibe.info/nl/members" TargetMode="External"/><Relationship Id="rId2" Type="http://schemas.openxmlformats.org/officeDocument/2006/relationships/hyperlink" Target="https://www.nibe.info/nl/members" TargetMode="External"/><Relationship Id="rId1" Type="http://schemas.openxmlformats.org/officeDocument/2006/relationships/hyperlink" Target="https://www.nibe.info/nl/members" TargetMode="External"/><Relationship Id="rId6" Type="http://schemas.openxmlformats.org/officeDocument/2006/relationships/hyperlink" Target="https://www.nibe.info/nl/members" TargetMode="External"/><Relationship Id="rId5" Type="http://schemas.openxmlformats.org/officeDocument/2006/relationships/hyperlink" Target="https://www.nibe.info/nl/members" TargetMode="External"/><Relationship Id="rId4" Type="http://schemas.openxmlformats.org/officeDocument/2006/relationships/hyperlink" Target="https://www.nibe.info/nl/membe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0326-C3AA-4A79-B1AE-6D2F9AA2A4C5}">
  <dimension ref="A1:W9"/>
  <sheetViews>
    <sheetView workbookViewId="0">
      <selection activeCell="H14" sqref="H14"/>
    </sheetView>
  </sheetViews>
  <sheetFormatPr baseColWidth="10" defaultColWidth="8.83203125" defaultRowHeight="15" x14ac:dyDescent="0.2"/>
  <cols>
    <col min="1" max="1" width="10.5" customWidth="1"/>
  </cols>
  <sheetData>
    <row r="1" spans="1:23" x14ac:dyDescent="0.2">
      <c r="A1" t="s">
        <v>64</v>
      </c>
      <c r="H1" t="s">
        <v>57</v>
      </c>
      <c r="O1" t="s">
        <v>61</v>
      </c>
      <c r="T1" t="s">
        <v>62</v>
      </c>
    </row>
    <row r="2" spans="1:23" x14ac:dyDescent="0.2">
      <c r="A2" s="6" t="s">
        <v>54</v>
      </c>
      <c r="B2" s="15" t="s">
        <v>84</v>
      </c>
      <c r="C2" t="s">
        <v>85</v>
      </c>
    </row>
    <row r="3" spans="1:23" x14ac:dyDescent="0.2">
      <c r="A3" s="7" t="s">
        <v>55</v>
      </c>
      <c r="B3" s="16" t="s">
        <v>276</v>
      </c>
      <c r="C3" t="s">
        <v>86</v>
      </c>
    </row>
    <row r="4" spans="1:23" x14ac:dyDescent="0.2">
      <c r="A4" s="50" t="s">
        <v>278</v>
      </c>
      <c r="B4" t="s">
        <v>277</v>
      </c>
    </row>
    <row r="6" spans="1:23" s="8" customFormat="1" ht="121.5" customHeight="1" x14ac:dyDescent="0.2">
      <c r="A6" s="103" t="s">
        <v>56</v>
      </c>
      <c r="B6" s="103"/>
      <c r="C6" s="103"/>
      <c r="D6" s="103"/>
      <c r="E6" s="103"/>
      <c r="F6" s="103"/>
      <c r="H6" s="103" t="s">
        <v>60</v>
      </c>
      <c r="I6" s="103"/>
      <c r="J6" s="103"/>
      <c r="K6" s="103"/>
      <c r="L6" s="103"/>
      <c r="M6" s="103"/>
      <c r="O6" s="103" t="s">
        <v>74</v>
      </c>
      <c r="P6" s="103"/>
      <c r="Q6" s="103"/>
      <c r="R6" s="103"/>
      <c r="T6" s="103" t="s">
        <v>63</v>
      </c>
      <c r="U6" s="103"/>
      <c r="V6" s="103"/>
      <c r="W6" s="103"/>
    </row>
    <row r="8" spans="1:23" x14ac:dyDescent="0.2">
      <c r="A8" t="s">
        <v>264</v>
      </c>
    </row>
    <row r="9" spans="1:23" x14ac:dyDescent="0.2">
      <c r="A9" s="3" t="s">
        <v>265</v>
      </c>
    </row>
  </sheetData>
  <mergeCells count="4">
    <mergeCell ref="A6:F6"/>
    <mergeCell ref="H6:M6"/>
    <mergeCell ref="O6:R6"/>
    <mergeCell ref="T6:W6"/>
  </mergeCells>
  <hyperlinks>
    <hyperlink ref="A9" r:id="rId1" display="https://www.linkedin.com/in/bart-van-valenberg-6-2014/" xr:uid="{C9BBC5C4-B746-4D92-8D45-0CD767ABC401}"/>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BE098-40CE-4450-B634-59748147AEB9}">
  <dimension ref="A1:N34"/>
  <sheetViews>
    <sheetView tabSelected="1" zoomScaleNormal="100" workbookViewId="0">
      <selection activeCell="B1" sqref="B1"/>
    </sheetView>
  </sheetViews>
  <sheetFormatPr baseColWidth="10" defaultColWidth="8.83203125" defaultRowHeight="15" x14ac:dyDescent="0.2"/>
  <cols>
    <col min="1" max="5" width="22.6640625" customWidth="1"/>
    <col min="6" max="6" width="22.6640625" style="9" customWidth="1"/>
    <col min="7" max="7" width="22.6640625" customWidth="1"/>
    <col min="8" max="8" width="22.6640625" style="9" customWidth="1"/>
    <col min="9" max="9" width="9.1640625" customWidth="1"/>
    <col min="13" max="13" width="10.5" bestFit="1" customWidth="1"/>
    <col min="14" max="14" width="9.5" bestFit="1" customWidth="1"/>
  </cols>
  <sheetData>
    <row r="1" spans="1:14" ht="17" x14ac:dyDescent="0.25">
      <c r="A1" s="4" t="s">
        <v>454</v>
      </c>
      <c r="B1" s="101" t="s">
        <v>457</v>
      </c>
      <c r="C1" s="51"/>
      <c r="F1" s="12" t="s">
        <v>71</v>
      </c>
      <c r="G1" s="13" t="e">
        <f>SUM(H6:H26)</f>
        <v>#VALUE!</v>
      </c>
      <c r="H1" s="14" t="s">
        <v>46</v>
      </c>
    </row>
    <row r="2" spans="1:14" ht="17" x14ac:dyDescent="0.25">
      <c r="A2" s="4" t="s">
        <v>259</v>
      </c>
      <c r="B2" s="41"/>
      <c r="G2" s="40" t="e">
        <f>G1/$B$2</f>
        <v>#VALUE!</v>
      </c>
      <c r="H2" s="9" t="s">
        <v>261</v>
      </c>
    </row>
    <row r="3" spans="1:14" ht="18" x14ac:dyDescent="0.25">
      <c r="A3" s="4" t="s">
        <v>260</v>
      </c>
      <c r="B3" s="42"/>
      <c r="C3" t="s">
        <v>272</v>
      </c>
      <c r="G3" s="40" t="e">
        <f>G2/B3*120</f>
        <v>#VALUE!</v>
      </c>
      <c r="H3" s="9" t="s">
        <v>262</v>
      </c>
    </row>
    <row r="4" spans="1:14" x14ac:dyDescent="0.2">
      <c r="G4" s="9"/>
    </row>
    <row r="5" spans="1:14" ht="18" x14ac:dyDescent="0.25">
      <c r="A5" s="51" t="s">
        <v>33</v>
      </c>
      <c r="B5" s="51" t="s">
        <v>392</v>
      </c>
      <c r="C5" s="51" t="s">
        <v>42</v>
      </c>
      <c r="D5" s="51" t="s">
        <v>49</v>
      </c>
      <c r="E5" s="51" t="s">
        <v>53</v>
      </c>
      <c r="F5" s="100" t="s">
        <v>43</v>
      </c>
      <c r="G5" s="51" t="s">
        <v>44</v>
      </c>
      <c r="H5" s="100" t="s">
        <v>68</v>
      </c>
      <c r="J5" t="s">
        <v>8</v>
      </c>
      <c r="K5" s="9" t="s">
        <v>68</v>
      </c>
    </row>
    <row r="6" spans="1:14" ht="16" x14ac:dyDescent="0.2">
      <c r="A6" s="81" t="s">
        <v>36</v>
      </c>
      <c r="B6" s="81" t="s">
        <v>445</v>
      </c>
      <c r="C6" s="81" t="s">
        <v>393</v>
      </c>
      <c r="D6" s="2" t="s">
        <v>455</v>
      </c>
      <c r="E6" s="102">
        <f>IF(C6="Other wood material",VLOOKUP(D6,'Wood-types'!$A$2:$B$113,2,FALSE),
IF(C6="CLT",IF(D6='Drop-down_lists'!$D$2,VLOOKUP(C6,Tabel1[[Product]:[Av. Density from larchs (kg/m3)]],9,FALSE),IF(D6='Drop-down_lists'!$D$3,VLOOKUP(C6,Tabel1[[Product]:[Av. Density from larchs (kg/m3)]],10,FALSE),IF(D6='Drop-down_lists'!$D$4,VLOOKUP(C6,Tabel1[[Product]:[Av. Density from larchs (kg/m3)]],7,FALSE),"Provide additional information or fill in here the specific CLT density"))),
IF(C6="EcoCocon (straw frame timber beams included)",1,VLOOKUP(C6,Tabel1[[Product]:[Av. of mid. range Density (kg/m3)]],7,FALSE))))</f>
        <v>1050</v>
      </c>
      <c r="F6" s="82">
        <v>103</v>
      </c>
      <c r="G6" s="81" t="s">
        <v>456</v>
      </c>
      <c r="H6" s="83">
        <f>IF(C6="Other wood material",IF(G6='Drop-down_lists'!$C$2,F6/(1+(12/100))*VLOOKUP(D6,'Wood-types'!$A$2:$C$113,3,FALSE)*(1/12.011*44.0095)/1000,IF(G6='Drop-down_lists'!$C$3,F6/(1+(12/100))*VLOOKUP(D6,'Wood-types'!$A$2:$C$113,3,FALSE)*(1/12.011*44.0095),IF(G6='Drop-down_lists'!$C$4,(F6*E6)/(1+(12/100))*VLOOKUP(D6,'Wood-types'!$A$2:$C$113,3,FALSE)*(1/12.011*44.0095)/1000))),
IF(C6="Extensive green roof (sedum)",F6*VLOOKUP(C6,Tabel1[[Product]:[Av. CO2-storage (kgCO2/kg)*]],3,FALSE),
F6*IF(G6='Drop-down_lists'!$C$2,0.001,IF(G6='Drop-down_lists'!$C$3,1,IF(G6='Drop-down_lists'!$C$4,E6*0.001,"Unit missing")))*VLOOKUP(C6,Tabel1[[Product]:[Av. CO2-storage (kgCO2/kg)*]],3,FALSE)))</f>
        <v>176.90730762426111</v>
      </c>
      <c r="J6" t="str">
        <f>C6</f>
        <v>Other wood material</v>
      </c>
      <c r="K6" s="49">
        <f t="shared" ref="K6:K26" si="0">SUMIF($C$6:$C$26,J6,$H$6:$H$26)</f>
        <v>176.90730762426111</v>
      </c>
    </row>
    <row r="7" spans="1:14" ht="16" x14ac:dyDescent="0.2">
      <c r="A7" s="81"/>
      <c r="B7" s="81"/>
      <c r="C7" s="81"/>
      <c r="D7" s="2" t="str">
        <f t="shared" ref="D7:D26" si="1">IF(C7="CLT","Select used wood type or provide the CLT density in next column",IF(C7="Other wood material","Specify type of wood",IF(C7="EcoCocon (straw frame timber beams included)","Unit must be m3",IF(C7="Extensive green roof (sedum)","Unit must be m2","Not applicable"))))</f>
        <v>Not applicable</v>
      </c>
      <c r="E7" s="102" t="e">
        <f>IF(C7="Other wood material",VLOOKUP(D7,'Wood-types'!$A$2:$B$113,2,FALSE),
IF(C7="CLT",IF(D7='Drop-down_lists'!$D$2,VLOOKUP(C7,Tabel1[[Product]:[Av. Density from larchs (kg/m3)]],9,FALSE),IF(D7='Drop-down_lists'!$D$3,VLOOKUP(C7,Tabel1[[Product]:[Av. Density from larchs (kg/m3)]],10,FALSE),IF(D7='Drop-down_lists'!$D$4,VLOOKUP(C7,Tabel1[[Product]:[Av. Density from larchs (kg/m3)]],7,FALSE),"Provide additional information or fill in here the specific CLT density"))),
IF(C7="EcoCocon (straw frame timber beams included)",1,VLOOKUP(C7,Tabel1[[Product]:[Av. of mid. range Density (kg/m3)]],7,FALSE))))</f>
        <v>#N/A</v>
      </c>
      <c r="F7" s="82"/>
      <c r="G7" s="81" t="str">
        <f t="shared" ref="G7:G26" si="2">IF(C7="Hemp-shives containing products","kg",IF(C7="EcoCocon (straw frame timber beams included)","m3",IF(C7="Extensive green roof (sedum)","m2","")))</f>
        <v/>
      </c>
      <c r="H7" s="83" t="e">
        <f>IF(C7="Other wood material",IF(G7='Drop-down_lists'!$C$2,F7/(1+(12/100))*VLOOKUP(D7,'Wood-types'!$A$2:$C$113,3,FALSE)*(1/12.011*44.0095)/1000,IF(G7='Drop-down_lists'!$C$3,F7/(1+(12/100))*VLOOKUP(D7,'Wood-types'!$A$2:$C$113,3,FALSE)*(1/12.011*44.0095),IF(G7='Drop-down_lists'!$C$4,(F7*E7)/(1+(12/100))*VLOOKUP(D7,'Wood-types'!$A$2:$C$113,3,FALSE)*(1/12.011*44.0095)/1000))),
IF(C7="Extensive green roof (sedum)",F7*VLOOKUP(C7,Tabel1[[Product]:[Av. CO2-storage (kgCO2/kg)*]],3,FALSE),
F7*IF(G7='Drop-down_lists'!$C$2,0.001,IF(G7='Drop-down_lists'!$C$3,1,IF(G7='Drop-down_lists'!$C$4,E7*0.001,"Unit missing")))*VLOOKUP(C7,Tabel1[[Product]:[Av. CO2-storage (kgCO2/kg)*]],3,FALSE)))</f>
        <v>#VALUE!</v>
      </c>
      <c r="J7">
        <f>IF(IF(COUNTIF($J$6:J6,C7)&gt;=1,IF(COUNTIF($J$6:J6,C8)&gt;=1,IF(COUNTIF($J$6:J6,C9)&gt;=1,IF(COUNTIF($J$6:J6,C10)&gt;=1,IF(COUNTIF($J$6:J6,C11)&gt;=1,IF(COUNTIF($J$6:J6,C12)&gt;=1,IF(COUNTIF($J$6:J6,C13)&gt;=1,IF(COUNTIF($J$6:J6,C14)&gt;=1,IF(COUNTIF($J$6:J6,C15)&gt;=1,IF(COUNTIF($J$6:J6,C16)&gt;=1,IF(COUNTIF($J$6:J6,C17)&gt;=1,IF(COUNTIF($J$6:J6,C18)&gt;=1,IF(COUNTIF($J$6:J6,C19)&gt;=1,IF(COUNTIF($J$6:J6,C20)&gt;=1,IF(COUNTIF($J$6:J6,C21)&gt;=1,IF(COUNTIF($J$6:J6,C22)&gt;=1,IF(COUNTIF($J$6:J6,C23)&gt;=1,IF(COUNTIF($J$6:J6,C24)&gt;=1,IF(COUNTIF($J$6:J6,C25)&gt;=1,IF(COUNTIF($J$6:J6,C26)&gt;=1,C27,C26),C25),C24),C23),C22),C21),C20),C19),C18),C17),C16),C15),C14),C13),C12),C11),C10),C9),C8),C7)=0,,
IF(COUNTIF($J$6:J6,C7)&gt;=1,IF(COUNTIF($J$6:J6,C8)&gt;=1,IF(COUNTIF($J$6:J6,C9)&gt;=1,IF(COUNTIF($J$6:J6,C10)&gt;=1,IF(COUNTIF($J$6:J6,C11)&gt;=1,IF(COUNTIF($J$6:J6,C12)&gt;=1,IF(COUNTIF($J$6:J6,C13)&gt;=1,IF(COUNTIF($J$6:J6,C14)&gt;=1,IF(COUNTIF($J$6:J6,C15)&gt;=1,IF(COUNTIF($J$6:J6,C16)&gt;=1,IF(COUNTIF($J$6:J6,C17)&gt;=1,IF(COUNTIF($J$6:J6,C18)&gt;=1,IF(COUNTIF($J$6:J6,C19)&gt;=1,IF(COUNTIF($J$6:J6,C20)&gt;=1,IF(COUNTIF($J$6:J6,C21)&gt;=1,IF(COUNTIF($J$6:J6,C22)&gt;=1,IF(COUNTIF($J$6:J6,C23)&gt;=1,IF(COUNTIF($J$6:J6,C24)&gt;=1,IF(COUNTIF($J$6:J6,C25)&gt;=1,IF(COUNTIF($J$6:J6,C26)&gt;=1,C27,C26),C25),C24),C23),C22),C21),C20),C19),C18),C17),C16),C15),C14),C13),C12),C11),C10),C9),C8),C7))</f>
        <v>0</v>
      </c>
      <c r="K7" s="49">
        <f t="shared" si="0"/>
        <v>0</v>
      </c>
      <c r="L7" s="48"/>
      <c r="N7" s="9"/>
    </row>
    <row r="8" spans="1:14" ht="16" x14ac:dyDescent="0.2">
      <c r="A8" s="81"/>
      <c r="B8" s="81"/>
      <c r="C8" s="81"/>
      <c r="D8" s="2" t="str">
        <f t="shared" si="1"/>
        <v>Not applicable</v>
      </c>
      <c r="E8" s="102" t="e">
        <f>IF(C8="Other wood material",VLOOKUP(D8,'Wood-types'!$A$2:$B$113,2,FALSE),
IF(C8="CLT",IF(D8='Drop-down_lists'!$D$2,VLOOKUP(C8,Tabel1[[Product]:[Av. Density from larchs (kg/m3)]],9,FALSE),IF(D8='Drop-down_lists'!$D$3,VLOOKUP(C8,Tabel1[[Product]:[Av. Density from larchs (kg/m3)]],10,FALSE),IF(D8='Drop-down_lists'!$D$4,VLOOKUP(C8,Tabel1[[Product]:[Av. Density from larchs (kg/m3)]],7,FALSE),"Provide additional information or fill in here the specific CLT density"))),
IF(C8="EcoCocon (straw frame timber beams included)",1,VLOOKUP(C8,Tabel1[[Product]:[Av. of mid. range Density (kg/m3)]],7,FALSE))))</f>
        <v>#N/A</v>
      </c>
      <c r="F8" s="82"/>
      <c r="G8" s="81" t="str">
        <f t="shared" si="2"/>
        <v/>
      </c>
      <c r="H8" s="83" t="e">
        <f>IF(C8="Other wood material",IF(G8='Drop-down_lists'!$C$2,F8/(1+(12/100))*VLOOKUP(D8,'Wood-types'!$A$2:$C$113,3,FALSE)*(1/12.011*44.0095)/1000,IF(G8='Drop-down_lists'!$C$3,F8/(1+(12/100))*VLOOKUP(D8,'Wood-types'!$A$2:$C$113,3,FALSE)*(1/12.011*44.0095),IF(G8='Drop-down_lists'!$C$4,(F8*E8)/(1+(12/100))*VLOOKUP(D8,'Wood-types'!$A$2:$C$113,3,FALSE)*(1/12.011*44.0095)/1000))),
IF(C8="Extensive green roof (sedum)",F8*VLOOKUP(C8,Tabel1[[Product]:[Av. CO2-storage (kgCO2/kg)*]],3,FALSE),
F8*IF(G8='Drop-down_lists'!$C$2,0.001,IF(G8='Drop-down_lists'!$C$3,1,IF(G8='Drop-down_lists'!$C$4,E8*0.001,"Unit missing")))*VLOOKUP(C8,Tabel1[[Product]:[Av. CO2-storage (kgCO2/kg)*]],3,FALSE)))</f>
        <v>#VALUE!</v>
      </c>
      <c r="J8" t="e">
        <f>IF(IF(COUNTIF($J$6:J7,C8)&gt;=1,IF(COUNTIF($J$6:J7,C9)&gt;=1,IF(COUNTIF($J$6:J7,C10)&gt;=1,IF(COUNTIF($J$6:J7,C11)&gt;=1,IF(COUNTIF($J$6:J7,C12)&gt;=1,IF(COUNTIF($J$6:J7,C13)&gt;=1,IF(COUNTIF($J$6:J7,C14)&gt;=1,IF(COUNTIF($J$6:J7,C15)&gt;=1,IF(COUNTIF($J$6:J7,C16)&gt;=1,IF(COUNTIF($J$6:J7,C17)&gt;=1,IF(COUNTIF($J$6:J7,C18)&gt;=1,IF(COUNTIF($J$6:J7,C19)&gt;=1,IF(COUNTIF($J$6:J7,C20)&gt;=1,IF(COUNTIF($J$6:J7,C21)&gt;=1,IF(COUNTIF($J$6:J7,C22)&gt;=1,IF(COUNTIF($J$6:J7,C23)&gt;=1,IF(COUNTIF($J$6:J7,C24)&gt;=1,IF(COUNTIF($J$6:J7,C25)&gt;=1,IF(COUNTIF($J$6:J7,C26)&gt;=1,IF(COUNTIF($J$6:J7,C27)&gt;=1,C28,C27),C26),C25),C24),C23),C22),C21),C20),C19),C18),C17),C16),C15),C14),C13),C12),C11),C10),C9),C8)=0,NA(),IF(COUNTIF($J$6:J7,C8)&gt;=1,IF(COUNTIF($J$6:J7,C9)&gt;=1,IF(COUNTIF($J$6:J7,C10)&gt;=1,IF(COUNTIF($J$6:J7,C11)&gt;=1,IF(COUNTIF($J$6:J7,C12)&gt;=1,IF(COUNTIF($J$6:J7,C13)&gt;=1,IF(COUNTIF($J$6:J7,C14)&gt;=1,IF(COUNTIF($J$6:J7,C15)&gt;=1,IF(COUNTIF($J$6:J7,C16)&gt;=1,IF(COUNTIF($J$6:J7,C17)&gt;=1,IF(COUNTIF($J$6:J7,C18)&gt;=1,IF(COUNTIF($J$6:J7,C19)&gt;=1,IF(COUNTIF($J$6:J7,C20)&gt;=1,IF(COUNTIF($J$6:J7,C21)&gt;=1,IF(COUNTIF($J$6:J7,C22)&gt;=1,IF(COUNTIF($J$6:J7,C23)&gt;=1,IF(COUNTIF($J$6:J7,C24)&gt;=1,IF(COUNTIF($J$6:J7,C25)&gt;=1,IF(COUNTIF($J$6:J7,C26)&gt;=1,IF(COUNTIF($J$6:J7,C27)&gt;=1,C28,C27),C26),C25),C24),C23),C22),C21),C20),C19),C18),C17),C16),C15),C14),C13),C12),C11),C10),C9),C8))</f>
        <v>#N/A</v>
      </c>
      <c r="K8" s="49">
        <f t="shared" si="0"/>
        <v>0</v>
      </c>
    </row>
    <row r="9" spans="1:14" ht="16" x14ac:dyDescent="0.2">
      <c r="A9" s="81"/>
      <c r="B9" s="81"/>
      <c r="C9" s="81"/>
      <c r="D9" s="2" t="str">
        <f t="shared" si="1"/>
        <v>Not applicable</v>
      </c>
      <c r="E9" s="102" t="e">
        <f>IF(C9="Other wood material",VLOOKUP(D9,'Wood-types'!$A$2:$B$113,2,FALSE),
IF(C9="CLT",IF(D9='Drop-down_lists'!$D$2,VLOOKUP(C9,Tabel1[[Product]:[Av. Density from larchs (kg/m3)]],9,FALSE),IF(D9='Drop-down_lists'!$D$3,VLOOKUP(C9,Tabel1[[Product]:[Av. Density from larchs (kg/m3)]],10,FALSE),IF(D9='Drop-down_lists'!$D$4,VLOOKUP(C9,Tabel1[[Product]:[Av. Density from larchs (kg/m3)]],7,FALSE),"Provide additional information or fill in here the specific CLT density"))),
IF(C9="EcoCocon (straw frame timber beams included)",1,VLOOKUP(C9,Tabel1[[Product]:[Av. of mid. range Density (kg/m3)]],7,FALSE))))</f>
        <v>#N/A</v>
      </c>
      <c r="F9" s="82"/>
      <c r="G9" s="81" t="str">
        <f t="shared" si="2"/>
        <v/>
      </c>
      <c r="H9" s="83" t="e">
        <f>IF(C9="Other wood material",IF(G9='Drop-down_lists'!$C$2,F9/(1+(12/100))*VLOOKUP(D9,'Wood-types'!$A$2:$C$113,3,FALSE)*(1/12.011*44.0095)/1000,IF(G9='Drop-down_lists'!$C$3,F9/(1+(12/100))*VLOOKUP(D9,'Wood-types'!$A$2:$C$113,3,FALSE)*(1/12.011*44.0095),IF(G9='Drop-down_lists'!$C$4,(F9*E9)/(1+(12/100))*VLOOKUP(D9,'Wood-types'!$A$2:$C$113,3,FALSE)*(1/12.011*44.0095)/1000))),
IF(C9="Extensive green roof (sedum)",F9*VLOOKUP(C9,Tabel1[[Product]:[Av. CO2-storage (kgCO2/kg)*]],3,FALSE),
F9*IF(G9='Drop-down_lists'!$C$2,0.001,IF(G9='Drop-down_lists'!$C$3,1,IF(G9='Drop-down_lists'!$C$4,E9*0.001,"Unit missing")))*VLOOKUP(C9,Tabel1[[Product]:[Av. CO2-storage (kgCO2/kg)*]],3,FALSE)))</f>
        <v>#VALUE!</v>
      </c>
      <c r="J9" t="e">
        <f>IF(IF(COUNTIF($J$6:J8,C9)&gt;=1,IF(COUNTIF($J$6:J8,C10)&gt;=1,IF(COUNTIF($J$6:J8,C11)&gt;=1,IF(COUNTIF($J$6:J8,C12)&gt;=1,IF(COUNTIF($J$6:J8,C13)&gt;=1,IF(COUNTIF($J$6:J8,C14)&gt;=1,IF(COUNTIF($J$6:J8,C15)&gt;=1,IF(COUNTIF($J$6:J8,C16)&gt;=1,IF(COUNTIF($J$6:J8,C17)&gt;=1,IF(COUNTIF($J$6:J8,C18)&gt;=1,IF(COUNTIF($J$6:J8,C19)&gt;=1,IF(COUNTIF($J$6:J8,C20)&gt;=1,IF(COUNTIF($J$6:J8,C21)&gt;=1,IF(COUNTIF($J$6:J8,C22)&gt;=1,IF(COUNTIF($J$6:J8,C23)&gt;=1,IF(COUNTIF($J$6:J8,C24)&gt;=1,IF(COUNTIF($J$6:J8,C25)&gt;=1,IF(COUNTIF($J$6:J8,C26)&gt;=1,IF(COUNTIF($J$6:J8,C27)&gt;=1,IF(COUNTIF($J$6:J8,C28)&gt;=1,C29,C28),C27),C26),C25),C24),C23),C22),C21),C20),C19),C18),C17),C16),C15),C14),C13),C12),C11),C10),C9)=0,NA(),IF(COUNTIF($J$6:J8,C9)&gt;=1,IF(COUNTIF($J$6:J8,C10)&gt;=1,IF(COUNTIF($J$6:J8,C11)&gt;=1,IF(COUNTIF($J$6:J8,C12)&gt;=1,IF(COUNTIF($J$6:J8,C13)&gt;=1,IF(COUNTIF($J$6:J8,C14)&gt;=1,IF(COUNTIF($J$6:J8,C15)&gt;=1,IF(COUNTIF($J$6:J8,C16)&gt;=1,IF(COUNTIF($J$6:J8,C17)&gt;=1,IF(COUNTIF($J$6:J8,C18)&gt;=1,IF(COUNTIF($J$6:J8,C19)&gt;=1,IF(COUNTIF($J$6:J8,C20)&gt;=1,IF(COUNTIF($J$6:J8,C21)&gt;=1,IF(COUNTIF($J$6:J8,C22)&gt;=1,IF(COUNTIF($J$6:J8,C23)&gt;=1,IF(COUNTIF($J$6:J8,C24)&gt;=1,IF(COUNTIF($J$6:J8,C25)&gt;=1,IF(COUNTIF($J$6:J8,C26)&gt;=1,IF(COUNTIF($J$6:J8,C27)&gt;=1,IF(COUNTIF($J$6:J8,C28)&gt;=1,C29,C28),C27),C26),C25),C24),C23),C22),C21),C20),C19),C18),C17),C16),C15),C14),C13),C12),C11),C10),C9))</f>
        <v>#N/A</v>
      </c>
      <c r="K9" s="49">
        <f t="shared" si="0"/>
        <v>0</v>
      </c>
    </row>
    <row r="10" spans="1:14" ht="16" x14ac:dyDescent="0.2">
      <c r="A10" s="81"/>
      <c r="B10" s="81"/>
      <c r="C10" s="81"/>
      <c r="D10" s="2" t="str">
        <f t="shared" si="1"/>
        <v>Not applicable</v>
      </c>
      <c r="E10" s="102" t="e">
        <f>IF(C10="Other wood material",VLOOKUP(D10,'Wood-types'!$A$2:$B$113,2,FALSE),
IF(C10="CLT",IF(D10='Drop-down_lists'!$D$2,VLOOKUP(C10,Tabel1[[Product]:[Av. Density from larchs (kg/m3)]],9,FALSE),IF(D10='Drop-down_lists'!$D$3,VLOOKUP(C10,Tabel1[[Product]:[Av. Density from larchs (kg/m3)]],10,FALSE),IF(D10='Drop-down_lists'!$D$4,VLOOKUP(C10,Tabel1[[Product]:[Av. Density from larchs (kg/m3)]],7,FALSE),"Provide additional information or fill in here the specific CLT density"))),
IF(C10="EcoCocon (straw frame timber beams included)",1,VLOOKUP(C10,Tabel1[[Product]:[Av. of mid. range Density (kg/m3)]],7,FALSE))))</f>
        <v>#N/A</v>
      </c>
      <c r="F10" s="82"/>
      <c r="G10" s="81" t="str">
        <f t="shared" si="2"/>
        <v/>
      </c>
      <c r="H10" s="83" t="e">
        <f>IF(C10="Other wood material",IF(G10='Drop-down_lists'!$C$2,F10/(1+(12/100))*VLOOKUP(D10,'Wood-types'!$A$2:$C$113,3,FALSE)*(1/12.011*44.0095)/1000,IF(G10='Drop-down_lists'!$C$3,F10/(1+(12/100))*VLOOKUP(D10,'Wood-types'!$A$2:$C$113,3,FALSE)*(1/12.011*44.0095),IF(G10='Drop-down_lists'!$C$4,(F10*E10)/(1+(12/100))*VLOOKUP(D10,'Wood-types'!$A$2:$C$113,3,FALSE)*(1/12.011*44.0095)/1000))),
IF(C10="Extensive green roof (sedum)",F10*VLOOKUP(C10,Tabel1[[Product]:[Av. CO2-storage (kgCO2/kg)*]],3,FALSE),
F10*IF(G10='Drop-down_lists'!$C$2,0.001,IF(G10='Drop-down_lists'!$C$3,1,IF(G10='Drop-down_lists'!$C$4,E10*0.001,"Unit missing")))*VLOOKUP(C10,Tabel1[[Product]:[Av. CO2-storage (kgCO2/kg)*]],3,FALSE)))</f>
        <v>#VALUE!</v>
      </c>
      <c r="J10" t="e">
        <f>IF(IF(COUNTIF($J$6:J9,C10)&gt;=1,IF(COUNTIF($J$6:J9,C11)&gt;=1,IF(COUNTIF($J$6:J9,C12)&gt;=1,IF(COUNTIF($J$6:J9,C13)&gt;=1,IF(COUNTIF($J$6:J9,C14)&gt;=1,IF(COUNTIF($J$6:J9,C15)&gt;=1,IF(COUNTIF($J$6:J9,C16)&gt;=1,IF(COUNTIF($J$6:J9,C17)&gt;=1,IF(COUNTIF($J$6:J9,C18)&gt;=1,IF(COUNTIF($J$6:J9,C19)&gt;=1,IF(COUNTIF($J$6:J9,C20)&gt;=1,IF(COUNTIF($J$6:J9,C21)&gt;=1,IF(COUNTIF($J$6:J9,C22)&gt;=1,IF(COUNTIF($J$6:J9,C23)&gt;=1,IF(COUNTIF($J$6:J9,C24)&gt;=1,IF(COUNTIF($J$6:J9,C25)&gt;=1,IF(COUNTIF($J$6:J9,C26)&gt;=1,IF(COUNTIF($J$6:J9,C27)&gt;=1,IF(COUNTIF($J$6:J9,C28)&gt;=1,IF(COUNTIF($J$6:J9,C29)&gt;=1,C30,C29),C28),C27),C26),C25),C24),C23),C22),C21),C20),C19),C18),C17),C16),C15),C14),C13),C12),C11),C10)=0,NA(),IF(COUNTIF($J$6:J9,C10)&gt;=1,IF(COUNTIF($J$6:J9,C11)&gt;=1,IF(COUNTIF($J$6:J9,C12)&gt;=1,IF(COUNTIF($J$6:J9,C13)&gt;=1,IF(COUNTIF($J$6:J9,C14)&gt;=1,IF(COUNTIF($J$6:J9,C15)&gt;=1,IF(COUNTIF($J$6:J9,C16)&gt;=1,IF(COUNTIF($J$6:J9,C17)&gt;=1,IF(COUNTIF($J$6:J9,C18)&gt;=1,IF(COUNTIF($J$6:J9,C19)&gt;=1,IF(COUNTIF($J$6:J9,C20)&gt;=1,IF(COUNTIF($J$6:J9,C21)&gt;=1,IF(COUNTIF($J$6:J9,C22)&gt;=1,IF(COUNTIF($J$6:J9,C23)&gt;=1,IF(COUNTIF($J$6:J9,C24)&gt;=1,IF(COUNTIF($J$6:J9,C25)&gt;=1,IF(COUNTIF($J$6:J9,C26)&gt;=1,IF(COUNTIF($J$6:J9,C27)&gt;=1,IF(COUNTIF($J$6:J9,C28)&gt;=1,IF(COUNTIF($J$6:J9,C29)&gt;=1,C30,C29),C28),C27),C26),C25),C24),C23),C22),C21),C20),C19),C18),C17),C16),C15),C14),C13),C12),C11),C10))</f>
        <v>#N/A</v>
      </c>
      <c r="K10" s="49">
        <f t="shared" si="0"/>
        <v>0</v>
      </c>
    </row>
    <row r="11" spans="1:14" ht="16" x14ac:dyDescent="0.2">
      <c r="A11" s="81"/>
      <c r="B11" s="81"/>
      <c r="C11" s="81"/>
      <c r="D11" s="2" t="str">
        <f t="shared" si="1"/>
        <v>Not applicable</v>
      </c>
      <c r="E11" s="102" t="e">
        <f>IF(C11="Other wood material",VLOOKUP(D11,'Wood-types'!$A$2:$B$113,2,FALSE),
IF(C11="CLT",IF(D11='Drop-down_lists'!$D$2,VLOOKUP(C11,Tabel1[[Product]:[Av. Density from larchs (kg/m3)]],9,FALSE),IF(D11='Drop-down_lists'!$D$3,VLOOKUP(C11,Tabel1[[Product]:[Av. Density from larchs (kg/m3)]],10,FALSE),IF(D11='Drop-down_lists'!$D$4,VLOOKUP(C11,Tabel1[[Product]:[Av. Density from larchs (kg/m3)]],7,FALSE),"Provide additional information or fill in here the specific CLT density"))),
IF(C11="EcoCocon (straw frame timber beams included)",1,VLOOKUP(C11,Tabel1[[Product]:[Av. of mid. range Density (kg/m3)]],7,FALSE))))</f>
        <v>#N/A</v>
      </c>
      <c r="F11" s="82"/>
      <c r="G11" s="81" t="str">
        <f t="shared" si="2"/>
        <v/>
      </c>
      <c r="H11" s="83" t="e">
        <f>IF(C11="Other wood material",IF(G11='Drop-down_lists'!$C$2,F11/(1+(12/100))*VLOOKUP(D11,'Wood-types'!$A$2:$C$113,3,FALSE)*(1/12.011*44.0095)/1000,IF(G11='Drop-down_lists'!$C$3,F11/(1+(12/100))*VLOOKUP(D11,'Wood-types'!$A$2:$C$113,3,FALSE)*(1/12.011*44.0095),IF(G11='Drop-down_lists'!$C$4,(F11*E11)/(1+(12/100))*VLOOKUP(D11,'Wood-types'!$A$2:$C$113,3,FALSE)*(1/12.011*44.0095)/1000))),
IF(C11="Extensive green roof (sedum)",F11*VLOOKUP(C11,Tabel1[[Product]:[Av. CO2-storage (kgCO2/kg)*]],3,FALSE),
F11*IF(G11='Drop-down_lists'!$C$2,0.001,IF(G11='Drop-down_lists'!$C$3,1,IF(G11='Drop-down_lists'!$C$4,E11*0.001,"Unit missing")))*VLOOKUP(C11,Tabel1[[Product]:[Av. CO2-storage (kgCO2/kg)*]],3,FALSE)))</f>
        <v>#VALUE!</v>
      </c>
      <c r="J11" t="e">
        <f>IF(IF(COUNTIF($J$6:J10,C11)&gt;=1,IF(COUNTIF($J$6:J10,C12)&gt;=1,IF(COUNTIF($J$6:J10,C13)&gt;=1,IF(COUNTIF($J$6:J10,C14)&gt;=1,IF(COUNTIF($J$6:J10,C15)&gt;=1,IF(COUNTIF($J$6:J10,C16)&gt;=1,IF(COUNTIF($J$6:J10,C17)&gt;=1,IF(COUNTIF($J$6:J10,C18)&gt;=1,IF(COUNTIF($J$6:J10,C19)&gt;=1,IF(COUNTIF($J$6:J10,C20)&gt;=1,IF(COUNTIF($J$6:J10,C21)&gt;=1,IF(COUNTIF($J$6:J10,C22)&gt;=1,IF(COUNTIF($J$6:J10,C23)&gt;=1,IF(COUNTIF($J$6:J10,C24)&gt;=1,IF(COUNTIF($J$6:J10,C25)&gt;=1,IF(COUNTIF($J$6:J10,C26)&gt;=1,IF(COUNTIF($J$6:J10,C27)&gt;=1,IF(COUNTIF($J$6:J10,C28)&gt;=1,IF(COUNTIF($J$6:J10,C29)&gt;=1,IF(COUNTIF($J$6:J10,C30)&gt;=1,C31,C30),C29),C28),C27),C26),C25),C24),C23),C22),C21),C20),C19),C18),C17),C16),C15),C14),C13),C12),C11)=0,NA(),IF(COUNTIF($J$6:J10,C11)&gt;=1,IF(COUNTIF($J$6:J10,C12)&gt;=1,IF(COUNTIF($J$6:J10,C13)&gt;=1,IF(COUNTIF($J$6:J10,C14)&gt;=1,IF(COUNTIF($J$6:J10,C15)&gt;=1,IF(COUNTIF($J$6:J10,C16)&gt;=1,IF(COUNTIF($J$6:J10,C17)&gt;=1,IF(COUNTIF($J$6:J10,C18)&gt;=1,IF(COUNTIF($J$6:J10,C19)&gt;=1,IF(COUNTIF($J$6:J10,C20)&gt;=1,IF(COUNTIF($J$6:J10,C21)&gt;=1,IF(COUNTIF($J$6:J10,C22)&gt;=1,IF(COUNTIF($J$6:J10,C23)&gt;=1,IF(COUNTIF($J$6:J10,C24)&gt;=1,IF(COUNTIF($J$6:J10,C25)&gt;=1,IF(COUNTIF($J$6:J10,C26)&gt;=1,IF(COUNTIF($J$6:J10,C27)&gt;=1,IF(COUNTIF($J$6:J10,C28)&gt;=1,IF(COUNTIF($J$6:J10,C29)&gt;=1,IF(COUNTIF($J$6:J10,C30)&gt;=1,C31,C30),C29),C28),C27),C26),C25),C24),C23),C22),C21),C20),C19),C18),C17),C16),C15),C14),C13),C12),C11))</f>
        <v>#N/A</v>
      </c>
      <c r="K11" s="49">
        <f t="shared" si="0"/>
        <v>0</v>
      </c>
    </row>
    <row r="12" spans="1:14" ht="16" x14ac:dyDescent="0.2">
      <c r="A12" s="81"/>
      <c r="B12" s="81"/>
      <c r="C12" s="81"/>
      <c r="D12" s="2" t="str">
        <f t="shared" si="1"/>
        <v>Not applicable</v>
      </c>
      <c r="E12" s="102" t="e">
        <f>IF(C12="Other wood material",VLOOKUP(D12,'Wood-types'!$A$2:$B$113,2,FALSE),
IF(C12="CLT",IF(D12='Drop-down_lists'!$D$2,VLOOKUP(C12,Tabel1[[Product]:[Av. Density from larchs (kg/m3)]],9,FALSE),IF(D12='Drop-down_lists'!$D$3,VLOOKUP(C12,Tabel1[[Product]:[Av. Density from larchs (kg/m3)]],10,FALSE),IF(D12='Drop-down_lists'!$D$4,VLOOKUP(C12,Tabel1[[Product]:[Av. Density from larchs (kg/m3)]],7,FALSE),"Provide additional information or fill in here the specific CLT density"))),
IF(C12="EcoCocon (straw frame timber beams included)",1,VLOOKUP(C12,Tabel1[[Product]:[Av. of mid. range Density (kg/m3)]],7,FALSE))))</f>
        <v>#N/A</v>
      </c>
      <c r="F12" s="82"/>
      <c r="G12" s="81" t="str">
        <f t="shared" si="2"/>
        <v/>
      </c>
      <c r="H12" s="83" t="e">
        <f>IF(C12="Other wood material",IF(G12='Drop-down_lists'!$C$2,F12/(1+(12/100))*VLOOKUP(D12,'Wood-types'!$A$2:$C$113,3,FALSE)*(1/12.011*44.0095)/1000,IF(G12='Drop-down_lists'!$C$3,F12/(1+(12/100))*VLOOKUP(D12,'Wood-types'!$A$2:$C$113,3,FALSE)*(1/12.011*44.0095),IF(G12='Drop-down_lists'!$C$4,(F12*E12)/(1+(12/100))*VLOOKUP(D12,'Wood-types'!$A$2:$C$113,3,FALSE)*(1/12.011*44.0095)/1000))),
IF(C12="Extensive green roof (sedum)",F12*VLOOKUP(C12,Tabel1[[Product]:[Av. CO2-storage (kgCO2/kg)*]],3,FALSE),
F12*IF(G12='Drop-down_lists'!$C$2,0.001,IF(G12='Drop-down_lists'!$C$3,1,IF(G12='Drop-down_lists'!$C$4,E12*0.001,"Unit missing")))*VLOOKUP(C12,Tabel1[[Product]:[Av. CO2-storage (kgCO2/kg)*]],3,FALSE)))</f>
        <v>#VALUE!</v>
      </c>
      <c r="J12" t="e">
        <f>IF(IF(COUNTIF($J$6:J11,C12)&gt;=1,IF(COUNTIF($J$6:J11,C13)&gt;=1,IF(COUNTIF($J$6:J11,C14)&gt;=1,IF(COUNTIF($J$6:J11,C15)&gt;=1,IF(COUNTIF($J$6:J11,C16)&gt;=1,IF(COUNTIF($J$6:J11,C17)&gt;=1,IF(COUNTIF($J$6:J11,C18)&gt;=1,IF(COUNTIF($J$6:J11,C19)&gt;=1,IF(COUNTIF($J$6:J11,C20)&gt;=1,IF(COUNTIF($J$6:J11,C21)&gt;=1,IF(COUNTIF($J$6:J11,C22)&gt;=1,IF(COUNTIF($J$6:J11,C23)&gt;=1,IF(COUNTIF($J$6:J11,C24)&gt;=1,IF(COUNTIF($J$6:J11,C25)&gt;=1,IF(COUNTIF($J$6:J11,C26)&gt;=1,IF(COUNTIF($J$6:J11,C27)&gt;=1,IF(COUNTIF($J$6:J11,C28)&gt;=1,IF(COUNTIF($J$6:J11,C29)&gt;=1,IF(COUNTIF($J$6:J11,C30)&gt;=1,IF(COUNTIF($J$6:J11,C31)&gt;=1,C32,C31),C30),C29),C28),C27),C26),C25),C24),C23),C22),C21),C20),C19),C18),C17),C16),C15),C14),C13),C12)=0,NA(),IF(COUNTIF($J$6:J11,C12)&gt;=1,IF(COUNTIF($J$6:J11,C13)&gt;=1,IF(COUNTIF($J$6:J11,C14)&gt;=1,IF(COUNTIF($J$6:J11,C15)&gt;=1,IF(COUNTIF($J$6:J11,C16)&gt;=1,IF(COUNTIF($J$6:J11,C17)&gt;=1,IF(COUNTIF($J$6:J11,C18)&gt;=1,IF(COUNTIF($J$6:J11,C19)&gt;=1,IF(COUNTIF($J$6:J11,C20)&gt;=1,IF(COUNTIF($J$6:J11,C21)&gt;=1,IF(COUNTIF($J$6:J11,C22)&gt;=1,IF(COUNTIF($J$6:J11,C23)&gt;=1,IF(COUNTIF($J$6:J11,C24)&gt;=1,IF(COUNTIF($J$6:J11,C25)&gt;=1,IF(COUNTIF($J$6:J11,C26)&gt;=1,IF(COUNTIF($J$6:J11,C27)&gt;=1,IF(COUNTIF($J$6:J11,C28)&gt;=1,IF(COUNTIF($J$6:J11,C29)&gt;=1,IF(COUNTIF($J$6:J11,C30)&gt;=1,IF(COUNTIF($J$6:J11,C31)&gt;=1,C32,C31),C30),C29),C28),C27),C26),C25),C24),C23),C22),C21),C20),C19),C18),C17),C16),C15),C14),C13),C12))</f>
        <v>#N/A</v>
      </c>
      <c r="K12" s="49">
        <f t="shared" si="0"/>
        <v>0</v>
      </c>
    </row>
    <row r="13" spans="1:14" ht="16" x14ac:dyDescent="0.2">
      <c r="A13" s="81"/>
      <c r="B13" s="81"/>
      <c r="C13" s="81"/>
      <c r="D13" s="2" t="str">
        <f t="shared" si="1"/>
        <v>Not applicable</v>
      </c>
      <c r="E13" s="102" t="e">
        <f>IF(C13="Other wood material",VLOOKUP(D13,'Wood-types'!$A$2:$B$113,2,FALSE),
IF(C13="CLT",IF(D13='Drop-down_lists'!$D$2,VLOOKUP(C13,Tabel1[[Product]:[Av. Density from larchs (kg/m3)]],9,FALSE),IF(D13='Drop-down_lists'!$D$3,VLOOKUP(C13,Tabel1[[Product]:[Av. Density from larchs (kg/m3)]],10,FALSE),IF(D13='Drop-down_lists'!$D$4,VLOOKUP(C13,Tabel1[[Product]:[Av. Density from larchs (kg/m3)]],7,FALSE),"Provide additional information or fill in here the specific CLT density"))),
IF(C13="EcoCocon (straw frame timber beams included)",1,VLOOKUP(C13,Tabel1[[Product]:[Av. of mid. range Density (kg/m3)]],7,FALSE))))</f>
        <v>#N/A</v>
      </c>
      <c r="F13" s="82"/>
      <c r="G13" s="81" t="str">
        <f t="shared" si="2"/>
        <v/>
      </c>
      <c r="H13" s="83" t="e">
        <f>IF(C13="Other wood material",IF(G13='Drop-down_lists'!$C$2,F13/(1+(12/100))*VLOOKUP(D13,'Wood-types'!$A$2:$C$113,3,FALSE)*(1/12.011*44.0095)/1000,IF(G13='Drop-down_lists'!$C$3,F13/(1+(12/100))*VLOOKUP(D13,'Wood-types'!$A$2:$C$113,3,FALSE)*(1/12.011*44.0095),IF(G13='Drop-down_lists'!$C$4,(F13*E13)/(1+(12/100))*VLOOKUP(D13,'Wood-types'!$A$2:$C$113,3,FALSE)*(1/12.011*44.0095)/1000))),
IF(C13="Extensive green roof (sedum)",F13*VLOOKUP(C13,Tabel1[[Product]:[Av. CO2-storage (kgCO2/kg)*]],3,FALSE),
F13*IF(G13='Drop-down_lists'!$C$2,0.001,IF(G13='Drop-down_lists'!$C$3,1,IF(G13='Drop-down_lists'!$C$4,E13*0.001,"Unit missing")))*VLOOKUP(C13,Tabel1[[Product]:[Av. CO2-storage (kgCO2/kg)*]],3,FALSE)))</f>
        <v>#VALUE!</v>
      </c>
      <c r="J13" t="e">
        <f>IF(IF(COUNTIF($J$6:J12,C13)&gt;=1,IF(COUNTIF($J$6:J12,C14)&gt;=1,IF(COUNTIF($J$6:J12,C15)&gt;=1,IF(COUNTIF($J$6:J12,C16)&gt;=1,IF(COUNTIF($J$6:J12,C17)&gt;=1,IF(COUNTIF($J$6:J12,C18)&gt;=1,IF(COUNTIF($J$6:J12,C19)&gt;=1,IF(COUNTIF($J$6:J12,C20)&gt;=1,IF(COUNTIF($J$6:J12,C21)&gt;=1,IF(COUNTIF($J$6:J12,C22)&gt;=1,IF(COUNTIF($J$6:J12,C23)&gt;=1,IF(COUNTIF($J$6:J12,C24)&gt;=1,IF(COUNTIF($J$6:J12,C25)&gt;=1,IF(COUNTIF($J$6:J12,C26)&gt;=1,IF(COUNTIF($J$6:J12,C27)&gt;=1,IF(COUNTIF($J$6:J12,C28)&gt;=1,IF(COUNTIF($J$6:J12,C29)&gt;=1,IF(COUNTIF($J$6:J12,C30)&gt;=1,IF(COUNTIF($J$6:J12,C31)&gt;=1,IF(COUNTIF($J$6:J12,C32)&gt;=1,C33,C32),C31),C30),C29),C28),C27),C26),C25),C24),C23),C22),C21),C20),C19),C18),C17),C16),C15),C14),C13)=0,NA(),IF(COUNTIF($J$6:J12,C13)&gt;=1,IF(COUNTIF($J$6:J12,C14)&gt;=1,IF(COUNTIF($J$6:J12,C15)&gt;=1,IF(COUNTIF($J$6:J12,C16)&gt;=1,IF(COUNTIF($J$6:J12,C17)&gt;=1,IF(COUNTIF($J$6:J12,C18)&gt;=1,IF(COUNTIF($J$6:J12,C19)&gt;=1,IF(COUNTIF($J$6:J12,C20)&gt;=1,IF(COUNTIF($J$6:J12,C21)&gt;=1,IF(COUNTIF($J$6:J12,C22)&gt;=1,IF(COUNTIF($J$6:J12,C23)&gt;=1,IF(COUNTIF($J$6:J12,C24)&gt;=1,IF(COUNTIF($J$6:J12,C25)&gt;=1,IF(COUNTIF($J$6:J12,C26)&gt;=1,IF(COUNTIF($J$6:J12,C27)&gt;=1,IF(COUNTIF($J$6:J12,C28)&gt;=1,IF(COUNTIF($J$6:J12,C29)&gt;=1,IF(COUNTIF($J$6:J12,C30)&gt;=1,IF(COUNTIF($J$6:J12,C31)&gt;=1,IF(COUNTIF($J$6:J12,C32)&gt;=1,C33,C32),C31),C30),C29),C28),C27),C26),C25),C24),C23),C22),C21),C20),C19),C18),C17),C16),C15),C14),C13))</f>
        <v>#N/A</v>
      </c>
      <c r="K13" s="49">
        <f t="shared" si="0"/>
        <v>0</v>
      </c>
    </row>
    <row r="14" spans="1:14" ht="16" x14ac:dyDescent="0.2">
      <c r="A14" s="81"/>
      <c r="B14" s="81"/>
      <c r="C14" s="81"/>
      <c r="D14" s="2" t="str">
        <f t="shared" si="1"/>
        <v>Not applicable</v>
      </c>
      <c r="E14" s="102" t="e">
        <f>IF(C14="Other wood material",VLOOKUP(D14,'Wood-types'!$A$2:$B$113,2,FALSE),
IF(C14="CLT",IF(D14='Drop-down_lists'!$D$2,VLOOKUP(C14,Tabel1[[Product]:[Av. Density from larchs (kg/m3)]],9,FALSE),IF(D14='Drop-down_lists'!$D$3,VLOOKUP(C14,Tabel1[[Product]:[Av. Density from larchs (kg/m3)]],10,FALSE),IF(D14='Drop-down_lists'!$D$4,VLOOKUP(C14,Tabel1[[Product]:[Av. Density from larchs (kg/m3)]],7,FALSE),"Provide additional information or fill in here the specific CLT density"))),
IF(C14="EcoCocon (straw frame timber beams included)",1,VLOOKUP(C14,Tabel1[[Product]:[Av. of mid. range Density (kg/m3)]],7,FALSE))))</f>
        <v>#N/A</v>
      </c>
      <c r="F14" s="82"/>
      <c r="G14" s="81" t="str">
        <f t="shared" si="2"/>
        <v/>
      </c>
      <c r="H14" s="83" t="e">
        <f>IF(C14="Other wood material",IF(G14='Drop-down_lists'!$C$2,F14/(1+(12/100))*VLOOKUP(D14,'Wood-types'!$A$2:$C$113,3,FALSE)*(1/12.011*44.0095)/1000,IF(G14='Drop-down_lists'!$C$3,F14/(1+(12/100))*VLOOKUP(D14,'Wood-types'!$A$2:$C$113,3,FALSE)*(1/12.011*44.0095),IF(G14='Drop-down_lists'!$C$4,(F14*E14)/(1+(12/100))*VLOOKUP(D14,'Wood-types'!$A$2:$C$113,3,FALSE)*(1/12.011*44.0095)/1000))),
IF(C14="Extensive green roof (sedum)",F14*VLOOKUP(C14,Tabel1[[Product]:[Av. CO2-storage (kgCO2/kg)*]],3,FALSE),
F14*IF(G14='Drop-down_lists'!$C$2,0.001,IF(G14='Drop-down_lists'!$C$3,1,IF(G14='Drop-down_lists'!$C$4,E14*0.001,"Unit missing")))*VLOOKUP(C14,Tabel1[[Product]:[Av. CO2-storage (kgCO2/kg)*]],3,FALSE)))</f>
        <v>#VALUE!</v>
      </c>
      <c r="J14" t="e">
        <f>IF(IF(COUNTIF($J$6:J13,C14)&gt;=1,IF(COUNTIF($J$6:J13,C15)&gt;=1,IF(COUNTIF($J$6:J13,C16)&gt;=1,IF(COUNTIF($J$6:J13,C17)&gt;=1,IF(COUNTIF($J$6:J13,C18)&gt;=1,IF(COUNTIF($J$6:J13,C19)&gt;=1,IF(COUNTIF($J$6:J13,C20)&gt;=1,IF(COUNTIF($J$6:J13,C21)&gt;=1,IF(COUNTIF($J$6:J13,C22)&gt;=1,IF(COUNTIF($J$6:J13,C23)&gt;=1,IF(COUNTIF($J$6:J13,C24)&gt;=1,IF(COUNTIF($J$6:J13,C25)&gt;=1,IF(COUNTIF($J$6:J13,C26)&gt;=1,IF(COUNTIF($J$6:J13,C27)&gt;=1,IF(COUNTIF($J$6:J13,C28)&gt;=1,IF(COUNTIF($J$6:J13,C29)&gt;=1,IF(COUNTIF($J$6:J13,C30)&gt;=1,IF(COUNTIF($J$6:J13,C31)&gt;=1,IF(COUNTIF($J$6:J13,C32)&gt;=1,IF(COUNTIF($J$6:J13,C33)&gt;=1,C34,C33),C32),C31),C30),C29),C28),C27),C26),C25),C24),C23),C22),C21),C20),C19),C18),C17),C16),C15),C14)=0,NA(),IF(COUNTIF($J$6:J13,C14)&gt;=1,IF(COUNTIF($J$6:J13,C15)&gt;=1,IF(COUNTIF($J$6:J13,C16)&gt;=1,IF(COUNTIF($J$6:J13,C17)&gt;=1,IF(COUNTIF($J$6:J13,C18)&gt;=1,IF(COUNTIF($J$6:J13,C19)&gt;=1,IF(COUNTIF($J$6:J13,C20)&gt;=1,IF(COUNTIF($J$6:J13,C21)&gt;=1,IF(COUNTIF($J$6:J13,C22)&gt;=1,IF(COUNTIF($J$6:J13,C23)&gt;=1,IF(COUNTIF($J$6:J13,C24)&gt;=1,IF(COUNTIF($J$6:J13,C25)&gt;=1,IF(COUNTIF($J$6:J13,C26)&gt;=1,IF(COUNTIF($J$6:J13,C27)&gt;=1,IF(COUNTIF($J$6:J13,C28)&gt;=1,IF(COUNTIF($J$6:J13,C29)&gt;=1,IF(COUNTIF($J$6:J13,C30)&gt;=1,IF(COUNTIF($J$6:J13,C31)&gt;=1,IF(COUNTIF($J$6:J13,C32)&gt;=1,IF(COUNTIF($J$6:J13,C33)&gt;=1,C34,C33),C32),C31),C30),C29),C28),C27),C26),C25),C24),C23),C22),C21),C20),C19),C18),C17),C16),C15),C14))</f>
        <v>#N/A</v>
      </c>
      <c r="K14" s="49">
        <f t="shared" si="0"/>
        <v>0</v>
      </c>
    </row>
    <row r="15" spans="1:14" ht="16" x14ac:dyDescent="0.2">
      <c r="A15" s="81"/>
      <c r="B15" s="81"/>
      <c r="C15" s="81"/>
      <c r="D15" s="2" t="str">
        <f t="shared" si="1"/>
        <v>Not applicable</v>
      </c>
      <c r="E15" s="102" t="e">
        <f>IF(C15="Other wood material",VLOOKUP(D15,'Wood-types'!$A$2:$B$113,2,FALSE),
IF(C15="CLT",IF(D15='Drop-down_lists'!$D$2,VLOOKUP(C15,Tabel1[[Product]:[Av. Density from larchs (kg/m3)]],9,FALSE),IF(D15='Drop-down_lists'!$D$3,VLOOKUP(C15,Tabel1[[Product]:[Av. Density from larchs (kg/m3)]],10,FALSE),IF(D15='Drop-down_lists'!$D$4,VLOOKUP(C15,Tabel1[[Product]:[Av. Density from larchs (kg/m3)]],7,FALSE),"Provide additional information or fill in here the specific CLT density"))),
IF(C15="EcoCocon (straw frame timber beams included)",1,VLOOKUP(C15,Tabel1[[Product]:[Av. of mid. range Density (kg/m3)]],7,FALSE))))</f>
        <v>#N/A</v>
      </c>
      <c r="F15" s="82"/>
      <c r="G15" s="81" t="str">
        <f t="shared" si="2"/>
        <v/>
      </c>
      <c r="H15" s="83" t="e">
        <f>IF(C15="Other wood material",IF(G15='Drop-down_lists'!$C$2,F15/(1+(12/100))*VLOOKUP(D15,'Wood-types'!$A$2:$C$113,3,FALSE)*(1/12.011*44.0095)/1000,IF(G15='Drop-down_lists'!$C$3,F15/(1+(12/100))*VLOOKUP(D15,'Wood-types'!$A$2:$C$113,3,FALSE)*(1/12.011*44.0095),IF(G15='Drop-down_lists'!$C$4,(F15*E15)/(1+(12/100))*VLOOKUP(D15,'Wood-types'!$A$2:$C$113,3,FALSE)*(1/12.011*44.0095)/1000))),
IF(C15="Extensive green roof (sedum)",F15*VLOOKUP(C15,Tabel1[[Product]:[Av. CO2-storage (kgCO2/kg)*]],3,FALSE),
F15*IF(G15='Drop-down_lists'!$C$2,0.001,IF(G15='Drop-down_lists'!$C$3,1,IF(G15='Drop-down_lists'!$C$4,E15*0.001,"Unit missing")))*VLOOKUP(C15,Tabel1[[Product]:[Av. CO2-storage (kgCO2/kg)*]],3,FALSE)))</f>
        <v>#VALUE!</v>
      </c>
      <c r="J15" t="e">
        <f>IF(IF(COUNTIF($J$6:J14,C15)&gt;=1,IF(COUNTIF($J$6:J14,C16)&gt;=1,IF(COUNTIF($J$6:J14,C17)&gt;=1,IF(COUNTIF($J$6:J14,C18)&gt;=1,IF(COUNTIF($J$6:J14,C19)&gt;=1,IF(COUNTIF($J$6:J14,C20)&gt;=1,IF(COUNTIF($J$6:J14,C21)&gt;=1,IF(COUNTIF($J$6:J14,C22)&gt;=1,IF(COUNTIF($J$6:J14,C23)&gt;=1,IF(COUNTIF($J$6:J14,C24)&gt;=1,IF(COUNTIF($J$6:J14,C25)&gt;=1,IF(COUNTIF($J$6:J14,C26)&gt;=1,IF(COUNTIF($J$6:J14,C27)&gt;=1,IF(COUNTIF($J$6:J14,C28)&gt;=1,IF(COUNTIF($J$6:J14,C29)&gt;=1,IF(COUNTIF($J$6:J14,C30)&gt;=1,IF(COUNTIF($J$6:J14,C31)&gt;=1,IF(COUNTIF($J$6:J14,C32)&gt;=1,IF(COUNTIF($J$6:J14,C33)&gt;=1,IF(COUNTIF($J$6:J14,C34)&gt;=1,C35,C34),C33),C32),C31),C30),C29),C28),C27),C26),C25),C24),C23),C22),C21),C20),C19),C18),C17),C16),C15)=0,NA(),IF(COUNTIF($J$6:J14,C15)&gt;=1,IF(COUNTIF($J$6:J14,C16)&gt;=1,IF(COUNTIF($J$6:J14,C17)&gt;=1,IF(COUNTIF($J$6:J14,C18)&gt;=1,IF(COUNTIF($J$6:J14,C19)&gt;=1,IF(COUNTIF($J$6:J14,C20)&gt;=1,IF(COUNTIF($J$6:J14,C21)&gt;=1,IF(COUNTIF($J$6:J14,C22)&gt;=1,IF(COUNTIF($J$6:J14,C23)&gt;=1,IF(COUNTIF($J$6:J14,C24)&gt;=1,IF(COUNTIF($J$6:J14,C25)&gt;=1,IF(COUNTIF($J$6:J14,C26)&gt;=1,IF(COUNTIF($J$6:J14,C27)&gt;=1,IF(COUNTIF($J$6:J14,C28)&gt;=1,IF(COUNTIF($J$6:J14,C29)&gt;=1,IF(COUNTIF($J$6:J14,C30)&gt;=1,IF(COUNTIF($J$6:J14,C31)&gt;=1,IF(COUNTIF($J$6:J14,C32)&gt;=1,IF(COUNTIF($J$6:J14,C33)&gt;=1,IF(COUNTIF($J$6:J14,C34)&gt;=1,C35,C34),C33),C32),C31),C30),C29),C28),C27),C26),C25),C24),C23),C22),C21),C20),C19),C18),C17),C16),C15))</f>
        <v>#N/A</v>
      </c>
      <c r="K15" s="49">
        <f t="shared" si="0"/>
        <v>0</v>
      </c>
    </row>
    <row r="16" spans="1:14" ht="16" x14ac:dyDescent="0.2">
      <c r="A16" s="81"/>
      <c r="B16" s="81"/>
      <c r="C16" s="81"/>
      <c r="D16" s="2" t="str">
        <f t="shared" si="1"/>
        <v>Not applicable</v>
      </c>
      <c r="E16" s="102" t="e">
        <f>IF(C16="Other wood material",VLOOKUP(D16,'Wood-types'!$A$2:$B$113,2,FALSE),
IF(C16="CLT",IF(D16='Drop-down_lists'!$D$2,VLOOKUP(C16,Tabel1[[Product]:[Av. Density from larchs (kg/m3)]],9,FALSE),IF(D16='Drop-down_lists'!$D$3,VLOOKUP(C16,Tabel1[[Product]:[Av. Density from larchs (kg/m3)]],10,FALSE),IF(D16='Drop-down_lists'!$D$4,VLOOKUP(C16,Tabel1[[Product]:[Av. Density from larchs (kg/m3)]],7,FALSE),"Provide additional information or fill in here the specific CLT density"))),
IF(C16="EcoCocon (straw frame timber beams included)",1,VLOOKUP(C16,Tabel1[[Product]:[Av. of mid. range Density (kg/m3)]],7,FALSE))))</f>
        <v>#N/A</v>
      </c>
      <c r="F16" s="82"/>
      <c r="G16" s="81" t="str">
        <f t="shared" si="2"/>
        <v/>
      </c>
      <c r="H16" s="83" t="e">
        <f>IF(C16="Other wood material",IF(G16='Drop-down_lists'!$C$2,F16/(1+(12/100))*VLOOKUP(D16,'Wood-types'!$A$2:$C$113,3,FALSE)*(1/12.011*44.0095)/1000,IF(G16='Drop-down_lists'!$C$3,F16/(1+(12/100))*VLOOKUP(D16,'Wood-types'!$A$2:$C$113,3,FALSE)*(1/12.011*44.0095),IF(G16='Drop-down_lists'!$C$4,(F16*E16)/(1+(12/100))*VLOOKUP(D16,'Wood-types'!$A$2:$C$113,3,FALSE)*(1/12.011*44.0095)/1000))),
IF(C16="Extensive green roof (sedum)",F16*VLOOKUP(C16,Tabel1[[Product]:[Av. CO2-storage (kgCO2/kg)*]],3,FALSE),
F16*IF(G16='Drop-down_lists'!$C$2,0.001,IF(G16='Drop-down_lists'!$C$3,1,IF(G16='Drop-down_lists'!$C$4,E16*0.001,"Unit missing")))*VLOOKUP(C16,Tabel1[[Product]:[Av. CO2-storage (kgCO2/kg)*]],3,FALSE)))</f>
        <v>#VALUE!</v>
      </c>
      <c r="J16" t="e">
        <f>IF(IF(COUNTIF($J$6:J15,C16)&gt;=1,IF(COUNTIF($J$6:J15,C17)&gt;=1,IF(COUNTIF($J$6:J15,C18)&gt;=1,IF(COUNTIF($J$6:J15,C19)&gt;=1,IF(COUNTIF($J$6:J15,C20)&gt;=1,IF(COUNTIF($J$6:J15,C21)&gt;=1,IF(COUNTIF($J$6:J15,C22)&gt;=1,IF(COUNTIF($J$6:J15,C23)&gt;=1,IF(COUNTIF($J$6:J15,C24)&gt;=1,IF(COUNTIF($J$6:J15,C25)&gt;=1,IF(COUNTIF($J$6:J15,C26)&gt;=1,IF(COUNTIF($J$6:J15,C27)&gt;=1,IF(COUNTIF($J$6:J15,C28)&gt;=1,IF(COUNTIF($J$6:J15,C29)&gt;=1,IF(COUNTIF($J$6:J15,C30)&gt;=1,IF(COUNTIF($J$6:J15,C31)&gt;=1,IF(COUNTIF($J$6:J15,C32)&gt;=1,IF(COUNTIF($J$6:J15,C33)&gt;=1,IF(COUNTIF($J$6:J15,C34)&gt;=1,IF(COUNTIF($J$6:J15,C35)&gt;=1,C36,C35),C34),C33),C32),C31),C30),C29),C28),C27),C26),C25),C24),C23),C22),C21),C20),C19),C18),C17),C16)=0,NA(),IF(COUNTIF($J$6:J15,C16)&gt;=1,IF(COUNTIF($J$6:J15,C17)&gt;=1,IF(COUNTIF($J$6:J15,C18)&gt;=1,IF(COUNTIF($J$6:J15,C19)&gt;=1,IF(COUNTIF($J$6:J15,C20)&gt;=1,IF(COUNTIF($J$6:J15,C21)&gt;=1,IF(COUNTIF($J$6:J15,C22)&gt;=1,IF(COUNTIF($J$6:J15,C23)&gt;=1,IF(COUNTIF($J$6:J15,C24)&gt;=1,IF(COUNTIF($J$6:J15,C25)&gt;=1,IF(COUNTIF($J$6:J15,C26)&gt;=1,IF(COUNTIF($J$6:J15,C27)&gt;=1,IF(COUNTIF($J$6:J15,C28)&gt;=1,IF(COUNTIF($J$6:J15,C29)&gt;=1,IF(COUNTIF($J$6:J15,C30)&gt;=1,IF(COUNTIF($J$6:J15,C31)&gt;=1,IF(COUNTIF($J$6:J15,C32)&gt;=1,IF(COUNTIF($J$6:J15,C33)&gt;=1,IF(COUNTIF($J$6:J15,C34)&gt;=1,IF(COUNTIF($J$6:J15,C35)&gt;=1,C36,C35),C34),C33),C32),C31),C30),C29),C28),C27),C26),C25),C24),C23),C22),C21),C20),C19),C18),C17),C16))</f>
        <v>#N/A</v>
      </c>
      <c r="K16" s="49">
        <f t="shared" si="0"/>
        <v>0</v>
      </c>
    </row>
    <row r="17" spans="1:11" ht="16" x14ac:dyDescent="0.2">
      <c r="A17" s="81"/>
      <c r="B17" s="81"/>
      <c r="C17" s="81"/>
      <c r="D17" s="2" t="str">
        <f t="shared" si="1"/>
        <v>Not applicable</v>
      </c>
      <c r="E17" s="102" t="e">
        <f>IF(C17="Other wood material",VLOOKUP(D17,'Wood-types'!$A$2:$B$113,2,FALSE),
IF(C17="CLT",IF(D17='Drop-down_lists'!$D$2,VLOOKUP(C17,Tabel1[[Product]:[Av. Density from larchs (kg/m3)]],9,FALSE),IF(D17='Drop-down_lists'!$D$3,VLOOKUP(C17,Tabel1[[Product]:[Av. Density from larchs (kg/m3)]],10,FALSE),IF(D17='Drop-down_lists'!$D$4,VLOOKUP(C17,Tabel1[[Product]:[Av. Density from larchs (kg/m3)]],7,FALSE),"Provide additional information or fill in here the specific CLT density"))),
IF(C17="EcoCocon (straw frame timber beams included)",1,VLOOKUP(C17,Tabel1[[Product]:[Av. of mid. range Density (kg/m3)]],7,FALSE))))</f>
        <v>#N/A</v>
      </c>
      <c r="F17" s="82"/>
      <c r="G17" s="81" t="str">
        <f t="shared" si="2"/>
        <v/>
      </c>
      <c r="H17" s="83" t="e">
        <f>IF(C17="Other wood material",IF(G17='Drop-down_lists'!$C$2,F17/(1+(12/100))*VLOOKUP(D17,'Wood-types'!$A$2:$C$113,3,FALSE)*(1/12.011*44.0095)/1000,IF(G17='Drop-down_lists'!$C$3,F17/(1+(12/100))*VLOOKUP(D17,'Wood-types'!$A$2:$C$113,3,FALSE)*(1/12.011*44.0095),IF(G17='Drop-down_lists'!$C$4,(F17*E17)/(1+(12/100))*VLOOKUP(D17,'Wood-types'!$A$2:$C$113,3,FALSE)*(1/12.011*44.0095)/1000))),
IF(C17="Extensive green roof (sedum)",F17*VLOOKUP(C17,Tabel1[[Product]:[Av. CO2-storage (kgCO2/kg)*]],3,FALSE),
F17*IF(G17='Drop-down_lists'!$C$2,0.001,IF(G17='Drop-down_lists'!$C$3,1,IF(G17='Drop-down_lists'!$C$4,E17*0.001,"Unit missing")))*VLOOKUP(C17,Tabel1[[Product]:[Av. CO2-storage (kgCO2/kg)*]],3,FALSE)))</f>
        <v>#VALUE!</v>
      </c>
      <c r="J17" t="e">
        <f>IF(IF(COUNTIF($J$6:J16,C17)&gt;=1,IF(COUNTIF($J$6:J16,C18)&gt;=1,IF(COUNTIF($J$6:J16,C19)&gt;=1,IF(COUNTIF($J$6:J16,C20)&gt;=1,IF(COUNTIF($J$6:J16,C21)&gt;=1,IF(COUNTIF($J$6:J16,C22)&gt;=1,IF(COUNTIF($J$6:J16,C23)&gt;=1,IF(COUNTIF($J$6:J16,C24)&gt;=1,IF(COUNTIF($J$6:J16,C25)&gt;=1,IF(COUNTIF($J$6:J16,C26)&gt;=1,IF(COUNTIF($J$6:J16,C27)&gt;=1,IF(COUNTIF($J$6:J16,C28)&gt;=1,IF(COUNTIF($J$6:J16,C29)&gt;=1,IF(COUNTIF($J$6:J16,C30)&gt;=1,IF(COUNTIF($J$6:J16,C31)&gt;=1,IF(COUNTIF($J$6:J16,C32)&gt;=1,IF(COUNTIF($J$6:J16,C33)&gt;=1,IF(COUNTIF($J$6:J16,C34)&gt;=1,IF(COUNTIF($J$6:J16,C35)&gt;=1,IF(COUNTIF($J$6:J16,C36)&gt;=1,C37,C36),C35),C34),C33),C32),C31),C30),C29),C28),C27),C26),C25),C24),C23),C22),C21),C20),C19),C18),C17)=0,NA(),IF(COUNTIF($J$6:J16,C17)&gt;=1,IF(COUNTIF($J$6:J16,C18)&gt;=1,IF(COUNTIF($J$6:J16,C19)&gt;=1,IF(COUNTIF($J$6:J16,C20)&gt;=1,IF(COUNTIF($J$6:J16,C21)&gt;=1,IF(COUNTIF($J$6:J16,C22)&gt;=1,IF(COUNTIF($J$6:J16,C23)&gt;=1,IF(COUNTIF($J$6:J16,C24)&gt;=1,IF(COUNTIF($J$6:J16,C25)&gt;=1,IF(COUNTIF($J$6:J16,C26)&gt;=1,IF(COUNTIF($J$6:J16,C27)&gt;=1,IF(COUNTIF($J$6:J16,C28)&gt;=1,IF(COUNTIF($J$6:J16,C29)&gt;=1,IF(COUNTIF($J$6:J16,C30)&gt;=1,IF(COUNTIF($J$6:J16,C31)&gt;=1,IF(COUNTIF($J$6:J16,C32)&gt;=1,IF(COUNTIF($J$6:J16,C33)&gt;=1,IF(COUNTIF($J$6:J16,C34)&gt;=1,IF(COUNTIF($J$6:J16,C35)&gt;=1,IF(COUNTIF($J$6:J16,C36)&gt;=1,C37,C36),C35),C34),C33),C32),C31),C30),C29),C28),C27),C26),C25),C24),C23),C22),C21),C20),C19),C18),C17))</f>
        <v>#N/A</v>
      </c>
      <c r="K17" s="49">
        <f t="shared" si="0"/>
        <v>0</v>
      </c>
    </row>
    <row r="18" spans="1:11" ht="16" x14ac:dyDescent="0.2">
      <c r="A18" s="81"/>
      <c r="B18" s="81"/>
      <c r="C18" s="81"/>
      <c r="D18" s="2" t="str">
        <f t="shared" si="1"/>
        <v>Not applicable</v>
      </c>
      <c r="E18" s="102" t="e">
        <f>IF(C18="Other wood material",VLOOKUP(D18,'Wood-types'!$A$2:$B$113,2,FALSE),
IF(C18="CLT",IF(D18='Drop-down_lists'!$D$2,VLOOKUP(C18,Tabel1[[Product]:[Av. Density from larchs (kg/m3)]],9,FALSE),IF(D18='Drop-down_lists'!$D$3,VLOOKUP(C18,Tabel1[[Product]:[Av. Density from larchs (kg/m3)]],10,FALSE),IF(D18='Drop-down_lists'!$D$4,VLOOKUP(C18,Tabel1[[Product]:[Av. Density from larchs (kg/m3)]],7,FALSE),"Provide additional information or fill in here the specific CLT density"))),
IF(C18="EcoCocon (straw frame timber beams included)",1,VLOOKUP(C18,Tabel1[[Product]:[Av. of mid. range Density (kg/m3)]],7,FALSE))))</f>
        <v>#N/A</v>
      </c>
      <c r="F18" s="82"/>
      <c r="G18" s="81" t="str">
        <f t="shared" si="2"/>
        <v/>
      </c>
      <c r="H18" s="83" t="e">
        <f>IF(C18="Other wood material",IF(G18='Drop-down_lists'!$C$2,F18/(1+(12/100))*VLOOKUP(D18,'Wood-types'!$A$2:$C$113,3,FALSE)*(1/12.011*44.0095)/1000,IF(G18='Drop-down_lists'!$C$3,F18/(1+(12/100))*VLOOKUP(D18,'Wood-types'!$A$2:$C$113,3,FALSE)*(1/12.011*44.0095),IF(G18='Drop-down_lists'!$C$4,(F18*E18)/(1+(12/100))*VLOOKUP(D18,'Wood-types'!$A$2:$C$113,3,FALSE)*(1/12.011*44.0095)/1000))),
IF(C18="Extensive green roof (sedum)",F18*VLOOKUP(C18,Tabel1[[Product]:[Av. CO2-storage (kgCO2/kg)*]],3,FALSE),
F18*IF(G18='Drop-down_lists'!$C$2,0.001,IF(G18='Drop-down_lists'!$C$3,1,IF(G18='Drop-down_lists'!$C$4,E18*0.001,"Unit missing")))*VLOOKUP(C18,Tabel1[[Product]:[Av. CO2-storage (kgCO2/kg)*]],3,FALSE)))</f>
        <v>#VALUE!</v>
      </c>
      <c r="J18" t="e">
        <f>IF(IF(COUNTIF($J$6:J17,C18)&gt;=1,IF(COUNTIF($J$6:J17,C19)&gt;=1,IF(COUNTIF($J$6:J17,C20)&gt;=1,IF(COUNTIF($J$6:J17,C21)&gt;=1,IF(COUNTIF($J$6:J17,C22)&gt;=1,IF(COUNTIF($J$6:J17,C23)&gt;=1,IF(COUNTIF($J$6:J17,C24)&gt;=1,IF(COUNTIF($J$6:J17,C25)&gt;=1,IF(COUNTIF($J$6:J17,C26)&gt;=1,IF(COUNTIF($J$6:J17,C27)&gt;=1,IF(COUNTIF($J$6:J17,C28)&gt;=1,IF(COUNTIF($J$6:J17,C29)&gt;=1,IF(COUNTIF($J$6:J17,C30)&gt;=1,IF(COUNTIF($J$6:J17,C31)&gt;=1,IF(COUNTIF($J$6:J17,C32)&gt;=1,IF(COUNTIF($J$6:J17,C33)&gt;=1,IF(COUNTIF($J$6:J17,C34)&gt;=1,IF(COUNTIF($J$6:J17,C35)&gt;=1,IF(COUNTIF($J$6:J17,C36)&gt;=1,IF(COUNTIF($J$6:J17,C37)&gt;=1,C38,C37),C36),C35),C34),C33),C32),C31),C30),C29),C28),C27),C26),C25),C24),C23),C22),C21),C20),C19),C18)=0,NA(),IF(COUNTIF($J$6:J17,C18)&gt;=1,IF(COUNTIF($J$6:J17,C19)&gt;=1,IF(COUNTIF($J$6:J17,C20)&gt;=1,IF(COUNTIF($J$6:J17,C21)&gt;=1,IF(COUNTIF($J$6:J17,C22)&gt;=1,IF(COUNTIF($J$6:J17,C23)&gt;=1,IF(COUNTIF($J$6:J17,C24)&gt;=1,IF(COUNTIF($J$6:J17,C25)&gt;=1,IF(COUNTIF($J$6:J17,C26)&gt;=1,IF(COUNTIF($J$6:J17,C27)&gt;=1,IF(COUNTIF($J$6:J17,C28)&gt;=1,IF(COUNTIF($J$6:J17,C29)&gt;=1,IF(COUNTIF($J$6:J17,C30)&gt;=1,IF(COUNTIF($J$6:J17,C31)&gt;=1,IF(COUNTIF($J$6:J17,C32)&gt;=1,IF(COUNTIF($J$6:J17,C33)&gt;=1,IF(COUNTIF($J$6:J17,C34)&gt;=1,IF(COUNTIF($J$6:J17,C35)&gt;=1,IF(COUNTIF($J$6:J17,C36)&gt;=1,IF(COUNTIF($J$6:J17,C37)&gt;=1,C38,C37),C36),C35),C34),C33),C32),C31),C30),C29),C28),C27),C26),C25),C24),C23),C22),C21),C20),C19),C18))</f>
        <v>#N/A</v>
      </c>
      <c r="K18" s="49">
        <f t="shared" si="0"/>
        <v>0</v>
      </c>
    </row>
    <row r="19" spans="1:11" ht="16" x14ac:dyDescent="0.2">
      <c r="A19" s="81"/>
      <c r="B19" s="81"/>
      <c r="C19" s="81"/>
      <c r="D19" s="2" t="str">
        <f t="shared" si="1"/>
        <v>Not applicable</v>
      </c>
      <c r="E19" s="102" t="e">
        <f>IF(C19="Other wood material",VLOOKUP(D19,'Wood-types'!$A$2:$B$113,2,FALSE),
IF(C19="CLT",IF(D19='Drop-down_lists'!$D$2,VLOOKUP(C19,Tabel1[[Product]:[Av. Density from larchs (kg/m3)]],9,FALSE),IF(D19='Drop-down_lists'!$D$3,VLOOKUP(C19,Tabel1[[Product]:[Av. Density from larchs (kg/m3)]],10,FALSE),IF(D19='Drop-down_lists'!$D$4,VLOOKUP(C19,Tabel1[[Product]:[Av. Density from larchs (kg/m3)]],7,FALSE),"Provide additional information or fill in here the specific CLT density"))),
IF(C19="EcoCocon (straw frame timber beams included)",1,VLOOKUP(C19,Tabel1[[Product]:[Av. of mid. range Density (kg/m3)]],7,FALSE))))</f>
        <v>#N/A</v>
      </c>
      <c r="F19" s="82"/>
      <c r="G19" s="81" t="str">
        <f t="shared" si="2"/>
        <v/>
      </c>
      <c r="H19" s="83" t="e">
        <f>IF(C19="Other wood material",IF(G19='Drop-down_lists'!$C$2,F19/(1+(12/100))*VLOOKUP(D19,'Wood-types'!$A$2:$C$113,3,FALSE)*(1/12.011*44.0095)/1000,IF(G19='Drop-down_lists'!$C$3,F19/(1+(12/100))*VLOOKUP(D19,'Wood-types'!$A$2:$C$113,3,FALSE)*(1/12.011*44.0095),IF(G19='Drop-down_lists'!$C$4,(F19*E19)/(1+(12/100))*VLOOKUP(D19,'Wood-types'!$A$2:$C$113,3,FALSE)*(1/12.011*44.0095)/1000))),
IF(C19="Extensive green roof (sedum)",F19*VLOOKUP(C19,Tabel1[[Product]:[Av. CO2-storage (kgCO2/kg)*]],3,FALSE),
F19*IF(G19='Drop-down_lists'!$C$2,0.001,IF(G19='Drop-down_lists'!$C$3,1,IF(G19='Drop-down_lists'!$C$4,E19*0.001,"Unit missing")))*VLOOKUP(C19,Tabel1[[Product]:[Av. CO2-storage (kgCO2/kg)*]],3,FALSE)))</f>
        <v>#VALUE!</v>
      </c>
      <c r="J19" t="e">
        <f>IF(IF(COUNTIF($J$6:J18,C19)&gt;=1,IF(COUNTIF($J$6:J18,C20)&gt;=1,IF(COUNTIF($J$6:J18,C21)&gt;=1,IF(COUNTIF($J$6:J18,C22)&gt;=1,IF(COUNTIF($J$6:J18,C23)&gt;=1,IF(COUNTIF($J$6:J18,C24)&gt;=1,IF(COUNTIF($J$6:J18,C25)&gt;=1,IF(COUNTIF($J$6:J18,C26)&gt;=1,IF(COUNTIF($J$6:J18,C27)&gt;=1,IF(COUNTIF($J$6:J18,C28)&gt;=1,IF(COUNTIF($J$6:J18,C29)&gt;=1,IF(COUNTIF($J$6:J18,C30)&gt;=1,IF(COUNTIF($J$6:J18,C31)&gt;=1,IF(COUNTIF($J$6:J18,C32)&gt;=1,IF(COUNTIF($J$6:J18,C33)&gt;=1,IF(COUNTIF($J$6:J18,C34)&gt;=1,IF(COUNTIF($J$6:J18,C35)&gt;=1,IF(COUNTIF($J$6:J18,C36)&gt;=1,IF(COUNTIF($J$6:J18,C37)&gt;=1,IF(COUNTIF($J$6:J18,C38)&gt;=1,C39,C38),C37),C36),C35),C34),C33),C32),C31),C30),C29),C28),C27),C26),C25),C24),C23),C22),C21),C20),C19)=0,NA(),IF(COUNTIF($J$6:J18,C19)&gt;=1,IF(COUNTIF($J$6:J18,C20)&gt;=1,IF(COUNTIF($J$6:J18,C21)&gt;=1,IF(COUNTIF($J$6:J18,C22)&gt;=1,IF(COUNTIF($J$6:J18,C23)&gt;=1,IF(COUNTIF($J$6:J18,C24)&gt;=1,IF(COUNTIF($J$6:J18,C25)&gt;=1,IF(COUNTIF($J$6:J18,C26)&gt;=1,IF(COUNTIF($J$6:J18,C27)&gt;=1,IF(COUNTIF($J$6:J18,C28)&gt;=1,IF(COUNTIF($J$6:J18,C29)&gt;=1,IF(COUNTIF($J$6:J18,C30)&gt;=1,IF(COUNTIF($J$6:J18,C31)&gt;=1,IF(COUNTIF($J$6:J18,C32)&gt;=1,IF(COUNTIF($J$6:J18,C33)&gt;=1,IF(COUNTIF($J$6:J18,C34)&gt;=1,IF(COUNTIF($J$6:J18,C35)&gt;=1,IF(COUNTIF($J$6:J18,C36)&gt;=1,IF(COUNTIF($J$6:J18,C37)&gt;=1,IF(COUNTIF($J$6:J18,C38)&gt;=1,C39,C38),C37),C36),C35),C34),C33),C32),C31),C30),C29),C28),C27),C26),C25),C24),C23),C22),C21),C20),C19))</f>
        <v>#N/A</v>
      </c>
      <c r="K19" s="49">
        <f t="shared" si="0"/>
        <v>0</v>
      </c>
    </row>
    <row r="20" spans="1:11" ht="16" x14ac:dyDescent="0.2">
      <c r="A20" s="81"/>
      <c r="B20" s="81"/>
      <c r="C20" s="81"/>
      <c r="D20" s="2" t="str">
        <f t="shared" si="1"/>
        <v>Not applicable</v>
      </c>
      <c r="E20" s="102" t="e">
        <f>IF(C20="Other wood material",VLOOKUP(D20,'Wood-types'!$A$2:$B$113,2,FALSE),
IF(C20="CLT",IF(D20='Drop-down_lists'!$D$2,VLOOKUP(C20,Tabel1[[Product]:[Av. Density from larchs (kg/m3)]],9,FALSE),IF(D20='Drop-down_lists'!$D$3,VLOOKUP(C20,Tabel1[[Product]:[Av. Density from larchs (kg/m3)]],10,FALSE),IF(D20='Drop-down_lists'!$D$4,VLOOKUP(C20,Tabel1[[Product]:[Av. Density from larchs (kg/m3)]],7,FALSE),"Provide additional information or fill in here the specific CLT density"))),
IF(C20="EcoCocon (straw frame timber beams included)",1,VLOOKUP(C20,Tabel1[[Product]:[Av. of mid. range Density (kg/m3)]],7,FALSE))))</f>
        <v>#N/A</v>
      </c>
      <c r="F20" s="82"/>
      <c r="G20" s="81" t="str">
        <f t="shared" si="2"/>
        <v/>
      </c>
      <c r="H20" s="83" t="e">
        <f>IF(C20="Other wood material",IF(G20='Drop-down_lists'!$C$2,F20/(1+(12/100))*VLOOKUP(D20,'Wood-types'!$A$2:$C$113,3,FALSE)*(1/12.011*44.0095)/1000,IF(G20='Drop-down_lists'!$C$3,F20/(1+(12/100))*VLOOKUP(D20,'Wood-types'!$A$2:$C$113,3,FALSE)*(1/12.011*44.0095),IF(G20='Drop-down_lists'!$C$4,(F20*E20)/(1+(12/100))*VLOOKUP(D20,'Wood-types'!$A$2:$C$113,3,FALSE)*(1/12.011*44.0095)/1000))),
IF(C20="Extensive green roof (sedum)",F20*VLOOKUP(C20,Tabel1[[Product]:[Av. CO2-storage (kgCO2/kg)*]],3,FALSE),
F20*IF(G20='Drop-down_lists'!$C$2,0.001,IF(G20='Drop-down_lists'!$C$3,1,IF(G20='Drop-down_lists'!$C$4,E20*0.001,"Unit missing")))*VLOOKUP(C20,Tabel1[[Product]:[Av. CO2-storage (kgCO2/kg)*]],3,FALSE)))</f>
        <v>#VALUE!</v>
      </c>
      <c r="J20" t="e">
        <f>IF(IF(COUNTIF($J$6:J19,C20)&gt;=1,IF(COUNTIF($J$6:J19,C21)&gt;=1,IF(COUNTIF($J$6:J19,C22)&gt;=1,IF(COUNTIF($J$6:J19,C23)&gt;=1,IF(COUNTIF($J$6:J19,C24)&gt;=1,IF(COUNTIF($J$6:J19,C25)&gt;=1,IF(COUNTIF($J$6:J19,C26)&gt;=1,IF(COUNTIF($J$6:J19,C27)&gt;=1,IF(COUNTIF($J$6:J19,C28)&gt;=1,IF(COUNTIF($J$6:J19,C29)&gt;=1,IF(COUNTIF($J$6:J19,C30)&gt;=1,IF(COUNTIF($J$6:J19,C31)&gt;=1,IF(COUNTIF($J$6:J19,C32)&gt;=1,IF(COUNTIF($J$6:J19,C33)&gt;=1,IF(COUNTIF($J$6:J19,C34)&gt;=1,IF(COUNTIF($J$6:J19,C35)&gt;=1,IF(COUNTIF($J$6:J19,C36)&gt;=1,IF(COUNTIF($J$6:J19,C37)&gt;=1,IF(COUNTIF($J$6:J19,C38)&gt;=1,IF(COUNTIF($J$6:J19,C39)&gt;=1,C40,C39),C38),C37),C36),C35),C34),C33),C32),C31),C30),C29),C28),C27),C26),C25),C24),C23),C22),C21),C20)=0,NA(),IF(COUNTIF($J$6:J19,C20)&gt;=1,IF(COUNTIF($J$6:J19,C21)&gt;=1,IF(COUNTIF($J$6:J19,C22)&gt;=1,IF(COUNTIF($J$6:J19,C23)&gt;=1,IF(COUNTIF($J$6:J19,C24)&gt;=1,IF(COUNTIF($J$6:J19,C25)&gt;=1,IF(COUNTIF($J$6:J19,C26)&gt;=1,IF(COUNTIF($J$6:J19,C27)&gt;=1,IF(COUNTIF($J$6:J19,C28)&gt;=1,IF(COUNTIF($J$6:J19,C29)&gt;=1,IF(COUNTIF($J$6:J19,C30)&gt;=1,IF(COUNTIF($J$6:J19,C31)&gt;=1,IF(COUNTIF($J$6:J19,C32)&gt;=1,IF(COUNTIF($J$6:J19,C33)&gt;=1,IF(COUNTIF($J$6:J19,C34)&gt;=1,IF(COUNTIF($J$6:J19,C35)&gt;=1,IF(COUNTIF($J$6:J19,C36)&gt;=1,IF(COUNTIF($J$6:J19,C37)&gt;=1,IF(COUNTIF($J$6:J19,C38)&gt;=1,IF(COUNTIF($J$6:J19,C39)&gt;=1,C40,C39),C38),C37),C36),C35),C34),C33),C32),C31),C30),C29),C28),C27),C26),C25),C24),C23),C22),C21),C20))</f>
        <v>#N/A</v>
      </c>
      <c r="K20" s="49">
        <f t="shared" si="0"/>
        <v>0</v>
      </c>
    </row>
    <row r="21" spans="1:11" ht="16" x14ac:dyDescent="0.2">
      <c r="A21" s="81"/>
      <c r="B21" s="81"/>
      <c r="C21" s="81"/>
      <c r="D21" s="2" t="str">
        <f t="shared" si="1"/>
        <v>Not applicable</v>
      </c>
      <c r="E21" s="102" t="e">
        <f>IF(C21="Other wood material",VLOOKUP(D21,'Wood-types'!$A$2:$B$113,2,FALSE),
IF(C21="CLT",IF(D21='Drop-down_lists'!$D$2,VLOOKUP(C21,Tabel1[[Product]:[Av. Density from larchs (kg/m3)]],9,FALSE),IF(D21='Drop-down_lists'!$D$3,VLOOKUP(C21,Tabel1[[Product]:[Av. Density from larchs (kg/m3)]],10,FALSE),IF(D21='Drop-down_lists'!$D$4,VLOOKUP(C21,Tabel1[[Product]:[Av. Density from larchs (kg/m3)]],7,FALSE),"Provide additional information or fill in here the specific CLT density"))),
IF(C21="EcoCocon (straw frame timber beams included)",1,VLOOKUP(C21,Tabel1[[Product]:[Av. of mid. range Density (kg/m3)]],7,FALSE))))</f>
        <v>#N/A</v>
      </c>
      <c r="F21" s="82"/>
      <c r="G21" s="81" t="str">
        <f t="shared" si="2"/>
        <v/>
      </c>
      <c r="H21" s="83" t="e">
        <f>IF(C21="Other wood material",IF(G21='Drop-down_lists'!$C$2,F21/(1+(12/100))*VLOOKUP(D21,'Wood-types'!$A$2:$C$113,3,FALSE)*(1/12.011*44.0095)/1000,IF(G21='Drop-down_lists'!$C$3,F21/(1+(12/100))*VLOOKUP(D21,'Wood-types'!$A$2:$C$113,3,FALSE)*(1/12.011*44.0095),IF(G21='Drop-down_lists'!$C$4,(F21*E21)/(1+(12/100))*VLOOKUP(D21,'Wood-types'!$A$2:$C$113,3,FALSE)*(1/12.011*44.0095)/1000))),
IF(C21="Extensive green roof (sedum)",F21*VLOOKUP(C21,Tabel1[[Product]:[Av. CO2-storage (kgCO2/kg)*]],3,FALSE),
F21*IF(G21='Drop-down_lists'!$C$2,0.001,IF(G21='Drop-down_lists'!$C$3,1,IF(G21='Drop-down_lists'!$C$4,E21*0.001,"Unit missing")))*VLOOKUP(C21,Tabel1[[Product]:[Av. CO2-storage (kgCO2/kg)*]],3,FALSE)))</f>
        <v>#VALUE!</v>
      </c>
      <c r="J21" t="e">
        <f>IF(IF(COUNTIF($J$6:J20,C21)&gt;=1,IF(COUNTIF($J$6:J20,C22)&gt;=1,IF(COUNTIF($J$6:J20,C23)&gt;=1,IF(COUNTIF($J$6:J20,C24)&gt;=1,IF(COUNTIF($J$6:J20,C25)&gt;=1,IF(COUNTIF($J$6:J20,C26)&gt;=1,IF(COUNTIF($J$6:J20,C27)&gt;=1,IF(COUNTIF($J$6:J20,C28)&gt;=1,IF(COUNTIF($J$6:J20,C29)&gt;=1,IF(COUNTIF($J$6:J20,C30)&gt;=1,IF(COUNTIF($J$6:J20,C31)&gt;=1,IF(COUNTIF($J$6:J20,C32)&gt;=1,IF(COUNTIF($J$6:J20,C33)&gt;=1,IF(COUNTIF($J$6:J20,C34)&gt;=1,IF(COUNTIF($J$6:J20,C35)&gt;=1,IF(COUNTIF($J$6:J20,C36)&gt;=1,IF(COUNTIF($J$6:J20,C37)&gt;=1,IF(COUNTIF($J$6:J20,C38)&gt;=1,IF(COUNTIF($J$6:J20,C39)&gt;=1,IF(COUNTIF($J$6:J20,C40)&gt;=1,C41,C40),C39),C38),C37),C36),C35),C34),C33),C32),C31),C30),C29),C28),C27),C26),C25),C24),C23),C22),C21)=0,NA(),IF(COUNTIF($J$6:J20,C21)&gt;=1,IF(COUNTIF($J$6:J20,C22)&gt;=1,IF(COUNTIF($J$6:J20,C23)&gt;=1,IF(COUNTIF($J$6:J20,C24)&gt;=1,IF(COUNTIF($J$6:J20,C25)&gt;=1,IF(COUNTIF($J$6:J20,C26)&gt;=1,IF(COUNTIF($J$6:J20,C27)&gt;=1,IF(COUNTIF($J$6:J20,C28)&gt;=1,IF(COUNTIF($J$6:J20,C29)&gt;=1,IF(COUNTIF($J$6:J20,C30)&gt;=1,IF(COUNTIF($J$6:J20,C31)&gt;=1,IF(COUNTIF($J$6:J20,C32)&gt;=1,IF(COUNTIF($J$6:J20,C33)&gt;=1,IF(COUNTIF($J$6:J20,C34)&gt;=1,IF(COUNTIF($J$6:J20,C35)&gt;=1,IF(COUNTIF($J$6:J20,C36)&gt;=1,IF(COUNTIF($J$6:J20,C37)&gt;=1,IF(COUNTIF($J$6:J20,C38)&gt;=1,IF(COUNTIF($J$6:J20,C39)&gt;=1,IF(COUNTIF($J$6:J20,C40)&gt;=1,C41,C40),C39),C38),C37),C36),C35),C34),C33),C32),C31),C30),C29),C28),C27),C26),C25),C24),C23),C22),C21))</f>
        <v>#N/A</v>
      </c>
      <c r="K21" s="49">
        <f t="shared" si="0"/>
        <v>0</v>
      </c>
    </row>
    <row r="22" spans="1:11" ht="16" x14ac:dyDescent="0.2">
      <c r="A22" s="81"/>
      <c r="B22" s="81"/>
      <c r="C22" s="81"/>
      <c r="D22" s="2" t="str">
        <f t="shared" si="1"/>
        <v>Not applicable</v>
      </c>
      <c r="E22" s="102" t="e">
        <f>IF(C22="Other wood material",VLOOKUP(D22,'Wood-types'!$A$2:$B$113,2,FALSE),
IF(C22="CLT",IF(D22='Drop-down_lists'!$D$2,VLOOKUP(C22,Tabel1[[Product]:[Av. Density from larchs (kg/m3)]],9,FALSE),IF(D22='Drop-down_lists'!$D$3,VLOOKUP(C22,Tabel1[[Product]:[Av. Density from larchs (kg/m3)]],10,FALSE),IF(D22='Drop-down_lists'!$D$4,VLOOKUP(C22,Tabel1[[Product]:[Av. Density from larchs (kg/m3)]],7,FALSE),"Provide additional information or fill in here the specific CLT density"))),
IF(C22="EcoCocon (straw frame timber beams included)",1,VLOOKUP(C22,Tabel1[[Product]:[Av. of mid. range Density (kg/m3)]],7,FALSE))))</f>
        <v>#N/A</v>
      </c>
      <c r="F22" s="82"/>
      <c r="G22" s="81" t="str">
        <f t="shared" si="2"/>
        <v/>
      </c>
      <c r="H22" s="83" t="e">
        <f>IF(C22="Other wood material",IF(G22='Drop-down_lists'!$C$2,F22/(1+(12/100))*VLOOKUP(D22,'Wood-types'!$A$2:$C$113,3,FALSE)*(1/12.011*44.0095)/1000,IF(G22='Drop-down_lists'!$C$3,F22/(1+(12/100))*VLOOKUP(D22,'Wood-types'!$A$2:$C$113,3,FALSE)*(1/12.011*44.0095),IF(G22='Drop-down_lists'!$C$4,(F22*E22)/(1+(12/100))*VLOOKUP(D22,'Wood-types'!$A$2:$C$113,3,FALSE)*(1/12.011*44.0095)/1000))),
IF(C22="Extensive green roof (sedum)",F22*VLOOKUP(C22,Tabel1[[Product]:[Av. CO2-storage (kgCO2/kg)*]],3,FALSE),
F22*IF(G22='Drop-down_lists'!$C$2,0.001,IF(G22='Drop-down_lists'!$C$3,1,IF(G22='Drop-down_lists'!$C$4,E22*0.001,"Unit missing")))*VLOOKUP(C22,Tabel1[[Product]:[Av. CO2-storage (kgCO2/kg)*]],3,FALSE)))</f>
        <v>#VALUE!</v>
      </c>
      <c r="J22" t="e">
        <f>IF(IF(COUNTIF($J$6:J21,C22)&gt;=1,IF(COUNTIF($J$6:J21,C23)&gt;=1,IF(COUNTIF($J$6:J21,C24)&gt;=1,IF(COUNTIF($J$6:J21,C25)&gt;=1,IF(COUNTIF($J$6:J21,C26)&gt;=1,IF(COUNTIF($J$6:J21,C27)&gt;=1,IF(COUNTIF($J$6:J21,C28)&gt;=1,IF(COUNTIF($J$6:J21,C29)&gt;=1,IF(COUNTIF($J$6:J21,C30)&gt;=1,IF(COUNTIF($J$6:J21,C31)&gt;=1,IF(COUNTIF($J$6:J21,C32)&gt;=1,IF(COUNTIF($J$6:J21,C33)&gt;=1,IF(COUNTIF($J$6:J21,C34)&gt;=1,IF(COUNTIF($J$6:J21,C35)&gt;=1,IF(COUNTIF($J$6:J21,C36)&gt;=1,IF(COUNTIF($J$6:J21,C37)&gt;=1,IF(COUNTIF($J$6:J21,C38)&gt;=1,IF(COUNTIF($J$6:J21,C39)&gt;=1,IF(COUNTIF($J$6:J21,C40)&gt;=1,IF(COUNTIF($J$6:J21,C41)&gt;=1,C42,C41),C40),C39),C38),C37),C36),C35),C34),C33),C32),C31),C30),C29),C28),C27),C26),C25),C24),C23),C22)=0,NA(),IF(COUNTIF($J$6:J21,C22)&gt;=1,IF(COUNTIF($J$6:J21,C23)&gt;=1,IF(COUNTIF($J$6:J21,C24)&gt;=1,IF(COUNTIF($J$6:J21,C25)&gt;=1,IF(COUNTIF($J$6:J21,C26)&gt;=1,IF(COUNTIF($J$6:J21,C27)&gt;=1,IF(COUNTIF($J$6:J21,C28)&gt;=1,IF(COUNTIF($J$6:J21,C29)&gt;=1,IF(COUNTIF($J$6:J21,C30)&gt;=1,IF(COUNTIF($J$6:J21,C31)&gt;=1,IF(COUNTIF($J$6:J21,C32)&gt;=1,IF(COUNTIF($J$6:J21,C33)&gt;=1,IF(COUNTIF($J$6:J21,C34)&gt;=1,IF(COUNTIF($J$6:J21,C35)&gt;=1,IF(COUNTIF($J$6:J21,C36)&gt;=1,IF(COUNTIF($J$6:J21,C37)&gt;=1,IF(COUNTIF($J$6:J21,C38)&gt;=1,IF(COUNTIF($J$6:J21,C39)&gt;=1,IF(COUNTIF($J$6:J21,C40)&gt;=1,IF(COUNTIF($J$6:J21,C41)&gt;=1,C42,C41),C40),C39),C38),C37),C36),C35),C34),C33),C32),C31),C30),C29),C28),C27),C26),C25),C24),C23),C22))</f>
        <v>#N/A</v>
      </c>
      <c r="K22" s="49">
        <f t="shared" si="0"/>
        <v>0</v>
      </c>
    </row>
    <row r="23" spans="1:11" ht="16" x14ac:dyDescent="0.2">
      <c r="A23" s="81"/>
      <c r="B23" s="81"/>
      <c r="C23" s="81"/>
      <c r="D23" s="2" t="str">
        <f t="shared" si="1"/>
        <v>Not applicable</v>
      </c>
      <c r="E23" s="102" t="e">
        <f>IF(C23="Other wood material",VLOOKUP(D23,'Wood-types'!$A$2:$B$113,2,FALSE),
IF(C23="CLT",IF(D23='Drop-down_lists'!$D$2,VLOOKUP(C23,Tabel1[[Product]:[Av. Density from larchs (kg/m3)]],9,FALSE),IF(D23='Drop-down_lists'!$D$3,VLOOKUP(C23,Tabel1[[Product]:[Av. Density from larchs (kg/m3)]],10,FALSE),IF(D23='Drop-down_lists'!$D$4,VLOOKUP(C23,Tabel1[[Product]:[Av. Density from larchs (kg/m3)]],7,FALSE),"Provide additional information or fill in here the specific CLT density"))),
IF(C23="EcoCocon (straw frame timber beams included)",1,VLOOKUP(C23,Tabel1[[Product]:[Av. of mid. range Density (kg/m3)]],7,FALSE))))</f>
        <v>#N/A</v>
      </c>
      <c r="F23" s="82"/>
      <c r="G23" s="81" t="str">
        <f t="shared" si="2"/>
        <v/>
      </c>
      <c r="H23" s="83" t="e">
        <f>IF(C23="Other wood material",IF(G23='Drop-down_lists'!$C$2,F23/(1+(12/100))*VLOOKUP(D23,'Wood-types'!$A$2:$C$113,3,FALSE)*(1/12.011*44.0095)/1000,IF(G23='Drop-down_lists'!$C$3,F23/(1+(12/100))*VLOOKUP(D23,'Wood-types'!$A$2:$C$113,3,FALSE)*(1/12.011*44.0095),IF(G23='Drop-down_lists'!$C$4,(F23*E23)/(1+(12/100))*VLOOKUP(D23,'Wood-types'!$A$2:$C$113,3,FALSE)*(1/12.011*44.0095)/1000))),
IF(C23="Extensive green roof (sedum)",F23*VLOOKUP(C23,Tabel1[[Product]:[Av. CO2-storage (kgCO2/kg)*]],3,FALSE),
F23*IF(G23='Drop-down_lists'!$C$2,0.001,IF(G23='Drop-down_lists'!$C$3,1,IF(G23='Drop-down_lists'!$C$4,E23*0.001,"Unit missing")))*VLOOKUP(C23,Tabel1[[Product]:[Av. CO2-storage (kgCO2/kg)*]],3,FALSE)))</f>
        <v>#VALUE!</v>
      </c>
      <c r="J23" t="e">
        <f>IF(IF(COUNTIF($J$6:J22,C23)&gt;=1,IF(COUNTIF($J$6:J22,C24)&gt;=1,IF(COUNTIF($J$6:J22,C25)&gt;=1,IF(COUNTIF($J$6:J22,C26)&gt;=1,IF(COUNTIF($J$6:J22,C27)&gt;=1,IF(COUNTIF($J$6:J22,C28)&gt;=1,IF(COUNTIF($J$6:J22,C29)&gt;=1,IF(COUNTIF($J$6:J22,C30)&gt;=1,IF(COUNTIF($J$6:J22,C31)&gt;=1,IF(COUNTIF($J$6:J22,C32)&gt;=1,IF(COUNTIF($J$6:J22,C33)&gt;=1,IF(COUNTIF($J$6:J22,C34)&gt;=1,IF(COUNTIF($J$6:J22,C35)&gt;=1,IF(COUNTIF($J$6:J22,C36)&gt;=1,IF(COUNTIF($J$6:J22,C37)&gt;=1,IF(COUNTIF($J$6:J22,C38)&gt;=1,IF(COUNTIF($J$6:J22,C39)&gt;=1,IF(COUNTIF($J$6:J22,C40)&gt;=1,IF(COUNTIF($J$6:J22,C41)&gt;=1,IF(COUNTIF($J$6:J22,C42)&gt;=1,C43,C42),C41),C40),C39),C38),C37),C36),C35),C34),C33),C32),C31),C30),C29),C28),C27),C26),C25),C24),C23)=0,NA(),IF(COUNTIF($J$6:J22,C23)&gt;=1,IF(COUNTIF($J$6:J22,C24)&gt;=1,IF(COUNTIF($J$6:J22,C25)&gt;=1,IF(COUNTIF($J$6:J22,C26)&gt;=1,IF(COUNTIF($J$6:J22,C27)&gt;=1,IF(COUNTIF($J$6:J22,C28)&gt;=1,IF(COUNTIF($J$6:J22,C29)&gt;=1,IF(COUNTIF($J$6:J22,C30)&gt;=1,IF(COUNTIF($J$6:J22,C31)&gt;=1,IF(COUNTIF($J$6:J22,C32)&gt;=1,IF(COUNTIF($J$6:J22,C33)&gt;=1,IF(COUNTIF($J$6:J22,C34)&gt;=1,IF(COUNTIF($J$6:J22,C35)&gt;=1,IF(COUNTIF($J$6:J22,C36)&gt;=1,IF(COUNTIF($J$6:J22,C37)&gt;=1,IF(COUNTIF($J$6:J22,C38)&gt;=1,IF(COUNTIF($J$6:J22,C39)&gt;=1,IF(COUNTIF($J$6:J22,C40)&gt;=1,IF(COUNTIF($J$6:J22,C41)&gt;=1,IF(COUNTIF($J$6:J22,C42)&gt;=1,C43,C42),C41),C40),C39),C38),C37),C36),C35),C34),C33),C32),C31),C30),C29),C28),C27),C26),C25),C24),C23))</f>
        <v>#N/A</v>
      </c>
      <c r="K23" s="49">
        <f t="shared" si="0"/>
        <v>0</v>
      </c>
    </row>
    <row r="24" spans="1:11" ht="16" x14ac:dyDescent="0.2">
      <c r="A24" s="81"/>
      <c r="B24" s="81"/>
      <c r="C24" s="81"/>
      <c r="D24" s="2" t="str">
        <f t="shared" si="1"/>
        <v>Not applicable</v>
      </c>
      <c r="E24" s="102" t="e">
        <f>IF(C24="Other wood material",VLOOKUP(D24,'Wood-types'!$A$2:$B$113,2,FALSE),
IF(C24="CLT",IF(D24='Drop-down_lists'!$D$2,VLOOKUP(C24,Tabel1[[Product]:[Av. Density from larchs (kg/m3)]],9,FALSE),IF(D24='Drop-down_lists'!$D$3,VLOOKUP(C24,Tabel1[[Product]:[Av. Density from larchs (kg/m3)]],10,FALSE),IF(D24='Drop-down_lists'!$D$4,VLOOKUP(C24,Tabel1[[Product]:[Av. Density from larchs (kg/m3)]],7,FALSE),"Provide additional information or fill in here the specific CLT density"))),
IF(C24="EcoCocon (straw frame timber beams included)",1,VLOOKUP(C24,Tabel1[[Product]:[Av. of mid. range Density (kg/m3)]],7,FALSE))))</f>
        <v>#N/A</v>
      </c>
      <c r="F24" s="82"/>
      <c r="G24" s="81" t="str">
        <f t="shared" si="2"/>
        <v/>
      </c>
      <c r="H24" s="83" t="e">
        <f>IF(C24="Other wood material",IF(G24='Drop-down_lists'!$C$2,F24/(1+(12/100))*VLOOKUP(D24,'Wood-types'!$A$2:$C$113,3,FALSE)*(1/12.011*44.0095)/1000,IF(G24='Drop-down_lists'!$C$3,F24/(1+(12/100))*VLOOKUP(D24,'Wood-types'!$A$2:$C$113,3,FALSE)*(1/12.011*44.0095),IF(G24='Drop-down_lists'!$C$4,(F24*E24)/(1+(12/100))*VLOOKUP(D24,'Wood-types'!$A$2:$C$113,3,FALSE)*(1/12.011*44.0095)/1000))),
IF(C24="Extensive green roof (sedum)",F24*VLOOKUP(C24,Tabel1[[Product]:[Av. CO2-storage (kgCO2/kg)*]],3,FALSE),
F24*IF(G24='Drop-down_lists'!$C$2,0.001,IF(G24='Drop-down_lists'!$C$3,1,IF(G24='Drop-down_lists'!$C$4,E24*0.001,"Unit missing")))*VLOOKUP(C24,Tabel1[[Product]:[Av. CO2-storage (kgCO2/kg)*]],3,FALSE)))</f>
        <v>#VALUE!</v>
      </c>
      <c r="J24" t="e">
        <f>IF(IF(COUNTIF($J$6:J23,C24)&gt;=1,IF(COUNTIF($J$6:J23,C25)&gt;=1,IF(COUNTIF($J$6:J23,C26)&gt;=1,IF(COUNTIF($J$6:J23,C27)&gt;=1,IF(COUNTIF($J$6:J23,C28)&gt;=1,IF(COUNTIF($J$6:J23,C29)&gt;=1,IF(COUNTIF($J$6:J23,C30)&gt;=1,IF(COUNTIF($J$6:J23,C31)&gt;=1,IF(COUNTIF($J$6:J23,C32)&gt;=1,IF(COUNTIF($J$6:J23,C33)&gt;=1,IF(COUNTIF($J$6:J23,C34)&gt;=1,IF(COUNTIF($J$6:J23,C35)&gt;=1,IF(COUNTIF($J$6:J23,C36)&gt;=1,IF(COUNTIF($J$6:J23,C37)&gt;=1,IF(COUNTIF($J$6:J23,C38)&gt;=1,IF(COUNTIF($J$6:J23,C39)&gt;=1,IF(COUNTIF($J$6:J23,C40)&gt;=1,IF(COUNTIF($J$6:J23,C41)&gt;=1,IF(COUNTIF($J$6:J23,C42)&gt;=1,IF(COUNTIF($J$6:J23,C43)&gt;=1,C44,C43),C42),C41),C40),C39),C38),C37),C36),C35),C34),C33),C32),C31),C30),C29),C28),C27),C26),C25),C24)=0,NA(),IF(COUNTIF($J$6:J23,C24)&gt;=1,IF(COUNTIF($J$6:J23,C25)&gt;=1,IF(COUNTIF($J$6:J23,C26)&gt;=1,IF(COUNTIF($J$6:J23,C27)&gt;=1,IF(COUNTIF($J$6:J23,C28)&gt;=1,IF(COUNTIF($J$6:J23,C29)&gt;=1,IF(COUNTIF($J$6:J23,C30)&gt;=1,IF(COUNTIF($J$6:J23,C31)&gt;=1,IF(COUNTIF($J$6:J23,C32)&gt;=1,IF(COUNTIF($J$6:J23,C33)&gt;=1,IF(COUNTIF($J$6:J23,C34)&gt;=1,IF(COUNTIF($J$6:J23,C35)&gt;=1,IF(COUNTIF($J$6:J23,C36)&gt;=1,IF(COUNTIF($J$6:J23,C37)&gt;=1,IF(COUNTIF($J$6:J23,C38)&gt;=1,IF(COUNTIF($J$6:J23,C39)&gt;=1,IF(COUNTIF($J$6:J23,C40)&gt;=1,IF(COUNTIF($J$6:J23,C41)&gt;=1,IF(COUNTIF($J$6:J23,C42)&gt;=1,IF(COUNTIF($J$6:J23,C43)&gt;=1,C44,C43),C42),C41),C40),C39),C38),C37),C36),C35),C34),C33),C32),C31),C30),C29),C28),C27),C26),C25),C24))</f>
        <v>#N/A</v>
      </c>
      <c r="K24" s="49">
        <f t="shared" si="0"/>
        <v>0</v>
      </c>
    </row>
    <row r="25" spans="1:11" ht="16" x14ac:dyDescent="0.2">
      <c r="A25" s="81"/>
      <c r="B25" s="81"/>
      <c r="C25" s="81"/>
      <c r="D25" s="2" t="str">
        <f t="shared" si="1"/>
        <v>Not applicable</v>
      </c>
      <c r="E25" s="102" t="e">
        <f>IF(C25="Other wood material",VLOOKUP(D25,'Wood-types'!$A$2:$B$113,2,FALSE),
IF(C25="CLT",IF(D25='Drop-down_lists'!$D$2,VLOOKUP(C25,Tabel1[[Product]:[Av. Density from larchs (kg/m3)]],9,FALSE),IF(D25='Drop-down_lists'!$D$3,VLOOKUP(C25,Tabel1[[Product]:[Av. Density from larchs (kg/m3)]],10,FALSE),IF(D25='Drop-down_lists'!$D$4,VLOOKUP(C25,Tabel1[[Product]:[Av. Density from larchs (kg/m3)]],7,FALSE),"Provide additional information or fill in here the specific CLT density"))),
IF(C25="EcoCocon (straw frame timber beams included)",1,VLOOKUP(C25,Tabel1[[Product]:[Av. of mid. range Density (kg/m3)]],7,FALSE))))</f>
        <v>#N/A</v>
      </c>
      <c r="F25" s="82"/>
      <c r="G25" s="81" t="str">
        <f t="shared" si="2"/>
        <v/>
      </c>
      <c r="H25" s="83" t="e">
        <f>IF(C25="Other wood material",IF(G25='Drop-down_lists'!$C$2,F25/(1+(12/100))*VLOOKUP(D25,'Wood-types'!$A$2:$C$113,3,FALSE)*(1/12.011*44.0095)/1000,IF(G25='Drop-down_lists'!$C$3,F25/(1+(12/100))*VLOOKUP(D25,'Wood-types'!$A$2:$C$113,3,FALSE)*(1/12.011*44.0095),IF(G25='Drop-down_lists'!$C$4,(F25*E25)/(1+(12/100))*VLOOKUP(D25,'Wood-types'!$A$2:$C$113,3,FALSE)*(1/12.011*44.0095)/1000))),
IF(C25="Extensive green roof (sedum)",F25*VLOOKUP(C25,Tabel1[[Product]:[Av. CO2-storage (kgCO2/kg)*]],3,FALSE),
F25*IF(G25='Drop-down_lists'!$C$2,0.001,IF(G25='Drop-down_lists'!$C$3,1,IF(G25='Drop-down_lists'!$C$4,E25*0.001,"Unit missing")))*VLOOKUP(C25,Tabel1[[Product]:[Av. CO2-storage (kgCO2/kg)*]],3,FALSE)))</f>
        <v>#VALUE!</v>
      </c>
      <c r="J25" t="e">
        <f>IF(IF(COUNTIF($J$6:J24,C25)&gt;=1,IF(COUNTIF($J$6:J24,C26)&gt;=1,IF(COUNTIF($J$6:J24,C27)&gt;=1,IF(COUNTIF($J$6:J24,C28)&gt;=1,IF(COUNTIF($J$6:J24,C29)&gt;=1,IF(COUNTIF($J$6:J24,C30)&gt;=1,IF(COUNTIF($J$6:J24,C31)&gt;=1,IF(COUNTIF($J$6:J24,C32)&gt;=1,IF(COUNTIF($J$6:J24,C33)&gt;=1,IF(COUNTIF($J$6:J24,C34)&gt;=1,IF(COUNTIF($J$6:J24,C35)&gt;=1,IF(COUNTIF($J$6:J24,C36)&gt;=1,IF(COUNTIF($J$6:J24,C37)&gt;=1,IF(COUNTIF($J$6:J24,C38)&gt;=1,IF(COUNTIF($J$6:J24,C39)&gt;=1,IF(COUNTIF($J$6:J24,C40)&gt;=1,IF(COUNTIF($J$6:J24,C41)&gt;=1,IF(COUNTIF($J$6:J24,C42)&gt;=1,IF(COUNTIF($J$6:J24,C43)&gt;=1,IF(COUNTIF($J$6:J24,C44)&gt;=1,C45,C44),C43),C42),C41),C40),C39),C38),C37),C36),C35),C34),C33),C32),C31),C30),C29),C28),C27),C26),C25)=0,NA(),IF(COUNTIF($J$6:J24,C25)&gt;=1,IF(COUNTIF($J$6:J24,C26)&gt;=1,IF(COUNTIF($J$6:J24,C27)&gt;=1,IF(COUNTIF($J$6:J24,C28)&gt;=1,IF(COUNTIF($J$6:J24,C29)&gt;=1,IF(COUNTIF($J$6:J24,C30)&gt;=1,IF(COUNTIF($J$6:J24,C31)&gt;=1,IF(COUNTIF($J$6:J24,C32)&gt;=1,IF(COUNTIF($J$6:J24,C33)&gt;=1,IF(COUNTIF($J$6:J24,C34)&gt;=1,IF(COUNTIF($J$6:J24,C35)&gt;=1,IF(COUNTIF($J$6:J24,C36)&gt;=1,IF(COUNTIF($J$6:J24,C37)&gt;=1,IF(COUNTIF($J$6:J24,C38)&gt;=1,IF(COUNTIF($J$6:J24,C39)&gt;=1,IF(COUNTIF($J$6:J24,C40)&gt;=1,IF(COUNTIF($J$6:J24,C41)&gt;=1,IF(COUNTIF($J$6:J24,C42)&gt;=1,IF(COUNTIF($J$6:J24,C43)&gt;=1,IF(COUNTIF($J$6:J24,C44)&gt;=1,C45,C44),C43),C42),C41),C40),C39),C38),C37),C36),C35),C34),C33),C32),C31),C30),C29),C28),C27),C26),C25))</f>
        <v>#N/A</v>
      </c>
      <c r="K25" s="49">
        <f t="shared" si="0"/>
        <v>0</v>
      </c>
    </row>
    <row r="26" spans="1:11" ht="16" x14ac:dyDescent="0.2">
      <c r="A26" s="81"/>
      <c r="B26" s="81"/>
      <c r="C26" s="81"/>
      <c r="D26" s="2" t="str">
        <f t="shared" si="1"/>
        <v>Not applicable</v>
      </c>
      <c r="E26" s="102" t="e">
        <f>IF(C26="Other wood material",VLOOKUP(D26,'Wood-types'!$A$2:$B$113,2,FALSE),
IF(C26="CLT",IF(D26='Drop-down_lists'!$D$2,VLOOKUP(C26,Tabel1[[Product]:[Av. Density from larchs (kg/m3)]],9,FALSE),IF(D26='Drop-down_lists'!$D$3,VLOOKUP(C26,Tabel1[[Product]:[Av. Density from larchs (kg/m3)]],10,FALSE),IF(D26='Drop-down_lists'!$D$4,VLOOKUP(C26,Tabel1[[Product]:[Av. Density from larchs (kg/m3)]],7,FALSE),"Provide additional information or fill in here the specific CLT density"))),
IF(C26="EcoCocon (straw frame timber beams included)",1,VLOOKUP(C26,Tabel1[[Product]:[Av. of mid. range Density (kg/m3)]],7,FALSE))))</f>
        <v>#N/A</v>
      </c>
      <c r="F26" s="82"/>
      <c r="G26" s="81" t="str">
        <f t="shared" si="2"/>
        <v/>
      </c>
      <c r="H26" s="83" t="e">
        <f>IF(C26="Other wood material",IF(G26='Drop-down_lists'!$C$2,F26/(1+(12/100))*VLOOKUP(D26,'Wood-types'!$A$2:$C$113,3,FALSE)*(1/12.011*44.0095)/1000,IF(G26='Drop-down_lists'!$C$3,F26/(1+(12/100))*VLOOKUP(D26,'Wood-types'!$A$2:$C$113,3,FALSE)*(1/12.011*44.0095),IF(G26='Drop-down_lists'!$C$4,(F26*E26)/(1+(12/100))*VLOOKUP(D26,'Wood-types'!$A$2:$C$113,3,FALSE)*(1/12.011*44.0095)/1000))),
IF(C26="Extensive green roof (sedum)",F26*VLOOKUP(C26,Tabel1[[Product]:[Av. CO2-storage (kgCO2/kg)*]],3,FALSE),
F26*IF(G26='Drop-down_lists'!$C$2,0.001,IF(G26='Drop-down_lists'!$C$3,1,IF(G26='Drop-down_lists'!$C$4,E26*0.001,"Unit missing")))*VLOOKUP(C26,Tabel1[[Product]:[Av. CO2-storage (kgCO2/kg)*]],3,FALSE)))</f>
        <v>#VALUE!</v>
      </c>
      <c r="J26" t="e">
        <f>IF(IF(COUNTIF($J$6:J25,C26)&gt;=1,IF(COUNTIF($J$6:J25,C27)&gt;=1,IF(COUNTIF($J$6:J25,C28)&gt;=1,IF(COUNTIF($J$6:J25,C29)&gt;=1,IF(COUNTIF($J$6:J25,C30)&gt;=1,IF(COUNTIF($J$6:J25,C31)&gt;=1,IF(COUNTIF($J$6:J25,C32)&gt;=1,IF(COUNTIF($J$6:J25,C33)&gt;=1,IF(COUNTIF($J$6:J25,C34)&gt;=1,IF(COUNTIF($J$6:J25,C35)&gt;=1,IF(COUNTIF($J$6:J25,C36)&gt;=1,IF(COUNTIF($J$6:J25,C37)&gt;=1,IF(COUNTIF($J$6:J25,C38)&gt;=1,IF(COUNTIF($J$6:J25,C39)&gt;=1,IF(COUNTIF($J$6:J25,C40)&gt;=1,IF(COUNTIF($J$6:J25,C41)&gt;=1,IF(COUNTIF($J$6:J25,C42)&gt;=1,IF(COUNTIF($J$6:J25,C43)&gt;=1,IF(COUNTIF($J$6:J25,C44)&gt;=1,IF(COUNTIF($J$6:J25,C45)&gt;=1,C46,C45),C44),C43),C42),C41),C40),C39),C38),C37),C36),C35),C34),C33),C32),C31),C30),C29),C28),C27),C26)=0,NA(),IF(COUNTIF($J$6:J25,C26)&gt;=1,IF(COUNTIF($J$6:J25,C27)&gt;=1,IF(COUNTIF($J$6:J25,C28)&gt;=1,IF(COUNTIF($J$6:J25,C29)&gt;=1,IF(COUNTIF($J$6:J25,C30)&gt;=1,IF(COUNTIF($J$6:J25,C31)&gt;=1,IF(COUNTIF($J$6:J25,C32)&gt;=1,IF(COUNTIF($J$6:J25,C33)&gt;=1,IF(COUNTIF($J$6:J25,C34)&gt;=1,IF(COUNTIF($J$6:J25,C35)&gt;=1,IF(COUNTIF($J$6:J25,C36)&gt;=1,IF(COUNTIF($J$6:J25,C37)&gt;=1,IF(COUNTIF($J$6:J25,C38)&gt;=1,IF(COUNTIF($J$6:J25,C39)&gt;=1,IF(COUNTIF($J$6:J25,C40)&gt;=1,IF(COUNTIF($J$6:J25,C41)&gt;=1,IF(COUNTIF($J$6:J25,C42)&gt;=1,IF(COUNTIF($J$6:J25,C43)&gt;=1,IF(COUNTIF($J$6:J25,C44)&gt;=1,IF(COUNTIF($J$6:J25,C45)&gt;=1,C46,C45),C44),C43),C42),C41),C40),C39),C38),C37),C36),C35),C34),C33),C32),C31),C30),C29),C28),C27),C26))</f>
        <v>#N/A</v>
      </c>
      <c r="K26" s="49">
        <f t="shared" si="0"/>
        <v>0</v>
      </c>
    </row>
    <row r="34" spans="6:6" x14ac:dyDescent="0.2">
      <c r="F34"/>
    </row>
  </sheetData>
  <conditionalFormatting sqref="C3 E3 D1:E1 D4:E1048576">
    <cfRule type="containsText" dxfId="18" priority="8" operator="containsText" text="Select used wood type or provide the CLT density in next column">
      <formula>NOT(ISERROR(SEARCH("Select used wood type or provide the CLT density in next column",C1)))</formula>
    </cfRule>
    <cfRule type="containsText" dxfId="17" priority="11" operator="containsText" text="Specify type of wood">
      <formula>NOT(ISERROR(SEARCH("Specify type of wood",C1)))</formula>
    </cfRule>
  </conditionalFormatting>
  <conditionalFormatting sqref="H6:H26">
    <cfRule type="cellIs" dxfId="16" priority="9" operator="equal">
      <formula>0</formula>
    </cfRule>
  </conditionalFormatting>
  <conditionalFormatting sqref="G6:G26">
    <cfRule type="expression" dxfId="15" priority="3">
      <formula>$C6="Green roof"</formula>
    </cfRule>
    <cfRule type="expression" dxfId="14" priority="4">
      <formula>$C6="Hemp-shives containing products"</formula>
    </cfRule>
    <cfRule type="expression" dxfId="13" priority="6">
      <formula>$C6="EcoCocon (straw frame timber beams included)"</formula>
    </cfRule>
  </conditionalFormatting>
  <conditionalFormatting sqref="E6:E26">
    <cfRule type="cellIs" dxfId="12" priority="1" operator="equal">
      <formula>0</formula>
    </cfRule>
    <cfRule type="cellIs" dxfId="11" priority="2" operator="equal">
      <formula>1</formula>
    </cfRule>
  </conditionalFormatting>
  <dataValidations count="3">
    <dataValidation type="list" allowBlank="1" showInputMessage="1" sqref="G6:G26" xr:uid="{DCBA18B7-2B14-47D1-A7FD-C311FBEE2065}">
      <formula1>Unit</formula1>
    </dataValidation>
    <dataValidation type="list" allowBlank="1" showInputMessage="1" sqref="A6:A26" xr:uid="{4997F3B4-18B9-4B9C-81F2-B0A30BE4BC3E}">
      <formula1>CL</formula1>
    </dataValidation>
    <dataValidation type="list" allowBlank="1" showInputMessage="1" sqref="B6:B26" xr:uid="{0677C995-94DE-429B-A760-B07230296A12}">
      <formula1>P_cat.</formula1>
    </dataValidation>
  </dataValidations>
  <pageMargins left="0.7" right="0.7" top="0.75" bottom="0.75" header="0.3" footer="0.3"/>
  <pageSetup paperSize="9" orientation="portrait" r:id="rId1"/>
  <ignoredErrors>
    <ignoredError sqref="E6 E7:E26 H6:H26 G1:G3" evalError="1"/>
  </ignoredErrors>
  <drawing r:id="rId2"/>
  <extLst>
    <ext xmlns:x14="http://schemas.microsoft.com/office/spreadsheetml/2009/9/main" uri="{CCE6A557-97BC-4b89-ADB6-D9C93CAAB3DF}">
      <x14:dataValidations xmlns:xm="http://schemas.microsoft.com/office/excel/2006/main" count="5">
        <x14:dataValidation type="list" errorStyle="warning" allowBlank="1" showInputMessage="1" showErrorMessage="1" error="When continueing this custom information, it is possible the calculation will result in an error." xr:uid="{06AC44BA-1ABC-430D-A6B9-65E2845C4102}">
          <x14:formula1>
            <xm:f>IF(#REF!="CLT",CLT,IF(#REF!="Hemp-shives containing products",HSC,IF(#REF!="Other wood material",Wtype,'Drop-down_lists'!$D$9)))</xm:f>
          </x14:formula1>
          <xm:sqref>E6:E26</xm:sqref>
        </x14:dataValidation>
        <x14:dataValidation type="list" allowBlank="1" showInputMessage="1" showErrorMessage="1" xr:uid="{4EEFDCBB-8CE2-4417-B881-D5E712AF2C77}">
          <x14:formula1>
            <xm:f>IF(B6="Floors",Floors,IF(B6="Frames and walls",Frames_walls,IF(B6="Insulation",Insulation,IF(B6="Roofs",Roofs,IF(B6="Boards/planks",Boards_planks,'Drop-down_lists'!$A$27)))))</xm:f>
          </x14:formula1>
          <xm:sqref>C6:C26</xm:sqref>
        </x14:dataValidation>
        <x14:dataValidation type="list" allowBlank="1" showInputMessage="1" showErrorMessage="1" xr:uid="{EDDF3443-E577-434E-BE6B-8F749346EF6C}">
          <x14:formula1>
            <xm:f>IF(C6="Floors",Floors,IF(C6="Frames and walls",Frames_walls,IF(C6="Insulation",Insulation,IF(C6="Roofs",Roofs,IF(C6="Boards/planks",Boards_planks,'Drop-down_lists'!$A$27)))))</xm:f>
          </x14:formula1>
          <xm:sqref>E6:E26</xm:sqref>
        </x14:dataValidation>
        <x14:dataValidation type="list" errorStyle="warning" allowBlank="1" showInputMessage="1" showErrorMessage="1" error="When continueing this custom information, it is possible the calculation will result in an error." xr:uid="{0CD422AF-5F85-4DE0-ADFC-37D28F81FE43}">
          <x14:formula1>
            <xm:f>IF(C6="CLT",CLT,IF(C6="Hemp-shives containing products",HSC,IF(C6="Other wood material",Wtype,'Drop-down_lists'!$D$9)))</xm:f>
          </x14:formula1>
          <xm:sqref>D6:D26</xm:sqref>
        </x14:dataValidation>
        <x14:dataValidation type="list" allowBlank="1" showInputMessage="1" showErrorMessage="1" xr:uid="{9141BB86-F3AB-45B7-8A92-979606165579}">
          <x14:formula1>
            <xm:f>IF(C6='CO2-storage factors'!$A$4,CLT,IF(C6='CO2-storage factors'!$A$26,HSC,IF(C6='CO2-storage factors'!$A$27,Wtype,'Drop-down_lists'!$D$9)))</xm:f>
          </x14:formula1>
          <xm:sqref>E28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1DCE1-0DF7-4CE2-973F-89EA57EA44BF}">
  <dimension ref="A1:W4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baseColWidth="10" defaultColWidth="8.83203125" defaultRowHeight="15" x14ac:dyDescent="0.2"/>
  <cols>
    <col min="1" max="1" width="43.83203125" bestFit="1" customWidth="1"/>
    <col min="2" max="2" width="15.83203125" customWidth="1"/>
    <col min="3" max="3" width="14.83203125" style="1" customWidth="1"/>
    <col min="4" max="4" width="16.1640625" customWidth="1"/>
    <col min="5" max="5" width="14.33203125" customWidth="1"/>
    <col min="6" max="6" width="12.1640625" customWidth="1"/>
    <col min="7" max="7" width="16.83203125" customWidth="1"/>
    <col min="8" max="8" width="12.5" customWidth="1"/>
    <col min="9" max="9" width="17" customWidth="1"/>
    <col min="10" max="10" width="15.5" customWidth="1"/>
    <col min="11" max="12" width="12.83203125" customWidth="1"/>
    <col min="15" max="15" width="9.6640625" customWidth="1"/>
    <col min="21" max="22" width="20.6640625" customWidth="1"/>
  </cols>
  <sheetData>
    <row r="1" spans="1:23" s="2" customFormat="1" ht="37.5" customHeight="1" x14ac:dyDescent="0.25">
      <c r="A1" s="58" t="s">
        <v>8</v>
      </c>
      <c r="B1" s="74" t="s">
        <v>1</v>
      </c>
      <c r="C1" s="75" t="s">
        <v>269</v>
      </c>
      <c r="D1" s="74" t="s">
        <v>2</v>
      </c>
      <c r="E1" s="58" t="s">
        <v>9</v>
      </c>
      <c r="F1" s="66" t="s">
        <v>30</v>
      </c>
      <c r="G1" s="74" t="s">
        <v>29</v>
      </c>
      <c r="H1" s="62" t="s">
        <v>31</v>
      </c>
      <c r="I1" s="74" t="s">
        <v>4</v>
      </c>
      <c r="J1" s="58" t="s">
        <v>5</v>
      </c>
      <c r="K1" s="74" t="s">
        <v>58</v>
      </c>
      <c r="L1" s="74" t="s">
        <v>59</v>
      </c>
      <c r="M1" s="74" t="s">
        <v>80</v>
      </c>
      <c r="N1" s="74" t="s">
        <v>250</v>
      </c>
      <c r="O1" s="74" t="s">
        <v>252</v>
      </c>
      <c r="T1" s="2" t="s">
        <v>279</v>
      </c>
      <c r="U1" s="2" t="s">
        <v>284</v>
      </c>
      <c r="V1" s="2" t="s">
        <v>285</v>
      </c>
    </row>
    <row r="2" spans="1:23" x14ac:dyDescent="0.2">
      <c r="A2" s="59" t="s">
        <v>255</v>
      </c>
      <c r="B2" s="72" t="e">
        <f>NA()</f>
        <v>#N/A</v>
      </c>
      <c r="C2" s="72">
        <f>1010/Tabel1[[#This Row],[Av. of mid. range Density (kg/m3)]]</f>
        <v>1.3377483443708609</v>
      </c>
      <c r="D2" s="72" t="e">
        <f>NA()</f>
        <v>#N/A</v>
      </c>
      <c r="E2" s="59" t="e">
        <f>NA()</f>
        <v>#N/A</v>
      </c>
      <c r="F2" s="67" t="e">
        <f>NA()</f>
        <v>#N/A</v>
      </c>
      <c r="G2" s="65">
        <v>755</v>
      </c>
      <c r="H2" s="63" t="e">
        <f>NA()</f>
        <v>#N/A</v>
      </c>
      <c r="I2" s="76"/>
      <c r="J2" s="69"/>
      <c r="K2" s="70" t="s">
        <v>256</v>
      </c>
      <c r="L2" s="65" t="s">
        <v>431</v>
      </c>
      <c r="M2" s="65" t="s">
        <v>431</v>
      </c>
      <c r="N2" s="65" t="s">
        <v>431</v>
      </c>
      <c r="O2" s="65" t="s">
        <v>431</v>
      </c>
      <c r="P2" s="71" t="s">
        <v>432</v>
      </c>
      <c r="Q2" s="4" t="s">
        <v>75</v>
      </c>
      <c r="R2">
        <v>12.010999999999999</v>
      </c>
      <c r="S2" t="s">
        <v>83</v>
      </c>
      <c r="T2" t="s">
        <v>280</v>
      </c>
      <c r="U2">
        <v>3.27</v>
      </c>
      <c r="V2" s="49">
        <f>U2/$R$2*$R$3</f>
        <v>11.981605611522772</v>
      </c>
    </row>
    <row r="3" spans="1:23" ht="17" x14ac:dyDescent="0.25">
      <c r="A3" s="59" t="s">
        <v>253</v>
      </c>
      <c r="B3" s="72" t="e">
        <f>NA()</f>
        <v>#N/A</v>
      </c>
      <c r="C3" s="72">
        <f>433/Tabel1[[#This Row],[Av. of mid. range Density (kg/m3)]]</f>
        <v>0.84901960784313724</v>
      </c>
      <c r="D3" s="72" t="e">
        <f>NA()</f>
        <v>#N/A</v>
      </c>
      <c r="E3" s="59" t="e">
        <f>NA()</f>
        <v>#N/A</v>
      </c>
      <c r="F3" s="67" t="e">
        <f>NA()</f>
        <v>#N/A</v>
      </c>
      <c r="G3" s="65">
        <v>510</v>
      </c>
      <c r="H3" s="63" t="e">
        <f>NA()</f>
        <v>#N/A</v>
      </c>
      <c r="I3" s="76"/>
      <c r="J3" s="69"/>
      <c r="K3" s="70" t="s">
        <v>256</v>
      </c>
      <c r="L3" s="65" t="s">
        <v>431</v>
      </c>
      <c r="M3" s="65" t="s">
        <v>431</v>
      </c>
      <c r="N3" s="65" t="s">
        <v>431</v>
      </c>
      <c r="O3" s="65" t="s">
        <v>431</v>
      </c>
      <c r="P3" s="71" t="s">
        <v>432</v>
      </c>
      <c r="Q3" s="4" t="s">
        <v>76</v>
      </c>
      <c r="R3">
        <v>44.009500000000003</v>
      </c>
      <c r="S3" t="s">
        <v>83</v>
      </c>
      <c r="T3" t="s">
        <v>281</v>
      </c>
      <c r="U3">
        <v>3.13</v>
      </c>
      <c r="V3" s="49">
        <f t="shared" ref="V3:V7" si="0">U3/$R$2*$R$3</f>
        <v>11.46863167096828</v>
      </c>
    </row>
    <row r="4" spans="1:23" x14ac:dyDescent="0.2">
      <c r="A4" s="59" t="s">
        <v>254</v>
      </c>
      <c r="B4" s="72" t="e">
        <f>NA()</f>
        <v>#N/A</v>
      </c>
      <c r="C4" s="72">
        <f>741/Tabel1[[#This Row],[Av. of mid. range Density (kg/m3)]]</f>
        <v>1.3722222222222222</v>
      </c>
      <c r="D4" s="72" t="e">
        <f>NA()</f>
        <v>#N/A</v>
      </c>
      <c r="E4" s="59" t="e">
        <f>NA()</f>
        <v>#N/A</v>
      </c>
      <c r="F4" s="67" t="e">
        <f>NA()</f>
        <v>#N/A</v>
      </c>
      <c r="G4" s="65">
        <v>540</v>
      </c>
      <c r="H4" s="63" t="e">
        <f>NA()</f>
        <v>#N/A</v>
      </c>
      <c r="I4" s="76"/>
      <c r="J4" s="69"/>
      <c r="K4" s="70" t="s">
        <v>256</v>
      </c>
      <c r="L4" s="65" t="s">
        <v>431</v>
      </c>
      <c r="M4" s="65" t="s">
        <v>431</v>
      </c>
      <c r="N4" s="65" t="s">
        <v>431</v>
      </c>
      <c r="O4" s="65" t="s">
        <v>431</v>
      </c>
      <c r="P4" s="71" t="s">
        <v>432</v>
      </c>
      <c r="T4" t="s">
        <v>282</v>
      </c>
      <c r="U4">
        <v>3.22</v>
      </c>
      <c r="V4" s="49">
        <f t="shared" si="0"/>
        <v>11.798400632753312</v>
      </c>
    </row>
    <row r="5" spans="1:23" x14ac:dyDescent="0.2">
      <c r="A5" s="79" t="s">
        <v>442</v>
      </c>
      <c r="B5" s="72" t="e">
        <f>NA()</f>
        <v>#N/A</v>
      </c>
      <c r="C5" s="72">
        <v>0.68</v>
      </c>
      <c r="D5" s="72" t="e">
        <f>NA()</f>
        <v>#N/A</v>
      </c>
      <c r="E5" s="60" t="e">
        <f>NA()</f>
        <v>#N/A</v>
      </c>
      <c r="F5" s="67">
        <v>650</v>
      </c>
      <c r="G5" s="65">
        <f>AVERAGE(Tabel1[[#This Row],[Min. Density (kg/m3)]],Tabel1[[#This Row],[Max. Density (kg/m3)]])</f>
        <v>675</v>
      </c>
      <c r="H5" s="63">
        <v>700</v>
      </c>
      <c r="I5" s="76"/>
      <c r="J5" s="69"/>
      <c r="K5" s="70" t="s">
        <v>449</v>
      </c>
      <c r="L5" s="70" t="s">
        <v>443</v>
      </c>
      <c r="M5" s="70" t="s">
        <v>430</v>
      </c>
      <c r="N5" s="65" t="s">
        <v>431</v>
      </c>
      <c r="O5" s="65" t="s">
        <v>431</v>
      </c>
      <c r="P5" s="71" t="s">
        <v>432</v>
      </c>
      <c r="Q5" s="71" t="s">
        <v>432</v>
      </c>
      <c r="W5" s="49"/>
    </row>
    <row r="6" spans="1:23" x14ac:dyDescent="0.2">
      <c r="A6" s="79" t="s">
        <v>7</v>
      </c>
      <c r="B6" s="72">
        <f>-0.982569852941176*(-C6/-1.13892104282357)*-1</f>
        <v>1.3120523093560654</v>
      </c>
      <c r="C6" s="72">
        <f>-1.5208323153187*-1</f>
        <v>1.5208323153187</v>
      </c>
      <c r="D6" s="72">
        <f>-1.23799876837568*(-C6/-1.13892104282357)*-1</f>
        <v>1.6531335030940739</v>
      </c>
      <c r="E6" s="59">
        <v>6</v>
      </c>
      <c r="F6" s="67">
        <v>520</v>
      </c>
      <c r="G6" s="65">
        <f>AVERAGE(F6,H6)</f>
        <v>610</v>
      </c>
      <c r="H6" s="63">
        <v>700</v>
      </c>
      <c r="I6" s="76"/>
      <c r="J6" s="69"/>
      <c r="K6" s="73" t="s">
        <v>3</v>
      </c>
      <c r="L6" s="70" t="s">
        <v>32</v>
      </c>
      <c r="M6" s="65" t="s">
        <v>431</v>
      </c>
      <c r="N6" s="65" t="s">
        <v>431</v>
      </c>
      <c r="O6" s="65" t="s">
        <v>431</v>
      </c>
      <c r="P6" s="71" t="s">
        <v>432</v>
      </c>
      <c r="Q6" s="71" t="s">
        <v>432</v>
      </c>
      <c r="W6" s="49"/>
    </row>
    <row r="7" spans="1:23" ht="15" customHeight="1" x14ac:dyDescent="0.2">
      <c r="A7" s="79" t="s">
        <v>0</v>
      </c>
      <c r="B7" s="72">
        <f>-1.01229508196721*(-C7/-1.20406947884372)*-1</f>
        <v>1.3799828879098692</v>
      </c>
      <c r="C7" s="72">
        <f>-1.64141395750919*-1</f>
        <v>1.6414139575091899</v>
      </c>
      <c r="D7" s="72">
        <f>-1.30577142857143*(-C7/-1.20406947884372)*-1</f>
        <v>1.7800562889710507</v>
      </c>
      <c r="E7" s="61">
        <v>3</v>
      </c>
      <c r="F7" s="68" t="e">
        <f>NA()</f>
        <v>#N/A</v>
      </c>
      <c r="G7" s="65">
        <f>AVERAGE(Tabel1[[#This Row],[Av. Density from spruces (kg/m3)]:[Av. Density from larchs (kg/m3)]])</f>
        <v>530</v>
      </c>
      <c r="H7" s="64" t="e">
        <f>NA()</f>
        <v>#N/A</v>
      </c>
      <c r="I7" s="65">
        <v>470</v>
      </c>
      <c r="J7" s="59">
        <v>590</v>
      </c>
      <c r="K7" s="73" t="s">
        <v>3</v>
      </c>
      <c r="L7" s="73" t="s">
        <v>6</v>
      </c>
      <c r="M7" s="65" t="s">
        <v>431</v>
      </c>
      <c r="N7" s="65" t="s">
        <v>431</v>
      </c>
      <c r="O7" s="65" t="s">
        <v>431</v>
      </c>
      <c r="P7" s="71" t="s">
        <v>432</v>
      </c>
      <c r="T7" t="s">
        <v>283</v>
      </c>
      <c r="U7">
        <v>9.82</v>
      </c>
      <c r="V7" s="49">
        <f t="shared" si="0"/>
        <v>35.981457830322206</v>
      </c>
    </row>
    <row r="8" spans="1:23" ht="15" customHeight="1" x14ac:dyDescent="0.25">
      <c r="A8" s="79" t="s">
        <v>82</v>
      </c>
      <c r="B8" s="72" t="e">
        <f>NA()</f>
        <v>#N/A</v>
      </c>
      <c r="C8" s="72">
        <f>97.6/(1*0.4)</f>
        <v>243.99999999999997</v>
      </c>
      <c r="D8" s="72" t="s">
        <v>81</v>
      </c>
      <c r="E8" s="59" t="e">
        <f>NA()</f>
        <v>#N/A</v>
      </c>
      <c r="F8" s="67" t="e">
        <f>NA()</f>
        <v>#N/A</v>
      </c>
      <c r="G8" s="77">
        <v>110</v>
      </c>
      <c r="H8" s="63" t="e">
        <f>NA()</f>
        <v>#N/A</v>
      </c>
      <c r="I8" s="76"/>
      <c r="J8" s="69"/>
      <c r="K8" s="70" t="s">
        <v>79</v>
      </c>
      <c r="L8" s="65" t="s">
        <v>431</v>
      </c>
      <c r="M8" s="65" t="s">
        <v>431</v>
      </c>
      <c r="N8" s="65" t="s">
        <v>431</v>
      </c>
      <c r="O8" s="65" t="s">
        <v>431</v>
      </c>
      <c r="P8" s="71" t="s">
        <v>432</v>
      </c>
      <c r="T8">
        <v>10.5</v>
      </c>
      <c r="U8" t="s">
        <v>286</v>
      </c>
    </row>
    <row r="9" spans="1:23" ht="15" customHeight="1" x14ac:dyDescent="0.2">
      <c r="A9" s="84" t="s">
        <v>439</v>
      </c>
      <c r="B9" s="85" t="e">
        <f>NA()</f>
        <v>#N/A</v>
      </c>
      <c r="C9" s="85">
        <f>0.48/$R$2*$R$3</f>
        <v>1.7587677961868289</v>
      </c>
      <c r="D9" s="85" t="e">
        <f>NA()</f>
        <v>#N/A</v>
      </c>
      <c r="E9" s="86" t="e">
        <f>NA()</f>
        <v>#N/A</v>
      </c>
      <c r="F9" s="96" t="e">
        <f>NA()</f>
        <v>#N/A</v>
      </c>
      <c r="G9" s="87" t="e">
        <f>NA()</f>
        <v>#N/A</v>
      </c>
      <c r="H9" s="88" t="e">
        <f>NA()</f>
        <v>#N/A</v>
      </c>
      <c r="I9" s="87"/>
      <c r="J9" s="84"/>
      <c r="K9" s="89" t="s">
        <v>440</v>
      </c>
      <c r="L9" s="87" t="s">
        <v>431</v>
      </c>
      <c r="M9" s="87" t="s">
        <v>431</v>
      </c>
      <c r="N9" s="87" t="s">
        <v>431</v>
      </c>
      <c r="O9" s="87" t="s">
        <v>431</v>
      </c>
      <c r="P9" s="71" t="s">
        <v>432</v>
      </c>
    </row>
    <row r="10" spans="1:23" ht="15" customHeight="1" x14ac:dyDescent="0.25">
      <c r="A10" s="79" t="s">
        <v>450</v>
      </c>
      <c r="B10" s="72" t="e">
        <f>NA()</f>
        <v>#N/A</v>
      </c>
      <c r="C10" s="1">
        <f>375/1000/$R$2*$R$3</f>
        <v>1.3740373407709601</v>
      </c>
      <c r="D10" s="72" t="s">
        <v>270</v>
      </c>
      <c r="E10" s="59" t="e">
        <f>NA()</f>
        <v>#N/A</v>
      </c>
      <c r="F10" s="93"/>
      <c r="G10" s="94"/>
      <c r="H10" s="95"/>
      <c r="I10" s="76"/>
      <c r="J10" s="69"/>
      <c r="K10" s="73" t="s">
        <v>271</v>
      </c>
      <c r="L10" s="65" t="s">
        <v>431</v>
      </c>
      <c r="M10" s="65" t="s">
        <v>431</v>
      </c>
      <c r="N10" s="65" t="s">
        <v>431</v>
      </c>
      <c r="O10" s="65" t="s">
        <v>431</v>
      </c>
      <c r="P10" s="71" t="s">
        <v>432</v>
      </c>
      <c r="Q10" s="71" t="s">
        <v>432</v>
      </c>
    </row>
    <row r="11" spans="1:23" ht="15" customHeight="1" x14ac:dyDescent="0.2">
      <c r="A11" s="79" t="s">
        <v>11</v>
      </c>
      <c r="B11" s="72">
        <f>-0.511961990199991*(-C11/-0.930146975546943)*-1</f>
        <v>0.86880764562157864</v>
      </c>
      <c r="C11" s="72">
        <f>-1.57847422147744*-1</f>
        <v>1.5784742214774401</v>
      </c>
      <c r="D11" s="72">
        <f>-1.198064*(-C11/-0.930146975546943)*-1</f>
        <v>2.0331336760710741</v>
      </c>
      <c r="E11" s="59">
        <v>5</v>
      </c>
      <c r="F11" s="90" t="e">
        <f>NA()</f>
        <v>#N/A</v>
      </c>
      <c r="G11" s="91" t="e">
        <f>NA()</f>
        <v>#N/A</v>
      </c>
      <c r="H11" s="92" t="e">
        <f>NA()</f>
        <v>#N/A</v>
      </c>
      <c r="I11" s="76"/>
      <c r="J11" s="69"/>
      <c r="K11" s="73" t="s">
        <v>3</v>
      </c>
      <c r="L11" s="65" t="s">
        <v>431</v>
      </c>
      <c r="M11" s="65" t="s">
        <v>431</v>
      </c>
      <c r="N11" s="65" t="s">
        <v>431</v>
      </c>
      <c r="O11" s="65" t="s">
        <v>431</v>
      </c>
      <c r="P11" s="71" t="s">
        <v>432</v>
      </c>
      <c r="Q11" s="71" t="s">
        <v>432</v>
      </c>
    </row>
    <row r="12" spans="1:23" x14ac:dyDescent="0.2">
      <c r="A12" s="79" t="s">
        <v>12</v>
      </c>
      <c r="B12" s="72">
        <f>-0.0773333333333333*(-C12/-0.895743463992897)*-1</f>
        <v>0.12154743407459215</v>
      </c>
      <c r="C12" s="72">
        <f>-1.40787051255289*-1</f>
        <v>1.4078705125528901</v>
      </c>
      <c r="D12" s="72">
        <f>-1.34174994004317*(-C12/-0.895743463992897)*-1</f>
        <v>2.1088740825256713</v>
      </c>
      <c r="E12" s="59">
        <v>13</v>
      </c>
      <c r="F12" s="67">
        <v>406</v>
      </c>
      <c r="G12" s="78">
        <f>AVERAGE(621,674,548,544,406)</f>
        <v>558.6</v>
      </c>
      <c r="H12" s="63">
        <v>674</v>
      </c>
      <c r="I12" s="76"/>
      <c r="J12" s="69"/>
      <c r="K12" s="73" t="s">
        <v>3</v>
      </c>
      <c r="L12" s="70" t="s">
        <v>247</v>
      </c>
      <c r="M12" s="70" t="s">
        <v>248</v>
      </c>
      <c r="N12" s="70" t="s">
        <v>249</v>
      </c>
      <c r="O12" s="70" t="s">
        <v>251</v>
      </c>
      <c r="P12" s="71" t="s">
        <v>432</v>
      </c>
    </row>
    <row r="13" spans="1:23" x14ac:dyDescent="0.2">
      <c r="A13" s="79" t="s">
        <v>13</v>
      </c>
      <c r="B13" s="72" t="e">
        <f>NA()</f>
        <v>#N/A</v>
      </c>
      <c r="C13" s="72">
        <f>-1.63921111850654*-1</f>
        <v>1.6392111185065401</v>
      </c>
      <c r="D13" s="72" t="e">
        <f>NA()</f>
        <v>#N/A</v>
      </c>
      <c r="E13" s="59">
        <v>1</v>
      </c>
      <c r="F13" s="67"/>
      <c r="G13" s="65">
        <f>Tabel1[[#This Row],[Max. Density (kg/m3)]]</f>
        <v>900</v>
      </c>
      <c r="H13" s="63">
        <v>900</v>
      </c>
      <c r="I13" s="76"/>
      <c r="J13" s="69"/>
      <c r="K13" s="73" t="s">
        <v>3</v>
      </c>
      <c r="L13" s="70" t="s">
        <v>32</v>
      </c>
      <c r="M13" s="65" t="s">
        <v>431</v>
      </c>
      <c r="N13" s="65" t="s">
        <v>431</v>
      </c>
      <c r="O13" s="65" t="s">
        <v>431</v>
      </c>
      <c r="P13" s="71" t="s">
        <v>432</v>
      </c>
    </row>
    <row r="14" spans="1:23" ht="18.75" customHeight="1" x14ac:dyDescent="0.2">
      <c r="A14" s="79" t="s">
        <v>14</v>
      </c>
      <c r="B14" s="72">
        <f>-1.17632653061225*(-C14/-1.28597420525066)*-1</f>
        <v>1.4558336723425427</v>
      </c>
      <c r="C14" s="72">
        <f>-1.59153474910868*-1</f>
        <v>1.59153474910868</v>
      </c>
      <c r="D14" s="72">
        <f>-1.47001050420168*(-C14/-1.28597420525066)*-1</f>
        <v>1.8192999435285866</v>
      </c>
      <c r="E14" s="59">
        <v>22</v>
      </c>
      <c r="F14" s="67">
        <v>700</v>
      </c>
      <c r="G14" s="65">
        <f>AVERAGE(Tabel1[[#This Row],[Min. Density (kg/m3)]],Tabel1[[#This Row],[Max. Density (kg/m3)]])</f>
        <v>750</v>
      </c>
      <c r="H14" s="63">
        <v>800</v>
      </c>
      <c r="I14" s="76"/>
      <c r="J14" s="69"/>
      <c r="K14" s="73" t="s">
        <v>3</v>
      </c>
      <c r="L14" s="65" t="s">
        <v>431</v>
      </c>
      <c r="M14" s="65" t="s">
        <v>431</v>
      </c>
      <c r="N14" s="65" t="s">
        <v>431</v>
      </c>
      <c r="O14" s="65" t="s">
        <v>431</v>
      </c>
      <c r="P14" s="71" t="s">
        <v>432</v>
      </c>
      <c r="Q14" s="3" t="s">
        <v>273</v>
      </c>
      <c r="R14" t="s">
        <v>397</v>
      </c>
      <c r="S14" t="s">
        <v>274</v>
      </c>
    </row>
    <row r="15" spans="1:23" x14ac:dyDescent="0.2">
      <c r="A15" s="79" t="s">
        <v>438</v>
      </c>
      <c r="B15" s="1">
        <f>1.84*0.9</f>
        <v>1.6560000000000001</v>
      </c>
      <c r="C15" s="1">
        <f>AVERAGE(Tabel1[[#This Row],[Min. CO2-storage (kgCO2/kg)]],Tabel1[[#This Row],[Max. CO2-storage (kgCO2/kg)]])</f>
        <v>1.794</v>
      </c>
      <c r="D15" s="1">
        <f>2.1*0.92</f>
        <v>1.9320000000000002</v>
      </c>
      <c r="E15" s="99">
        <v>3</v>
      </c>
      <c r="F15" s="67">
        <v>30</v>
      </c>
      <c r="G15" s="65">
        <f>AVERAGE(Tabel1[[#This Row],[Min. Density (kg/m3)]],Tabel1[[#This Row],[Max. Density (kg/m3)]])</f>
        <v>36</v>
      </c>
      <c r="H15" s="63">
        <v>42</v>
      </c>
      <c r="I15" s="76"/>
      <c r="J15" s="69"/>
      <c r="K15" s="70" t="s">
        <v>448</v>
      </c>
      <c r="L15" s="3" t="s">
        <v>451</v>
      </c>
      <c r="M15" s="3" t="s">
        <v>452</v>
      </c>
      <c r="N15" s="70" t="s">
        <v>453</v>
      </c>
      <c r="O15" s="65" t="s">
        <v>431</v>
      </c>
      <c r="P15" s="71" t="s">
        <v>432</v>
      </c>
    </row>
    <row r="16" spans="1:23" x14ac:dyDescent="0.2">
      <c r="A16" s="79" t="s">
        <v>435</v>
      </c>
      <c r="B16" s="72">
        <f>293.16/330</f>
        <v>0.88836363636363647</v>
      </c>
      <c r="C16" s="72">
        <f>AVERAGE(293.16/330,320.32/330,275.7/275)</f>
        <v>0.95385858585858596</v>
      </c>
      <c r="D16" s="72">
        <f>275.7/275</f>
        <v>1.0025454545454544</v>
      </c>
      <c r="E16" s="61">
        <v>3</v>
      </c>
      <c r="F16" s="67">
        <v>275</v>
      </c>
      <c r="G16" s="65">
        <f>AVERAGE(Tabel1[[#This Row],[Min. Density (kg/m3)]],Tabel1[[#This Row],[Max. Density (kg/m3)]])</f>
        <v>302.5</v>
      </c>
      <c r="H16" s="63">
        <v>330</v>
      </c>
      <c r="I16" s="76"/>
      <c r="J16" s="69"/>
      <c r="K16" s="70" t="s">
        <v>436</v>
      </c>
      <c r="L16" s="70" t="s">
        <v>437</v>
      </c>
      <c r="M16" s="65" t="s">
        <v>431</v>
      </c>
      <c r="N16" s="65" t="s">
        <v>431</v>
      </c>
      <c r="O16" s="65" t="s">
        <v>431</v>
      </c>
      <c r="P16" s="71" t="s">
        <v>432</v>
      </c>
    </row>
    <row r="17" spans="1:17" x14ac:dyDescent="0.2">
      <c r="A17" s="59" t="s">
        <v>15</v>
      </c>
      <c r="B17" s="72">
        <f>0.174*(-C17/-0.580436177151736)*-1</f>
        <v>-0.38317170775115122</v>
      </c>
      <c r="C17" s="72">
        <f>-1.27819954735506*-1</f>
        <v>1.27819954735506</v>
      </c>
      <c r="D17" s="72">
        <f>-1.06756428571429*(-C17/-0.580436177151736)*-1</f>
        <v>2.3509220143177152</v>
      </c>
      <c r="E17" s="59">
        <v>11</v>
      </c>
      <c r="F17" s="90" t="e">
        <f>NA()</f>
        <v>#N/A</v>
      </c>
      <c r="G17" s="91" t="e">
        <f>NA()</f>
        <v>#N/A</v>
      </c>
      <c r="H17" s="92" t="e">
        <f>NA()</f>
        <v>#N/A</v>
      </c>
      <c r="I17" s="76"/>
      <c r="J17" s="69"/>
      <c r="K17" s="73" t="s">
        <v>3</v>
      </c>
      <c r="L17" s="65" t="s">
        <v>431</v>
      </c>
      <c r="M17" s="65" t="s">
        <v>431</v>
      </c>
      <c r="N17" s="65" t="s">
        <v>431</v>
      </c>
      <c r="O17" s="65" t="s">
        <v>431</v>
      </c>
      <c r="P17" s="71" t="s">
        <v>432</v>
      </c>
      <c r="Q17" s="71" t="s">
        <v>432</v>
      </c>
    </row>
    <row r="18" spans="1:17" x14ac:dyDescent="0.2">
      <c r="A18" s="59" t="s">
        <v>16</v>
      </c>
      <c r="B18" s="72" t="e">
        <f>NA()</f>
        <v>#N/A</v>
      </c>
      <c r="C18" s="72">
        <f>-1.58815479723055*-1</f>
        <v>1.5881547972305501</v>
      </c>
      <c r="D18" s="72" t="e">
        <f>NA()</f>
        <v>#N/A</v>
      </c>
      <c r="E18" s="59">
        <v>1</v>
      </c>
      <c r="F18" s="90" t="e">
        <f>NA()</f>
        <v>#N/A</v>
      </c>
      <c r="G18" s="91" t="e">
        <f>NA()</f>
        <v>#N/A</v>
      </c>
      <c r="H18" s="92" t="e">
        <f>NA()</f>
        <v>#N/A</v>
      </c>
      <c r="I18" s="76"/>
      <c r="J18" s="69"/>
      <c r="K18" s="73" t="s">
        <v>3</v>
      </c>
      <c r="L18" s="65" t="s">
        <v>431</v>
      </c>
      <c r="M18" s="65" t="s">
        <v>431</v>
      </c>
      <c r="N18" s="65" t="s">
        <v>431</v>
      </c>
      <c r="O18" s="65" t="s">
        <v>431</v>
      </c>
      <c r="P18" s="71" t="s">
        <v>432</v>
      </c>
    </row>
    <row r="19" spans="1:17" x14ac:dyDescent="0.2">
      <c r="A19" s="59" t="s">
        <v>17</v>
      </c>
      <c r="B19" s="72">
        <f>-1.10040983606557*(-C19/-1.34003605835548)*-1</f>
        <v>1.3437700153050112</v>
      </c>
      <c r="C19" s="72">
        <f>-1.6363905661584*-1</f>
        <v>1.6363905661584</v>
      </c>
      <c r="D19" s="72">
        <f>-1.50583262711864*(-C19/-1.34003605835548)*-1</f>
        <v>1.8388537307380324</v>
      </c>
      <c r="E19" s="59">
        <v>5</v>
      </c>
      <c r="F19" s="67">
        <v>480</v>
      </c>
      <c r="G19" s="65">
        <f>AVERAGE(F19,H19)</f>
        <v>515</v>
      </c>
      <c r="H19" s="63">
        <v>550</v>
      </c>
      <c r="I19" s="76"/>
      <c r="J19" s="69"/>
      <c r="K19" s="73" t="s">
        <v>3</v>
      </c>
      <c r="L19" s="70" t="s">
        <v>32</v>
      </c>
      <c r="M19" s="65" t="s">
        <v>431</v>
      </c>
      <c r="N19" s="65" t="s">
        <v>431</v>
      </c>
      <c r="O19" s="65" t="s">
        <v>431</v>
      </c>
      <c r="P19" s="71" t="s">
        <v>432</v>
      </c>
    </row>
    <row r="20" spans="1:17" x14ac:dyDescent="0.2">
      <c r="A20" s="59" t="s">
        <v>18</v>
      </c>
      <c r="B20" s="72" t="e">
        <f>NA()</f>
        <v>#N/A</v>
      </c>
      <c r="C20" s="72">
        <f>-1.50019967855463*-1</f>
        <v>1.5001996785546301</v>
      </c>
      <c r="D20" s="72" t="e">
        <f>NA()</f>
        <v>#N/A</v>
      </c>
      <c r="E20" s="59">
        <v>13</v>
      </c>
      <c r="F20" s="67">
        <v>450</v>
      </c>
      <c r="G20" s="65">
        <f>AVERAGE(F20,H20)</f>
        <v>625</v>
      </c>
      <c r="H20" s="63">
        <v>800</v>
      </c>
      <c r="I20" s="76"/>
      <c r="J20" s="69"/>
      <c r="K20" s="73" t="s">
        <v>3</v>
      </c>
      <c r="L20" s="70" t="s">
        <v>32</v>
      </c>
      <c r="M20" s="65" t="s">
        <v>431</v>
      </c>
      <c r="N20" s="65" t="s">
        <v>431</v>
      </c>
      <c r="O20" s="65" t="s">
        <v>431</v>
      </c>
      <c r="P20" s="71" t="s">
        <v>432</v>
      </c>
    </row>
    <row r="21" spans="1:17" x14ac:dyDescent="0.2">
      <c r="A21" s="59" t="s">
        <v>20</v>
      </c>
      <c r="B21" s="72">
        <f>-0.71838*(-C21/-1.05885689424708)*-1</f>
        <v>1.01926682642668</v>
      </c>
      <c r="C21" s="72">
        <f>-1.50234932241882*-1</f>
        <v>1.50234932241882</v>
      </c>
      <c r="D21" s="72">
        <f>-1.37826666666667*(-C21/-1.05885689424708)*-1</f>
        <v>1.9555409272293434</v>
      </c>
      <c r="E21" s="59">
        <v>16</v>
      </c>
      <c r="F21" s="67">
        <v>600</v>
      </c>
      <c r="G21" s="65">
        <f>AVERAGE(F21,H21)</f>
        <v>665</v>
      </c>
      <c r="H21" s="63">
        <v>730</v>
      </c>
      <c r="I21" s="76"/>
      <c r="J21" s="69"/>
      <c r="K21" s="73" t="s">
        <v>3</v>
      </c>
      <c r="L21" s="70" t="s">
        <v>32</v>
      </c>
      <c r="M21" s="65" t="s">
        <v>431</v>
      </c>
      <c r="N21" s="65" t="s">
        <v>431</v>
      </c>
      <c r="O21" s="65" t="s">
        <v>431</v>
      </c>
      <c r="P21" s="71" t="s">
        <v>432</v>
      </c>
    </row>
    <row r="22" spans="1:17" x14ac:dyDescent="0.2">
      <c r="A22" s="59" t="s">
        <v>393</v>
      </c>
      <c r="B22" s="97"/>
      <c r="C22" s="97"/>
      <c r="D22" s="97"/>
      <c r="E22" s="69"/>
      <c r="F22" s="93"/>
      <c r="G22" s="76"/>
      <c r="H22" s="95"/>
      <c r="I22" s="76"/>
      <c r="J22" s="69"/>
      <c r="K22" s="98"/>
      <c r="L22" s="76"/>
      <c r="M22" s="76"/>
      <c r="N22" s="76"/>
      <c r="O22" s="76"/>
      <c r="P22" s="71" t="s">
        <v>432</v>
      </c>
    </row>
    <row r="23" spans="1:17" x14ac:dyDescent="0.2">
      <c r="A23" s="59" t="s">
        <v>21</v>
      </c>
      <c r="B23" s="72">
        <f>-0.579619369369369*(-C23/-0.813016808459653)*-1</f>
        <v>1.1579570273630935</v>
      </c>
      <c r="C23" s="72">
        <f>-1.62423579416344*-1</f>
        <v>1.62423579416344</v>
      </c>
      <c r="D23" s="72">
        <f>-1.28008695652174*(-C23/-0.813016808459653)*-1</f>
        <v>2.5573432588233267</v>
      </c>
      <c r="E23" s="59">
        <v>8</v>
      </c>
      <c r="F23" s="67" t="e">
        <f>NA()</f>
        <v>#N/A</v>
      </c>
      <c r="G23" s="78">
        <f>AVERAGE(754.54,565)</f>
        <v>659.77</v>
      </c>
      <c r="H23" s="63" t="e">
        <f>NA()</f>
        <v>#N/A</v>
      </c>
      <c r="I23" s="76"/>
      <c r="J23" s="69"/>
      <c r="K23" s="73" t="s">
        <v>3</v>
      </c>
      <c r="L23" s="70" t="s">
        <v>257</v>
      </c>
      <c r="M23" s="70" t="s">
        <v>258</v>
      </c>
      <c r="N23" s="65" t="s">
        <v>431</v>
      </c>
      <c r="O23" s="65" t="s">
        <v>431</v>
      </c>
      <c r="P23" s="71" t="s">
        <v>432</v>
      </c>
    </row>
    <row r="24" spans="1:17" x14ac:dyDescent="0.2">
      <c r="A24" s="59" t="s">
        <v>22</v>
      </c>
      <c r="B24" s="72">
        <f>-0.551470588235294*(-C24/-0.814998664671918)*-1</f>
        <v>1.0009475580944498</v>
      </c>
      <c r="C24" s="72">
        <f>-1.47926460749985*-1</f>
        <v>1.4792646074998499</v>
      </c>
      <c r="D24" s="72">
        <f>-1.07180536912752*(-C24/-0.814998664671918)*-1</f>
        <v>1.9453820201250238</v>
      </c>
      <c r="E24" s="59">
        <v>13</v>
      </c>
      <c r="F24" s="67">
        <v>520</v>
      </c>
      <c r="G24" s="65">
        <f>AVERAGE(F24,H24)</f>
        <v>610</v>
      </c>
      <c r="H24" s="63">
        <v>700</v>
      </c>
      <c r="I24" s="76"/>
      <c r="J24" s="69"/>
      <c r="K24" s="73" t="s">
        <v>3</v>
      </c>
      <c r="L24" s="70" t="s">
        <v>32</v>
      </c>
      <c r="M24" s="65" t="s">
        <v>431</v>
      </c>
      <c r="N24" s="65" t="s">
        <v>431</v>
      </c>
      <c r="O24" s="65" t="s">
        <v>431</v>
      </c>
      <c r="P24" s="71" t="s">
        <v>432</v>
      </c>
    </row>
    <row r="25" spans="1:17" ht="15" customHeight="1" x14ac:dyDescent="0.2">
      <c r="A25" s="59" t="s">
        <v>23</v>
      </c>
      <c r="B25" s="72">
        <f>-0.577142857142857*(-C25/-0.982479076381649)*-1</f>
        <v>0.94843343873218833</v>
      </c>
      <c r="C25" s="72">
        <f>-1.61453268867958*-1</f>
        <v>1.6145326886795801</v>
      </c>
      <c r="D25" s="72">
        <f>-1.47658581328985*(-C25/-0.982479076381649)*-1</f>
        <v>2.4265107731117834</v>
      </c>
      <c r="E25" s="59">
        <v>11</v>
      </c>
      <c r="F25" s="67">
        <v>400</v>
      </c>
      <c r="G25" s="65">
        <f>AVERAGE(F25,H25)</f>
        <v>625</v>
      </c>
      <c r="H25" s="63">
        <v>850</v>
      </c>
      <c r="I25" s="76"/>
      <c r="J25" s="69"/>
      <c r="K25" s="73" t="s">
        <v>3</v>
      </c>
      <c r="L25" s="70" t="s">
        <v>32</v>
      </c>
      <c r="M25" s="65" t="s">
        <v>431</v>
      </c>
      <c r="N25" s="65" t="s">
        <v>431</v>
      </c>
      <c r="O25" s="65" t="s">
        <v>431</v>
      </c>
      <c r="P25" s="71" t="s">
        <v>432</v>
      </c>
    </row>
    <row r="26" spans="1:17" x14ac:dyDescent="0.2">
      <c r="A26" s="79" t="s">
        <v>433</v>
      </c>
      <c r="B26" s="72" t="e">
        <f>NA()</f>
        <v>#N/A</v>
      </c>
      <c r="C26" s="72">
        <f>0.5/$R$2*$R$3</f>
        <v>1.8320497876946136</v>
      </c>
      <c r="D26" s="72" t="e">
        <f>NA()</f>
        <v>#N/A</v>
      </c>
      <c r="E26" s="60" t="e">
        <f>NA()</f>
        <v>#N/A</v>
      </c>
      <c r="F26" s="90" t="e">
        <f>NA()</f>
        <v>#N/A</v>
      </c>
      <c r="G26" s="91" t="e">
        <f>NA()</f>
        <v>#N/A</v>
      </c>
      <c r="H26" s="92" t="e">
        <f>NA()</f>
        <v>#N/A</v>
      </c>
      <c r="I26" s="76"/>
      <c r="J26" s="69"/>
      <c r="K26" s="73" t="s">
        <v>434</v>
      </c>
      <c r="L26" s="65" t="s">
        <v>431</v>
      </c>
      <c r="M26" s="65" t="s">
        <v>431</v>
      </c>
      <c r="N26" s="65" t="s">
        <v>431</v>
      </c>
      <c r="O26" s="65" t="s">
        <v>431</v>
      </c>
      <c r="P26" s="71" t="s">
        <v>432</v>
      </c>
    </row>
    <row r="27" spans="1:17" x14ac:dyDescent="0.2">
      <c r="A27" s="79" t="s">
        <v>24</v>
      </c>
      <c r="B27" s="72">
        <f>-0.406*(-C27/-1.29186068188817)*-1</f>
        <v>0.48852697165818665</v>
      </c>
      <c r="C27" s="72">
        <f>-1.55445513972194*-1</f>
        <v>1.5544551397219399</v>
      </c>
      <c r="D27" s="72">
        <f>-1.54643195266272*(-C27/-1.29186068188817)*-1</f>
        <v>1.8607727061817112</v>
      </c>
      <c r="E27" s="59">
        <v>43</v>
      </c>
      <c r="F27" s="67">
        <v>230</v>
      </c>
      <c r="G27" s="65">
        <f>AVERAGE(F27,H27)</f>
        <v>315</v>
      </c>
      <c r="H27" s="63">
        <v>400</v>
      </c>
      <c r="I27" s="76"/>
      <c r="J27" s="69"/>
      <c r="K27" s="73" t="s">
        <v>3</v>
      </c>
      <c r="L27" s="70" t="s">
        <v>32</v>
      </c>
      <c r="M27" s="65" t="s">
        <v>431</v>
      </c>
      <c r="N27" s="65" t="s">
        <v>431</v>
      </c>
      <c r="O27" s="65" t="s">
        <v>431</v>
      </c>
      <c r="P27" s="71" t="s">
        <v>432</v>
      </c>
    </row>
    <row r="28" spans="1:17" x14ac:dyDescent="0.2">
      <c r="A28" s="79" t="s">
        <v>444</v>
      </c>
      <c r="B28" s="72" t="e">
        <f>NA()</f>
        <v>#N/A</v>
      </c>
      <c r="C28" s="72">
        <v>0.55000000000000004</v>
      </c>
      <c r="D28" s="72" t="e">
        <f>NA()</f>
        <v>#N/A</v>
      </c>
      <c r="E28" s="60" t="e">
        <f>NA()</f>
        <v>#N/A</v>
      </c>
      <c r="F28" s="65" t="e">
        <f>NA()</f>
        <v>#N/A</v>
      </c>
      <c r="G28" s="65">
        <v>1080</v>
      </c>
      <c r="H28" s="63" t="e">
        <f>NA()</f>
        <v>#N/A</v>
      </c>
      <c r="I28" s="76"/>
      <c r="J28" s="69"/>
      <c r="K28" s="70" t="s">
        <v>449</v>
      </c>
      <c r="L28" s="70" t="s">
        <v>443</v>
      </c>
      <c r="M28" s="65" t="s">
        <v>431</v>
      </c>
      <c r="N28" s="65" t="s">
        <v>431</v>
      </c>
      <c r="O28" s="65" t="s">
        <v>431</v>
      </c>
      <c r="P28" s="71" t="s">
        <v>432</v>
      </c>
      <c r="Q28" s="71" t="s">
        <v>432</v>
      </c>
    </row>
    <row r="29" spans="1:17" ht="18.75" customHeight="1" x14ac:dyDescent="0.2">
      <c r="A29" s="79" t="s">
        <v>441</v>
      </c>
      <c r="B29" s="72">
        <f>0.4/$R$2*$R$3</f>
        <v>1.465639830155691</v>
      </c>
      <c r="C29" s="72">
        <f>AVERAGE(Tabel1[[#This Row],[Min. CO2-storage (kgCO2/kg)]],Tabel1[[#This Row],[Max. CO2-storage (kgCO2/kg)]])</f>
        <v>1.4828199150778456</v>
      </c>
      <c r="D29" s="72">
        <f>15/10</f>
        <v>1.5</v>
      </c>
      <c r="E29" s="60" t="e">
        <f>NA()</f>
        <v>#N/A</v>
      </c>
      <c r="F29" s="67">
        <v>90</v>
      </c>
      <c r="G29" s="65">
        <f>AVERAGE(Tabel1[[#This Row],[Min. Density (kg/m3)]],Tabel1[[#This Row],[Max. Density (kg/m3)]])</f>
        <v>105</v>
      </c>
      <c r="H29" s="64">
        <v>120</v>
      </c>
      <c r="I29" s="76"/>
      <c r="J29" s="69"/>
      <c r="K29" s="73" t="s">
        <v>77</v>
      </c>
      <c r="L29" s="70" t="s">
        <v>78</v>
      </c>
      <c r="M29" s="70" t="s">
        <v>430</v>
      </c>
      <c r="N29" s="65" t="s">
        <v>431</v>
      </c>
      <c r="O29" s="65" t="s">
        <v>431</v>
      </c>
      <c r="P29" s="71" t="s">
        <v>432</v>
      </c>
    </row>
    <row r="30" spans="1:17" x14ac:dyDescent="0.2">
      <c r="A30" s="79" t="s">
        <v>446</v>
      </c>
      <c r="B30" s="72">
        <f>0.3555/$R$2*$R$3</f>
        <v>1.3025873990508701</v>
      </c>
      <c r="C30" s="72">
        <f>0.3765/$R$2*$R$3</f>
        <v>1.3795334901340441</v>
      </c>
      <c r="D30" s="72">
        <f>0.4068/$R$2*$R$3</f>
        <v>1.4905557072683375</v>
      </c>
      <c r="E30" s="59" t="e">
        <f>NA()</f>
        <v>#N/A</v>
      </c>
      <c r="F30" s="67" t="e">
        <f>NA()</f>
        <v>#N/A</v>
      </c>
      <c r="G30" s="65">
        <f>39/(1*0.3)</f>
        <v>130</v>
      </c>
      <c r="H30" s="63" t="e">
        <f>NA()</f>
        <v>#N/A</v>
      </c>
      <c r="I30" s="76"/>
      <c r="J30" s="69"/>
      <c r="K30" s="70" t="s">
        <v>429</v>
      </c>
      <c r="L30" s="70" t="s">
        <v>430</v>
      </c>
      <c r="M30" s="65" t="s">
        <v>431</v>
      </c>
      <c r="N30" s="65" t="s">
        <v>431</v>
      </c>
      <c r="O30" s="65" t="s">
        <v>431</v>
      </c>
      <c r="P30" s="71" t="s">
        <v>432</v>
      </c>
    </row>
    <row r="31" spans="1:17" x14ac:dyDescent="0.2">
      <c r="A31" s="79" t="s">
        <v>246</v>
      </c>
      <c r="B31" s="72" t="e">
        <f>NA()</f>
        <v>#N/A</v>
      </c>
      <c r="C31" s="72">
        <f>744/Tabel1[[#This Row],[Av. of mid. range Density (kg/m3)]]</f>
        <v>1.7302325581395348</v>
      </c>
      <c r="D31" s="72" t="e">
        <f>NA()</f>
        <v>#N/A</v>
      </c>
      <c r="E31" s="59" t="e">
        <f>NA()</f>
        <v>#N/A</v>
      </c>
      <c r="F31" s="67" t="e">
        <f>NA()</f>
        <v>#N/A</v>
      </c>
      <c r="G31" s="65">
        <v>430</v>
      </c>
      <c r="H31" s="63" t="e">
        <f>NA()</f>
        <v>#N/A</v>
      </c>
      <c r="I31" s="76"/>
      <c r="J31" s="69"/>
      <c r="K31" s="70" t="s">
        <v>248</v>
      </c>
      <c r="L31" s="65" t="s">
        <v>431</v>
      </c>
      <c r="M31" s="65" t="s">
        <v>431</v>
      </c>
      <c r="N31" s="65" t="s">
        <v>431</v>
      </c>
      <c r="O31" s="65" t="s">
        <v>431</v>
      </c>
      <c r="P31" s="71" t="s">
        <v>432</v>
      </c>
      <c r="Q31" s="71" t="s">
        <v>432</v>
      </c>
    </row>
    <row r="32" spans="1:17" x14ac:dyDescent="0.2">
      <c r="A32" s="59" t="s">
        <v>25</v>
      </c>
      <c r="B32" s="72">
        <f>-1.00558085217219*(-C32/-1.04993831662071)*-1</f>
        <v>1.4684645102748397</v>
      </c>
      <c r="C32" s="72">
        <f>-1.53324036809644*-1</f>
        <v>1.5332403680964399</v>
      </c>
      <c r="D32" s="72">
        <f>-1.16663272104209*(-C32/-1.04993831662071)*-1</f>
        <v>1.7036509234190595</v>
      </c>
      <c r="E32" s="59">
        <v>37</v>
      </c>
      <c r="F32" s="90" t="e">
        <f>NA()</f>
        <v>#N/A</v>
      </c>
      <c r="G32" s="91" t="e">
        <f>NA()</f>
        <v>#N/A</v>
      </c>
      <c r="H32" s="92" t="e">
        <f>NA()</f>
        <v>#N/A</v>
      </c>
      <c r="I32" s="76"/>
      <c r="J32" s="69"/>
      <c r="K32" s="73" t="s">
        <v>3</v>
      </c>
      <c r="L32" s="65" t="s">
        <v>431</v>
      </c>
      <c r="M32" s="65" t="s">
        <v>431</v>
      </c>
      <c r="N32" s="65" t="s">
        <v>431</v>
      </c>
      <c r="O32" s="65" t="s">
        <v>431</v>
      </c>
      <c r="P32" s="71" t="s">
        <v>432</v>
      </c>
    </row>
    <row r="33" spans="1:16" x14ac:dyDescent="0.2">
      <c r="A33" s="59" t="s">
        <v>26</v>
      </c>
      <c r="B33" s="72" t="e">
        <f>NA()</f>
        <v>#N/A</v>
      </c>
      <c r="C33" s="72">
        <f>-0.86*-1</f>
        <v>0.86</v>
      </c>
      <c r="D33" s="72" t="e">
        <f>NA()</f>
        <v>#N/A</v>
      </c>
      <c r="E33" s="59">
        <v>1</v>
      </c>
      <c r="F33" s="90" t="e">
        <f>NA()</f>
        <v>#N/A</v>
      </c>
      <c r="G33" s="91" t="e">
        <f>NA()</f>
        <v>#N/A</v>
      </c>
      <c r="H33" s="92" t="e">
        <f>NA()</f>
        <v>#N/A</v>
      </c>
      <c r="I33" s="76"/>
      <c r="J33" s="69"/>
      <c r="K33" s="73" t="s">
        <v>3</v>
      </c>
      <c r="L33" s="65" t="s">
        <v>431</v>
      </c>
      <c r="M33" s="65" t="s">
        <v>431</v>
      </c>
      <c r="N33" s="65" t="s">
        <v>431</v>
      </c>
      <c r="O33" s="65" t="s">
        <v>431</v>
      </c>
      <c r="P33" s="71" t="s">
        <v>432</v>
      </c>
    </row>
    <row r="34" spans="1:16" x14ac:dyDescent="0.2">
      <c r="E34" s="3"/>
      <c r="H34" s="65"/>
    </row>
    <row r="35" spans="1:16" x14ac:dyDescent="0.2">
      <c r="G35" s="1"/>
    </row>
    <row r="40" spans="1:16" x14ac:dyDescent="0.2">
      <c r="A40" t="s">
        <v>275</v>
      </c>
    </row>
  </sheetData>
  <phoneticPr fontId="11" type="noConversion"/>
  <hyperlinks>
    <hyperlink ref="Q14" r:id="rId1" display="https://www.groendak.nl/" xr:uid="{0775A519-BADE-4A5B-86B5-809ED7A0ACA4}"/>
    <hyperlink ref="L21" r:id="rId2" display="https://www.houtdatabase.nl/" xr:uid="{F52F653B-0709-4EA7-88C7-21460DC6C057}"/>
    <hyperlink ref="L25" r:id="rId3" display="https://www.houtdatabase.nl/" xr:uid="{58A11E8B-5BAE-4813-946E-6E5EE37035E0}"/>
    <hyperlink ref="L6" r:id="rId4" display="https://www.houtdatabase.nl/" xr:uid="{6AB4EB99-011A-4987-B9B1-1BDA493F6B2A}"/>
    <hyperlink ref="L13" r:id="rId5" display="https://www.houtdatabase.nl/" xr:uid="{4BB6A454-C945-482E-806A-A202CFF3AF5E}"/>
    <hyperlink ref="L19" r:id="rId6" display="https://www.houtdatabase.nl/" xr:uid="{07CEB81B-F4BB-4ACD-BC9D-078800457684}"/>
    <hyperlink ref="L20" r:id="rId7" display="https://www.houtdatabase.nl/" xr:uid="{B5489018-C6AB-4BBF-9D2B-25B744D22236}"/>
    <hyperlink ref="L24" r:id="rId8" display="https://www.houtdatabase.nl/" xr:uid="{01E914CB-459C-4ED1-91BF-38A944CF1B3D}"/>
    <hyperlink ref="L27" r:id="rId9" display="https://www.houtdatabase.nl/" xr:uid="{9E7730C9-A1BF-45F8-BF45-52684C72B2DA}"/>
    <hyperlink ref="K29" r:id="rId10" xr:uid="{8630DD7F-4696-4C60-9843-F41CD126EE94}"/>
    <hyperlink ref="L29" r:id="rId11" xr:uid="{73CC489D-4C50-4647-92C5-566FCE166F44}"/>
    <hyperlink ref="K8" r:id="rId12" xr:uid="{5CACECCC-3FF4-4363-863D-978B176F2735}"/>
    <hyperlink ref="L12" r:id="rId13" display="https://www.awc.org/pdf/greenbuilding/epd/AWC_EPD_NorthAmericanGluedLaminatedTimber_20200605.pdf" xr:uid="{5B2F955F-BC29-4D75-973B-345A43C91CAF}"/>
    <hyperlink ref="M12" r:id="rId14" display="https://portal.environdec.com/api/api/v1/EPDLibrary/Files/2263eda0-231e-412c-91e4-0a1894bf1a5d/Data" xr:uid="{993F0FF7-3D83-452E-90F6-A49BD8F32C54}"/>
    <hyperlink ref="N12" r:id="rId15" display="https://www.astm.org/CERTIFICATION/DOCS/479.EPD_FOR_Structurlam_Glulam_20200113.pdf" xr:uid="{A70715A3-74A4-417E-AC1E-8440B645558F}"/>
    <hyperlink ref="O12" r:id="rId16" display="https://www.nordic.ca/data/files/datasheet/file/EPD_Nordic_Lam.pdf" xr:uid="{BBCC413F-E2A8-4BB2-A42C-26D03BDF9F78}"/>
    <hyperlink ref="K31" r:id="rId17" display="https://portal.environdec.com/api/api/v1/EPDLibrary/Files/b7b4e26b-41b8-4b7f-802c-08d8e2c71993/Data" xr:uid="{273B224C-03AF-4A1D-BD9D-7A82BBBF32EF}"/>
    <hyperlink ref="K3" r:id="rId18" display="https://www.accoya.com/app/uploads/2020/05/Environmental-Product-Declaration-%E2%80%93-cladding-decking-planed-timber-%E2%80%93-EN-15804.pdf" xr:uid="{D9477BC9-AD32-4E30-B14B-2905AD8FA098}"/>
    <hyperlink ref="K4" r:id="rId19" display="https://www.accoya.com/app/uploads/2020/05/Environmental-Product-Declaration-%E2%80%93-cladding-decking-planed-timber-%E2%80%93-EN-15804.pdf" xr:uid="{B10DADC5-2D20-4DFE-939A-E061C446B63E}"/>
    <hyperlink ref="K2" r:id="rId20" display="https://www.accoya.com/app/uploads/2020/05/Environmental-Product-Declaration-%E2%80%93-cladding-decking-planed-timber-%E2%80%93-EN-15804.pdf" xr:uid="{E4BC79CD-3F04-4578-B370-12755F24DC57}"/>
    <hyperlink ref="L23" r:id="rId21" xr:uid="{1107316B-4E00-4554-9695-1C396C8A7ABB}"/>
    <hyperlink ref="M23" r:id="rId22" display="https://parquet.com/technical-data-sheet/" xr:uid="{36F37E76-B6FE-41CC-8C7D-8E3FFEAD1D46}"/>
    <hyperlink ref="K10" r:id="rId23" xr:uid="{6A84F25A-70ED-4D25-8A47-7282A6E77B79}"/>
    <hyperlink ref="K26" r:id="rId24" xr:uid="{04D7C3A2-EF35-444E-857E-D18FE760AECC}"/>
    <hyperlink ref="K9" r:id="rId25" xr:uid="{E304A99A-4A57-45BC-BAA5-D0EE423DF4D9}"/>
    <hyperlink ref="K5" r:id="rId26" xr:uid="{A108F723-701E-459A-BC75-018C39762221}"/>
    <hyperlink ref="L5" r:id="rId27" display="https://onlinelibrary.wiley.com/doi/abs/10.1111/plb.12435" xr:uid="{BAA536D4-8821-424A-A181-7727A382F06B}"/>
    <hyperlink ref="K28" r:id="rId28" xr:uid="{2C2ED908-8138-462C-B1D3-CA91514ABD23}"/>
    <hyperlink ref="L28" r:id="rId29" display="https://onlinelibrary.wiley.com/doi/abs/10.1111/plb.12435" xr:uid="{9B824C61-43CF-4B79-BCD6-33742D370CE7}"/>
    <hyperlink ref="M5" r:id="rId30" xr:uid="{80951E7B-CFC8-46DA-9B0B-2D11711C5090}"/>
    <hyperlink ref="M29" r:id="rId31" xr:uid="{9E547056-A4C4-4CE8-8DA9-BA0C825A24CE}"/>
    <hyperlink ref="K16" r:id="rId32" xr:uid="{C6CE35E6-9D4B-4A2A-A8A3-71B49CC95A02}"/>
    <hyperlink ref="L16" r:id="rId33" display="https://www.sciencedirect.com/science/article/abs/pii/S0921344912001620" xr:uid="{9698B399-9818-4D79-84D5-185D4D2935CD}"/>
    <hyperlink ref="K30" r:id="rId34" xr:uid="{7C416B8C-8C59-48BA-AA82-BD00FA84C441}"/>
    <hyperlink ref="L30" r:id="rId35" xr:uid="{7FFF9DA2-F0B1-4B20-BA00-811FE70881BE}"/>
    <hyperlink ref="K15" r:id="rId36" xr:uid="{DDF43C07-3139-4226-9D6E-2BF09709CD37}"/>
    <hyperlink ref="L15" r:id="rId37" xr:uid="{F605CFF1-F73D-497F-AF39-DE255B700261}"/>
    <hyperlink ref="M15" r:id="rId38" xr:uid="{8C593FBA-49CB-4EB4-B0CA-10A3C7155BCC}"/>
    <hyperlink ref="N15" r:id="rId39" xr:uid="{F46547F1-65F8-4394-9E26-7428BFBCCB59}"/>
  </hyperlinks>
  <pageMargins left="0.7" right="0.7" top="0.75" bottom="0.75" header="0.3" footer="0.3"/>
  <pageSetup paperSize="9" orientation="portrait" r:id="rId40"/>
  <ignoredErrors>
    <ignoredError sqref="C2:C16 B19:B31 D19:D32 C17:C33 G7:G30" formula="1"/>
  </ignoredErrors>
  <legacyDrawing r:id="rId41"/>
  <tableParts count="1">
    <tablePart r:id="rId4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D39C5-CE9B-4ADB-AFF9-745318C41204}">
  <dimension ref="A1:E44"/>
  <sheetViews>
    <sheetView topLeftCell="B1" workbookViewId="0">
      <selection activeCell="I16" sqref="I16"/>
    </sheetView>
  </sheetViews>
  <sheetFormatPr baseColWidth="10" defaultColWidth="8.83203125" defaultRowHeight="15" x14ac:dyDescent="0.2"/>
  <cols>
    <col min="1" max="1" width="43.83203125" bestFit="1" customWidth="1"/>
    <col min="2" max="2" width="11" style="1" bestFit="1" customWidth="1"/>
    <col min="4" max="4" width="21.1640625" bestFit="1" customWidth="1"/>
  </cols>
  <sheetData>
    <row r="1" spans="1:5" ht="18" customHeight="1" x14ac:dyDescent="0.25">
      <c r="A1" t="s">
        <v>8</v>
      </c>
      <c r="B1" s="1" t="s">
        <v>87</v>
      </c>
      <c r="D1" t="s">
        <v>398</v>
      </c>
      <c r="E1" t="s">
        <v>399</v>
      </c>
    </row>
    <row r="2" spans="1:5" ht="18" customHeight="1" x14ac:dyDescent="0.2">
      <c r="A2" t="s">
        <v>255</v>
      </c>
      <c r="D2" s="14" t="s">
        <v>400</v>
      </c>
    </row>
    <row r="3" spans="1:5" ht="18" customHeight="1" x14ac:dyDescent="0.2">
      <c r="A3" t="s">
        <v>253</v>
      </c>
      <c r="D3" s="56" t="s">
        <v>401</v>
      </c>
      <c r="E3">
        <v>1.3260000000000001</v>
      </c>
    </row>
    <row r="4" spans="1:5" ht="18" customHeight="1" x14ac:dyDescent="0.2">
      <c r="A4" t="s">
        <v>254</v>
      </c>
      <c r="D4" s="56" t="s">
        <v>402</v>
      </c>
    </row>
    <row r="5" spans="1:5" x14ac:dyDescent="0.2">
      <c r="A5" t="s">
        <v>7</v>
      </c>
      <c r="B5" s="1">
        <v>0.40016373059707649</v>
      </c>
      <c r="D5" s="55" t="s">
        <v>403</v>
      </c>
      <c r="E5">
        <v>0.36299999999999999</v>
      </c>
    </row>
    <row r="6" spans="1:5" x14ac:dyDescent="0.2">
      <c r="A6" t="s">
        <v>10</v>
      </c>
      <c r="B6" s="1">
        <v>0.45245901639344255</v>
      </c>
      <c r="D6" s="55" t="s">
        <v>404</v>
      </c>
      <c r="E6">
        <v>0.25600000000000001</v>
      </c>
    </row>
    <row r="7" spans="1:5" x14ac:dyDescent="0.2">
      <c r="A7" t="s">
        <v>0</v>
      </c>
      <c r="B7" s="1">
        <v>0.43734447866547282</v>
      </c>
      <c r="D7" s="55" t="s">
        <v>405</v>
      </c>
      <c r="E7">
        <v>0.105</v>
      </c>
    </row>
    <row r="8" spans="1:5" x14ac:dyDescent="0.2">
      <c r="A8" t="s">
        <v>82</v>
      </c>
      <c r="D8" s="55" t="s">
        <v>424</v>
      </c>
      <c r="E8">
        <v>8.7999999999999995E-2</v>
      </c>
    </row>
    <row r="9" spans="1:5" x14ac:dyDescent="0.2">
      <c r="A9" t="s">
        <v>11</v>
      </c>
      <c r="B9" s="1">
        <v>0.71530650204376089</v>
      </c>
      <c r="D9" s="55" t="s">
        <v>406</v>
      </c>
      <c r="E9">
        <v>8.5000000000000006E-2</v>
      </c>
    </row>
    <row r="10" spans="1:5" x14ac:dyDescent="0.2">
      <c r="A10" t="s">
        <v>12</v>
      </c>
      <c r="B10" s="1">
        <v>0.51212704855999303</v>
      </c>
      <c r="D10" s="57" t="s">
        <v>407</v>
      </c>
    </row>
    <row r="11" spans="1:5" x14ac:dyDescent="0.2">
      <c r="A11" s="19" t="s">
        <v>268</v>
      </c>
      <c r="D11" s="55" t="s">
        <v>408</v>
      </c>
      <c r="E11">
        <v>1.7000000000000001E-2</v>
      </c>
    </row>
    <row r="12" spans="1:5" x14ac:dyDescent="0.2">
      <c r="A12" t="s">
        <v>13</v>
      </c>
      <c r="B12" s="1">
        <v>0.81524753573579289</v>
      </c>
      <c r="D12" s="55" t="s">
        <v>409</v>
      </c>
      <c r="E12">
        <v>8.9999999999999993E-3</v>
      </c>
    </row>
    <row r="13" spans="1:5" x14ac:dyDescent="0.2">
      <c r="A13" t="s">
        <v>14</v>
      </c>
      <c r="B13" s="1">
        <v>0.30556054385802639</v>
      </c>
      <c r="D13" s="55" t="s">
        <v>410</v>
      </c>
      <c r="E13">
        <v>1.0999999999999999E-2</v>
      </c>
    </row>
    <row r="14" spans="1:5" x14ac:dyDescent="0.2">
      <c r="A14" t="s">
        <v>28</v>
      </c>
      <c r="D14" s="57" t="s">
        <v>411</v>
      </c>
    </row>
    <row r="15" spans="1:5" x14ac:dyDescent="0.2">
      <c r="A15" t="s">
        <v>15</v>
      </c>
      <c r="B15" s="1">
        <v>0.69776337020332491</v>
      </c>
      <c r="D15" s="55" t="s">
        <v>412</v>
      </c>
      <c r="E15">
        <v>4.1000000000000002E-2</v>
      </c>
    </row>
    <row r="16" spans="1:5" x14ac:dyDescent="0.2">
      <c r="A16" t="s">
        <v>16</v>
      </c>
      <c r="B16" s="1">
        <v>0.50407916618216175</v>
      </c>
      <c r="D16" s="55" t="s">
        <v>413</v>
      </c>
      <c r="E16">
        <v>3.1E-2</v>
      </c>
    </row>
    <row r="17" spans="1:5" x14ac:dyDescent="0.2">
      <c r="A17" t="s">
        <v>17</v>
      </c>
      <c r="B17" s="1">
        <v>0.38980151409700864</v>
      </c>
      <c r="D17" s="55" t="s">
        <v>414</v>
      </c>
      <c r="E17">
        <v>2.1000000000000001E-2</v>
      </c>
    </row>
    <row r="18" spans="1:5" x14ac:dyDescent="0.2">
      <c r="A18" t="s">
        <v>18</v>
      </c>
      <c r="B18" s="1">
        <v>0.8564543216570808</v>
      </c>
      <c r="D18" s="55" t="s">
        <v>415</v>
      </c>
      <c r="E18">
        <v>3.1E-2</v>
      </c>
    </row>
    <row r="19" spans="1:5" x14ac:dyDescent="0.2">
      <c r="A19" t="s">
        <v>19</v>
      </c>
      <c r="B19" s="1">
        <v>0.34517766497461932</v>
      </c>
      <c r="D19" s="57" t="s">
        <v>416</v>
      </c>
    </row>
    <row r="20" spans="1:5" x14ac:dyDescent="0.2">
      <c r="A20" t="s">
        <v>20</v>
      </c>
      <c r="B20" s="1">
        <v>0.45506912144560557</v>
      </c>
      <c r="D20" s="55" t="s">
        <v>417</v>
      </c>
      <c r="E20">
        <v>2.1999999999999999E-2</v>
      </c>
    </row>
    <row r="21" spans="1:5" x14ac:dyDescent="0.2">
      <c r="A21" s="19" t="s">
        <v>393</v>
      </c>
      <c r="D21" s="55" t="s">
        <v>418</v>
      </c>
      <c r="E21">
        <v>7.0000000000000001E-3</v>
      </c>
    </row>
    <row r="22" spans="1:5" x14ac:dyDescent="0.2">
      <c r="A22" t="s">
        <v>21</v>
      </c>
      <c r="B22" s="1">
        <v>0.81121898570378692</v>
      </c>
      <c r="D22" s="55" t="s">
        <v>415</v>
      </c>
      <c r="E22">
        <v>7.0000000000000001E-3</v>
      </c>
    </row>
    <row r="23" spans="1:5" x14ac:dyDescent="0.2">
      <c r="A23" t="s">
        <v>22</v>
      </c>
      <c r="B23" s="1">
        <v>0.66426594282792939</v>
      </c>
      <c r="D23" s="56" t="s">
        <v>419</v>
      </c>
    </row>
    <row r="24" spans="1:5" ht="15" customHeight="1" x14ac:dyDescent="0.2">
      <c r="A24" t="s">
        <v>23</v>
      </c>
      <c r="B24" s="1">
        <v>0.68146428598875564</v>
      </c>
      <c r="D24" s="17" t="s">
        <v>420</v>
      </c>
      <c r="E24">
        <v>0.55000000000000004</v>
      </c>
    </row>
    <row r="25" spans="1:5" x14ac:dyDescent="0.2">
      <c r="A25" t="s">
        <v>24</v>
      </c>
      <c r="B25" s="1">
        <v>0.26259445783377083</v>
      </c>
      <c r="D25" s="14" t="s">
        <v>421</v>
      </c>
    </row>
    <row r="26" spans="1:5" x14ac:dyDescent="0.2">
      <c r="A26" t="s">
        <v>246</v>
      </c>
      <c r="D26" s="56" t="s">
        <v>402</v>
      </c>
    </row>
    <row r="27" spans="1:5" x14ac:dyDescent="0.2">
      <c r="A27" t="s">
        <v>25</v>
      </c>
      <c r="B27" s="1">
        <v>0.48330205147572497</v>
      </c>
      <c r="D27" s="17" t="s">
        <v>422</v>
      </c>
      <c r="E27">
        <v>0.21199999999999999</v>
      </c>
    </row>
    <row r="28" spans="1:5" x14ac:dyDescent="0.2">
      <c r="A28" t="s">
        <v>26</v>
      </c>
      <c r="B28" s="1">
        <v>1.44</v>
      </c>
      <c r="D28" s="17" t="s">
        <v>405</v>
      </c>
      <c r="E28">
        <v>0.122</v>
      </c>
    </row>
    <row r="29" spans="1:5" x14ac:dyDescent="0.2">
      <c r="D29" s="17" t="s">
        <v>423</v>
      </c>
      <c r="E29">
        <v>0.121</v>
      </c>
    </row>
    <row r="30" spans="1:5" x14ac:dyDescent="0.2">
      <c r="D30" s="17" t="s">
        <v>406</v>
      </c>
      <c r="E30">
        <v>0.109</v>
      </c>
    </row>
    <row r="31" spans="1:5" x14ac:dyDescent="0.2">
      <c r="D31" s="56" t="s">
        <v>407</v>
      </c>
    </row>
    <row r="32" spans="1:5" x14ac:dyDescent="0.2">
      <c r="D32" s="17" t="s">
        <v>408</v>
      </c>
      <c r="E32">
        <v>2.7E-2</v>
      </c>
    </row>
    <row r="33" spans="4:5" x14ac:dyDescent="0.2">
      <c r="D33" s="17" t="s">
        <v>409</v>
      </c>
      <c r="E33">
        <v>1.4999999999999999E-2</v>
      </c>
    </row>
    <row r="34" spans="4:5" x14ac:dyDescent="0.2">
      <c r="D34" s="17" t="s">
        <v>410</v>
      </c>
      <c r="E34">
        <v>1.7999999999999999E-2</v>
      </c>
    </row>
    <row r="35" spans="4:5" x14ac:dyDescent="0.2">
      <c r="D35" s="56" t="s">
        <v>411</v>
      </c>
    </row>
    <row r="36" spans="4:5" x14ac:dyDescent="0.2">
      <c r="D36" s="17" t="s">
        <v>425</v>
      </c>
      <c r="E36">
        <v>5.3999999999999999E-2</v>
      </c>
    </row>
    <row r="37" spans="4:5" x14ac:dyDescent="0.2">
      <c r="D37" s="17" t="s">
        <v>426</v>
      </c>
      <c r="E37">
        <v>5.1999999999999998E-2</v>
      </c>
    </row>
    <row r="38" spans="4:5" x14ac:dyDescent="0.2">
      <c r="D38" s="17" t="s">
        <v>427</v>
      </c>
      <c r="E38">
        <v>3.2000000000000001E-2</v>
      </c>
    </row>
    <row r="39" spans="4:5" x14ac:dyDescent="0.2">
      <c r="D39" s="17" t="s">
        <v>428</v>
      </c>
      <c r="E39">
        <v>2.7E-2</v>
      </c>
    </row>
    <row r="40" spans="4:5" x14ac:dyDescent="0.2">
      <c r="D40" s="17" t="s">
        <v>415</v>
      </c>
      <c r="E40">
        <v>3.2000000000000001E-2</v>
      </c>
    </row>
    <row r="41" spans="4:5" x14ac:dyDescent="0.2">
      <c r="D41" s="56" t="s">
        <v>416</v>
      </c>
    </row>
    <row r="42" spans="4:5" x14ac:dyDescent="0.2">
      <c r="D42" s="17" t="s">
        <v>417</v>
      </c>
      <c r="E42">
        <v>3.2000000000000001E-2</v>
      </c>
    </row>
    <row r="43" spans="4:5" x14ac:dyDescent="0.2">
      <c r="D43" s="17" t="s">
        <v>418</v>
      </c>
      <c r="E43">
        <v>1.2E-2</v>
      </c>
    </row>
    <row r="44" spans="4:5" x14ac:dyDescent="0.2">
      <c r="D44" s="17" t="s">
        <v>415</v>
      </c>
      <c r="E44">
        <v>1.2E-2</v>
      </c>
    </row>
  </sheetData>
  <sortState xmlns:xlrd2="http://schemas.microsoft.com/office/spreadsheetml/2017/richdata2" ref="A2:B28">
    <sortCondition ref="A2:A28"/>
  </sortState>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9DC7B-F2C1-4181-B94B-90E6626961DD}">
  <dimension ref="A1:P113"/>
  <sheetViews>
    <sheetView zoomScale="110" zoomScaleNormal="110" workbookViewId="0">
      <selection activeCell="E108" sqref="E108"/>
    </sheetView>
  </sheetViews>
  <sheetFormatPr baseColWidth="10" defaultColWidth="8.83203125" defaultRowHeight="15" x14ac:dyDescent="0.2"/>
  <cols>
    <col min="1" max="1" width="41.33203125" bestFit="1" customWidth="1"/>
    <col min="2" max="2" width="30" style="4" bestFit="1" customWidth="1"/>
    <col min="3" max="3" width="13.83203125" style="22" bestFit="1" customWidth="1"/>
    <col min="4" max="4" width="1.6640625" style="22" customWidth="1"/>
    <col min="5" max="7" width="9.1640625" style="24"/>
    <col min="9" max="9" width="33.33203125" style="17" bestFit="1" customWidth="1"/>
    <col min="11" max="11" width="2" bestFit="1" customWidth="1"/>
    <col min="12" max="12" width="10.5" customWidth="1"/>
    <col min="13" max="13" width="45.6640625" style="17" bestFit="1" customWidth="1"/>
    <col min="15" max="15" width="2" bestFit="1" customWidth="1"/>
    <col min="16" max="16" width="6.1640625" bestFit="1" customWidth="1"/>
  </cols>
  <sheetData>
    <row r="1" spans="1:16" x14ac:dyDescent="0.2">
      <c r="A1" t="s">
        <v>50</v>
      </c>
      <c r="B1" s="5" t="s">
        <v>51</v>
      </c>
      <c r="C1" s="27" t="s">
        <v>136</v>
      </c>
      <c r="D1" s="27"/>
      <c r="E1" s="27"/>
      <c r="F1" s="24" t="s">
        <v>58</v>
      </c>
      <c r="G1" s="24" t="s">
        <v>59</v>
      </c>
      <c r="I1" s="19" t="s">
        <v>133</v>
      </c>
      <c r="J1" s="104" t="s">
        <v>88</v>
      </c>
      <c r="K1" s="104"/>
      <c r="L1" s="104"/>
      <c r="M1" s="19" t="s">
        <v>134</v>
      </c>
      <c r="N1" s="104" t="s">
        <v>88</v>
      </c>
      <c r="O1" s="104"/>
      <c r="P1" s="104"/>
    </row>
    <row r="2" spans="1:16" x14ac:dyDescent="0.2">
      <c r="A2" t="s">
        <v>137</v>
      </c>
      <c r="B2" s="4">
        <v>390</v>
      </c>
      <c r="C2" s="34">
        <v>0.5</v>
      </c>
      <c r="E2" s="29"/>
      <c r="F2" s="36" t="s">
        <v>52</v>
      </c>
      <c r="G2" s="29"/>
      <c r="H2" s="21"/>
      <c r="I2" s="30" t="s">
        <v>92</v>
      </c>
      <c r="J2" s="31">
        <v>0.49640000000000001</v>
      </c>
      <c r="K2" s="32" t="s">
        <v>89</v>
      </c>
      <c r="L2" s="33">
        <v>2.7000000000000001E-3</v>
      </c>
      <c r="M2" s="30" t="s">
        <v>114</v>
      </c>
      <c r="N2" s="31">
        <v>0.48549999999999999</v>
      </c>
      <c r="O2" s="32" t="s">
        <v>89</v>
      </c>
      <c r="P2" s="33">
        <v>9.9000000000000008E-3</v>
      </c>
    </row>
    <row r="3" spans="1:16" x14ac:dyDescent="0.2">
      <c r="A3" t="s">
        <v>138</v>
      </c>
      <c r="B3" s="4">
        <v>1100</v>
      </c>
      <c r="C3" s="34">
        <v>0.5</v>
      </c>
      <c r="F3" s="36" t="s">
        <v>52</v>
      </c>
      <c r="H3" s="1"/>
      <c r="I3" s="30" t="s">
        <v>93</v>
      </c>
      <c r="J3" s="31">
        <v>0.49340000000000001</v>
      </c>
      <c r="K3" s="32" t="s">
        <v>89</v>
      </c>
      <c r="L3" s="33">
        <v>5.3E-3</v>
      </c>
      <c r="M3" s="30" t="s">
        <v>115</v>
      </c>
      <c r="N3" s="31">
        <v>0.50080000000000002</v>
      </c>
      <c r="O3" s="32" t="s">
        <v>89</v>
      </c>
      <c r="P3" s="33">
        <v>4.4999999999999997E-3</v>
      </c>
    </row>
    <row r="4" spans="1:16" x14ac:dyDescent="0.2">
      <c r="A4" t="s">
        <v>139</v>
      </c>
      <c r="B4" s="4">
        <v>950</v>
      </c>
      <c r="C4" s="34">
        <v>0.5</v>
      </c>
      <c r="F4" s="36" t="s">
        <v>52</v>
      </c>
      <c r="I4" s="30" t="s">
        <v>94</v>
      </c>
      <c r="J4" s="31">
        <v>0.4864</v>
      </c>
      <c r="K4" s="32" t="s">
        <v>89</v>
      </c>
      <c r="L4" s="33">
        <v>5.1999999999999998E-3</v>
      </c>
      <c r="M4" s="30" t="s">
        <v>116</v>
      </c>
      <c r="N4" s="31">
        <v>0.52839999999999998</v>
      </c>
      <c r="O4" s="32" t="s">
        <v>89</v>
      </c>
      <c r="P4" s="33">
        <v>5.4999999999999997E-3</v>
      </c>
    </row>
    <row r="5" spans="1:16" x14ac:dyDescent="0.2">
      <c r="A5" t="s">
        <v>140</v>
      </c>
      <c r="B5" s="4">
        <v>785</v>
      </c>
      <c r="C5" s="34">
        <v>0.5</v>
      </c>
      <c r="F5" s="36" t="s">
        <v>52</v>
      </c>
      <c r="I5" s="30" t="s">
        <v>95</v>
      </c>
      <c r="J5" s="31">
        <v>0.49320000000000003</v>
      </c>
      <c r="K5" s="32" t="s">
        <v>89</v>
      </c>
      <c r="L5" s="33">
        <v>1.9E-3</v>
      </c>
      <c r="M5" s="30" t="s">
        <v>117</v>
      </c>
      <c r="N5" s="31">
        <v>0.52139999999999997</v>
      </c>
      <c r="O5" s="32" t="s">
        <v>89</v>
      </c>
      <c r="P5" s="33">
        <v>8.8000000000000005E-3</v>
      </c>
    </row>
    <row r="6" spans="1:16" x14ac:dyDescent="0.2">
      <c r="A6" t="s">
        <v>141</v>
      </c>
      <c r="B6" s="4">
        <v>880</v>
      </c>
      <c r="C6" s="34">
        <v>0.5</v>
      </c>
      <c r="F6" s="36" t="s">
        <v>52</v>
      </c>
      <c r="I6" s="30" t="s">
        <v>96</v>
      </c>
      <c r="J6" s="31">
        <v>0.47699999999999998</v>
      </c>
      <c r="K6" s="32" t="s">
        <v>89</v>
      </c>
      <c r="L6" s="33">
        <v>1.1999999999999999E-3</v>
      </c>
      <c r="M6" s="30" t="s">
        <v>118</v>
      </c>
      <c r="N6" s="31">
        <v>0.47210000000000002</v>
      </c>
      <c r="O6" s="32" t="s">
        <v>89</v>
      </c>
      <c r="P6" s="33">
        <v>3.5000000000000001E-3</v>
      </c>
    </row>
    <row r="7" spans="1:16" x14ac:dyDescent="0.2">
      <c r="A7" s="17" t="s">
        <v>102</v>
      </c>
      <c r="B7" s="4">
        <v>675</v>
      </c>
      <c r="C7" s="22">
        <v>0.48280000000000001</v>
      </c>
      <c r="D7" s="18" t="s">
        <v>89</v>
      </c>
      <c r="E7" s="24">
        <v>3.5999999999999999E-3</v>
      </c>
      <c r="F7" s="3" t="s">
        <v>218</v>
      </c>
      <c r="G7" s="36" t="s">
        <v>27</v>
      </c>
      <c r="I7" s="30" t="s">
        <v>97</v>
      </c>
      <c r="J7" s="31">
        <v>0.4627</v>
      </c>
      <c r="K7" s="32" t="s">
        <v>89</v>
      </c>
      <c r="L7" s="33">
        <v>3.3E-3</v>
      </c>
      <c r="M7" s="30" t="s">
        <v>119</v>
      </c>
      <c r="N7" s="31">
        <v>0.47599999999999998</v>
      </c>
      <c r="O7" s="32" t="s">
        <v>89</v>
      </c>
      <c r="P7" s="33">
        <v>2.0999999999999999E-3</v>
      </c>
    </row>
    <row r="8" spans="1:16" x14ac:dyDescent="0.2">
      <c r="A8" s="17" t="s">
        <v>100</v>
      </c>
      <c r="B8" s="4">
        <v>720</v>
      </c>
      <c r="C8" s="22">
        <v>0.46600000000000003</v>
      </c>
      <c r="D8" s="18" t="s">
        <v>89</v>
      </c>
      <c r="E8" s="24">
        <v>3.8999999999999998E-3</v>
      </c>
      <c r="F8" s="3" t="s">
        <v>243</v>
      </c>
      <c r="G8" s="36" t="s">
        <v>27</v>
      </c>
      <c r="I8" s="30" t="s">
        <v>98</v>
      </c>
      <c r="J8" s="31">
        <v>0.48370000000000002</v>
      </c>
      <c r="K8" s="32" t="s">
        <v>89</v>
      </c>
      <c r="L8" s="33">
        <v>2.0999999999999999E-3</v>
      </c>
      <c r="M8" s="30" t="s">
        <v>120</v>
      </c>
      <c r="N8" s="31">
        <v>0.50390000000000001</v>
      </c>
      <c r="O8" s="32" t="s">
        <v>89</v>
      </c>
      <c r="P8" s="33">
        <v>4.4999999999999997E-3</v>
      </c>
    </row>
    <row r="9" spans="1:16" x14ac:dyDescent="0.2">
      <c r="A9" s="17" t="s">
        <v>118</v>
      </c>
      <c r="B9" s="4">
        <v>595</v>
      </c>
      <c r="C9" s="22">
        <v>0.47210000000000002</v>
      </c>
      <c r="D9" s="18" t="s">
        <v>89</v>
      </c>
      <c r="E9" s="24">
        <v>3.5000000000000001E-3</v>
      </c>
      <c r="F9" s="3" t="s">
        <v>227</v>
      </c>
      <c r="G9" s="36" t="s">
        <v>27</v>
      </c>
      <c r="I9" s="30" t="s">
        <v>99</v>
      </c>
      <c r="J9" s="31">
        <v>0.48470000000000002</v>
      </c>
      <c r="K9" s="32" t="s">
        <v>89</v>
      </c>
      <c r="L9" s="33">
        <v>4.1000000000000003E-3</v>
      </c>
      <c r="M9" s="30" t="s">
        <v>121</v>
      </c>
      <c r="N9" s="31">
        <v>0.4995</v>
      </c>
      <c r="O9" s="32" t="s">
        <v>89</v>
      </c>
      <c r="P9" s="33">
        <v>2.0000000000000001E-4</v>
      </c>
    </row>
    <row r="10" spans="1:16" x14ac:dyDescent="0.2">
      <c r="A10" s="17" t="s">
        <v>112</v>
      </c>
      <c r="B10" s="4">
        <v>540</v>
      </c>
      <c r="C10" s="22">
        <v>0.46429999999999999</v>
      </c>
      <c r="D10" s="18" t="s">
        <v>89</v>
      </c>
      <c r="E10" s="24">
        <v>1.6999999999999999E-3</v>
      </c>
      <c r="F10" s="3" t="s">
        <v>206</v>
      </c>
      <c r="G10" s="36" t="s">
        <v>27</v>
      </c>
      <c r="I10" s="30" t="s">
        <v>100</v>
      </c>
      <c r="J10" s="31">
        <v>0.46600000000000003</v>
      </c>
      <c r="K10" s="32" t="s">
        <v>89</v>
      </c>
      <c r="L10" s="33">
        <v>3.8999999999999998E-3</v>
      </c>
      <c r="M10" s="30" t="s">
        <v>122</v>
      </c>
      <c r="N10" s="31">
        <v>0.504</v>
      </c>
      <c r="O10" s="32" t="s">
        <v>89</v>
      </c>
      <c r="P10" s="33">
        <v>4.3E-3</v>
      </c>
    </row>
    <row r="11" spans="1:16" x14ac:dyDescent="0.2">
      <c r="A11" s="17" t="s">
        <v>105</v>
      </c>
      <c r="B11" s="4">
        <v>545</v>
      </c>
      <c r="C11" s="22">
        <v>0.49969999999999998</v>
      </c>
      <c r="D11" s="18" t="s">
        <v>89</v>
      </c>
      <c r="E11" s="24">
        <v>8.2000000000000007E-3</v>
      </c>
      <c r="F11" s="3" t="s">
        <v>229</v>
      </c>
      <c r="G11" s="36" t="s">
        <v>27</v>
      </c>
      <c r="I11" s="30" t="s">
        <v>102</v>
      </c>
      <c r="J11" s="31">
        <v>0.48280000000000001</v>
      </c>
      <c r="K11" s="32" t="s">
        <v>89</v>
      </c>
      <c r="L11" s="33">
        <v>3.5999999999999999E-3</v>
      </c>
      <c r="M11" s="30" t="s">
        <v>123</v>
      </c>
      <c r="N11" s="31">
        <v>0.50319999999999998</v>
      </c>
      <c r="O11" s="32" t="s">
        <v>89</v>
      </c>
      <c r="P11" s="33">
        <v>4.3E-3</v>
      </c>
    </row>
    <row r="12" spans="1:16" x14ac:dyDescent="0.2">
      <c r="A12" t="s">
        <v>142</v>
      </c>
      <c r="B12" s="4">
        <v>750</v>
      </c>
      <c r="C12" s="34">
        <v>0.5</v>
      </c>
      <c r="F12" s="36" t="s">
        <v>52</v>
      </c>
      <c r="I12" s="30" t="s">
        <v>101</v>
      </c>
      <c r="J12" s="31">
        <v>0.47799999999999998</v>
      </c>
      <c r="K12" s="32" t="s">
        <v>89</v>
      </c>
      <c r="L12" s="33">
        <v>4.7999999999999996E-3</v>
      </c>
      <c r="M12" s="30" t="s">
        <v>124</v>
      </c>
      <c r="N12" s="31">
        <v>0.52470000000000006</v>
      </c>
      <c r="O12" s="32" t="s">
        <v>89</v>
      </c>
      <c r="P12" s="33">
        <v>3.8E-3</v>
      </c>
    </row>
    <row r="13" spans="1:16" x14ac:dyDescent="0.2">
      <c r="A13" t="s">
        <v>143</v>
      </c>
      <c r="B13" s="4">
        <v>1000</v>
      </c>
      <c r="C13" s="34">
        <v>0.5</v>
      </c>
      <c r="F13" s="36" t="s">
        <v>52</v>
      </c>
      <c r="I13" s="30" t="s">
        <v>103</v>
      </c>
      <c r="J13" s="31">
        <v>0.48530000000000001</v>
      </c>
      <c r="K13" s="32" t="s">
        <v>89</v>
      </c>
      <c r="L13" s="33">
        <v>3.5999999999999999E-3</v>
      </c>
      <c r="M13" s="30" t="s">
        <v>125</v>
      </c>
      <c r="N13" s="31">
        <v>0.53280000000000005</v>
      </c>
      <c r="O13" s="32" t="s">
        <v>89</v>
      </c>
      <c r="P13" s="33">
        <v>3.3E-3</v>
      </c>
    </row>
    <row r="14" spans="1:16" x14ac:dyDescent="0.2">
      <c r="A14" t="s">
        <v>144</v>
      </c>
      <c r="B14" s="4">
        <v>900</v>
      </c>
      <c r="C14" s="34">
        <v>0.5</v>
      </c>
      <c r="F14" s="36" t="s">
        <v>52</v>
      </c>
      <c r="I14" s="30" t="s">
        <v>104</v>
      </c>
      <c r="J14" s="31">
        <v>0.49170000000000003</v>
      </c>
      <c r="K14" s="32" t="s">
        <v>89</v>
      </c>
      <c r="L14" s="33">
        <v>1.1999999999999999E-3</v>
      </c>
      <c r="M14" s="30" t="s">
        <v>126</v>
      </c>
      <c r="N14" s="31">
        <v>0.49740000000000001</v>
      </c>
      <c r="O14" s="32" t="s">
        <v>89</v>
      </c>
      <c r="P14" s="33">
        <v>1.6000000000000001E-3</v>
      </c>
    </row>
    <row r="15" spans="1:16" x14ac:dyDescent="0.2">
      <c r="A15" t="s">
        <v>145</v>
      </c>
      <c r="B15" s="4">
        <v>390</v>
      </c>
      <c r="C15" s="34">
        <v>0.5</v>
      </c>
      <c r="F15" s="36" t="s">
        <v>52</v>
      </c>
      <c r="I15" s="30" t="s">
        <v>105</v>
      </c>
      <c r="J15" s="31">
        <v>0.49969999999999998</v>
      </c>
      <c r="K15" s="32" t="s">
        <v>89</v>
      </c>
      <c r="L15" s="33">
        <v>8.2000000000000007E-3</v>
      </c>
      <c r="M15" s="30" t="s">
        <v>127</v>
      </c>
      <c r="N15" s="31">
        <v>0.505</v>
      </c>
      <c r="O15" s="32" t="s">
        <v>89</v>
      </c>
      <c r="P15" s="33">
        <v>3.5999999999999999E-3</v>
      </c>
    </row>
    <row r="16" spans="1:16" x14ac:dyDescent="0.2">
      <c r="A16" t="s">
        <v>146</v>
      </c>
      <c r="B16" s="4">
        <v>1050</v>
      </c>
      <c r="C16" s="34">
        <v>0.5</v>
      </c>
      <c r="F16" s="36" t="s">
        <v>52</v>
      </c>
      <c r="I16" s="30" t="s">
        <v>106</v>
      </c>
      <c r="J16" s="31">
        <v>0.47089999999999999</v>
      </c>
      <c r="K16" s="32" t="s">
        <v>89</v>
      </c>
      <c r="L16" s="33">
        <v>7.4999999999999997E-3</v>
      </c>
      <c r="M16" s="30" t="s">
        <v>128</v>
      </c>
      <c r="N16" s="31">
        <v>0.51719999999999999</v>
      </c>
      <c r="O16" s="32" t="s">
        <v>89</v>
      </c>
      <c r="P16" s="33">
        <v>1.6999999999999999E-3</v>
      </c>
    </row>
    <row r="17" spans="1:16" x14ac:dyDescent="0.2">
      <c r="A17" s="17" t="s">
        <v>115</v>
      </c>
      <c r="B17" s="4">
        <v>400</v>
      </c>
      <c r="C17" s="22">
        <v>0.50080000000000002</v>
      </c>
      <c r="D17" s="18" t="s">
        <v>89</v>
      </c>
      <c r="E17" s="24">
        <v>4.4999999999999997E-3</v>
      </c>
      <c r="F17" s="3" t="s">
        <v>210</v>
      </c>
      <c r="G17" s="36" t="s">
        <v>27</v>
      </c>
      <c r="I17" s="30" t="s">
        <v>107</v>
      </c>
      <c r="J17" s="31">
        <v>0.49249999999999999</v>
      </c>
      <c r="K17" s="32" t="s">
        <v>89</v>
      </c>
      <c r="L17" s="33">
        <v>2.5000000000000001E-3</v>
      </c>
      <c r="M17" s="30" t="s">
        <v>129</v>
      </c>
      <c r="N17" s="31">
        <v>0.51539999999999997</v>
      </c>
      <c r="O17" s="32" t="s">
        <v>89</v>
      </c>
      <c r="P17" s="33">
        <v>3.8E-3</v>
      </c>
    </row>
    <row r="18" spans="1:16" x14ac:dyDescent="0.2">
      <c r="A18" t="s">
        <v>147</v>
      </c>
      <c r="B18" s="4">
        <v>900</v>
      </c>
      <c r="C18" s="34">
        <v>0.5</v>
      </c>
      <c r="F18" s="36" t="s">
        <v>52</v>
      </c>
      <c r="I18" s="30" t="s">
        <v>108</v>
      </c>
      <c r="J18" s="31">
        <v>0.49530000000000002</v>
      </c>
      <c r="K18" s="32" t="s">
        <v>89</v>
      </c>
      <c r="L18" s="33">
        <v>1.8E-3</v>
      </c>
      <c r="M18" s="30" t="s">
        <v>130</v>
      </c>
      <c r="N18" s="31">
        <v>0.50329999999999997</v>
      </c>
      <c r="O18" s="32" t="s">
        <v>89</v>
      </c>
      <c r="P18" s="33">
        <v>3.2000000000000002E-3</v>
      </c>
    </row>
    <row r="19" spans="1:16" x14ac:dyDescent="0.2">
      <c r="A19" t="s">
        <v>148</v>
      </c>
      <c r="B19" s="4">
        <v>750</v>
      </c>
      <c r="C19" s="34">
        <v>0.5</v>
      </c>
      <c r="F19" s="36" t="s">
        <v>52</v>
      </c>
      <c r="I19" s="30" t="s">
        <v>109</v>
      </c>
      <c r="J19" s="31">
        <v>0.49569999999999997</v>
      </c>
      <c r="K19" s="32" t="s">
        <v>89</v>
      </c>
      <c r="L19" s="33">
        <v>2.2000000000000001E-3</v>
      </c>
      <c r="M19" s="30" t="s">
        <v>131</v>
      </c>
      <c r="N19" s="31">
        <v>0.50600000000000001</v>
      </c>
      <c r="O19" s="32" t="s">
        <v>89</v>
      </c>
      <c r="P19" s="33">
        <v>4.4999999999999997E-3</v>
      </c>
    </row>
    <row r="20" spans="1:16" x14ac:dyDescent="0.2">
      <c r="A20" t="s">
        <v>149</v>
      </c>
      <c r="B20" s="4">
        <v>650</v>
      </c>
      <c r="C20" s="46">
        <f>AVERAGE($J$7:$J$8)</f>
        <v>0.47320000000000001</v>
      </c>
      <c r="D20" s="28" t="s">
        <v>89</v>
      </c>
      <c r="E20" s="47">
        <f>AVERAGE($L$7:$L$8)</f>
        <v>2.7000000000000001E-3</v>
      </c>
      <c r="F20" s="36" t="s">
        <v>52</v>
      </c>
      <c r="G20" s="36"/>
      <c r="I20" s="30" t="s">
        <v>110</v>
      </c>
      <c r="J20" s="31">
        <v>0.49630000000000002</v>
      </c>
      <c r="K20" s="32" t="s">
        <v>89</v>
      </c>
      <c r="L20" s="33">
        <v>3.2000000000000002E-3</v>
      </c>
      <c r="M20" s="30" t="s">
        <v>132</v>
      </c>
      <c r="N20" s="31">
        <v>0.55159999999999998</v>
      </c>
      <c r="O20" s="32" t="s">
        <v>89</v>
      </c>
      <c r="P20" s="33">
        <v>5.1999999999999998E-3</v>
      </c>
    </row>
    <row r="21" spans="1:16" x14ac:dyDescent="0.2">
      <c r="A21" t="s">
        <v>150</v>
      </c>
      <c r="B21" s="4">
        <v>680</v>
      </c>
      <c r="C21" s="34">
        <f>$J$10</f>
        <v>0.46600000000000003</v>
      </c>
      <c r="D21" s="34" t="s">
        <v>89</v>
      </c>
      <c r="E21" s="35">
        <f>$L$10</f>
        <v>3.8999999999999998E-3</v>
      </c>
      <c r="F21" s="36" t="s">
        <v>52</v>
      </c>
      <c r="G21" s="36"/>
      <c r="I21" s="30" t="s">
        <v>111</v>
      </c>
      <c r="J21" s="31">
        <v>0.49049999999999999</v>
      </c>
      <c r="K21" s="32" t="s">
        <v>89</v>
      </c>
      <c r="L21" s="33">
        <v>5.7999999999999996E-3</v>
      </c>
      <c r="M21" s="30" t="s">
        <v>90</v>
      </c>
      <c r="N21" s="31">
        <v>0.54659999999999997</v>
      </c>
      <c r="O21" s="32" t="s">
        <v>89</v>
      </c>
      <c r="P21" s="33">
        <v>2.7000000000000001E-3</v>
      </c>
    </row>
    <row r="22" spans="1:16" x14ac:dyDescent="0.2">
      <c r="A22" s="17" t="s">
        <v>92</v>
      </c>
      <c r="B22" s="4">
        <v>545</v>
      </c>
      <c r="C22" s="22">
        <v>0.49640000000000001</v>
      </c>
      <c r="D22" s="18" t="s">
        <v>89</v>
      </c>
      <c r="E22" s="24">
        <v>2.7000000000000001E-3</v>
      </c>
      <c r="F22" s="3" t="s">
        <v>212</v>
      </c>
      <c r="G22" s="36" t="s">
        <v>27</v>
      </c>
      <c r="I22" s="30" t="s">
        <v>112</v>
      </c>
      <c r="J22" s="31">
        <v>0.46429999999999999</v>
      </c>
      <c r="K22" s="32" t="s">
        <v>89</v>
      </c>
      <c r="L22" s="33">
        <v>1.6999999999999999E-3</v>
      </c>
      <c r="M22" s="30" t="s">
        <v>91</v>
      </c>
      <c r="N22" s="31">
        <v>0.5252</v>
      </c>
      <c r="O22" s="32" t="s">
        <v>89</v>
      </c>
      <c r="P22" s="33">
        <v>2.7000000000000001E-3</v>
      </c>
    </row>
    <row r="23" spans="1:16" x14ac:dyDescent="0.2">
      <c r="A23" t="s">
        <v>151</v>
      </c>
      <c r="B23" s="4">
        <v>900</v>
      </c>
      <c r="C23" s="34">
        <v>0.5</v>
      </c>
      <c r="F23" s="36" t="s">
        <v>52</v>
      </c>
      <c r="I23" s="30" t="s">
        <v>113</v>
      </c>
      <c r="J23" s="31">
        <v>0.4632</v>
      </c>
      <c r="K23" s="32" t="s">
        <v>89</v>
      </c>
      <c r="L23" s="33">
        <v>2.7000000000000001E-3</v>
      </c>
    </row>
    <row r="24" spans="1:16" x14ac:dyDescent="0.2">
      <c r="A24" t="s">
        <v>152</v>
      </c>
      <c r="B24" s="4">
        <v>660</v>
      </c>
      <c r="C24" s="34">
        <v>0.5</v>
      </c>
      <c r="F24" s="36" t="s">
        <v>52</v>
      </c>
      <c r="I24" s="12" t="s">
        <v>135</v>
      </c>
      <c r="J24" s="23">
        <f>AVERAGE(J2:J23)</f>
        <v>0.48407727272727269</v>
      </c>
      <c r="K24" s="20" t="s">
        <v>89</v>
      </c>
      <c r="L24" s="25">
        <f>AVERAGE(L2:L23)</f>
        <v>3.5681818181818171E-3</v>
      </c>
      <c r="M24" s="12" t="s">
        <v>135</v>
      </c>
      <c r="N24" s="23">
        <f>AVERAGE(N2:N23)</f>
        <v>0.51047619047619042</v>
      </c>
      <c r="O24" s="26" t="s">
        <v>89</v>
      </c>
      <c r="P24" s="25">
        <f>AVERAGE(P2:P23)</f>
        <v>3.9857142857142843E-3</v>
      </c>
    </row>
    <row r="25" spans="1:16" x14ac:dyDescent="0.2">
      <c r="A25" s="17" t="s">
        <v>101</v>
      </c>
      <c r="B25" s="4">
        <v>545</v>
      </c>
      <c r="C25" s="22">
        <v>0.47799999999999998</v>
      </c>
      <c r="D25" s="18" t="s">
        <v>89</v>
      </c>
      <c r="E25" s="24">
        <v>4.7999999999999996E-3</v>
      </c>
      <c r="F25" s="3" t="s">
        <v>217</v>
      </c>
      <c r="G25" s="36" t="s">
        <v>27</v>
      </c>
      <c r="J25" s="17"/>
      <c r="K25" s="17"/>
      <c r="L25" s="17"/>
      <c r="N25" s="22"/>
      <c r="O25" s="18"/>
      <c r="P25" s="24"/>
    </row>
    <row r="26" spans="1:16" x14ac:dyDescent="0.2">
      <c r="A26" s="17" t="s">
        <v>108</v>
      </c>
      <c r="B26" s="4">
        <v>560</v>
      </c>
      <c r="C26" s="22">
        <v>0.49530000000000002</v>
      </c>
      <c r="D26" s="18" t="s">
        <v>89</v>
      </c>
      <c r="E26" s="24">
        <v>1.8E-3</v>
      </c>
      <c r="F26" s="3" t="s">
        <v>232</v>
      </c>
      <c r="G26" s="36" t="s">
        <v>27</v>
      </c>
    </row>
    <row r="27" spans="1:16" x14ac:dyDescent="0.2">
      <c r="A27" s="17" t="s">
        <v>107</v>
      </c>
      <c r="B27" s="4">
        <v>385</v>
      </c>
      <c r="C27" s="22">
        <v>0.49249999999999999</v>
      </c>
      <c r="D27" s="18" t="s">
        <v>89</v>
      </c>
      <c r="E27" s="24">
        <v>2.5000000000000001E-3</v>
      </c>
      <c r="F27" s="3" t="s">
        <v>230</v>
      </c>
      <c r="G27" s="36" t="s">
        <v>27</v>
      </c>
    </row>
    <row r="28" spans="1:16" x14ac:dyDescent="0.2">
      <c r="A28" t="s">
        <v>153</v>
      </c>
      <c r="B28" s="4">
        <v>700</v>
      </c>
      <c r="C28" s="34">
        <v>0.5</v>
      </c>
      <c r="F28" s="36" t="s">
        <v>52</v>
      </c>
      <c r="I28" s="12"/>
      <c r="J28" s="23"/>
      <c r="K28" s="20"/>
      <c r="L28" s="25"/>
      <c r="M28" s="12"/>
      <c r="N28" s="23"/>
      <c r="O28" s="26"/>
      <c r="P28" s="25"/>
    </row>
    <row r="29" spans="1:16" x14ac:dyDescent="0.2">
      <c r="A29" s="17" t="s">
        <v>213</v>
      </c>
      <c r="B29" s="4">
        <v>485</v>
      </c>
      <c r="C29" s="22">
        <v>0.49340000000000001</v>
      </c>
      <c r="D29" s="18" t="s">
        <v>89</v>
      </c>
      <c r="E29" s="24">
        <v>5.3E-3</v>
      </c>
      <c r="F29" s="3" t="s">
        <v>211</v>
      </c>
      <c r="G29" s="36" t="s">
        <v>27</v>
      </c>
      <c r="I29" s="12"/>
      <c r="J29" s="23"/>
      <c r="K29" s="20"/>
      <c r="L29" s="25"/>
      <c r="M29" s="12"/>
      <c r="N29" s="23"/>
      <c r="O29" s="26"/>
      <c r="P29" s="25"/>
    </row>
    <row r="30" spans="1:16" x14ac:dyDescent="0.2">
      <c r="A30" s="17" t="s">
        <v>103</v>
      </c>
      <c r="B30" s="4">
        <v>435</v>
      </c>
      <c r="C30" s="22">
        <v>0.48530000000000001</v>
      </c>
      <c r="D30" s="18" t="s">
        <v>89</v>
      </c>
      <c r="E30" s="24">
        <v>3.5999999999999999E-3</v>
      </c>
      <c r="F30" s="3" t="s">
        <v>237</v>
      </c>
      <c r="G30" s="36" t="s">
        <v>27</v>
      </c>
      <c r="I30" s="12"/>
      <c r="J30" s="23"/>
      <c r="K30" s="20"/>
      <c r="L30" s="25"/>
      <c r="M30" s="12"/>
      <c r="N30" s="23"/>
      <c r="O30" s="26"/>
      <c r="P30" s="25"/>
    </row>
    <row r="31" spans="1:16" x14ac:dyDescent="0.2">
      <c r="A31" t="s">
        <v>154</v>
      </c>
      <c r="B31" s="4">
        <v>380</v>
      </c>
      <c r="C31" s="46">
        <f>AVERAGE($N$20:$N$22)</f>
        <v>0.54113333333333324</v>
      </c>
      <c r="D31" s="28" t="s">
        <v>89</v>
      </c>
      <c r="E31" s="47">
        <f>AVERAGE($P$20:$P$22)</f>
        <v>3.5333333333333341E-3</v>
      </c>
      <c r="F31" s="36" t="s">
        <v>52</v>
      </c>
      <c r="G31" s="36"/>
      <c r="I31" s="12"/>
      <c r="J31" s="23"/>
      <c r="K31" s="20"/>
      <c r="L31" s="25"/>
      <c r="M31" s="12"/>
      <c r="N31" s="23"/>
      <c r="O31" s="26"/>
      <c r="P31" s="25"/>
    </row>
    <row r="32" spans="1:16" x14ac:dyDescent="0.2">
      <c r="A32" s="17" t="s">
        <v>130</v>
      </c>
      <c r="B32" s="4">
        <v>450</v>
      </c>
      <c r="C32" s="22">
        <v>0.50329999999999997</v>
      </c>
      <c r="D32" s="18" t="s">
        <v>89</v>
      </c>
      <c r="E32" s="24">
        <v>3.2000000000000002E-3</v>
      </c>
      <c r="F32" s="3" t="s">
        <v>239</v>
      </c>
      <c r="G32" s="36" t="s">
        <v>27</v>
      </c>
    </row>
    <row r="33" spans="1:13" x14ac:dyDescent="0.2">
      <c r="A33" t="s">
        <v>155</v>
      </c>
      <c r="B33" s="4">
        <v>550</v>
      </c>
      <c r="C33" s="34">
        <v>0.5</v>
      </c>
      <c r="F33" s="36" t="s">
        <v>52</v>
      </c>
    </row>
    <row r="34" spans="1:13" x14ac:dyDescent="0.2">
      <c r="A34" t="s">
        <v>156</v>
      </c>
      <c r="B34" s="4">
        <v>520</v>
      </c>
      <c r="C34" s="34">
        <v>0.5</v>
      </c>
      <c r="F34" s="36" t="s">
        <v>52</v>
      </c>
    </row>
    <row r="35" spans="1:13" x14ac:dyDescent="0.2">
      <c r="A35" t="s">
        <v>157</v>
      </c>
      <c r="B35" s="4">
        <v>575</v>
      </c>
      <c r="C35" s="34">
        <v>0.5</v>
      </c>
      <c r="F35" s="36" t="s">
        <v>52</v>
      </c>
    </row>
    <row r="36" spans="1:13" x14ac:dyDescent="0.2">
      <c r="A36" t="s">
        <v>158</v>
      </c>
      <c r="B36" s="4">
        <v>900</v>
      </c>
      <c r="C36" s="34">
        <v>0.5</v>
      </c>
      <c r="F36" s="36" t="s">
        <v>52</v>
      </c>
    </row>
    <row r="37" spans="1:13" x14ac:dyDescent="0.2">
      <c r="A37" t="s">
        <v>159</v>
      </c>
      <c r="B37" s="4">
        <v>1050</v>
      </c>
      <c r="C37" s="34">
        <v>0.5</v>
      </c>
      <c r="F37" s="36" t="s">
        <v>52</v>
      </c>
    </row>
    <row r="38" spans="1:13" x14ac:dyDescent="0.2">
      <c r="A38" t="s">
        <v>160</v>
      </c>
      <c r="B38" s="4">
        <v>850</v>
      </c>
      <c r="C38" s="34">
        <v>0.5</v>
      </c>
      <c r="F38" s="36" t="s">
        <v>52</v>
      </c>
    </row>
    <row r="39" spans="1:13" x14ac:dyDescent="0.2">
      <c r="A39" t="s">
        <v>161</v>
      </c>
      <c r="B39" s="4">
        <v>1000</v>
      </c>
      <c r="C39" s="34">
        <v>0.5</v>
      </c>
      <c r="F39" s="36" t="s">
        <v>52</v>
      </c>
    </row>
    <row r="40" spans="1:13" x14ac:dyDescent="0.2">
      <c r="A40" t="s">
        <v>162</v>
      </c>
      <c r="B40" s="4">
        <v>1000</v>
      </c>
      <c r="C40" s="34">
        <v>0.5</v>
      </c>
      <c r="F40" s="36" t="s">
        <v>52</v>
      </c>
    </row>
    <row r="41" spans="1:13" x14ac:dyDescent="0.2">
      <c r="A41" t="s">
        <v>163</v>
      </c>
      <c r="B41" s="4">
        <v>420</v>
      </c>
      <c r="C41" s="46">
        <f>AVERAGE($N$2:$N$3)</f>
        <v>0.49314999999999998</v>
      </c>
      <c r="D41" s="28" t="s">
        <v>89</v>
      </c>
      <c r="E41" s="47">
        <f>AVERAGE($P$2:$P$3)</f>
        <v>7.1999999999999998E-3</v>
      </c>
      <c r="F41" s="36" t="s">
        <v>52</v>
      </c>
      <c r="G41" s="36"/>
    </row>
    <row r="42" spans="1:13" x14ac:dyDescent="0.2">
      <c r="A42" t="s">
        <v>164</v>
      </c>
      <c r="B42" s="4">
        <v>530</v>
      </c>
      <c r="C42" s="22">
        <f>$N$15</f>
        <v>0.505</v>
      </c>
      <c r="D42" s="28" t="s">
        <v>89</v>
      </c>
      <c r="E42" s="24">
        <f>$P$15</f>
        <v>3.5999999999999999E-3</v>
      </c>
      <c r="F42" s="36" t="s">
        <v>52</v>
      </c>
      <c r="G42" s="36" t="s">
        <v>27</v>
      </c>
    </row>
    <row r="43" spans="1:13" x14ac:dyDescent="0.2">
      <c r="A43" s="17" t="s">
        <v>104</v>
      </c>
      <c r="B43" s="4">
        <v>610</v>
      </c>
      <c r="C43" s="22">
        <v>0.49170000000000003</v>
      </c>
      <c r="D43" s="18" t="s">
        <v>89</v>
      </c>
      <c r="E43" s="24">
        <v>1.1999999999999999E-3</v>
      </c>
      <c r="F43" s="3" t="s">
        <v>236</v>
      </c>
      <c r="G43" s="36" t="s">
        <v>27</v>
      </c>
    </row>
    <row r="44" spans="1:13" x14ac:dyDescent="0.2">
      <c r="A44" s="17" t="s">
        <v>113</v>
      </c>
      <c r="B44" s="4">
        <v>650</v>
      </c>
      <c r="C44" s="22">
        <v>0.4632</v>
      </c>
      <c r="D44" s="18" t="s">
        <v>89</v>
      </c>
      <c r="E44" s="24">
        <v>2.7000000000000001E-3</v>
      </c>
      <c r="F44" s="3" t="s">
        <v>206</v>
      </c>
      <c r="G44" s="36" t="s">
        <v>27</v>
      </c>
    </row>
    <row r="45" spans="1:13" x14ac:dyDescent="0.2">
      <c r="A45" t="s">
        <v>165</v>
      </c>
      <c r="B45" s="4">
        <v>560</v>
      </c>
      <c r="C45" s="46">
        <f>AVERAGE($J$2:$J$5)</f>
        <v>0.49235000000000001</v>
      </c>
      <c r="D45" s="28" t="s">
        <v>89</v>
      </c>
      <c r="E45" s="47">
        <f>AVERAGE($L$2:$L$5)</f>
        <v>3.7750000000000001E-3</v>
      </c>
      <c r="F45" s="36" t="s">
        <v>52</v>
      </c>
      <c r="G45" s="36"/>
    </row>
    <row r="46" spans="1:13" x14ac:dyDescent="0.2">
      <c r="A46" t="s">
        <v>166</v>
      </c>
      <c r="B46" s="4">
        <v>690</v>
      </c>
      <c r="C46" s="46">
        <f>AVERAGE($J$11:$J$12)</f>
        <v>0.48039999999999999</v>
      </c>
      <c r="D46" s="28" t="s">
        <v>89</v>
      </c>
      <c r="E46" s="47">
        <f>AVERAGE($L$11:$L$12)</f>
        <v>4.1999999999999997E-3</v>
      </c>
      <c r="F46" s="36" t="s">
        <v>52</v>
      </c>
      <c r="G46" s="36"/>
    </row>
    <row r="47" spans="1:13" x14ac:dyDescent="0.2">
      <c r="A47" t="s">
        <v>167</v>
      </c>
      <c r="B47" s="4">
        <v>680</v>
      </c>
      <c r="C47" s="46">
        <f>AVERAGE($J$19:$J$20)</f>
        <v>0.496</v>
      </c>
      <c r="D47" s="28" t="s">
        <v>89</v>
      </c>
      <c r="E47" s="47">
        <f>AVERAGE($L$19:$L$20)</f>
        <v>2.7000000000000001E-3</v>
      </c>
      <c r="F47" s="36" t="s">
        <v>52</v>
      </c>
      <c r="G47" s="36"/>
    </row>
    <row r="48" spans="1:13" x14ac:dyDescent="0.2">
      <c r="A48" t="s">
        <v>168</v>
      </c>
      <c r="B48" s="4">
        <v>560</v>
      </c>
      <c r="C48" s="34">
        <v>0.5</v>
      </c>
      <c r="F48" s="36" t="s">
        <v>52</v>
      </c>
      <c r="I48"/>
      <c r="M48"/>
    </row>
    <row r="49" spans="1:13" x14ac:dyDescent="0.2">
      <c r="A49" s="17" t="s">
        <v>132</v>
      </c>
      <c r="B49" s="38">
        <v>380</v>
      </c>
      <c r="C49" s="22">
        <v>0.55159999999999998</v>
      </c>
      <c r="D49" s="18" t="s">
        <v>89</v>
      </c>
      <c r="E49" s="24">
        <v>5.1999999999999998E-3</v>
      </c>
      <c r="F49" s="36" t="s">
        <v>27</v>
      </c>
      <c r="I49"/>
      <c r="M49"/>
    </row>
    <row r="50" spans="1:13" x14ac:dyDescent="0.2">
      <c r="A50" t="s">
        <v>169</v>
      </c>
      <c r="B50" s="4">
        <v>900</v>
      </c>
      <c r="C50" s="34">
        <v>0.5</v>
      </c>
      <c r="F50" s="36" t="s">
        <v>52</v>
      </c>
      <c r="I50"/>
      <c r="M50"/>
    </row>
    <row r="51" spans="1:13" x14ac:dyDescent="0.2">
      <c r="A51" t="s">
        <v>170</v>
      </c>
      <c r="B51" s="4">
        <v>510</v>
      </c>
      <c r="C51" s="39">
        <v>0.46939999999999998</v>
      </c>
      <c r="D51" s="18" t="s">
        <v>89</v>
      </c>
      <c r="E51" s="24">
        <v>3.3E-3</v>
      </c>
      <c r="F51" s="36" t="s">
        <v>52</v>
      </c>
      <c r="G51" s="3" t="s">
        <v>245</v>
      </c>
      <c r="I51"/>
      <c r="M51"/>
    </row>
    <row r="52" spans="1:13" x14ac:dyDescent="0.2">
      <c r="A52" t="s">
        <v>171</v>
      </c>
      <c r="B52" s="4">
        <v>630</v>
      </c>
      <c r="C52" s="34">
        <v>0.5</v>
      </c>
      <c r="F52" s="36" t="s">
        <v>52</v>
      </c>
      <c r="I52"/>
      <c r="M52"/>
    </row>
    <row r="53" spans="1:13" x14ac:dyDescent="0.2">
      <c r="A53" s="17" t="s">
        <v>99</v>
      </c>
      <c r="B53" s="43">
        <f>AVERAGE(735,690,770,815,675,800,735,835)</f>
        <v>756.875</v>
      </c>
      <c r="C53" s="22">
        <v>0.48470000000000002</v>
      </c>
      <c r="D53" s="18" t="s">
        <v>89</v>
      </c>
      <c r="E53" s="24">
        <v>4.1000000000000003E-3</v>
      </c>
      <c r="F53" s="3" t="s">
        <v>226</v>
      </c>
      <c r="G53" s="36" t="s">
        <v>27</v>
      </c>
      <c r="I53"/>
      <c r="M53"/>
    </row>
    <row r="54" spans="1:13" x14ac:dyDescent="0.2">
      <c r="A54" t="s">
        <v>172</v>
      </c>
      <c r="B54" s="4">
        <v>1050</v>
      </c>
      <c r="C54" s="34">
        <v>0.5</v>
      </c>
      <c r="F54" s="36" t="s">
        <v>52</v>
      </c>
      <c r="I54"/>
      <c r="M54"/>
    </row>
    <row r="55" spans="1:13" x14ac:dyDescent="0.2">
      <c r="A55" t="s">
        <v>173</v>
      </c>
      <c r="B55" s="4">
        <v>660</v>
      </c>
      <c r="C55" s="34">
        <v>0.5</v>
      </c>
      <c r="F55" s="36" t="s">
        <v>52</v>
      </c>
      <c r="I55"/>
      <c r="M55"/>
    </row>
    <row r="56" spans="1:13" x14ac:dyDescent="0.2">
      <c r="A56" t="s">
        <v>174</v>
      </c>
      <c r="B56" s="4">
        <v>900</v>
      </c>
      <c r="C56" s="34">
        <v>0.5</v>
      </c>
      <c r="F56" s="36" t="s">
        <v>52</v>
      </c>
      <c r="I56"/>
      <c r="M56"/>
    </row>
    <row r="57" spans="1:13" x14ac:dyDescent="0.2">
      <c r="A57" s="17" t="s">
        <v>122</v>
      </c>
      <c r="B57" s="4">
        <v>500</v>
      </c>
      <c r="C57" s="22">
        <v>0.504</v>
      </c>
      <c r="D57" s="18" t="s">
        <v>89</v>
      </c>
      <c r="E57" s="24">
        <v>4.3E-3</v>
      </c>
      <c r="F57" s="3" t="s">
        <v>222</v>
      </c>
      <c r="G57" s="36" t="s">
        <v>27</v>
      </c>
      <c r="I57"/>
      <c r="M57"/>
    </row>
    <row r="58" spans="1:13" x14ac:dyDescent="0.2">
      <c r="A58" t="s">
        <v>175</v>
      </c>
      <c r="B58" s="4">
        <v>850</v>
      </c>
      <c r="C58" s="34">
        <v>0.5</v>
      </c>
      <c r="F58" s="36" t="s">
        <v>52</v>
      </c>
      <c r="I58"/>
      <c r="M58"/>
    </row>
    <row r="59" spans="1:13" x14ac:dyDescent="0.2">
      <c r="A59" t="s">
        <v>176</v>
      </c>
      <c r="B59" s="4">
        <v>650</v>
      </c>
      <c r="C59" s="34">
        <v>0.5</v>
      </c>
      <c r="F59" s="36" t="s">
        <v>52</v>
      </c>
      <c r="I59"/>
      <c r="M59"/>
    </row>
    <row r="60" spans="1:13" x14ac:dyDescent="0.2">
      <c r="A60" t="s">
        <v>177</v>
      </c>
      <c r="B60" s="4">
        <v>550</v>
      </c>
      <c r="C60" s="46">
        <f>AVERAGE($N$6:$N$7)</f>
        <v>0.47404999999999997</v>
      </c>
      <c r="D60" s="28" t="s">
        <v>89</v>
      </c>
      <c r="E60" s="47">
        <f>AVERAGE($P$6:$P$7)</f>
        <v>2.8E-3</v>
      </c>
      <c r="F60" s="36" t="s">
        <v>52</v>
      </c>
      <c r="G60" s="36"/>
      <c r="I60"/>
      <c r="M60"/>
    </row>
    <row r="61" spans="1:13" x14ac:dyDescent="0.2">
      <c r="A61" t="s">
        <v>178</v>
      </c>
      <c r="B61" s="4">
        <v>565</v>
      </c>
      <c r="C61" s="34">
        <v>0.5</v>
      </c>
      <c r="F61" s="36" t="s">
        <v>52</v>
      </c>
      <c r="I61"/>
      <c r="M61"/>
    </row>
    <row r="62" spans="1:13" x14ac:dyDescent="0.2">
      <c r="A62" t="s">
        <v>179</v>
      </c>
      <c r="B62" s="4">
        <v>560</v>
      </c>
      <c r="C62" s="34">
        <v>0.5</v>
      </c>
      <c r="F62" s="36" t="s">
        <v>52</v>
      </c>
      <c r="I62"/>
      <c r="M62"/>
    </row>
    <row r="63" spans="1:13" x14ac:dyDescent="0.2">
      <c r="A63" s="17" t="s">
        <v>123</v>
      </c>
      <c r="B63" s="4">
        <v>465</v>
      </c>
      <c r="C63" s="22">
        <v>0.50319999999999998</v>
      </c>
      <c r="D63" s="18" t="s">
        <v>89</v>
      </c>
      <c r="E63" s="24">
        <v>4.3E-3</v>
      </c>
      <c r="F63" s="3" t="s">
        <v>221</v>
      </c>
      <c r="G63" s="36" t="s">
        <v>27</v>
      </c>
      <c r="I63"/>
      <c r="M63"/>
    </row>
    <row r="64" spans="1:13" x14ac:dyDescent="0.2">
      <c r="A64" t="s">
        <v>180</v>
      </c>
      <c r="B64" s="4">
        <v>625</v>
      </c>
      <c r="C64" s="34">
        <v>0.5</v>
      </c>
      <c r="F64" s="36" t="s">
        <v>52</v>
      </c>
      <c r="I64"/>
      <c r="M64"/>
    </row>
    <row r="65" spans="1:13" x14ac:dyDescent="0.2">
      <c r="A65" t="s">
        <v>181</v>
      </c>
      <c r="B65" s="4">
        <v>655</v>
      </c>
      <c r="C65" s="34">
        <v>0.5</v>
      </c>
      <c r="F65" s="36" t="s">
        <v>52</v>
      </c>
      <c r="I65"/>
      <c r="M65"/>
    </row>
    <row r="66" spans="1:13" x14ac:dyDescent="0.2">
      <c r="A66" t="s">
        <v>182</v>
      </c>
      <c r="B66" s="4">
        <v>950</v>
      </c>
      <c r="C66" s="34">
        <v>0.5</v>
      </c>
      <c r="F66" s="36" t="s">
        <v>52</v>
      </c>
      <c r="I66"/>
      <c r="M66"/>
    </row>
    <row r="67" spans="1:13" x14ac:dyDescent="0.2">
      <c r="A67" t="s">
        <v>183</v>
      </c>
      <c r="B67" s="4">
        <v>950</v>
      </c>
      <c r="C67" s="34">
        <v>0.5</v>
      </c>
      <c r="F67" s="36" t="s">
        <v>52</v>
      </c>
      <c r="I67"/>
      <c r="M67"/>
    </row>
    <row r="68" spans="1:13" x14ac:dyDescent="0.2">
      <c r="A68" t="s">
        <v>184</v>
      </c>
      <c r="B68" s="4">
        <v>500</v>
      </c>
      <c r="C68" s="34">
        <v>0.5</v>
      </c>
      <c r="F68" s="36" t="s">
        <v>52</v>
      </c>
      <c r="I68"/>
      <c r="M68"/>
    </row>
    <row r="69" spans="1:13" x14ac:dyDescent="0.2">
      <c r="A69" t="s">
        <v>185</v>
      </c>
      <c r="B69" s="4">
        <v>800</v>
      </c>
      <c r="C69" s="34">
        <v>0.5</v>
      </c>
      <c r="F69" s="36" t="s">
        <v>52</v>
      </c>
      <c r="I69"/>
      <c r="M69"/>
    </row>
    <row r="70" spans="1:13" x14ac:dyDescent="0.2">
      <c r="A70" t="s">
        <v>186</v>
      </c>
      <c r="B70" s="4">
        <v>820</v>
      </c>
      <c r="C70" s="34">
        <v>0.5</v>
      </c>
      <c r="F70" s="36" t="s">
        <v>52</v>
      </c>
      <c r="I70"/>
      <c r="M70"/>
    </row>
    <row r="71" spans="1:13" x14ac:dyDescent="0.2">
      <c r="A71" s="17" t="s">
        <v>116</v>
      </c>
      <c r="B71" s="4">
        <v>495</v>
      </c>
      <c r="C71" s="22">
        <v>0.52839999999999998</v>
      </c>
      <c r="D71" s="18" t="s">
        <v>89</v>
      </c>
      <c r="E71" s="24">
        <v>5.4999999999999997E-3</v>
      </c>
      <c r="F71" s="3" t="s">
        <v>208</v>
      </c>
      <c r="G71" s="36" t="s">
        <v>27</v>
      </c>
      <c r="I71"/>
      <c r="M71"/>
    </row>
    <row r="72" spans="1:13" x14ac:dyDescent="0.2">
      <c r="A72" s="17" t="s">
        <v>110</v>
      </c>
      <c r="B72" s="4">
        <v>700</v>
      </c>
      <c r="C72" s="22">
        <v>0.49630000000000002</v>
      </c>
      <c r="D72" s="18" t="s">
        <v>89</v>
      </c>
      <c r="E72" s="24">
        <v>3.2000000000000002E-3</v>
      </c>
      <c r="F72" s="3" t="s">
        <v>220</v>
      </c>
      <c r="G72" s="36" t="s">
        <v>27</v>
      </c>
      <c r="I72"/>
      <c r="M72"/>
    </row>
    <row r="73" spans="1:13" x14ac:dyDescent="0.2">
      <c r="A73" s="17" t="s">
        <v>128</v>
      </c>
      <c r="B73" s="4">
        <v>350</v>
      </c>
      <c r="C73" s="22">
        <v>0.51719999999999999</v>
      </c>
      <c r="D73" s="18" t="s">
        <v>89</v>
      </c>
      <c r="E73" s="24">
        <v>1.6999999999999999E-3</v>
      </c>
      <c r="F73" s="3" t="s">
        <v>240</v>
      </c>
      <c r="G73" s="36" t="s">
        <v>27</v>
      </c>
      <c r="I73"/>
      <c r="M73"/>
    </row>
    <row r="74" spans="1:13" x14ac:dyDescent="0.2">
      <c r="A74" t="s">
        <v>187</v>
      </c>
      <c r="B74" s="4">
        <v>920</v>
      </c>
      <c r="C74" s="34">
        <v>0.5</v>
      </c>
      <c r="F74" s="36" t="s">
        <v>52</v>
      </c>
      <c r="I74"/>
      <c r="M74"/>
    </row>
    <row r="75" spans="1:13" x14ac:dyDescent="0.2">
      <c r="A75" t="s">
        <v>188</v>
      </c>
      <c r="B75" s="4">
        <v>440</v>
      </c>
      <c r="C75" s="34">
        <v>0.5</v>
      </c>
      <c r="F75" s="37" t="s">
        <v>72</v>
      </c>
      <c r="H75" s="4"/>
      <c r="I75"/>
      <c r="M75"/>
    </row>
    <row r="76" spans="1:13" x14ac:dyDescent="0.2">
      <c r="A76" s="17" t="s">
        <v>114</v>
      </c>
      <c r="B76" s="4">
        <v>435</v>
      </c>
      <c r="C76" s="22">
        <v>0.48549999999999999</v>
      </c>
      <c r="D76" s="18" t="s">
        <v>89</v>
      </c>
      <c r="E76" s="24">
        <v>9.9000000000000008E-3</v>
      </c>
      <c r="F76" s="3" t="s">
        <v>209</v>
      </c>
      <c r="G76" s="36" t="s">
        <v>27</v>
      </c>
      <c r="I76"/>
      <c r="M76"/>
    </row>
    <row r="77" spans="1:13" x14ac:dyDescent="0.2">
      <c r="A77" s="17" t="s">
        <v>98</v>
      </c>
      <c r="B77" s="4">
        <v>610</v>
      </c>
      <c r="C77" s="22">
        <v>0.48370000000000002</v>
      </c>
      <c r="D77" s="18" t="s">
        <v>89</v>
      </c>
      <c r="E77" s="24">
        <v>2.0999999999999999E-3</v>
      </c>
      <c r="F77" s="3" t="s">
        <v>242</v>
      </c>
      <c r="G77" s="36" t="s">
        <v>27</v>
      </c>
      <c r="I77"/>
      <c r="M77"/>
    </row>
    <row r="78" spans="1:13" x14ac:dyDescent="0.2">
      <c r="A78" t="s">
        <v>244</v>
      </c>
      <c r="B78" s="43">
        <f>AVERAGE(510,500,465,450,545,400)</f>
        <v>478.33333333333331</v>
      </c>
      <c r="C78" s="46">
        <f>AVERAGE($N$10:$N$14,46.94%)</f>
        <v>0.50524999999999998</v>
      </c>
      <c r="F78" s="36"/>
      <c r="I78"/>
      <c r="M78"/>
    </row>
    <row r="79" spans="1:13" x14ac:dyDescent="0.2">
      <c r="A79" t="s">
        <v>189</v>
      </c>
      <c r="B79" s="4">
        <v>800</v>
      </c>
      <c r="C79" s="34">
        <v>0.5</v>
      </c>
      <c r="F79" s="36" t="s">
        <v>52</v>
      </c>
      <c r="I79"/>
      <c r="M79"/>
    </row>
    <row r="80" spans="1:13" x14ac:dyDescent="0.2">
      <c r="A80" s="17" t="s">
        <v>124</v>
      </c>
      <c r="B80" s="4">
        <v>450</v>
      </c>
      <c r="C80" s="22">
        <v>0.52470000000000006</v>
      </c>
      <c r="D80" s="18" t="s">
        <v>89</v>
      </c>
      <c r="E80" s="24">
        <v>3.8E-3</v>
      </c>
      <c r="F80" s="3" t="s">
        <v>223</v>
      </c>
      <c r="G80" s="36" t="s">
        <v>27</v>
      </c>
      <c r="I80"/>
      <c r="M80"/>
    </row>
    <row r="81" spans="1:13" x14ac:dyDescent="0.2">
      <c r="A81" t="s">
        <v>190</v>
      </c>
      <c r="B81" s="4">
        <v>440</v>
      </c>
      <c r="C81" s="46">
        <f>AVERAGE($J$16:$J$17)</f>
        <v>0.48170000000000002</v>
      </c>
      <c r="D81" s="28" t="s">
        <v>89</v>
      </c>
      <c r="E81" s="47">
        <f>AVERAGE($L$16:$L$17)</f>
        <v>5.0000000000000001E-3</v>
      </c>
      <c r="F81" s="36" t="s">
        <v>52</v>
      </c>
      <c r="G81" s="36"/>
      <c r="I81"/>
      <c r="M81"/>
    </row>
    <row r="82" spans="1:13" x14ac:dyDescent="0.2">
      <c r="A82" t="s">
        <v>191</v>
      </c>
      <c r="B82" s="4">
        <v>850</v>
      </c>
      <c r="C82" s="34">
        <v>0.5</v>
      </c>
      <c r="F82" s="36" t="s">
        <v>52</v>
      </c>
      <c r="I82"/>
      <c r="M82"/>
    </row>
    <row r="83" spans="1:13" x14ac:dyDescent="0.2">
      <c r="A83" s="17" t="s">
        <v>106</v>
      </c>
      <c r="B83" s="4">
        <v>415</v>
      </c>
      <c r="C83" s="22">
        <v>0.47089999999999999</v>
      </c>
      <c r="D83" s="18" t="s">
        <v>89</v>
      </c>
      <c r="E83" s="24">
        <v>7.4999999999999997E-3</v>
      </c>
      <c r="F83" s="3" t="s">
        <v>231</v>
      </c>
      <c r="G83" s="36" t="s">
        <v>27</v>
      </c>
      <c r="M83"/>
    </row>
    <row r="84" spans="1:13" x14ac:dyDescent="0.2">
      <c r="A84" t="s">
        <v>192</v>
      </c>
      <c r="B84" s="4">
        <v>510</v>
      </c>
      <c r="C84" s="34">
        <v>0.5</v>
      </c>
      <c r="F84" s="36" t="s">
        <v>52</v>
      </c>
      <c r="M84"/>
    </row>
    <row r="85" spans="1:13" x14ac:dyDescent="0.2">
      <c r="A85" s="17" t="s">
        <v>96</v>
      </c>
      <c r="B85" s="4">
        <v>450</v>
      </c>
      <c r="C85" s="22">
        <v>0.47699999999999998</v>
      </c>
      <c r="D85" s="18" t="s">
        <v>89</v>
      </c>
      <c r="E85" s="24">
        <v>1.1999999999999999E-3</v>
      </c>
      <c r="F85" s="3" t="s">
        <v>216</v>
      </c>
      <c r="G85" s="36" t="s">
        <v>27</v>
      </c>
      <c r="M85"/>
    </row>
    <row r="86" spans="1:13" x14ac:dyDescent="0.2">
      <c r="A86" s="17" t="s">
        <v>117</v>
      </c>
      <c r="B86" s="4">
        <v>370</v>
      </c>
      <c r="C86" s="22">
        <v>0.52139999999999997</v>
      </c>
      <c r="D86" s="18" t="s">
        <v>89</v>
      </c>
      <c r="E86" s="24">
        <v>8.8000000000000005E-3</v>
      </c>
      <c r="F86" s="3" t="s">
        <v>207</v>
      </c>
      <c r="G86" s="36" t="s">
        <v>27</v>
      </c>
      <c r="M86"/>
    </row>
    <row r="87" spans="1:13" x14ac:dyDescent="0.2">
      <c r="A87" s="17" t="s">
        <v>94</v>
      </c>
      <c r="B87" s="4">
        <v>610</v>
      </c>
      <c r="C87" s="22">
        <v>0.4864</v>
      </c>
      <c r="D87" s="18" t="s">
        <v>89</v>
      </c>
      <c r="E87" s="24">
        <v>5.1999999999999998E-3</v>
      </c>
      <c r="F87" s="3" t="s">
        <v>215</v>
      </c>
      <c r="G87" s="36" t="s">
        <v>27</v>
      </c>
      <c r="M87"/>
    </row>
    <row r="88" spans="1:13" x14ac:dyDescent="0.2">
      <c r="A88" s="17" t="s">
        <v>125</v>
      </c>
      <c r="B88" s="4">
        <v>545</v>
      </c>
      <c r="C88" s="22">
        <v>0.53280000000000005</v>
      </c>
      <c r="D88" s="18" t="s">
        <v>89</v>
      </c>
      <c r="E88" s="24">
        <v>3.3E-3</v>
      </c>
      <c r="F88" s="3" t="s">
        <v>224</v>
      </c>
      <c r="G88" s="36" t="s">
        <v>27</v>
      </c>
      <c r="M88"/>
    </row>
    <row r="89" spans="1:13" x14ac:dyDescent="0.2">
      <c r="A89" t="s">
        <v>193</v>
      </c>
      <c r="B89" s="4">
        <v>750</v>
      </c>
      <c r="C89" s="34">
        <v>0.5</v>
      </c>
      <c r="F89" s="36" t="s">
        <v>52</v>
      </c>
      <c r="M89"/>
    </row>
    <row r="90" spans="1:13" x14ac:dyDescent="0.2">
      <c r="A90" t="s">
        <v>194</v>
      </c>
      <c r="B90" s="4">
        <v>650</v>
      </c>
      <c r="C90" s="34">
        <v>0.5</v>
      </c>
      <c r="F90" s="36" t="s">
        <v>52</v>
      </c>
      <c r="M90"/>
    </row>
    <row r="91" spans="1:13" x14ac:dyDescent="0.2">
      <c r="A91" s="17" t="s">
        <v>90</v>
      </c>
      <c r="B91" s="38">
        <v>380</v>
      </c>
      <c r="C91" s="22">
        <v>0.54659999999999997</v>
      </c>
      <c r="D91" s="18" t="s">
        <v>89</v>
      </c>
      <c r="E91" s="24">
        <v>2.7000000000000001E-3</v>
      </c>
      <c r="F91" s="36" t="s">
        <v>27</v>
      </c>
      <c r="M91"/>
    </row>
    <row r="92" spans="1:13" x14ac:dyDescent="0.2">
      <c r="A92" s="17" t="s">
        <v>91</v>
      </c>
      <c r="B92" s="38">
        <v>380</v>
      </c>
      <c r="C92" s="22">
        <v>0.5252</v>
      </c>
      <c r="D92" s="18" t="s">
        <v>89</v>
      </c>
      <c r="E92" s="24">
        <v>2.7000000000000001E-3</v>
      </c>
      <c r="F92" s="36" t="s">
        <v>27</v>
      </c>
      <c r="M92"/>
    </row>
    <row r="93" spans="1:13" x14ac:dyDescent="0.2">
      <c r="A93" t="s">
        <v>195</v>
      </c>
      <c r="B93" s="4">
        <v>510</v>
      </c>
      <c r="C93" s="34">
        <v>0.5</v>
      </c>
      <c r="F93" s="36" t="s">
        <v>52</v>
      </c>
      <c r="M93"/>
    </row>
    <row r="94" spans="1:13" x14ac:dyDescent="0.2">
      <c r="A94" t="s">
        <v>196</v>
      </c>
      <c r="B94" s="4">
        <v>640</v>
      </c>
      <c r="C94" s="34">
        <v>0.5</v>
      </c>
      <c r="F94" s="36" t="s">
        <v>52</v>
      </c>
      <c r="M94"/>
    </row>
    <row r="95" spans="1:13" x14ac:dyDescent="0.2">
      <c r="A95" s="17" t="s">
        <v>121</v>
      </c>
      <c r="B95" s="4">
        <v>425</v>
      </c>
      <c r="C95" s="22">
        <v>0.4995</v>
      </c>
      <c r="D95" s="18" t="s">
        <v>89</v>
      </c>
      <c r="E95" s="24">
        <v>2.0000000000000001E-4</v>
      </c>
      <c r="F95" s="3" t="s">
        <v>233</v>
      </c>
      <c r="G95" s="36" t="s">
        <v>27</v>
      </c>
      <c r="M95"/>
    </row>
    <row r="96" spans="1:13" x14ac:dyDescent="0.2">
      <c r="A96" s="17" t="s">
        <v>95</v>
      </c>
      <c r="B96" s="4">
        <v>705</v>
      </c>
      <c r="C96" s="22">
        <v>0.49320000000000003</v>
      </c>
      <c r="D96" s="18" t="s">
        <v>89</v>
      </c>
      <c r="E96" s="24">
        <v>1.9E-3</v>
      </c>
      <c r="F96" s="3" t="s">
        <v>214</v>
      </c>
      <c r="G96" s="36" t="s">
        <v>27</v>
      </c>
      <c r="M96"/>
    </row>
    <row r="97" spans="1:13" x14ac:dyDescent="0.2">
      <c r="A97" t="s">
        <v>197</v>
      </c>
      <c r="B97" s="4">
        <v>900</v>
      </c>
      <c r="C97" s="34">
        <v>0.5</v>
      </c>
      <c r="F97" s="36" t="s">
        <v>52</v>
      </c>
      <c r="M97"/>
    </row>
    <row r="98" spans="1:13" x14ac:dyDescent="0.2">
      <c r="A98" t="s">
        <v>198</v>
      </c>
      <c r="B98" s="4">
        <v>550</v>
      </c>
      <c r="C98" s="34">
        <v>0.5</v>
      </c>
      <c r="F98" s="36" t="s">
        <v>52</v>
      </c>
      <c r="M98"/>
    </row>
    <row r="99" spans="1:13" x14ac:dyDescent="0.2">
      <c r="A99" t="s">
        <v>199</v>
      </c>
      <c r="B99" s="4">
        <v>800</v>
      </c>
      <c r="C99" s="34">
        <v>0.5</v>
      </c>
      <c r="F99" s="36" t="s">
        <v>52</v>
      </c>
      <c r="M99"/>
    </row>
    <row r="100" spans="1:13" x14ac:dyDescent="0.2">
      <c r="A100" t="s">
        <v>200</v>
      </c>
      <c r="B100" s="4">
        <v>675</v>
      </c>
      <c r="C100" s="34">
        <v>0.5</v>
      </c>
      <c r="F100" s="36" t="s">
        <v>52</v>
      </c>
      <c r="M100"/>
    </row>
    <row r="101" spans="1:13" x14ac:dyDescent="0.2">
      <c r="A101" t="s">
        <v>201</v>
      </c>
      <c r="B101" s="4">
        <v>950</v>
      </c>
      <c r="C101" s="34">
        <v>0.5</v>
      </c>
      <c r="F101" s="36" t="s">
        <v>52</v>
      </c>
      <c r="M101"/>
    </row>
    <row r="102" spans="1:13" x14ac:dyDescent="0.2">
      <c r="A102" t="s">
        <v>267</v>
      </c>
      <c r="B102" s="43">
        <f>AVERAGE(B2:B101,B103:B113)</f>
        <v>641.082957957958</v>
      </c>
      <c r="C102" s="44">
        <f>AVERAGE(C2:C101,C103:C113)</f>
        <v>0.49759039039039027</v>
      </c>
      <c r="F102" s="36"/>
      <c r="M102"/>
    </row>
    <row r="103" spans="1:13" x14ac:dyDescent="0.2">
      <c r="A103" t="s">
        <v>202</v>
      </c>
      <c r="B103" s="4">
        <v>400</v>
      </c>
      <c r="C103" s="46">
        <f>AVERAGE($N$8:$N$9)</f>
        <v>0.50170000000000003</v>
      </c>
      <c r="D103" s="28" t="s">
        <v>89</v>
      </c>
      <c r="E103" s="47">
        <f>AVERAGE($P$8:$P$9)</f>
        <v>2.3499999999999997E-3</v>
      </c>
      <c r="F103" s="36" t="s">
        <v>52</v>
      </c>
      <c r="G103" s="36"/>
      <c r="M103"/>
    </row>
    <row r="104" spans="1:13" x14ac:dyDescent="0.2">
      <c r="A104" t="s">
        <v>203</v>
      </c>
      <c r="B104" s="4">
        <v>550</v>
      </c>
      <c r="C104" s="46">
        <f>AVERAGE($J$13:$J$14)</f>
        <v>0.48850000000000005</v>
      </c>
      <c r="D104" s="28" t="s">
        <v>89</v>
      </c>
      <c r="E104" s="47">
        <f>AVERAGE($L$13:$L$14)</f>
        <v>2.3999999999999998E-3</v>
      </c>
      <c r="F104" s="36" t="s">
        <v>52</v>
      </c>
      <c r="G104" s="36"/>
      <c r="M104"/>
    </row>
    <row r="105" spans="1:13" x14ac:dyDescent="0.2">
      <c r="A105" t="s">
        <v>204</v>
      </c>
      <c r="B105" s="4">
        <v>875</v>
      </c>
      <c r="C105" s="34">
        <v>0.5</v>
      </c>
      <c r="F105" s="36" t="s">
        <v>52</v>
      </c>
      <c r="M105"/>
    </row>
    <row r="106" spans="1:13" x14ac:dyDescent="0.2">
      <c r="A106" s="17" t="s">
        <v>131</v>
      </c>
      <c r="B106" s="4">
        <v>465</v>
      </c>
      <c r="C106" s="22">
        <v>0.50600000000000001</v>
      </c>
      <c r="D106" s="18" t="s">
        <v>89</v>
      </c>
      <c r="E106" s="24">
        <v>4.4999999999999997E-3</v>
      </c>
      <c r="F106" s="3" t="s">
        <v>238</v>
      </c>
      <c r="G106" s="36" t="s">
        <v>27</v>
      </c>
      <c r="M106"/>
    </row>
    <row r="107" spans="1:13" x14ac:dyDescent="0.2">
      <c r="A107" s="17" t="s">
        <v>119</v>
      </c>
      <c r="B107" s="4">
        <v>575</v>
      </c>
      <c r="C107" s="22">
        <v>0.47599999999999998</v>
      </c>
      <c r="D107" s="18" t="s">
        <v>89</v>
      </c>
      <c r="E107" s="24">
        <v>2.0999999999999999E-3</v>
      </c>
      <c r="F107" s="3" t="s">
        <v>228</v>
      </c>
      <c r="G107" s="36" t="s">
        <v>27</v>
      </c>
      <c r="M107"/>
    </row>
    <row r="108" spans="1:13" x14ac:dyDescent="0.2">
      <c r="A108" t="s">
        <v>205</v>
      </c>
      <c r="B108" s="4">
        <v>360</v>
      </c>
      <c r="C108" s="22">
        <f>$N$17</f>
        <v>0.51539999999999997</v>
      </c>
      <c r="D108" s="28" t="s">
        <v>89</v>
      </c>
      <c r="E108" s="24">
        <f>$P$17</f>
        <v>3.8E-3</v>
      </c>
      <c r="F108" s="36" t="s">
        <v>52</v>
      </c>
      <c r="G108" s="36" t="s">
        <v>27</v>
      </c>
      <c r="M108"/>
    </row>
    <row r="109" spans="1:13" x14ac:dyDescent="0.2">
      <c r="A109" s="17" t="s">
        <v>126</v>
      </c>
      <c r="B109" s="4">
        <v>400</v>
      </c>
      <c r="C109" s="22">
        <v>0.49740000000000001</v>
      </c>
      <c r="D109" s="18" t="s">
        <v>89</v>
      </c>
      <c r="E109" s="24">
        <v>1.6000000000000001E-3</v>
      </c>
      <c r="F109" s="3" t="s">
        <v>225</v>
      </c>
      <c r="G109" s="36" t="s">
        <v>27</v>
      </c>
      <c r="I109"/>
      <c r="M109"/>
    </row>
    <row r="110" spans="1:13" x14ac:dyDescent="0.2">
      <c r="A110" s="17" t="s">
        <v>109</v>
      </c>
      <c r="B110" s="4">
        <v>755</v>
      </c>
      <c r="C110" s="22">
        <v>0.49569999999999997</v>
      </c>
      <c r="D110" s="18" t="s">
        <v>89</v>
      </c>
      <c r="E110" s="24">
        <v>2.2000000000000001E-3</v>
      </c>
      <c r="F110" s="3" t="s">
        <v>219</v>
      </c>
      <c r="G110" s="36" t="s">
        <v>27</v>
      </c>
      <c r="I110"/>
      <c r="M110"/>
    </row>
    <row r="111" spans="1:13" x14ac:dyDescent="0.2">
      <c r="A111" s="17" t="s">
        <v>120</v>
      </c>
      <c r="B111" s="4">
        <v>425</v>
      </c>
      <c r="C111" s="22">
        <v>0.50390000000000001</v>
      </c>
      <c r="D111" s="18" t="s">
        <v>89</v>
      </c>
      <c r="E111" s="24">
        <v>4.4999999999999997E-3</v>
      </c>
      <c r="F111" s="3" t="s">
        <v>234</v>
      </c>
      <c r="G111" s="36" t="s">
        <v>27</v>
      </c>
      <c r="I111"/>
      <c r="M111"/>
    </row>
    <row r="112" spans="1:13" x14ac:dyDescent="0.2">
      <c r="A112" s="17" t="s">
        <v>111</v>
      </c>
      <c r="B112" s="45">
        <f>AVERAGE(415,400,430)</f>
        <v>415</v>
      </c>
      <c r="C112" s="22">
        <v>0.49049999999999999</v>
      </c>
      <c r="D112" s="18" t="s">
        <v>89</v>
      </c>
      <c r="E112" s="24">
        <v>5.7999999999999996E-3</v>
      </c>
      <c r="F112" s="3" t="s">
        <v>235</v>
      </c>
      <c r="G112" s="36" t="s">
        <v>27</v>
      </c>
      <c r="I112"/>
      <c r="M112"/>
    </row>
    <row r="113" spans="1:13" x14ac:dyDescent="0.2">
      <c r="A113" s="17" t="s">
        <v>97</v>
      </c>
      <c r="B113" s="4">
        <v>690</v>
      </c>
      <c r="C113" s="22">
        <v>0.4627</v>
      </c>
      <c r="D113" s="18" t="s">
        <v>89</v>
      </c>
      <c r="E113" s="24">
        <v>3.3E-3</v>
      </c>
      <c r="F113" s="3" t="s">
        <v>241</v>
      </c>
      <c r="G113" s="36" t="s">
        <v>27</v>
      </c>
      <c r="I113"/>
      <c r="M113"/>
    </row>
  </sheetData>
  <sortState xmlns:xlrd2="http://schemas.microsoft.com/office/spreadsheetml/2017/richdata2" ref="A2:H113">
    <sortCondition ref="A2:A113"/>
  </sortState>
  <mergeCells count="2">
    <mergeCell ref="J1:L1"/>
    <mergeCell ref="N1:P1"/>
  </mergeCells>
  <phoneticPr fontId="11" type="noConversion"/>
  <hyperlinks>
    <hyperlink ref="F2" r:id="rId1" display="https://opslagco2inhout.nl/motivatie" xr:uid="{3BB6AE19-F2EE-4509-91E7-26317DCAE90E}"/>
    <hyperlink ref="F75" r:id="rId2" xr:uid="{E096483A-0479-4335-83AE-28D982EDA62F}"/>
    <hyperlink ref="G113" r:id="rId3" xr:uid="{92CC822B-2488-4C3A-8361-35390202CE86}"/>
    <hyperlink ref="G77" r:id="rId4" xr:uid="{948311D1-7EAA-4AD1-A33B-BEA894BF59F7}"/>
    <hyperlink ref="G8" r:id="rId5" xr:uid="{796AD8A2-104D-405D-9D27-977C455FE4BA}"/>
    <hyperlink ref="G42" r:id="rId6" xr:uid="{F78DE973-92D3-41A0-94AE-901EAE9B5BAB}"/>
    <hyperlink ref="G53" r:id="rId7" xr:uid="{1A8F7C0A-48B7-444C-AF10-561E3279C8FA}"/>
    <hyperlink ref="G108" r:id="rId8" xr:uid="{9998D693-74DB-490B-8BBE-5A632A799254}"/>
    <hyperlink ref="G22" r:id="rId9" xr:uid="{87DEA0C8-6099-4D6C-AE53-F4847F2D0559}"/>
    <hyperlink ref="G29" r:id="rId10" xr:uid="{8A611CE3-3325-4FBC-B1DC-7B3A2F5F1293}"/>
    <hyperlink ref="G87" r:id="rId11" xr:uid="{8F88EBAA-9075-450A-9F9C-4D6ADAEE2320}"/>
    <hyperlink ref="G96" r:id="rId12" xr:uid="{79968D33-C0EA-40D1-8A7F-BA6D7822F0D9}"/>
    <hyperlink ref="G85" r:id="rId13" xr:uid="{389DA615-0477-434B-BE3A-703385DC74D8}"/>
    <hyperlink ref="G7" r:id="rId14" xr:uid="{835A7F1E-9569-4B19-A36D-9CF95952F19B}"/>
    <hyperlink ref="G25" r:id="rId15" xr:uid="{47B31625-2F2F-4E2D-8F6F-E339025736CD}"/>
    <hyperlink ref="G30" r:id="rId16" xr:uid="{D082CFB0-5B2B-4738-8256-675DD2540F21}"/>
    <hyperlink ref="G43" r:id="rId17" xr:uid="{1D91166B-A050-45E7-94C1-DFC981B31792}"/>
    <hyperlink ref="G11" r:id="rId18" xr:uid="{965DA3CE-2FB6-43B5-98CA-75E195512D03}"/>
    <hyperlink ref="G27" r:id="rId19" xr:uid="{E5AEF4E0-D548-4F36-AC19-3F9DAD69938C}"/>
    <hyperlink ref="G83" r:id="rId20" xr:uid="{C245E4D0-B945-4271-9ABF-CB613CEE3504}"/>
    <hyperlink ref="G110" r:id="rId21" xr:uid="{8902272E-7ECB-4079-9E0B-001E05AA9387}"/>
    <hyperlink ref="G72" r:id="rId22" xr:uid="{561C66B5-BC85-4168-8921-A10942917807}"/>
    <hyperlink ref="G26" r:id="rId23" xr:uid="{804BE9F8-9C5C-4526-A4B0-B0A9067477EE}"/>
    <hyperlink ref="G112" r:id="rId24" xr:uid="{DCACE670-7154-486F-B9C5-1AD1B1097E30}"/>
    <hyperlink ref="G10" r:id="rId25" xr:uid="{1F68C26D-8977-4F0B-B0B6-6CE0355673B4}"/>
    <hyperlink ref="G44" r:id="rId26" xr:uid="{6AB13246-8897-484A-824E-268C67615E81}"/>
    <hyperlink ref="G17" r:id="rId27" xr:uid="{2FF8541E-A036-4AFB-B9C8-41CB63C5E608}"/>
    <hyperlink ref="G76" r:id="rId28" xr:uid="{A1EE5E09-1C72-4781-AEFC-FF1C8FE4EC01}"/>
    <hyperlink ref="G107" r:id="rId29" xr:uid="{5347E12C-8A14-43B8-99AC-97E0D4700721}"/>
    <hyperlink ref="G9" r:id="rId30" xr:uid="{7E0FCC7E-84AB-4F3C-A35F-5889EEA859F3}"/>
    <hyperlink ref="G95" r:id="rId31" xr:uid="{5F2DFD41-7E7A-46DD-AD99-97E409BD9278}"/>
    <hyperlink ref="G111" r:id="rId32" xr:uid="{5AD59948-74C0-4665-9457-62A68E5A782F}"/>
    <hyperlink ref="G57" r:id="rId33" xr:uid="{A54A9F90-3435-4570-9B53-885FAE238F6B}"/>
    <hyperlink ref="G59:G62" r:id="rId34" display="https://www.sciencedirect.com/science/article/abs/pii/S0961953403000333" xr:uid="{BFF7EEE5-4F97-484B-9439-853BD0464307}"/>
    <hyperlink ref="G30:G31" r:id="rId35" display="https://www.sciencedirect.com/science/article/abs/pii/S0961953403000333" xr:uid="{6569F027-FAC3-431F-94CF-6A59A1FECA6F}"/>
    <hyperlink ref="G73" r:id="rId36" xr:uid="{06880C2A-2CDE-4FF1-BD07-A7D5052CCFD5}"/>
    <hyperlink ref="G106" r:id="rId37" xr:uid="{3A0FC06A-85C2-45B3-A008-611DF6922A55}"/>
    <hyperlink ref="G32" r:id="rId38" xr:uid="{A5C69646-44A7-4392-8C8D-7E61A81AFE41}"/>
    <hyperlink ref="F49" r:id="rId39" xr:uid="{52442428-9004-4389-9582-C4CD45AD4EF5}"/>
    <hyperlink ref="F91" r:id="rId40" xr:uid="{DEC94E06-810B-4B8E-A6FA-62505B824D31}"/>
    <hyperlink ref="F92" r:id="rId41" xr:uid="{FA59E57C-E867-4048-A7C2-8CBC26384266}"/>
    <hyperlink ref="F10" r:id="rId42" display="https://www.houtinfo.nl/node/224" xr:uid="{80A331B5-5BE4-4FC4-A4D6-68E9E25CE344}"/>
    <hyperlink ref="F44" r:id="rId43" display="https://www.houtinfo.nl/node/255" xr:uid="{7BC04188-9890-45DD-B8C7-5DD386F98327}"/>
    <hyperlink ref="F86" r:id="rId44" display="https://www.wood-database.com/western-red-cedar/" xr:uid="{8132382E-CD3D-4F55-8905-C454415671AE}"/>
    <hyperlink ref="F71" r:id="rId45" display="https://www.wood-database.com/alaskan-yellow-cedar/" xr:uid="{B46569B8-A8C5-46F5-ADF6-891FE9C7A1F4}"/>
    <hyperlink ref="F76" r:id="rId46" display="https://www.wood-database.com/pacific-silver-fir/" xr:uid="{E25B106E-F8F4-4236-BF0B-0ABF2E2E17B9}"/>
    <hyperlink ref="F17" r:id="rId47" display="https://www.wood-database.com/balsam-fir/" xr:uid="{9C538660-D2C7-464B-98BE-1866785CB7E3}"/>
    <hyperlink ref="F29" r:id="rId48" display="https://www.wood-database.com/box-elder/" xr:uid="{D9F22916-6B95-408F-9198-9558FEE23283}"/>
    <hyperlink ref="F22" r:id="rId49" display="https://www.wood-database.com/bigleaf-maple/" xr:uid="{AD68BBF6-6D08-4975-A919-E2DA5C6C359C}"/>
    <hyperlink ref="F96" r:id="rId50" display="https://www.wood-database.com/hard-maple/" xr:uid="{DC19141C-7F24-44DE-82C1-C31A1EDD8C72}"/>
    <hyperlink ref="F87" r:id="rId51" display="https://www.wood-database.com/red-maple/" xr:uid="{3FBFE147-0270-4E75-9E9C-23E7D6E4E9B7}"/>
    <hyperlink ref="F85" r:id="rId52" display="https://www.wood-database.com/red-alder/" xr:uid="{EDD5422A-49A8-424C-AF1B-466664F1CEDC}"/>
    <hyperlink ref="F25" r:id="rId53" display="https://www.wood-database.com/black-ash/" xr:uid="{9D285B07-47C3-4C1F-8E7D-F155DE0BC027}"/>
    <hyperlink ref="F7" r:id="rId54" display="https://www.wood-database.com/white-ash/" xr:uid="{1152E086-8115-4D2C-A40E-2178BE3BD942}"/>
    <hyperlink ref="F110" r:id="rId55" display="https://www.wood-database.com/white-oak/" xr:uid="{EE6AA15A-7C56-4519-B2AA-DF3C2078D1F3}"/>
    <hyperlink ref="F72" r:id="rId56" display="https://www.wood-database.com/red-oak/" xr:uid="{3AB77B5C-BE74-46F1-876C-1CF66AA6C3A3}"/>
    <hyperlink ref="F63" r:id="rId57" display="https://www.wood-database.com/lodgepole-pine/" xr:uid="{9DB936AC-3CBC-4793-834E-193DFB5C44F6}"/>
    <hyperlink ref="F57" r:id="rId58" display="https://www.wood-database.com/jack-pine/" xr:uid="{E3052E0B-7625-4FFC-A4FA-540928315118}"/>
    <hyperlink ref="F80" r:id="rId59" display="https://www.wood-database.com/ponderosa-pine/" xr:uid="{F9F4838F-F222-45D0-8E2D-32AFF9B781B1}"/>
    <hyperlink ref="F88" r:id="rId60" display="https://www.wood-database.com/red-pine/" xr:uid="{9A126274-0EFB-4629-B7AE-D86FAAC3118D}"/>
    <hyperlink ref="F109" r:id="rId61" display="https://www.wood-database.com/eastern-white-pine/" xr:uid="{B8B620BA-EAEA-4A1A-91A8-B404F242C72E}"/>
    <hyperlink ref="F53" r:id="rId62" display="https://www.wood-database.com/?s=carya" xr:uid="{7D37547D-75C4-4093-A062-C81B872D9581}"/>
    <hyperlink ref="F9" r:id="rId63" display="https://www.wood-database.com/tamarack/" xr:uid="{736FE7E4-5FED-455C-AAB6-B00BF6FC05CD}"/>
    <hyperlink ref="F107" r:id="rId64" display="https://www.wood-database.com/western-larch/" xr:uid="{803B4D82-1326-4F8D-99FB-E130AEA1D593}"/>
    <hyperlink ref="F11" r:id="rId65" display="https://www.wood-database.com/sycamore/" xr:uid="{EDB5BAC2-458B-4987-9953-497F7D1069E0}"/>
    <hyperlink ref="F27" r:id="rId66" display="https://www.wood-database.com/black-cottonwood/" xr:uid="{26B78477-3DEB-4A7D-9E81-FEFEA300479A}"/>
    <hyperlink ref="F83" r:id="rId67" display="https://www.wood-database.com/quaking-aspen/" xr:uid="{38DAD106-A95D-4D0B-900E-52173F8BBF94}"/>
    <hyperlink ref="F26" r:id="rId68" display="https://www.wood-database.com/black-cherry/" xr:uid="{E9F4E128-4FD2-4FD8-A7A3-E145FFB210DC}"/>
    <hyperlink ref="F95" r:id="rId69" display="https://www.wood-database.com/sitka-spruce/" xr:uid="{F5A3B799-1AA3-4110-9FC9-78DB56C5CC7D}"/>
    <hyperlink ref="F111" r:id="rId70" display="https://www.wood-database.com/white-spruce/" xr:uid="{6D59DF1A-FB7F-4CFF-9A89-D59B58940271}"/>
    <hyperlink ref="F112" r:id="rId71" display="https://www.wood-database.com/?s=salix" xr:uid="{C4BBD26A-F974-4567-B470-DB6808E8E8AC}"/>
    <hyperlink ref="F43" r:id="rId72" display="https://www.wood-database.com/black-walnut/" xr:uid="{EB73D7DC-9C97-4339-A942-3EE41C674E7E}"/>
    <hyperlink ref="F30" r:id="rId73" display="https://www.wood-database.com/butternut/" xr:uid="{B2356055-A81D-4AF0-B995-66BE7B5DFB4A}"/>
    <hyperlink ref="F106" r:id="rId74" display="https://www.wood-database.com/western-hemlock/" xr:uid="{84C26666-3AA0-4B1E-BAA1-68681806F6A6}"/>
    <hyperlink ref="F32" r:id="rId75" display="https://www.wood-database.com/eastern-hemlock/" xr:uid="{C44A5800-36F9-490F-8476-1DFAE78C65D0}"/>
    <hyperlink ref="F73" r:id="rId76" display="https://www.wood-database.com/northern-white-cedar/" xr:uid="{F76B604F-4F31-4AB6-83C7-76FCD7086EAD}"/>
    <hyperlink ref="F113" r:id="rId77" display="https://www.wood-database.com/yellow-birch/" xr:uid="{E7CDB400-EEA0-41A4-A33C-899A480342EB}"/>
    <hyperlink ref="F77" r:id="rId78" display="https://www.wood-database.com/paper-birch/" xr:uid="{59F0B2B6-D397-4AC2-B4B2-FA62EF8E57AD}"/>
    <hyperlink ref="F8" r:id="rId79" display="https://www.wood-database.com/american-beech/" xr:uid="{76E77B4B-86C4-4E09-B602-639000758827}"/>
    <hyperlink ref="G51" r:id="rId80" display="https://www.researchgate.net/publication/287808853_Carbon_content_in_Juvenile_and_mature_wood_of_Scots_Pine_Pinus_sylyestris_L" xr:uid="{DCC5095E-B045-440C-A3AF-F752FFE1A87F}"/>
  </hyperlinks>
  <pageMargins left="0.7" right="0.7" top="0.75" bottom="0.75" header="0.3" footer="0.3"/>
  <pageSetup paperSize="9" orientation="portrait" horizontalDpi="4294967293" verticalDpi="0" r:id="rId81"/>
  <drawing r:id="rId8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D7F1-8E8C-4433-94D5-03B61A15B8B3}">
  <dimension ref="A1:K28"/>
  <sheetViews>
    <sheetView workbookViewId="0">
      <selection activeCell="J4" sqref="J4"/>
    </sheetView>
  </sheetViews>
  <sheetFormatPr baseColWidth="10" defaultColWidth="8.83203125" defaultRowHeight="15" x14ac:dyDescent="0.2"/>
  <cols>
    <col min="7" max="7" width="9.1640625" customWidth="1"/>
    <col min="8" max="9" width="43.83203125" bestFit="1" customWidth="1"/>
    <col min="10" max="10" width="43.83203125" customWidth="1"/>
    <col min="11" max="11" width="24.33203125" bestFit="1" customWidth="1"/>
  </cols>
  <sheetData>
    <row r="1" spans="1:11" x14ac:dyDescent="0.2">
      <c r="A1" s="14" t="s">
        <v>33</v>
      </c>
      <c r="B1" s="14" t="s">
        <v>48</v>
      </c>
      <c r="C1" s="14" t="s">
        <v>44</v>
      </c>
      <c r="D1" s="14" t="s">
        <v>0</v>
      </c>
      <c r="E1" s="14" t="s">
        <v>69</v>
      </c>
      <c r="F1" s="14"/>
      <c r="G1" s="14" t="s">
        <v>289</v>
      </c>
      <c r="H1" s="14"/>
    </row>
    <row r="2" spans="1:11" x14ac:dyDescent="0.2">
      <c r="A2" t="s">
        <v>34</v>
      </c>
      <c r="C2" t="s">
        <v>45</v>
      </c>
      <c r="D2" t="s">
        <v>65</v>
      </c>
      <c r="E2" s="10">
        <v>0.05</v>
      </c>
      <c r="G2" s="14" t="s">
        <v>288</v>
      </c>
      <c r="H2" s="14" t="s">
        <v>287</v>
      </c>
      <c r="I2" s="14" t="s">
        <v>266</v>
      </c>
      <c r="J2" s="14" t="s">
        <v>395</v>
      </c>
      <c r="K2" s="52" t="s">
        <v>445</v>
      </c>
    </row>
    <row r="3" spans="1:11" x14ac:dyDescent="0.2">
      <c r="A3" t="s">
        <v>35</v>
      </c>
      <c r="C3" t="s">
        <v>46</v>
      </c>
      <c r="D3" t="s">
        <v>66</v>
      </c>
      <c r="E3" s="10">
        <v>0.1</v>
      </c>
      <c r="G3" s="54" t="s">
        <v>15</v>
      </c>
      <c r="H3" s="54" t="s">
        <v>0</v>
      </c>
      <c r="I3" s="54" t="s">
        <v>82</v>
      </c>
      <c r="J3" s="80" t="s">
        <v>450</v>
      </c>
      <c r="K3" t="s">
        <v>255</v>
      </c>
    </row>
    <row r="4" spans="1:11" ht="17" x14ac:dyDescent="0.2">
      <c r="A4" t="s">
        <v>36</v>
      </c>
      <c r="C4" t="s">
        <v>47</v>
      </c>
      <c r="D4" t="s">
        <v>67</v>
      </c>
      <c r="E4" s="10">
        <v>0.15</v>
      </c>
      <c r="G4" s="54" t="s">
        <v>21</v>
      </c>
      <c r="H4" s="54" t="s">
        <v>82</v>
      </c>
      <c r="I4" s="54" t="s">
        <v>441</v>
      </c>
      <c r="J4" s="54" t="s">
        <v>446</v>
      </c>
      <c r="K4" t="s">
        <v>253</v>
      </c>
    </row>
    <row r="5" spans="1:11" x14ac:dyDescent="0.2">
      <c r="A5" t="s">
        <v>37</v>
      </c>
      <c r="E5" s="10">
        <v>0.2</v>
      </c>
      <c r="G5" s="54" t="s">
        <v>444</v>
      </c>
      <c r="H5" s="54" t="s">
        <v>12</v>
      </c>
      <c r="I5" s="54" t="s">
        <v>438</v>
      </c>
      <c r="J5" s="54"/>
      <c r="K5" t="s">
        <v>254</v>
      </c>
    </row>
    <row r="6" spans="1:11" x14ac:dyDescent="0.2">
      <c r="A6" t="s">
        <v>38</v>
      </c>
      <c r="E6" s="10">
        <v>0.25</v>
      </c>
      <c r="G6" s="54"/>
      <c r="H6" s="54" t="s">
        <v>25</v>
      </c>
      <c r="I6" s="54" t="s">
        <v>433</v>
      </c>
      <c r="J6" s="54"/>
      <c r="K6" t="s">
        <v>7</v>
      </c>
    </row>
    <row r="7" spans="1:11" x14ac:dyDescent="0.2">
      <c r="A7" t="s">
        <v>39</v>
      </c>
      <c r="E7" s="10">
        <v>0.3</v>
      </c>
      <c r="G7" s="54"/>
      <c r="H7" s="54" t="s">
        <v>435</v>
      </c>
      <c r="J7" s="54"/>
      <c r="K7" t="s">
        <v>11</v>
      </c>
    </row>
    <row r="8" spans="1:11" x14ac:dyDescent="0.2">
      <c r="A8" t="s">
        <v>41</v>
      </c>
      <c r="E8" s="10">
        <v>0.35</v>
      </c>
      <c r="G8" s="54"/>
      <c r="I8" s="54"/>
      <c r="J8" s="54"/>
      <c r="K8" t="s">
        <v>13</v>
      </c>
    </row>
    <row r="9" spans="1:11" x14ac:dyDescent="0.2">
      <c r="A9" t="s">
        <v>40</v>
      </c>
      <c r="E9" s="10">
        <v>0.4</v>
      </c>
      <c r="G9" s="54"/>
      <c r="I9" s="54"/>
      <c r="J9" s="54"/>
      <c r="K9" t="s">
        <v>14</v>
      </c>
    </row>
    <row r="10" spans="1:11" x14ac:dyDescent="0.2">
      <c r="A10" t="s">
        <v>73</v>
      </c>
      <c r="E10" s="10">
        <v>0.45</v>
      </c>
      <c r="K10" t="s">
        <v>16</v>
      </c>
    </row>
    <row r="11" spans="1:11" x14ac:dyDescent="0.2">
      <c r="E11" s="10">
        <v>0.5</v>
      </c>
      <c r="K11" t="s">
        <v>17</v>
      </c>
    </row>
    <row r="12" spans="1:11" x14ac:dyDescent="0.2">
      <c r="E12" s="10">
        <v>0.55000000000000004</v>
      </c>
      <c r="K12" t="s">
        <v>18</v>
      </c>
    </row>
    <row r="13" spans="1:11" x14ac:dyDescent="0.2">
      <c r="E13" s="10">
        <v>0.6</v>
      </c>
      <c r="K13" t="s">
        <v>20</v>
      </c>
    </row>
    <row r="14" spans="1:11" x14ac:dyDescent="0.2">
      <c r="E14" s="10">
        <v>0.65</v>
      </c>
      <c r="K14" t="s">
        <v>393</v>
      </c>
    </row>
    <row r="15" spans="1:11" x14ac:dyDescent="0.2">
      <c r="E15" s="10">
        <v>0.7</v>
      </c>
      <c r="K15" t="s">
        <v>22</v>
      </c>
    </row>
    <row r="16" spans="1:11" x14ac:dyDescent="0.2">
      <c r="E16" s="10">
        <v>0.75</v>
      </c>
      <c r="K16" t="s">
        <v>23</v>
      </c>
    </row>
    <row r="17" spans="1:11" x14ac:dyDescent="0.2">
      <c r="E17" s="10">
        <v>0.8</v>
      </c>
      <c r="K17" t="s">
        <v>24</v>
      </c>
    </row>
    <row r="18" spans="1:11" x14ac:dyDescent="0.2">
      <c r="E18" s="10">
        <v>0.85</v>
      </c>
      <c r="K18" t="s">
        <v>246</v>
      </c>
    </row>
    <row r="19" spans="1:11" x14ac:dyDescent="0.2">
      <c r="E19" s="10">
        <v>0.9</v>
      </c>
      <c r="K19" t="s">
        <v>26</v>
      </c>
    </row>
    <row r="20" spans="1:11" x14ac:dyDescent="0.2">
      <c r="E20" s="10">
        <v>0.95</v>
      </c>
      <c r="K20" t="s">
        <v>442</v>
      </c>
    </row>
    <row r="21" spans="1:11" x14ac:dyDescent="0.2">
      <c r="E21" s="10">
        <v>1</v>
      </c>
    </row>
    <row r="24" spans="1:11" x14ac:dyDescent="0.2">
      <c r="A24" s="14" t="s">
        <v>70</v>
      </c>
    </row>
    <row r="25" spans="1:11" x14ac:dyDescent="0.2">
      <c r="A25" s="11" t="s">
        <v>263</v>
      </c>
    </row>
    <row r="26" spans="1:11" x14ac:dyDescent="0.2">
      <c r="A26" s="11" t="s">
        <v>447</v>
      </c>
    </row>
    <row r="27" spans="1:11" x14ac:dyDescent="0.2">
      <c r="A27" t="s">
        <v>394</v>
      </c>
    </row>
    <row r="28" spans="1:11" x14ac:dyDescent="0.2">
      <c r="A28" s="11" t="s">
        <v>396</v>
      </c>
    </row>
  </sheetData>
  <sortState xmlns:xlrd2="http://schemas.microsoft.com/office/spreadsheetml/2017/richdata2" ref="K3:K19">
    <sortCondition ref="K3:K19"/>
  </sortState>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4CE4-67B8-496D-94D1-1217BF7597C3}">
  <dimension ref="A1"/>
  <sheetViews>
    <sheetView zoomScaleNormal="100" workbookViewId="0">
      <selection activeCell="F10" sqref="F10"/>
    </sheetView>
  </sheetViews>
  <sheetFormatPr baseColWidth="10" defaultColWidth="8.83203125" defaultRowHeight="15" x14ac:dyDescent="0.2"/>
  <sheetData/>
  <phoneticPr fontId="11"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20A31-FB29-4C95-B42A-044620FC8FDA}">
  <dimension ref="A1:C97"/>
  <sheetViews>
    <sheetView topLeftCell="A4" zoomScale="80" zoomScaleNormal="80" workbookViewId="0">
      <selection activeCell="A24" sqref="A24"/>
    </sheetView>
  </sheetViews>
  <sheetFormatPr baseColWidth="10" defaultColWidth="8.83203125" defaultRowHeight="15" x14ac:dyDescent="0.2"/>
  <cols>
    <col min="1" max="1" width="58.5" bestFit="1" customWidth="1"/>
    <col min="2" max="2" width="175.6640625" bestFit="1" customWidth="1"/>
    <col min="3" max="3" width="44.33203125" bestFit="1" customWidth="1"/>
  </cols>
  <sheetData>
    <row r="1" spans="1:3" x14ac:dyDescent="0.2">
      <c r="A1" s="14" t="s">
        <v>290</v>
      </c>
      <c r="B1" s="14" t="s">
        <v>293</v>
      </c>
    </row>
    <row r="2" spans="1:3" x14ac:dyDescent="0.2">
      <c r="A2" t="s">
        <v>300</v>
      </c>
      <c r="B2" s="14" t="s">
        <v>300</v>
      </c>
    </row>
    <row r="3" spans="1:3" x14ac:dyDescent="0.2">
      <c r="A3" t="s">
        <v>301</v>
      </c>
      <c r="B3" t="s">
        <v>291</v>
      </c>
      <c r="C3" s="54"/>
    </row>
    <row r="4" spans="1:3" x14ac:dyDescent="0.2">
      <c r="A4" t="s">
        <v>302</v>
      </c>
      <c r="C4" s="54"/>
    </row>
    <row r="5" spans="1:3" x14ac:dyDescent="0.2">
      <c r="A5" t="s">
        <v>303</v>
      </c>
      <c r="B5" s="14" t="s">
        <v>301</v>
      </c>
      <c r="C5" s="54"/>
    </row>
    <row r="6" spans="1:3" x14ac:dyDescent="0.2">
      <c r="A6" t="s">
        <v>304</v>
      </c>
      <c r="B6" s="19" t="s">
        <v>318</v>
      </c>
      <c r="C6" s="54"/>
    </row>
    <row r="7" spans="1:3" x14ac:dyDescent="0.2">
      <c r="A7" t="s">
        <v>305</v>
      </c>
      <c r="B7" t="s">
        <v>319</v>
      </c>
      <c r="C7" s="54"/>
    </row>
    <row r="8" spans="1:3" x14ac:dyDescent="0.2">
      <c r="A8" t="s">
        <v>306</v>
      </c>
      <c r="C8" s="54"/>
    </row>
    <row r="9" spans="1:3" ht="17" thickBot="1" x14ac:dyDescent="0.25">
      <c r="A9" t="s">
        <v>307</v>
      </c>
      <c r="B9" s="14" t="s">
        <v>302</v>
      </c>
      <c r="C9" s="53" t="s">
        <v>294</v>
      </c>
    </row>
    <row r="10" spans="1:3" ht="17" thickBot="1" x14ac:dyDescent="0.25">
      <c r="A10" t="s">
        <v>308</v>
      </c>
      <c r="B10" t="s">
        <v>320</v>
      </c>
      <c r="C10" s="53" t="s">
        <v>295</v>
      </c>
    </row>
    <row r="11" spans="1:3" ht="17" thickBot="1" x14ac:dyDescent="0.25">
      <c r="A11" t="s">
        <v>309</v>
      </c>
      <c r="B11" t="s">
        <v>321</v>
      </c>
      <c r="C11" s="53" t="s">
        <v>296</v>
      </c>
    </row>
    <row r="12" spans="1:3" ht="17" thickBot="1" x14ac:dyDescent="0.25">
      <c r="A12" t="s">
        <v>310</v>
      </c>
      <c r="B12" t="s">
        <v>322</v>
      </c>
      <c r="C12" s="53" t="s">
        <v>297</v>
      </c>
    </row>
    <row r="13" spans="1:3" ht="17" thickBot="1" x14ac:dyDescent="0.25">
      <c r="A13" t="s">
        <v>311</v>
      </c>
      <c r="B13" t="s">
        <v>323</v>
      </c>
      <c r="C13" s="53" t="s">
        <v>298</v>
      </c>
    </row>
    <row r="14" spans="1:3" ht="17" thickBot="1" x14ac:dyDescent="0.25">
      <c r="A14" t="s">
        <v>312</v>
      </c>
      <c r="B14" t="s">
        <v>324</v>
      </c>
      <c r="C14" s="53" t="s">
        <v>299</v>
      </c>
    </row>
    <row r="15" spans="1:3" x14ac:dyDescent="0.2">
      <c r="A15" t="s">
        <v>313</v>
      </c>
      <c r="B15" t="s">
        <v>325</v>
      </c>
    </row>
    <row r="16" spans="1:3" x14ac:dyDescent="0.2">
      <c r="A16" t="s">
        <v>314</v>
      </c>
      <c r="B16" t="s">
        <v>326</v>
      </c>
    </row>
    <row r="17" spans="1:2" x14ac:dyDescent="0.2">
      <c r="A17" t="s">
        <v>315</v>
      </c>
      <c r="B17" t="s">
        <v>327</v>
      </c>
    </row>
    <row r="18" spans="1:2" x14ac:dyDescent="0.2">
      <c r="A18" t="s">
        <v>316</v>
      </c>
      <c r="B18" t="s">
        <v>328</v>
      </c>
    </row>
    <row r="19" spans="1:2" x14ac:dyDescent="0.2">
      <c r="A19" t="s">
        <v>317</v>
      </c>
      <c r="B19" t="s">
        <v>329</v>
      </c>
    </row>
    <row r="20" spans="1:2" x14ac:dyDescent="0.2">
      <c r="B20" t="s">
        <v>330</v>
      </c>
    </row>
    <row r="21" spans="1:2" x14ac:dyDescent="0.2">
      <c r="A21" t="s">
        <v>292</v>
      </c>
      <c r="B21" t="s">
        <v>331</v>
      </c>
    </row>
    <row r="22" spans="1:2" x14ac:dyDescent="0.2">
      <c r="B22" t="s">
        <v>332</v>
      </c>
    </row>
    <row r="23" spans="1:2" x14ac:dyDescent="0.2">
      <c r="B23" t="s">
        <v>333</v>
      </c>
    </row>
    <row r="24" spans="1:2" x14ac:dyDescent="0.2">
      <c r="B24" t="s">
        <v>334</v>
      </c>
    </row>
    <row r="25" spans="1:2" x14ac:dyDescent="0.2">
      <c r="B25" t="s">
        <v>335</v>
      </c>
    </row>
    <row r="26" spans="1:2" x14ac:dyDescent="0.2">
      <c r="B26" t="s">
        <v>336</v>
      </c>
    </row>
    <row r="27" spans="1:2" x14ac:dyDescent="0.2">
      <c r="B27" t="s">
        <v>337</v>
      </c>
    </row>
    <row r="29" spans="1:2" x14ac:dyDescent="0.2">
      <c r="B29" s="14" t="s">
        <v>303</v>
      </c>
    </row>
    <row r="30" spans="1:2" x14ac:dyDescent="0.2">
      <c r="B30" t="s">
        <v>338</v>
      </c>
    </row>
    <row r="31" spans="1:2" x14ac:dyDescent="0.2">
      <c r="B31" t="s">
        <v>339</v>
      </c>
    </row>
    <row r="32" spans="1:2" x14ac:dyDescent="0.2">
      <c r="B32" t="s">
        <v>340</v>
      </c>
    </row>
    <row r="33" spans="2:2" x14ac:dyDescent="0.2">
      <c r="B33" t="s">
        <v>341</v>
      </c>
    </row>
    <row r="34" spans="2:2" x14ac:dyDescent="0.2">
      <c r="B34" t="s">
        <v>342</v>
      </c>
    </row>
    <row r="35" spans="2:2" x14ac:dyDescent="0.2">
      <c r="B35" t="s">
        <v>343</v>
      </c>
    </row>
    <row r="37" spans="2:2" x14ac:dyDescent="0.2">
      <c r="B37" s="14" t="s">
        <v>304</v>
      </c>
    </row>
    <row r="38" spans="2:2" x14ac:dyDescent="0.2">
      <c r="B38" t="s">
        <v>344</v>
      </c>
    </row>
    <row r="39" spans="2:2" x14ac:dyDescent="0.2">
      <c r="B39" t="s">
        <v>345</v>
      </c>
    </row>
    <row r="40" spans="2:2" x14ac:dyDescent="0.2">
      <c r="B40" t="s">
        <v>346</v>
      </c>
    </row>
    <row r="41" spans="2:2" x14ac:dyDescent="0.2">
      <c r="B41" t="s">
        <v>347</v>
      </c>
    </row>
    <row r="42" spans="2:2" x14ac:dyDescent="0.2">
      <c r="B42" t="s">
        <v>348</v>
      </c>
    </row>
    <row r="43" spans="2:2" x14ac:dyDescent="0.2">
      <c r="B43" t="s">
        <v>349</v>
      </c>
    </row>
    <row r="44" spans="2:2" x14ac:dyDescent="0.2">
      <c r="B44" t="s">
        <v>350</v>
      </c>
    </row>
    <row r="46" spans="2:2" x14ac:dyDescent="0.2">
      <c r="B46" s="14" t="s">
        <v>305</v>
      </c>
    </row>
    <row r="47" spans="2:2" x14ac:dyDescent="0.2">
      <c r="B47" t="s">
        <v>351</v>
      </c>
    </row>
    <row r="49" spans="2:2" x14ac:dyDescent="0.2">
      <c r="B49" s="14" t="s">
        <v>306</v>
      </c>
    </row>
    <row r="50" spans="2:2" x14ac:dyDescent="0.2">
      <c r="B50" t="s">
        <v>352</v>
      </c>
    </row>
    <row r="51" spans="2:2" x14ac:dyDescent="0.2">
      <c r="B51" t="s">
        <v>353</v>
      </c>
    </row>
    <row r="52" spans="2:2" x14ac:dyDescent="0.2">
      <c r="B52" t="s">
        <v>354</v>
      </c>
    </row>
    <row r="53" spans="2:2" x14ac:dyDescent="0.2">
      <c r="B53" t="s">
        <v>355</v>
      </c>
    </row>
    <row r="54" spans="2:2" x14ac:dyDescent="0.2">
      <c r="B54" t="s">
        <v>356</v>
      </c>
    </row>
    <row r="55" spans="2:2" x14ac:dyDescent="0.2">
      <c r="B55" t="s">
        <v>357</v>
      </c>
    </row>
    <row r="56" spans="2:2" x14ac:dyDescent="0.2">
      <c r="B56" t="s">
        <v>358</v>
      </c>
    </row>
    <row r="57" spans="2:2" x14ac:dyDescent="0.2">
      <c r="B57" t="s">
        <v>359</v>
      </c>
    </row>
    <row r="58" spans="2:2" x14ac:dyDescent="0.2">
      <c r="B58" t="s">
        <v>360</v>
      </c>
    </row>
    <row r="59" spans="2:2" x14ac:dyDescent="0.2">
      <c r="B59" t="s">
        <v>361</v>
      </c>
    </row>
    <row r="60" spans="2:2" x14ac:dyDescent="0.2">
      <c r="B60" t="s">
        <v>362</v>
      </c>
    </row>
    <row r="61" spans="2:2" x14ac:dyDescent="0.2">
      <c r="B61" t="s">
        <v>363</v>
      </c>
    </row>
    <row r="63" spans="2:2" x14ac:dyDescent="0.2">
      <c r="B63" s="14" t="s">
        <v>307</v>
      </c>
    </row>
    <row r="64" spans="2:2" x14ac:dyDescent="0.2">
      <c r="B64" t="s">
        <v>364</v>
      </c>
    </row>
    <row r="65" spans="2:2" x14ac:dyDescent="0.2">
      <c r="B65" t="s">
        <v>365</v>
      </c>
    </row>
    <row r="66" spans="2:2" x14ac:dyDescent="0.2">
      <c r="B66" t="s">
        <v>366</v>
      </c>
    </row>
    <row r="67" spans="2:2" x14ac:dyDescent="0.2">
      <c r="B67" t="s">
        <v>367</v>
      </c>
    </row>
    <row r="68" spans="2:2" x14ac:dyDescent="0.2">
      <c r="B68" t="s">
        <v>368</v>
      </c>
    </row>
    <row r="69" spans="2:2" x14ac:dyDescent="0.2">
      <c r="B69" t="s">
        <v>369</v>
      </c>
    </row>
    <row r="70" spans="2:2" x14ac:dyDescent="0.2">
      <c r="B70" t="s">
        <v>370</v>
      </c>
    </row>
    <row r="71" spans="2:2" x14ac:dyDescent="0.2">
      <c r="B71" t="s">
        <v>371</v>
      </c>
    </row>
    <row r="72" spans="2:2" x14ac:dyDescent="0.2">
      <c r="B72" t="s">
        <v>372</v>
      </c>
    </row>
    <row r="73" spans="2:2" x14ac:dyDescent="0.2">
      <c r="B73" t="s">
        <v>373</v>
      </c>
    </row>
    <row r="74" spans="2:2" x14ac:dyDescent="0.2">
      <c r="B74" t="s">
        <v>374</v>
      </c>
    </row>
    <row r="75" spans="2:2" x14ac:dyDescent="0.2">
      <c r="B75" t="s">
        <v>375</v>
      </c>
    </row>
    <row r="76" spans="2:2" x14ac:dyDescent="0.2">
      <c r="B76" t="s">
        <v>376</v>
      </c>
    </row>
    <row r="77" spans="2:2" x14ac:dyDescent="0.2">
      <c r="B77" t="s">
        <v>377</v>
      </c>
    </row>
    <row r="78" spans="2:2" x14ac:dyDescent="0.2">
      <c r="B78" t="s">
        <v>378</v>
      </c>
    </row>
    <row r="79" spans="2:2" x14ac:dyDescent="0.2">
      <c r="B79" t="s">
        <v>379</v>
      </c>
    </row>
    <row r="81" spans="2:2" x14ac:dyDescent="0.2">
      <c r="B81" s="14" t="s">
        <v>308</v>
      </c>
    </row>
    <row r="82" spans="2:2" x14ac:dyDescent="0.2">
      <c r="B82" t="s">
        <v>380</v>
      </c>
    </row>
    <row r="83" spans="2:2" x14ac:dyDescent="0.2">
      <c r="B83" t="s">
        <v>381</v>
      </c>
    </row>
    <row r="84" spans="2:2" x14ac:dyDescent="0.2">
      <c r="B84" t="s">
        <v>382</v>
      </c>
    </row>
    <row r="85" spans="2:2" x14ac:dyDescent="0.2">
      <c r="B85" t="s">
        <v>383</v>
      </c>
    </row>
    <row r="86" spans="2:2" x14ac:dyDescent="0.2">
      <c r="B86" t="s">
        <v>384</v>
      </c>
    </row>
    <row r="87" spans="2:2" x14ac:dyDescent="0.2">
      <c r="B87" t="s">
        <v>385</v>
      </c>
    </row>
    <row r="88" spans="2:2" x14ac:dyDescent="0.2">
      <c r="B88" t="s">
        <v>386</v>
      </c>
    </row>
    <row r="89" spans="2:2" x14ac:dyDescent="0.2">
      <c r="B89" t="s">
        <v>387</v>
      </c>
    </row>
    <row r="90" spans="2:2" x14ac:dyDescent="0.2">
      <c r="B90" t="s">
        <v>388</v>
      </c>
    </row>
    <row r="92" spans="2:2" x14ac:dyDescent="0.2">
      <c r="B92" s="14" t="s">
        <v>309</v>
      </c>
    </row>
    <row r="93" spans="2:2" x14ac:dyDescent="0.2">
      <c r="B93" t="s">
        <v>389</v>
      </c>
    </row>
    <row r="94" spans="2:2" x14ac:dyDescent="0.2">
      <c r="B94" t="s">
        <v>390</v>
      </c>
    </row>
    <row r="95" spans="2:2" x14ac:dyDescent="0.2">
      <c r="B95" t="s">
        <v>391</v>
      </c>
    </row>
    <row r="97" spans="2:2" x14ac:dyDescent="0.2">
      <c r="B97" s="14" t="s">
        <v>310</v>
      </c>
    </row>
  </sheetData>
  <hyperlinks>
    <hyperlink ref="C9" r:id="rId1" location="product-6013-81-24" display="https://www.nibe.info/nl/members - product-6013-81-24" xr:uid="{333F21D0-99BB-4033-A7AD-6EEBC7AE5487}"/>
    <hyperlink ref="C10" r:id="rId2" location="product-6014-81-24" display="https://www.nibe.info/nl/members - product-6014-81-24" xr:uid="{E9825A77-0165-4C29-882C-ACEDCE41F4F9}"/>
    <hyperlink ref="C11" r:id="rId3" location="product-6015-81-24" display="https://www.nibe.info/nl/members - product-6015-81-24" xr:uid="{BCF88C7D-706F-470D-9AD1-E83EEDCDD688}"/>
    <hyperlink ref="C12" r:id="rId4" location="product-6016-81-24" display="https://www.nibe.info/nl/members - product-6016-81-24" xr:uid="{34AF7692-9C87-4C5A-9BA1-5FFCE3A76349}"/>
    <hyperlink ref="C13" r:id="rId5" location="product-6017-81-24" display="https://www.nibe.info/nl/members - product-6017-81-24" xr:uid="{D4EE0D0D-0AC2-4AE1-B10C-41ED201B73FB}"/>
    <hyperlink ref="C14" r:id="rId6" location="product-6018-81-24" display="https://www.nibe.info/nl/members - product-6018-81-24" xr:uid="{C1D1058A-92F0-4B5A-B157-8C284E2FC5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Explanation</vt:lpstr>
      <vt:lpstr>Calculation-input</vt:lpstr>
      <vt:lpstr>CO2-storage factors</vt:lpstr>
      <vt:lpstr>Life-cycle emissions</vt:lpstr>
      <vt:lpstr>Wood-types</vt:lpstr>
      <vt:lpstr>Drop-down_lists</vt:lpstr>
      <vt:lpstr>Project_data</vt:lpstr>
      <vt:lpstr>XX_Categories</vt:lpstr>
      <vt:lpstr>Boards_planks</vt:lpstr>
      <vt:lpstr>CL</vt:lpstr>
      <vt:lpstr>CLT</vt:lpstr>
      <vt:lpstr>Floors</vt:lpstr>
      <vt:lpstr>Frames_walls</vt:lpstr>
      <vt:lpstr>HSC</vt:lpstr>
      <vt:lpstr>Insulation</vt:lpstr>
      <vt:lpstr>P_cat.</vt:lpstr>
      <vt:lpstr>Products</vt:lpstr>
      <vt:lpstr>Roofs</vt:lpstr>
      <vt:lpstr>Unit</vt:lpstr>
      <vt:lpstr>Wtype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 vV</dc:creator>
  <cp:lastModifiedBy>Sven Jense</cp:lastModifiedBy>
  <dcterms:created xsi:type="dcterms:W3CDTF">2021-03-26T07:47:24Z</dcterms:created>
  <dcterms:modified xsi:type="dcterms:W3CDTF">2021-09-22T19:27:18Z</dcterms:modified>
</cp:coreProperties>
</file>