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kell/Documents/SGI/Projects/11-starter-kits/references/offline-calculations/"/>
    </mc:Choice>
  </mc:AlternateContent>
  <xr:revisionPtr revIDLastSave="0" documentId="13_ncr:1_{5F302A1D-042C-294F-B15E-7705D8F60437}" xr6:coauthVersionLast="47" xr6:coauthVersionMax="47" xr10:uidLastSave="{00000000-0000-0000-0000-000000000000}"/>
  <bookViews>
    <workbookView xWindow="0" yWindow="500" windowWidth="28800" windowHeight="17500" xr2:uid="{63C303C4-630A-5A43-A01D-43786B1DCA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O12" i="1" s="1"/>
  <c r="O8" i="1"/>
  <c r="O6" i="1"/>
  <c r="O7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L11" i="1"/>
  <c r="K11" i="1"/>
  <c r="K10" i="1"/>
  <c r="L7" i="1"/>
  <c r="K9" i="1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W12" i="1"/>
  <c r="L6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V5" i="1"/>
  <c r="W5" i="1" s="1"/>
  <c r="V6" i="1"/>
  <c r="V7" i="1"/>
  <c r="V8" i="1"/>
  <c r="V9" i="1"/>
  <c r="V10" i="1"/>
  <c r="V11" i="1"/>
  <c r="W20" i="1" s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G7" i="1"/>
  <c r="G6" i="1"/>
  <c r="G8" i="1"/>
  <c r="G9" i="1"/>
  <c r="G10" i="1"/>
  <c r="G11" i="1"/>
  <c r="G12" i="1"/>
  <c r="G13" i="1"/>
  <c r="G14" i="1"/>
  <c r="Q14" i="1" s="1"/>
  <c r="G15" i="1"/>
  <c r="Q15" i="1" s="1"/>
  <c r="G16" i="1"/>
  <c r="Q16" i="1" s="1"/>
  <c r="G17" i="1"/>
  <c r="Q17" i="1" s="1"/>
  <c r="G18" i="1"/>
  <c r="Q18" i="1" s="1"/>
  <c r="G19" i="1"/>
  <c r="G20" i="1"/>
  <c r="G21" i="1"/>
  <c r="G22" i="1"/>
  <c r="G23" i="1"/>
  <c r="G24" i="1"/>
  <c r="Q24" i="1" s="1"/>
  <c r="G25" i="1"/>
  <c r="Q25" i="1" s="1"/>
  <c r="G26" i="1"/>
  <c r="Q26" i="1" s="1"/>
  <c r="G27" i="1"/>
  <c r="Q27" i="1" s="1"/>
  <c r="G28" i="1"/>
  <c r="Q20" i="1" l="1"/>
  <c r="Q22" i="1"/>
  <c r="Q23" i="1"/>
  <c r="Q13" i="1"/>
  <c r="Q19" i="1"/>
  <c r="Q28" i="1"/>
  <c r="Q21" i="1"/>
  <c r="W28" i="1"/>
  <c r="W35" i="1"/>
  <c r="W27" i="1"/>
  <c r="W19" i="1"/>
  <c r="W11" i="1"/>
  <c r="W36" i="1"/>
  <c r="W34" i="1"/>
  <c r="W9" i="1"/>
  <c r="W26" i="1"/>
  <c r="W10" i="1"/>
  <c r="W17" i="1"/>
  <c r="W32" i="1"/>
  <c r="W24" i="1"/>
  <c r="W16" i="1"/>
  <c r="W8" i="1"/>
  <c r="W18" i="1"/>
  <c r="W33" i="1"/>
  <c r="W25" i="1"/>
  <c r="W39" i="1"/>
  <c r="W31" i="1"/>
  <c r="W23" i="1"/>
  <c r="W15" i="1"/>
  <c r="W7" i="1"/>
  <c r="W38" i="1"/>
  <c r="W30" i="1"/>
  <c r="W22" i="1"/>
  <c r="W14" i="1"/>
  <c r="W6" i="1"/>
  <c r="W37" i="1"/>
  <c r="W29" i="1"/>
  <c r="W21" i="1"/>
  <c r="W13" i="1"/>
  <c r="P9" i="1" l="1"/>
  <c r="Q9" i="1" s="1"/>
  <c r="P10" i="1"/>
  <c r="Q10" i="1" s="1"/>
  <c r="P11" i="1"/>
  <c r="Q11" i="1" s="1"/>
  <c r="P12" i="1"/>
  <c r="Q12" i="1" s="1"/>
  <c r="P7" i="1"/>
  <c r="Q7" i="1" s="1"/>
  <c r="P6" i="1"/>
  <c r="Q6" i="1" s="1"/>
  <c r="P8" i="1"/>
  <c r="Q8" i="1" s="1"/>
</calcChain>
</file>

<file path=xl/sharedStrings.xml><?xml version="1.0" encoding="utf-8"?>
<sst xmlns="http://schemas.openxmlformats.org/spreadsheetml/2006/main" count="32" uniqueCount="25">
  <si>
    <t xml:space="preserve">LCOE = </t>
  </si>
  <si>
    <t>Sum of costs over lifetime / sum of electrical energy produced over lifetime</t>
  </si>
  <si>
    <t>((Investment costs + O&amp;M costs + Fuel costs)/(1+discount rate)) / (Electrical Energy Produced in year t/ (1+discount rate))</t>
  </si>
  <si>
    <t>Technology</t>
  </si>
  <si>
    <t>Year</t>
  </si>
  <si>
    <t>Coal power plant</t>
  </si>
  <si>
    <t>cap_par</t>
  </si>
  <si>
    <t>fix_par</t>
  </si>
  <si>
    <t>Lifetime</t>
  </si>
  <si>
    <t>Utilization Factor</t>
  </si>
  <si>
    <t>Efficiency</t>
  </si>
  <si>
    <t>LCOE</t>
  </si>
  <si>
    <t>capacity</t>
  </si>
  <si>
    <t>Capital costs</t>
  </si>
  <si>
    <t>Production</t>
  </si>
  <si>
    <t>Onshore wind</t>
  </si>
  <si>
    <t>Fixed costs</t>
  </si>
  <si>
    <t>Interest rate</t>
  </si>
  <si>
    <t>Fuel Cost Rate (MUSD/PJ)</t>
  </si>
  <si>
    <t>Discounted rate</t>
  </si>
  <si>
    <t>Sum</t>
  </si>
  <si>
    <t>Discounted number</t>
  </si>
  <si>
    <t>Fuel Costs</t>
  </si>
  <si>
    <t>HEAT RATE = COMM_IN VALUE</t>
  </si>
  <si>
    <t>CommIn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</si>
</sst>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3B2D7-23A2-3B43-BAE9-D1CECE76F5C0}" name="Table1" displayName="Table1" ref="A5:Q28" totalsRowShown="0">
  <autoFilter ref="A5:Q28" xr:uid="{D083B2D7-23A2-3B43-BAE9-D1CECE76F5C0}"/>
  <tableColumns count="17">
    <tableColumn id="1" xr3:uid="{B88D60DD-C215-D644-9154-C5188A912713}" name="Technology"/>
    <tableColumn id="2" xr3:uid="{6F26CD7E-C5CC-4A4B-9450-1654FD656CC7}" name="Year"/>
    <tableColumn id="17" xr3:uid="{15411392-953F-5348-AA4D-8EEF17E3CF6C}" name="CommIn"/>
    <tableColumn id="14" xr3:uid="{C9273737-823C-FF4A-9801-2A74D02E8E7A}" name="Interest rate"/>
    <tableColumn id="10" xr3:uid="{F49EA88A-433F-AB41-AAFB-0215F1407888}" name="capacity"/>
    <tableColumn id="3" xr3:uid="{04666FE0-1967-0946-8FA8-C26FD8C5D314}" name="cap_par"/>
    <tableColumn id="11" xr3:uid="{6AAE8B8E-1055-1B48-AF76-D1D0FAFB369F}" name="Capital costs" dataDxfId="1">
      <calculatedColumnFormula>Table1[[#This Row],[cap_par]]*Table1[[#This Row],[capacity]]</calculatedColumnFormula>
    </tableColumn>
    <tableColumn id="4" xr3:uid="{42346E1A-2343-D042-9853-EBAE1621BF7D}" name="fix_par"/>
    <tableColumn id="12" xr3:uid="{E0EDE4EB-5264-6043-BAC9-D4D6A86010FF}" name="Fixed costs" dataDxfId="2">
      <calculatedColumnFormula>Table1[[#This Row],[fix_par]]*Table1[[#This Row],[capacity]]*Table1[[#This Row],[Lifetime]]</calculatedColumnFormula>
    </tableColumn>
    <tableColumn id="5" xr3:uid="{F30EA145-3649-944B-9402-72B3D8309DEF}" name="Lifetime"/>
    <tableColumn id="6" xr3:uid="{10A77899-D5FA-E348-9257-56AAB8315F68}" name="Utilization Factor"/>
    <tableColumn id="13" xr3:uid="{F7548241-C7CA-7E47-A66F-5039D906E989}" name="Production" dataDxfId="6">
      <calculatedColumnFormula>Table1[[#This Row],[Utilization Factor]]*Table1[[#This Row],[capacity]]*Table1[[#This Row],[Lifetime]]*365*24</calculatedColumnFormula>
    </tableColumn>
    <tableColumn id="7" xr3:uid="{5EE6C10E-B7A4-814E-BD44-40B9359BDFDF}" name="Efficiency"/>
    <tableColumn id="8" xr3:uid="{1EC84C3C-2A2D-B54C-A066-6B332E9F37D6}" name="Fuel Cost Rate (MUSD/PJ)"/>
    <tableColumn id="15" xr3:uid="{89511566-9CB1-3F42-922A-98556A1D7613}" name="Fuel Costs" dataDxfId="0">
      <calculatedColumnFormula>Table1[[#This Row],[Fuel Cost Rate (MUSD/PJ)]]*Table1[[#This Row],[Efficiency]]*Table1[[#This Row],[capacity]]*Table1[[#This Row],[Utilization Factor]]*365*24</calculatedColumnFormula>
    </tableColumn>
    <tableColumn id="16" xr3:uid="{05FC7CC5-82AB-0040-9A24-548B513E2CFA}" name="Discounted number" dataDxfId="4">
      <calculatedColumnFormula>VLOOKUP(J6,Table2[#All],3,FALSE)</calculatedColumnFormula>
    </tableColumn>
    <tableColumn id="9" xr3:uid="{CA76B1B8-4C1D-1845-8771-197518E843B6}" name="LCOE" dataDxfId="3">
      <calculatedColumnFormula>(Table1[[#This Row],[Capital costs]]+Table1[[#This Row],[Fixed costs]]+Table1[[#This Row],[Fuel Costs]]/(Table1[[#This Row],[Discounted number]]))/(Table1[[#This Row],[Production]]/Table1[[#This Row],[Discounted number]])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3CAC1-3778-DE40-96B1-C2F24C75D2EB}" name="Table2" displayName="Table2" ref="U4:W39" totalsRowShown="0">
  <autoFilter ref="U4:W39" xr:uid="{AF73CAC1-3778-DE40-96B1-C2F24C75D2EB}"/>
  <tableColumns count="3">
    <tableColumn id="1" xr3:uid="{56C8394D-B5DA-834E-A70A-02A4DD3BC819}" name="Year"/>
    <tableColumn id="2" xr3:uid="{11D9D777-BC8A-EA45-8FD8-5A74726B64D3}" name="Discounted rate" dataDxfId="7">
      <calculatedColumnFormula>(1+$D$7)^Table2[[#This Row],[Year]]</calculatedColumnFormula>
    </tableColumn>
    <tableColumn id="3" xr3:uid="{3C6E0536-ED5B-294B-B069-89F461696DB7}" name="Sum" dataDxfId="5">
      <calculatedColumnFormula>SUM($V$4:Table2[[#This Row],[Discounted rate]])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63E8-969B-3546-9F10-324BEF8EE937}">
  <dimension ref="A1:W39"/>
  <sheetViews>
    <sheetView tabSelected="1" workbookViewId="0">
      <selection activeCell="I14" sqref="I14"/>
    </sheetView>
  </sheetViews>
  <sheetFormatPr baseColWidth="10" defaultRowHeight="16" x14ac:dyDescent="0.2"/>
  <cols>
    <col min="1" max="1" width="18.83203125" customWidth="1"/>
    <col min="2" max="3" width="8.33203125" customWidth="1"/>
    <col min="4" max="4" width="13.83203125" bestFit="1" customWidth="1"/>
    <col min="5" max="5" width="8.33203125" customWidth="1"/>
    <col min="7" max="7" width="14" bestFit="1" customWidth="1"/>
    <col min="8" max="8" width="11.6640625" bestFit="1" customWidth="1"/>
    <col min="9" max="9" width="14.6640625" bestFit="1" customWidth="1"/>
    <col min="12" max="12" width="12.33203125" bestFit="1" customWidth="1"/>
    <col min="14" max="14" width="21" bestFit="1" customWidth="1"/>
    <col min="15" max="16" width="21" customWidth="1"/>
    <col min="17" max="17" width="12.1640625" bestFit="1" customWidth="1"/>
    <col min="22" max="22" width="17.83203125" customWidth="1"/>
  </cols>
  <sheetData>
    <row r="1" spans="1:23" x14ac:dyDescent="0.2">
      <c r="A1" t="s">
        <v>0</v>
      </c>
      <c r="B1" t="s">
        <v>1</v>
      </c>
    </row>
    <row r="2" spans="1:23" x14ac:dyDescent="0.2">
      <c r="A2" t="s">
        <v>0</v>
      </c>
      <c r="B2" t="s">
        <v>2</v>
      </c>
      <c r="M2" t="s">
        <v>23</v>
      </c>
    </row>
    <row r="4" spans="1:23" x14ac:dyDescent="0.2">
      <c r="U4" t="s">
        <v>4</v>
      </c>
      <c r="V4" t="s">
        <v>19</v>
      </c>
      <c r="W4" t="s">
        <v>20</v>
      </c>
    </row>
    <row r="5" spans="1:23" x14ac:dyDescent="0.2">
      <c r="A5" t="s">
        <v>3</v>
      </c>
      <c r="B5" t="s">
        <v>4</v>
      </c>
      <c r="C5" t="s">
        <v>24</v>
      </c>
      <c r="D5" t="s">
        <v>17</v>
      </c>
      <c r="E5" t="s">
        <v>12</v>
      </c>
      <c r="F5" t="s">
        <v>6</v>
      </c>
      <c r="G5" t="s">
        <v>13</v>
      </c>
      <c r="H5" t="s">
        <v>7</v>
      </c>
      <c r="I5" t="s">
        <v>16</v>
      </c>
      <c r="J5" t="s">
        <v>8</v>
      </c>
      <c r="K5" t="s">
        <v>9</v>
      </c>
      <c r="L5" t="s">
        <v>14</v>
      </c>
      <c r="M5" t="s">
        <v>10</v>
      </c>
      <c r="N5" t="s">
        <v>18</v>
      </c>
      <c r="O5" t="s">
        <v>22</v>
      </c>
      <c r="P5" t="s">
        <v>21</v>
      </c>
      <c r="Q5" t="s">
        <v>11</v>
      </c>
      <c r="U5">
        <v>1</v>
      </c>
      <c r="V5">
        <f>(1+$D$7)^Table2[[#This Row],[Year]]</f>
        <v>1.1000000000000001</v>
      </c>
      <c r="W5">
        <f>SUM($V$4:Table2[[#This Row],[Discounted rate]])</f>
        <v>1.1000000000000001</v>
      </c>
    </row>
    <row r="6" spans="1:23" x14ac:dyDescent="0.2">
      <c r="A6" t="s">
        <v>5</v>
      </c>
      <c r="B6">
        <v>2050</v>
      </c>
      <c r="C6">
        <v>2.7</v>
      </c>
      <c r="D6">
        <v>0.1</v>
      </c>
      <c r="E6">
        <v>10000</v>
      </c>
      <c r="F6" s="1">
        <v>80.749354005167902</v>
      </c>
      <c r="G6" s="3">
        <f>Table1[[#This Row],[cap_par]]*Table1[[#This Row],[capacity]]</f>
        <v>807493.54005167901</v>
      </c>
      <c r="H6" s="1">
        <v>2.5193798449612399</v>
      </c>
      <c r="I6" s="3">
        <f>Table1[[#This Row],[fix_par]]*Table1[[#This Row],[capacity]]*Table1[[#This Row],[Lifetime]]</f>
        <v>881782.94573643385</v>
      </c>
      <c r="J6">
        <v>35</v>
      </c>
      <c r="K6">
        <v>0.85</v>
      </c>
      <c r="L6">
        <f>Table1[[#This Row],[Utilization Factor]]*Table1[[#This Row],[capacity]]*Table1[[#This Row],[Lifetime]]*365*24</f>
        <v>2606100000</v>
      </c>
      <c r="M6">
        <v>0.37</v>
      </c>
      <c r="N6">
        <v>5.9</v>
      </c>
      <c r="O6">
        <f>Table1[[#This Row],[Fuel Cost Rate (MUSD/PJ)]]*Table1[[#This Row],[Efficiency]]*Table1[[#This Row],[capacity]]*Table1[[#This Row],[Utilization Factor]]*365*24</f>
        <v>162546180.00000003</v>
      </c>
      <c r="P6">
        <f>VLOOKUP(J6,Table2[#All],3,FALSE)</f>
        <v>298.12680532870729</v>
      </c>
      <c r="Q6">
        <f>(Table1[[#This Row],[Capital costs]]+Table1[[#This Row],[Fixed costs]]+Table1[[#This Row],[Fuel Costs]]/(Table1[[#This Row],[Discounted number]]))/(Table1[[#This Row],[Production]]/Table1[[#This Row],[Discounted number]])</f>
        <v>0.25561750586121618</v>
      </c>
      <c r="U6">
        <v>2</v>
      </c>
      <c r="V6">
        <f>(1+$D$7)^Table2[[#This Row],[Year]]</f>
        <v>1.2100000000000002</v>
      </c>
      <c r="W6">
        <f>SUM($V$4:Table2[[#This Row],[Discounted rate]])</f>
        <v>2.3100000000000005</v>
      </c>
    </row>
    <row r="7" spans="1:23" x14ac:dyDescent="0.2">
      <c r="A7" t="s">
        <v>15</v>
      </c>
      <c r="B7">
        <v>2050</v>
      </c>
      <c r="C7">
        <v>1</v>
      </c>
      <c r="D7">
        <v>0.1</v>
      </c>
      <c r="E7">
        <v>10000</v>
      </c>
      <c r="F7" s="1">
        <v>30.135658914728602</v>
      </c>
      <c r="G7" s="3">
        <f>Table1[[#This Row],[cap_par]]*Table1[[#This Row],[capacity]]</f>
        <v>301356.58914728602</v>
      </c>
      <c r="H7" s="1">
        <v>1.2054263565891401</v>
      </c>
      <c r="I7" s="3">
        <f>Table1[[#This Row],[fix_par]]*Table1[[#This Row],[capacity]]*Table1[[#This Row],[Lifetime]]</f>
        <v>301356.58914728503</v>
      </c>
      <c r="J7">
        <v>25</v>
      </c>
      <c r="K7" s="2">
        <v>0.206485416</v>
      </c>
      <c r="L7">
        <f>Table1[[#This Row],[Utilization Factor]]*Table1[[#This Row],[capacity]]*Table1[[#This Row],[Lifetime]]*365*24</f>
        <v>452203061.04000002</v>
      </c>
      <c r="M7">
        <v>1</v>
      </c>
      <c r="N7">
        <v>0</v>
      </c>
      <c r="O7">
        <f>Table1[[#This Row],[Fuel Cost Rate (MUSD/PJ)]]*Table1[[#This Row],[Efficiency]]*Table1[[#This Row],[capacity]]*Table1[[#This Row],[Utilization Factor]]*365*24</f>
        <v>0</v>
      </c>
      <c r="P7">
        <f>VLOOKUP(J7,Table2[#All],3,FALSE)</f>
        <v>108.18176537727223</v>
      </c>
      <c r="Q7">
        <f>(Table1[[#This Row],[Capital costs]]+Table1[[#This Row],[Fixed costs]]+Table1[[#This Row],[Fuel Costs]]/(Table1[[#This Row],[Discounted number]]))/(Table1[[#This Row],[Production]]/Table1[[#This Row],[Discounted number]])</f>
        <v>0.14418870914782636</v>
      </c>
      <c r="U7">
        <v>3</v>
      </c>
      <c r="V7">
        <f>(1+$D$7)^Table2[[#This Row],[Year]]</f>
        <v>1.3310000000000004</v>
      </c>
      <c r="W7">
        <f>SUM($V$4:Table2[[#This Row],[Discounted rate]])</f>
        <v>3.6410000000000009</v>
      </c>
    </row>
    <row r="8" spans="1:23" x14ac:dyDescent="0.2">
      <c r="A8" t="s">
        <v>5</v>
      </c>
      <c r="B8">
        <v>2040</v>
      </c>
      <c r="C8">
        <v>2.7</v>
      </c>
      <c r="D8">
        <v>0.1</v>
      </c>
      <c r="E8">
        <v>10000</v>
      </c>
      <c r="F8" s="1">
        <v>80.749354005167902</v>
      </c>
      <c r="G8" s="3">
        <f>Table1[[#This Row],[cap_par]]*Table1[[#This Row],[capacity]]</f>
        <v>807493.54005167901</v>
      </c>
      <c r="H8" s="1">
        <v>2.5193798449612399</v>
      </c>
      <c r="I8" s="3">
        <f>Table1[[#This Row],[fix_par]]*Table1[[#This Row],[capacity]]*Table1[[#This Row],[Lifetime]]</f>
        <v>881782.94573643385</v>
      </c>
      <c r="J8">
        <v>35</v>
      </c>
      <c r="K8">
        <v>0.85</v>
      </c>
      <c r="L8">
        <f>Table1[[#This Row],[Utilization Factor]]*Table1[[#This Row],[capacity]]*Table1[[#This Row],[Lifetime]]*365*24</f>
        <v>2606100000</v>
      </c>
      <c r="M8">
        <v>0.37</v>
      </c>
      <c r="N8">
        <v>5.9</v>
      </c>
      <c r="O8" t="e">
        <f>Table1[[#This Row],[Fuel Cost Rate (MUSD/PJ)]]*Table1[[#This Row],[Efficiency]]*Table1[[#This Row],[capacity]]*Table1[[#This Row],[Utilization Factor]]*365*24*M2</f>
        <v>#VALUE!</v>
      </c>
      <c r="P8">
        <f>VLOOKUP(J8,Table2[#All],3,FALSE)</f>
        <v>298.12680532870729</v>
      </c>
      <c r="Q8" t="e">
        <f>(Table1[[#This Row],[Capital costs]]+Table1[[#This Row],[Fixed costs]]+Table1[[#This Row],[Fuel Costs]]/(Table1[[#This Row],[Discounted number]]))/(Table1[[#This Row],[Production]]/Table1[[#This Row],[Discounted number]])</f>
        <v>#VALUE!</v>
      </c>
      <c r="U8">
        <v>4</v>
      </c>
      <c r="V8">
        <f>(1+$D$7)^Table2[[#This Row],[Year]]</f>
        <v>1.4641000000000004</v>
      </c>
      <c r="W8">
        <f>SUM($V$4:Table2[[#This Row],[Discounted rate]])</f>
        <v>5.1051000000000011</v>
      </c>
    </row>
    <row r="9" spans="1:23" x14ac:dyDescent="0.2">
      <c r="A9" t="s">
        <v>15</v>
      </c>
      <c r="B9">
        <v>2040</v>
      </c>
      <c r="C9">
        <v>1</v>
      </c>
      <c r="D9">
        <v>0.1</v>
      </c>
      <c r="E9">
        <v>10000</v>
      </c>
      <c r="F9" s="1">
        <v>30.135658914728602</v>
      </c>
      <c r="G9" s="3">
        <f>Table1[[#This Row],[cap_par]]*Table1[[#This Row],[capacity]]</f>
        <v>301356.58914728602</v>
      </c>
      <c r="H9" s="1">
        <v>1.2054263565891401</v>
      </c>
      <c r="I9" s="3">
        <f>Table1[[#This Row],[fix_par]]*Table1[[#This Row],[capacity]]*Table1[[#This Row],[Lifetime]]</f>
        <v>301356.58914728503</v>
      </c>
      <c r="J9">
        <v>25</v>
      </c>
      <c r="K9" s="2">
        <f>K7</f>
        <v>0.206485416</v>
      </c>
      <c r="L9">
        <f>Table1[[#This Row],[Utilization Factor]]*Table1[[#This Row],[capacity]]*Table1[[#This Row],[Lifetime]]*365*24</f>
        <v>452203061.04000002</v>
      </c>
      <c r="M9">
        <v>1</v>
      </c>
      <c r="N9">
        <v>0</v>
      </c>
      <c r="O9">
        <f>Table1[[#This Row],[Fuel Cost Rate (MUSD/PJ)]]*Table1[[#This Row],[Efficiency]]*Table1[[#This Row],[capacity]]*Table1[[#This Row],[Utilization Factor]]*365*24</f>
        <v>0</v>
      </c>
      <c r="P9">
        <f>VLOOKUP(J9,Table2[#All],3,FALSE)</f>
        <v>108.18176537727223</v>
      </c>
      <c r="Q9">
        <f>(Table1[[#This Row],[Capital costs]]+Table1[[#This Row],[Fixed costs]]+Table1[[#This Row],[Fuel Costs]]/(Table1[[#This Row],[Discounted number]]))/(Table1[[#This Row],[Production]]/Table1[[#This Row],[Discounted number]])</f>
        <v>0.14418870914782636</v>
      </c>
      <c r="U9">
        <v>5</v>
      </c>
      <c r="V9">
        <f>(1+$D$7)^Table2[[#This Row],[Year]]</f>
        <v>1.6105100000000006</v>
      </c>
      <c r="W9">
        <f>SUM($V$4:Table2[[#This Row],[Discounted rate]])</f>
        <v>6.7156100000000016</v>
      </c>
    </row>
    <row r="10" spans="1:23" x14ac:dyDescent="0.2">
      <c r="A10" t="s">
        <v>15</v>
      </c>
      <c r="B10">
        <v>2030</v>
      </c>
      <c r="C10">
        <v>1</v>
      </c>
      <c r="D10">
        <v>0.1</v>
      </c>
      <c r="E10">
        <v>10000</v>
      </c>
      <c r="F10" s="1">
        <v>35.109819121447003</v>
      </c>
      <c r="G10" s="3">
        <f>Table1[[#This Row],[cap_par]]*Table1[[#This Row],[capacity]]</f>
        <v>351098.19121447002</v>
      </c>
      <c r="H10" s="1">
        <v>1.40439276485788</v>
      </c>
      <c r="I10" s="3">
        <f>Table1[[#This Row],[fix_par]]*Table1[[#This Row],[capacity]]*Table1[[#This Row],[Lifetime]]</f>
        <v>351098.19121446996</v>
      </c>
      <c r="J10">
        <v>25</v>
      </c>
      <c r="K10" s="2">
        <f>K7</f>
        <v>0.206485416</v>
      </c>
      <c r="L10">
        <f>Table1[[#This Row],[Utilization Factor]]*Table1[[#This Row],[capacity]]*Table1[[#This Row],[Lifetime]]*365*24</f>
        <v>452203061.04000002</v>
      </c>
      <c r="M10">
        <v>1</v>
      </c>
      <c r="N10">
        <v>0</v>
      </c>
      <c r="O10">
        <f>Table1[[#This Row],[Fuel Cost Rate (MUSD/PJ)]]*Table1[[#This Row],[Efficiency]]*Table1[[#This Row],[capacity]]*Table1[[#This Row],[Utilization Factor]]*365*24</f>
        <v>0</v>
      </c>
      <c r="P10">
        <f>VLOOKUP(J10,Table2[#All],3,FALSE)</f>
        <v>108.18176537727223</v>
      </c>
      <c r="Q10">
        <f>(Table1[[#This Row],[Capital costs]]+Table1[[#This Row],[Fixed costs]]+Table1[[#This Row],[Fuel Costs]]/(Table1[[#This Row],[Discounted number]]))/(Table1[[#This Row],[Production]]/Table1[[#This Row],[Discounted number]])</f>
        <v>0.16798834602753243</v>
      </c>
      <c r="U10">
        <v>6</v>
      </c>
      <c r="V10">
        <f>(1+$D$7)^Table2[[#This Row],[Year]]</f>
        <v>1.7715610000000008</v>
      </c>
      <c r="W10">
        <f>SUM($V$4:Table2[[#This Row],[Discounted rate]])</f>
        <v>8.4871710000000018</v>
      </c>
    </row>
    <row r="11" spans="1:23" x14ac:dyDescent="0.2">
      <c r="A11" t="s">
        <v>15</v>
      </c>
      <c r="B11">
        <v>2025</v>
      </c>
      <c r="C11">
        <v>1</v>
      </c>
      <c r="D11">
        <v>0.1</v>
      </c>
      <c r="E11">
        <v>10000</v>
      </c>
      <c r="F11" s="1">
        <v>38.468992248062001</v>
      </c>
      <c r="G11" s="3">
        <f>Table1[[#This Row],[cap_par]]*Table1[[#This Row],[capacity]]</f>
        <v>384689.92248062004</v>
      </c>
      <c r="H11" s="1">
        <v>1.53875968992248</v>
      </c>
      <c r="I11" s="3">
        <f>Table1[[#This Row],[fix_par]]*Table1[[#This Row],[capacity]]*Table1[[#This Row],[Lifetime]]</f>
        <v>384689.92248061998</v>
      </c>
      <c r="J11">
        <v>25</v>
      </c>
      <c r="K11" s="2">
        <f>K7</f>
        <v>0.206485416</v>
      </c>
      <c r="L11">
        <f>Table1[[#This Row],[Utilization Factor]]*Table1[[#This Row],[capacity]]*Table1[[#This Row],[Lifetime]]*365*24</f>
        <v>452203061.04000002</v>
      </c>
      <c r="M11">
        <v>1</v>
      </c>
      <c r="N11">
        <v>0</v>
      </c>
      <c r="O11">
        <f>Table1[[#This Row],[Fuel Cost Rate (MUSD/PJ)]]*Table1[[#This Row],[Efficiency]]*Table1[[#This Row],[capacity]]*Table1[[#This Row],[Utilization Factor]]*365*24</f>
        <v>0</v>
      </c>
      <c r="P11">
        <f>VLOOKUP(J11,Table2[#All],3,FALSE)</f>
        <v>108.18176537727223</v>
      </c>
      <c r="Q11">
        <f>(Table1[[#This Row],[Capital costs]]+Table1[[#This Row],[Fixed costs]]+Table1[[#This Row],[Fuel Costs]]/(Table1[[#This Row],[Discounted number]]))/(Table1[[#This Row],[Production]]/Table1[[#This Row],[Discounted number]])</f>
        <v>0.18406082807616489</v>
      </c>
      <c r="U11">
        <v>7</v>
      </c>
      <c r="V11">
        <f>(1+$D$7)^Table2[[#This Row],[Year]]</f>
        <v>1.9487171000000012</v>
      </c>
      <c r="W11">
        <f>SUM($V$4:Table2[[#This Row],[Discounted rate]])</f>
        <v>10.435888100000003</v>
      </c>
    </row>
    <row r="12" spans="1:23" x14ac:dyDescent="0.2">
      <c r="A12" t="s">
        <v>15</v>
      </c>
      <c r="B12">
        <v>2020</v>
      </c>
      <c r="C12">
        <v>1</v>
      </c>
      <c r="D12">
        <v>0.1</v>
      </c>
      <c r="E12">
        <v>10000</v>
      </c>
      <c r="F12" s="1">
        <v>48.094315245478001</v>
      </c>
      <c r="G12" s="3">
        <f>Table1[[#This Row],[cap_par]]*Table1[[#This Row],[capacity]]</f>
        <v>480943.15245478001</v>
      </c>
      <c r="H12" s="1">
        <v>1.9237726098191199</v>
      </c>
      <c r="I12" s="3">
        <f>Table1[[#This Row],[fix_par]]*Table1[[#This Row],[capacity]]*Table1[[#This Row],[Lifetime]]</f>
        <v>480943.15245478001</v>
      </c>
      <c r="J12">
        <v>25</v>
      </c>
      <c r="K12" s="2">
        <f>K7</f>
        <v>0.206485416</v>
      </c>
      <c r="L12">
        <f>Table1[[#This Row],[Utilization Factor]]*Table1[[#This Row],[capacity]]*Table1[[#This Row],[Lifetime]]*365*24</f>
        <v>452203061.04000002</v>
      </c>
      <c r="M12">
        <v>1</v>
      </c>
      <c r="N12">
        <v>0</v>
      </c>
      <c r="O12">
        <f>Table1[[#This Row],[Fuel Cost Rate (MUSD/PJ)]]*Table1[[#This Row],[Efficiency]]*Table1[[#This Row],[capacity]]*Table1[[#This Row],[Utilization Factor]]*365*24</f>
        <v>0</v>
      </c>
      <c r="P12">
        <f>VLOOKUP(J12,Table2[#All],3,FALSE)</f>
        <v>108.18176537727223</v>
      </c>
      <c r="Q12">
        <f>(Table1[[#This Row],[Capital costs]]+Table1[[#This Row],[Fixed costs]]+Table1[[#This Row],[Fuel Costs]]/(Table1[[#This Row],[Discounted number]]))/(Table1[[#This Row],[Production]]/Table1[[#This Row],[Discounted number]])</f>
        <v>0.23011467086936141</v>
      </c>
      <c r="U12">
        <v>8</v>
      </c>
      <c r="V12">
        <f>(1+$D$7)^Table2[[#This Row],[Year]]</f>
        <v>2.1435888100000011</v>
      </c>
      <c r="W12">
        <f>SUM($V$4:Table2[[#This Row],[Discounted rate]])</f>
        <v>12.579476910000004</v>
      </c>
    </row>
    <row r="13" spans="1:23" x14ac:dyDescent="0.2">
      <c r="D13">
        <v>0.1</v>
      </c>
      <c r="G13" s="3">
        <f>Table1[[#This Row],[cap_par]]*Table1[[#This Row],[capacity]]</f>
        <v>0</v>
      </c>
      <c r="I13" s="3">
        <f>Table1[[#This Row],[fix_par]]*Table1[[#This Row],[capacity]]*Table1[[#This Row],[Lifetime]]</f>
        <v>0</v>
      </c>
      <c r="L13">
        <f>Table1[[#This Row],[Utilization Factor]]*Table1[[#This Row],[capacity]]*Table1[[#This Row],[Lifetime]]*365*24</f>
        <v>0</v>
      </c>
      <c r="O13">
        <f>Table1[[#This Row],[Fuel Cost Rate (MUSD/PJ)]]*Table1[[#This Row],[Efficiency]]*Table1[[#This Row],[capacity]]*Table1[[#This Row],[Utilization Factor]]*365*24</f>
        <v>0</v>
      </c>
      <c r="P13" t="e">
        <f>VLOOKUP(J13,Table2[#All],3,FALSE)</f>
        <v>#N/A</v>
      </c>
      <c r="Q13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3">
        <v>9</v>
      </c>
      <c r="V13">
        <f>(1+$D$7)^Table2[[#This Row],[Year]]</f>
        <v>2.3579476910000015</v>
      </c>
      <c r="W13">
        <f>SUM($V$4:Table2[[#This Row],[Discounted rate]])</f>
        <v>14.937424601000005</v>
      </c>
    </row>
    <row r="14" spans="1:23" x14ac:dyDescent="0.2">
      <c r="D14">
        <v>0.1</v>
      </c>
      <c r="G14" s="3">
        <f>Table1[[#This Row],[cap_par]]*Table1[[#This Row],[capacity]]</f>
        <v>0</v>
      </c>
      <c r="I14" s="3">
        <f>Table1[[#This Row],[fix_par]]*Table1[[#This Row],[capacity]]*Table1[[#This Row],[Lifetime]]</f>
        <v>0</v>
      </c>
      <c r="L14">
        <f>Table1[[#This Row],[Utilization Factor]]*Table1[[#This Row],[capacity]]*Table1[[#This Row],[Lifetime]]*365*24</f>
        <v>0</v>
      </c>
      <c r="O14">
        <f>Table1[[#This Row],[Fuel Cost Rate (MUSD/PJ)]]*Table1[[#This Row],[Efficiency]]*Table1[[#This Row],[capacity]]*Table1[[#This Row],[Utilization Factor]]*365*24</f>
        <v>0</v>
      </c>
      <c r="P14" t="e">
        <f>VLOOKUP(J14,Table2[#All],3,FALSE)</f>
        <v>#N/A</v>
      </c>
      <c r="Q14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4">
        <v>10</v>
      </c>
      <c r="V14">
        <f>(1+$D$7)^Table2[[#This Row],[Year]]</f>
        <v>2.5937424601000019</v>
      </c>
      <c r="W14">
        <f>SUM($V$4:Table2[[#This Row],[Discounted rate]])</f>
        <v>17.531167061100007</v>
      </c>
    </row>
    <row r="15" spans="1:23" x14ac:dyDescent="0.2">
      <c r="D15">
        <v>0.1</v>
      </c>
      <c r="G15" s="3">
        <f>Table1[[#This Row],[cap_par]]*Table1[[#This Row],[capacity]]</f>
        <v>0</v>
      </c>
      <c r="I15" s="3">
        <f>Table1[[#This Row],[fix_par]]*Table1[[#This Row],[capacity]]*Table1[[#This Row],[Lifetime]]</f>
        <v>0</v>
      </c>
      <c r="L15">
        <f>Table1[[#This Row],[Utilization Factor]]*Table1[[#This Row],[capacity]]*Table1[[#This Row],[Lifetime]]*365*24</f>
        <v>0</v>
      </c>
      <c r="O15">
        <f>Table1[[#This Row],[Fuel Cost Rate (MUSD/PJ)]]*Table1[[#This Row],[Efficiency]]*Table1[[#This Row],[capacity]]*Table1[[#This Row],[Utilization Factor]]*365*24</f>
        <v>0</v>
      </c>
      <c r="P15" t="e">
        <f>VLOOKUP(J15,Table2[#All],3,FALSE)</f>
        <v>#N/A</v>
      </c>
      <c r="Q15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5">
        <v>11</v>
      </c>
      <c r="V15">
        <f>(1+$D$7)^Table2[[#This Row],[Year]]</f>
        <v>2.8531167061100025</v>
      </c>
      <c r="W15">
        <f>SUM($V$4:Table2[[#This Row],[Discounted rate]])</f>
        <v>20.384283767210007</v>
      </c>
    </row>
    <row r="16" spans="1:23" x14ac:dyDescent="0.2">
      <c r="D16">
        <v>0.1</v>
      </c>
      <c r="G16" s="3">
        <f>Table1[[#This Row],[cap_par]]*Table1[[#This Row],[capacity]]</f>
        <v>0</v>
      </c>
      <c r="I16" s="3">
        <f>Table1[[#This Row],[fix_par]]*Table1[[#This Row],[capacity]]*Table1[[#This Row],[Lifetime]]</f>
        <v>0</v>
      </c>
      <c r="L16">
        <f>Table1[[#This Row],[Utilization Factor]]*Table1[[#This Row],[capacity]]*Table1[[#This Row],[Lifetime]]*365*24</f>
        <v>0</v>
      </c>
      <c r="O16">
        <f>Table1[[#This Row],[Fuel Cost Rate (MUSD/PJ)]]*Table1[[#This Row],[Efficiency]]*Table1[[#This Row],[capacity]]*Table1[[#This Row],[Utilization Factor]]*365*24</f>
        <v>0</v>
      </c>
      <c r="P16" t="e">
        <f>VLOOKUP(J16,Table2[#All],3,FALSE)</f>
        <v>#N/A</v>
      </c>
      <c r="Q16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6">
        <v>12</v>
      </c>
      <c r="V16">
        <f>(1+$D$7)^Table2[[#This Row],[Year]]</f>
        <v>3.1384283767210026</v>
      </c>
      <c r="W16">
        <f>SUM($V$4:Table2[[#This Row],[Discounted rate]])</f>
        <v>23.52271214393101</v>
      </c>
    </row>
    <row r="17" spans="4:23" x14ac:dyDescent="0.2">
      <c r="D17">
        <v>0.1</v>
      </c>
      <c r="G17" s="3">
        <f>Table1[[#This Row],[cap_par]]*Table1[[#This Row],[capacity]]</f>
        <v>0</v>
      </c>
      <c r="I17" s="3">
        <f>Table1[[#This Row],[fix_par]]*Table1[[#This Row],[capacity]]*Table1[[#This Row],[Lifetime]]</f>
        <v>0</v>
      </c>
      <c r="L17">
        <f>Table1[[#This Row],[Utilization Factor]]*Table1[[#This Row],[capacity]]*Table1[[#This Row],[Lifetime]]*365*24</f>
        <v>0</v>
      </c>
      <c r="O17">
        <f>Table1[[#This Row],[Fuel Cost Rate (MUSD/PJ)]]*Table1[[#This Row],[Efficiency]]*Table1[[#This Row],[capacity]]*Table1[[#This Row],[Utilization Factor]]*365*24</f>
        <v>0</v>
      </c>
      <c r="P17" t="e">
        <f>VLOOKUP(J17,Table2[#All],3,FALSE)</f>
        <v>#N/A</v>
      </c>
      <c r="Q17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7">
        <v>13</v>
      </c>
      <c r="V17">
        <f>(1+$D$7)^Table2[[#This Row],[Year]]</f>
        <v>3.4522712143931029</v>
      </c>
      <c r="W17">
        <f>SUM($V$4:Table2[[#This Row],[Discounted rate]])</f>
        <v>26.974983358324113</v>
      </c>
    </row>
    <row r="18" spans="4:23" x14ac:dyDescent="0.2">
      <c r="D18">
        <v>0.1</v>
      </c>
      <c r="G18" s="3">
        <f>Table1[[#This Row],[cap_par]]*Table1[[#This Row],[capacity]]</f>
        <v>0</v>
      </c>
      <c r="I18" s="3">
        <f>Table1[[#This Row],[fix_par]]*Table1[[#This Row],[capacity]]*Table1[[#This Row],[Lifetime]]</f>
        <v>0</v>
      </c>
      <c r="L18">
        <f>Table1[[#This Row],[Utilization Factor]]*Table1[[#This Row],[capacity]]*Table1[[#This Row],[Lifetime]]*365*24</f>
        <v>0</v>
      </c>
      <c r="O18">
        <f>Table1[[#This Row],[Fuel Cost Rate (MUSD/PJ)]]*Table1[[#This Row],[Efficiency]]*Table1[[#This Row],[capacity]]*Table1[[#This Row],[Utilization Factor]]*365*24</f>
        <v>0</v>
      </c>
      <c r="P18" t="e">
        <f>VLOOKUP(J18,Table2[#All],3,FALSE)</f>
        <v>#N/A</v>
      </c>
      <c r="Q18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8">
        <v>14</v>
      </c>
      <c r="V18">
        <f>(1+$D$7)^Table2[[#This Row],[Year]]</f>
        <v>3.7974983358324139</v>
      </c>
      <c r="W18">
        <f>SUM($V$4:Table2[[#This Row],[Discounted rate]])</f>
        <v>30.772481694156529</v>
      </c>
    </row>
    <row r="19" spans="4:23" x14ac:dyDescent="0.2">
      <c r="D19">
        <v>0.1</v>
      </c>
      <c r="G19" s="3">
        <f>Table1[[#This Row],[cap_par]]*Table1[[#This Row],[capacity]]</f>
        <v>0</v>
      </c>
      <c r="I19" s="3">
        <f>Table1[[#This Row],[fix_par]]*Table1[[#This Row],[capacity]]*Table1[[#This Row],[Lifetime]]</f>
        <v>0</v>
      </c>
      <c r="L19">
        <f>Table1[[#This Row],[Utilization Factor]]*Table1[[#This Row],[capacity]]*Table1[[#This Row],[Lifetime]]*365*24</f>
        <v>0</v>
      </c>
      <c r="O19">
        <f>Table1[[#This Row],[Fuel Cost Rate (MUSD/PJ)]]*Table1[[#This Row],[Efficiency]]*Table1[[#This Row],[capacity]]*Table1[[#This Row],[Utilization Factor]]*365*24</f>
        <v>0</v>
      </c>
      <c r="P19" t="e">
        <f>VLOOKUP(J19,Table2[#All],3,FALSE)</f>
        <v>#N/A</v>
      </c>
      <c r="Q19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19">
        <v>15</v>
      </c>
      <c r="V19">
        <f>(1+$D$7)^Table2[[#This Row],[Year]]</f>
        <v>4.1772481694156554</v>
      </c>
      <c r="W19">
        <f>SUM($V$4:Table2[[#This Row],[Discounted rate]])</f>
        <v>34.949729863572188</v>
      </c>
    </row>
    <row r="20" spans="4:23" x14ac:dyDescent="0.2">
      <c r="D20">
        <v>0.1</v>
      </c>
      <c r="G20" s="3">
        <f>Table1[[#This Row],[cap_par]]*Table1[[#This Row],[capacity]]</f>
        <v>0</v>
      </c>
      <c r="I20" s="3">
        <f>Table1[[#This Row],[fix_par]]*Table1[[#This Row],[capacity]]*Table1[[#This Row],[Lifetime]]</f>
        <v>0</v>
      </c>
      <c r="L20">
        <f>Table1[[#This Row],[Utilization Factor]]*Table1[[#This Row],[capacity]]*Table1[[#This Row],[Lifetime]]*365*24</f>
        <v>0</v>
      </c>
      <c r="O20">
        <f>Table1[[#This Row],[Fuel Cost Rate (MUSD/PJ)]]*Table1[[#This Row],[Efficiency]]*Table1[[#This Row],[capacity]]*Table1[[#This Row],[Utilization Factor]]*365*24</f>
        <v>0</v>
      </c>
      <c r="P20" t="e">
        <f>VLOOKUP(J20,Table2[#All],3,FALSE)</f>
        <v>#N/A</v>
      </c>
      <c r="Q20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0">
        <v>16</v>
      </c>
      <c r="V20">
        <f>(1+$D$7)^Table2[[#This Row],[Year]]</f>
        <v>4.5949729863572211</v>
      </c>
      <c r="W20">
        <f>SUM($V$4:Table2[[#This Row],[Discounted rate]])</f>
        <v>39.544702849929408</v>
      </c>
    </row>
    <row r="21" spans="4:23" x14ac:dyDescent="0.2">
      <c r="D21">
        <v>0.1</v>
      </c>
      <c r="G21" s="3">
        <f>Table1[[#This Row],[cap_par]]*Table1[[#This Row],[capacity]]</f>
        <v>0</v>
      </c>
      <c r="I21" s="3">
        <f>Table1[[#This Row],[fix_par]]*Table1[[#This Row],[capacity]]*Table1[[#This Row],[Lifetime]]</f>
        <v>0</v>
      </c>
      <c r="L21">
        <f>Table1[[#This Row],[Utilization Factor]]*Table1[[#This Row],[capacity]]*Table1[[#This Row],[Lifetime]]*365*24</f>
        <v>0</v>
      </c>
      <c r="O21">
        <f>Table1[[#This Row],[Fuel Cost Rate (MUSD/PJ)]]*Table1[[#This Row],[Efficiency]]*Table1[[#This Row],[capacity]]*Table1[[#This Row],[Utilization Factor]]*365*24</f>
        <v>0</v>
      </c>
      <c r="P21" t="e">
        <f>VLOOKUP(J21,Table2[#All],3,FALSE)</f>
        <v>#N/A</v>
      </c>
      <c r="Q21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1">
        <v>17</v>
      </c>
      <c r="V21">
        <f>(1+$D$7)^Table2[[#This Row],[Year]]</f>
        <v>5.0544702849929433</v>
      </c>
      <c r="W21">
        <f>SUM($V$4:Table2[[#This Row],[Discounted rate]])</f>
        <v>44.599173134922353</v>
      </c>
    </row>
    <row r="22" spans="4:23" x14ac:dyDescent="0.2">
      <c r="D22">
        <v>0.1</v>
      </c>
      <c r="G22" s="3">
        <f>Table1[[#This Row],[cap_par]]*Table1[[#This Row],[capacity]]</f>
        <v>0</v>
      </c>
      <c r="I22" s="3">
        <f>Table1[[#This Row],[fix_par]]*Table1[[#This Row],[capacity]]*Table1[[#This Row],[Lifetime]]</f>
        <v>0</v>
      </c>
      <c r="L22">
        <f>Table1[[#This Row],[Utilization Factor]]*Table1[[#This Row],[capacity]]*Table1[[#This Row],[Lifetime]]*365*24</f>
        <v>0</v>
      </c>
      <c r="O22">
        <f>Table1[[#This Row],[Fuel Cost Rate (MUSD/PJ)]]*Table1[[#This Row],[Efficiency]]*Table1[[#This Row],[capacity]]*Table1[[#This Row],[Utilization Factor]]*365*24</f>
        <v>0</v>
      </c>
      <c r="P22" t="e">
        <f>VLOOKUP(J22,Table2[#All],3,FALSE)</f>
        <v>#N/A</v>
      </c>
      <c r="Q22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2">
        <v>18</v>
      </c>
      <c r="V22">
        <f>(1+$D$7)^Table2[[#This Row],[Year]]</f>
        <v>5.5599173134922379</v>
      </c>
      <c r="W22">
        <f>SUM($V$4:Table2[[#This Row],[Discounted rate]])</f>
        <v>50.159090448414588</v>
      </c>
    </row>
    <row r="23" spans="4:23" x14ac:dyDescent="0.2">
      <c r="D23">
        <v>0.1</v>
      </c>
      <c r="G23" s="3">
        <f>Table1[[#This Row],[cap_par]]*Table1[[#This Row],[capacity]]</f>
        <v>0</v>
      </c>
      <c r="I23" s="3">
        <f>Table1[[#This Row],[fix_par]]*Table1[[#This Row],[capacity]]*Table1[[#This Row],[Lifetime]]</f>
        <v>0</v>
      </c>
      <c r="L23">
        <f>Table1[[#This Row],[Utilization Factor]]*Table1[[#This Row],[capacity]]*Table1[[#This Row],[Lifetime]]*365*24</f>
        <v>0</v>
      </c>
      <c r="O23">
        <f>Table1[[#This Row],[Fuel Cost Rate (MUSD/PJ)]]*Table1[[#This Row],[Efficiency]]*Table1[[#This Row],[capacity]]*Table1[[#This Row],[Utilization Factor]]*365*24</f>
        <v>0</v>
      </c>
      <c r="P23" t="e">
        <f>VLOOKUP(J23,Table2[#All],3,FALSE)</f>
        <v>#N/A</v>
      </c>
      <c r="Q23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3">
        <v>19</v>
      </c>
      <c r="V23">
        <f>(1+$D$7)^Table2[[#This Row],[Year]]</f>
        <v>6.1159090448414632</v>
      </c>
      <c r="W23">
        <f>SUM($V$4:Table2[[#This Row],[Discounted rate]])</f>
        <v>56.274999493256054</v>
      </c>
    </row>
    <row r="24" spans="4:23" x14ac:dyDescent="0.2">
      <c r="D24">
        <v>0.1</v>
      </c>
      <c r="G24" s="3">
        <f>Table1[[#This Row],[cap_par]]*Table1[[#This Row],[capacity]]</f>
        <v>0</v>
      </c>
      <c r="I24" s="3">
        <f>Table1[[#This Row],[fix_par]]*Table1[[#This Row],[capacity]]*Table1[[#This Row],[Lifetime]]</f>
        <v>0</v>
      </c>
      <c r="L24">
        <f>Table1[[#This Row],[Utilization Factor]]*Table1[[#This Row],[capacity]]*Table1[[#This Row],[Lifetime]]*365*24</f>
        <v>0</v>
      </c>
      <c r="O24">
        <f>Table1[[#This Row],[Fuel Cost Rate (MUSD/PJ)]]*Table1[[#This Row],[Efficiency]]*Table1[[#This Row],[capacity]]*Table1[[#This Row],[Utilization Factor]]*365*24</f>
        <v>0</v>
      </c>
      <c r="P24" t="e">
        <f>VLOOKUP(J24,Table2[#All],3,FALSE)</f>
        <v>#N/A</v>
      </c>
      <c r="Q24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4">
        <v>20</v>
      </c>
      <c r="V24">
        <f>(1+$D$7)^Table2[[#This Row],[Year]]</f>
        <v>6.7274999493256091</v>
      </c>
      <c r="W24">
        <f>SUM($V$4:Table2[[#This Row],[Discounted rate]])</f>
        <v>63.002499442581666</v>
      </c>
    </row>
    <row r="25" spans="4:23" x14ac:dyDescent="0.2">
      <c r="D25">
        <v>0.1</v>
      </c>
      <c r="G25" s="3">
        <f>Table1[[#This Row],[cap_par]]*Table1[[#This Row],[capacity]]</f>
        <v>0</v>
      </c>
      <c r="I25" s="3">
        <f>Table1[[#This Row],[fix_par]]*Table1[[#This Row],[capacity]]*Table1[[#This Row],[Lifetime]]</f>
        <v>0</v>
      </c>
      <c r="L25">
        <f>Table1[[#This Row],[Utilization Factor]]*Table1[[#This Row],[capacity]]*Table1[[#This Row],[Lifetime]]*365*24</f>
        <v>0</v>
      </c>
      <c r="O25">
        <f>Table1[[#This Row],[Fuel Cost Rate (MUSD/PJ)]]*Table1[[#This Row],[Efficiency]]*Table1[[#This Row],[capacity]]*Table1[[#This Row],[Utilization Factor]]*365*24</f>
        <v>0</v>
      </c>
      <c r="P25" t="e">
        <f>VLOOKUP(J25,Table2[#All],3,FALSE)</f>
        <v>#N/A</v>
      </c>
      <c r="Q25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5">
        <v>21</v>
      </c>
      <c r="V25">
        <f>(1+$D$7)^Table2[[#This Row],[Year]]</f>
        <v>7.4002499442581708</v>
      </c>
      <c r="W25">
        <f>SUM($V$4:Table2[[#This Row],[Discounted rate]])</f>
        <v>70.402749386839844</v>
      </c>
    </row>
    <row r="26" spans="4:23" x14ac:dyDescent="0.2">
      <c r="D26">
        <v>0.1</v>
      </c>
      <c r="G26" s="3">
        <f>Table1[[#This Row],[cap_par]]*Table1[[#This Row],[capacity]]</f>
        <v>0</v>
      </c>
      <c r="I26" s="3">
        <f>Table1[[#This Row],[fix_par]]*Table1[[#This Row],[capacity]]*Table1[[#This Row],[Lifetime]]</f>
        <v>0</v>
      </c>
      <c r="L26">
        <f>Table1[[#This Row],[Utilization Factor]]*Table1[[#This Row],[capacity]]*Table1[[#This Row],[Lifetime]]*365*24</f>
        <v>0</v>
      </c>
      <c r="O26">
        <f>Table1[[#This Row],[Fuel Cost Rate (MUSD/PJ)]]*Table1[[#This Row],[Efficiency]]*Table1[[#This Row],[capacity]]*Table1[[#This Row],[Utilization Factor]]*365*24</f>
        <v>0</v>
      </c>
      <c r="P26" t="e">
        <f>VLOOKUP(J26,Table2[#All],3,FALSE)</f>
        <v>#N/A</v>
      </c>
      <c r="Q26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6">
        <v>22</v>
      </c>
      <c r="V26">
        <f>(1+$D$7)^Table2[[#This Row],[Year]]</f>
        <v>8.140274938683989</v>
      </c>
      <c r="W26">
        <f>SUM($V$4:Table2[[#This Row],[Discounted rate]])</f>
        <v>78.543024325523831</v>
      </c>
    </row>
    <row r="27" spans="4:23" x14ac:dyDescent="0.2">
      <c r="D27">
        <v>0.1</v>
      </c>
      <c r="G27" s="3">
        <f>Table1[[#This Row],[cap_par]]*Table1[[#This Row],[capacity]]</f>
        <v>0</v>
      </c>
      <c r="I27" s="3">
        <f>Table1[[#This Row],[fix_par]]*Table1[[#This Row],[capacity]]*Table1[[#This Row],[Lifetime]]</f>
        <v>0</v>
      </c>
      <c r="L27">
        <f>Table1[[#This Row],[Utilization Factor]]*Table1[[#This Row],[capacity]]*Table1[[#This Row],[Lifetime]]*365*24</f>
        <v>0</v>
      </c>
      <c r="O27">
        <f>Table1[[#This Row],[Fuel Cost Rate (MUSD/PJ)]]*Table1[[#This Row],[Efficiency]]*Table1[[#This Row],[capacity]]*Table1[[#This Row],[Utilization Factor]]*365*24</f>
        <v>0</v>
      </c>
      <c r="P27" t="e">
        <f>VLOOKUP(J27,Table2[#All],3,FALSE)</f>
        <v>#N/A</v>
      </c>
      <c r="Q27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7">
        <v>23</v>
      </c>
      <c r="V27">
        <f>(1+$D$7)^Table2[[#This Row],[Year]]</f>
        <v>8.9543024325523888</v>
      </c>
      <c r="W27">
        <f>SUM($V$4:Table2[[#This Row],[Discounted rate]])</f>
        <v>87.497326758076213</v>
      </c>
    </row>
    <row r="28" spans="4:23" x14ac:dyDescent="0.2">
      <c r="D28">
        <v>0.1</v>
      </c>
      <c r="G28" s="3">
        <f>Table1[[#This Row],[cap_par]]*Table1[[#This Row],[capacity]]</f>
        <v>0</v>
      </c>
      <c r="I28" s="3">
        <f>Table1[[#This Row],[fix_par]]*Table1[[#This Row],[capacity]]*Table1[[#This Row],[Lifetime]]</f>
        <v>0</v>
      </c>
      <c r="L28">
        <f>Table1[[#This Row],[Utilization Factor]]*Table1[[#This Row],[capacity]]*Table1[[#This Row],[Lifetime]]*365*24</f>
        <v>0</v>
      </c>
      <c r="O28">
        <f>Table1[[#This Row],[Fuel Cost Rate (MUSD/PJ)]]*Table1[[#This Row],[Efficiency]]*Table1[[#This Row],[capacity]]*Table1[[#This Row],[Utilization Factor]]*365*24</f>
        <v>0</v>
      </c>
      <c r="P28" t="e">
        <f>VLOOKUP(J28,Table2[#All],3,FALSE)</f>
        <v>#N/A</v>
      </c>
      <c r="Q28" t="e">
        <f>(Table1[[#This Row],[Capital costs]]+Table1[[#This Row],[Fixed costs]]+Table1[[#This Row],[Fuel Costs]]/(Table1[[#This Row],[Discounted number]]))/(Table1[[#This Row],[Production]]/Table1[[#This Row],[Discounted number]])</f>
        <v>#N/A</v>
      </c>
      <c r="U28">
        <v>24</v>
      </c>
      <c r="V28">
        <f>(1+$D$7)^Table2[[#This Row],[Year]]</f>
        <v>9.8497326758076262</v>
      </c>
      <c r="W28">
        <f>SUM($V$4:Table2[[#This Row],[Discounted rate]])</f>
        <v>97.347059433883842</v>
      </c>
    </row>
    <row r="29" spans="4:23" x14ac:dyDescent="0.2">
      <c r="U29">
        <v>25</v>
      </c>
      <c r="V29">
        <f>(1+$D$7)^Table2[[#This Row],[Year]]</f>
        <v>10.834705943388391</v>
      </c>
      <c r="W29">
        <f>SUM($V$4:Table2[[#This Row],[Discounted rate]])</f>
        <v>108.18176537727223</v>
      </c>
    </row>
    <row r="30" spans="4:23" x14ac:dyDescent="0.2">
      <c r="U30">
        <v>26</v>
      </c>
      <c r="V30">
        <f>(1+$D$7)^Table2[[#This Row],[Year]]</f>
        <v>11.918176537727231</v>
      </c>
      <c r="W30">
        <f>SUM($V$4:Table2[[#This Row],[Discounted rate]])</f>
        <v>120.09994191499946</v>
      </c>
    </row>
    <row r="31" spans="4:23" x14ac:dyDescent="0.2">
      <c r="U31">
        <v>27</v>
      </c>
      <c r="V31">
        <f>(1+$D$7)^Table2[[#This Row],[Year]]</f>
        <v>13.109994191499956</v>
      </c>
      <c r="W31">
        <f>SUM($V$4:Table2[[#This Row],[Discounted rate]])</f>
        <v>133.20993610649941</v>
      </c>
    </row>
    <row r="32" spans="4:23" x14ac:dyDescent="0.2">
      <c r="U32">
        <v>28</v>
      </c>
      <c r="V32">
        <f>(1+$D$7)^Table2[[#This Row],[Year]]</f>
        <v>14.420993610649951</v>
      </c>
      <c r="W32">
        <f>SUM($V$4:Table2[[#This Row],[Discounted rate]])</f>
        <v>147.63092971714937</v>
      </c>
    </row>
    <row r="33" spans="21:23" x14ac:dyDescent="0.2">
      <c r="U33">
        <v>29</v>
      </c>
      <c r="V33">
        <f>(1+$D$7)^Table2[[#This Row],[Year]]</f>
        <v>15.863092971714947</v>
      </c>
      <c r="W33">
        <f>SUM($V$4:Table2[[#This Row],[Discounted rate]])</f>
        <v>163.49402268886431</v>
      </c>
    </row>
    <row r="34" spans="21:23" x14ac:dyDescent="0.2">
      <c r="U34">
        <v>30</v>
      </c>
      <c r="V34">
        <f>(1+$D$7)^Table2[[#This Row],[Year]]</f>
        <v>17.449402268886445</v>
      </c>
      <c r="W34">
        <f>SUM($V$4:Table2[[#This Row],[Discounted rate]])</f>
        <v>180.94342495775075</v>
      </c>
    </row>
    <row r="35" spans="21:23" x14ac:dyDescent="0.2">
      <c r="U35">
        <v>31</v>
      </c>
      <c r="V35">
        <f>(1+$D$7)^Table2[[#This Row],[Year]]</f>
        <v>19.194342495775089</v>
      </c>
      <c r="W35">
        <f>SUM($V$4:Table2[[#This Row],[Discounted rate]])</f>
        <v>200.13776745352584</v>
      </c>
    </row>
    <row r="36" spans="21:23" x14ac:dyDescent="0.2">
      <c r="U36">
        <v>32</v>
      </c>
      <c r="V36">
        <f>(1+$D$7)^Table2[[#This Row],[Year]]</f>
        <v>21.113776745352599</v>
      </c>
      <c r="W36">
        <f>SUM($V$4:Table2[[#This Row],[Discounted rate]])</f>
        <v>221.25154419887843</v>
      </c>
    </row>
    <row r="37" spans="21:23" x14ac:dyDescent="0.2">
      <c r="U37">
        <v>33</v>
      </c>
      <c r="V37">
        <f>(1+$D$7)^Table2[[#This Row],[Year]]</f>
        <v>23.225154419887861</v>
      </c>
      <c r="W37">
        <f>SUM($V$4:Table2[[#This Row],[Discounted rate]])</f>
        <v>244.47669861876631</v>
      </c>
    </row>
    <row r="38" spans="21:23" x14ac:dyDescent="0.2">
      <c r="U38">
        <v>34</v>
      </c>
      <c r="V38">
        <f>(1+$D$7)^Table2[[#This Row],[Year]]</f>
        <v>25.547669861876649</v>
      </c>
      <c r="W38">
        <f>SUM($V$4:Table2[[#This Row],[Discounted rate]])</f>
        <v>270.02436848064298</v>
      </c>
    </row>
    <row r="39" spans="21:23" x14ac:dyDescent="0.2">
      <c r="U39">
        <v>35</v>
      </c>
      <c r="V39">
        <f>(1+$D$7)^Table2[[#This Row],[Year]]</f>
        <v>28.102436848064318</v>
      </c>
      <c r="W39">
        <f>SUM($V$4:Table2[[#This Row],[Discounted rate]])</f>
        <v>298.12680532870729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Kell, Alexander J M</dc:creator>
  <cp:lastModifiedBy>Kell, Alexander J M</cp:lastModifiedBy>
  <dcterms:created xsi:type="dcterms:W3CDTF">2021-08-16T09:24:29Z</dcterms:created>
  <dcterms:modified xsi:type="dcterms:W3CDTF">2021-08-17T13:08:18Z</dcterms:modified>
</cp:coreProperties>
</file>