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2260" windowHeight="11880"/>
  </bookViews>
  <sheets>
    <sheet name="Fgas coverage" sheetId="1" r:id="rId1"/>
    <sheet name="IPCC WG1 Ch7 SM table" sheetId="4" r:id="rId2"/>
  </sheets>
  <definedNames>
    <definedName name="metrics_supplement_cleaned" localSheetId="1">'IPCC WG1 Ch7 SM table'!$A$1:$R$250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</calcChain>
</file>

<file path=xl/connections.xml><?xml version="1.0" encoding="utf-8"?>
<connections xmlns="http://schemas.openxmlformats.org/spreadsheetml/2006/main">
  <connection id="1" name="metrics_supplement_cleaned" type="6" refreshedVersion="6" background="1" saveData="1">
    <textPr codePage="850" sourceFile="https://raw.githubusercontent.com/chrisroadmap/ar6/main/data_output/7sm/metrics_supplement_cleaned.csv" tab="0" comma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<sst xmlns="http://schemas.openxmlformats.org/spreadsheetml/2006/main" count="805" uniqueCount="691">
  <si>
    <t>EDGAR v8.0</t>
  </si>
  <si>
    <t>Species</t>
  </si>
  <si>
    <t>HFC-23</t>
  </si>
  <si>
    <t>HFC-32</t>
  </si>
  <si>
    <t>HFC-41</t>
  </si>
  <si>
    <t>HFC-43-10mee</t>
  </si>
  <si>
    <t>HFC-125</t>
  </si>
  <si>
    <t>HFC-134</t>
  </si>
  <si>
    <t>HFC-134a</t>
  </si>
  <si>
    <t>HFC-143</t>
  </si>
  <si>
    <t>HFC-143a</t>
  </si>
  <si>
    <t>HFC-152</t>
  </si>
  <si>
    <t>HFC-152a</t>
  </si>
  <si>
    <t>HFC-161</t>
  </si>
  <si>
    <t>HFC-227ea</t>
  </si>
  <si>
    <t>HFC-236cb</t>
  </si>
  <si>
    <t>HFC-236ea</t>
  </si>
  <si>
    <t>HFC-236fa</t>
  </si>
  <si>
    <t>HFC-245ca</t>
  </si>
  <si>
    <t>HFC-245fa</t>
  </si>
  <si>
    <t>HFC-365mfc</t>
  </si>
  <si>
    <t>CH4</t>
  </si>
  <si>
    <t>N2O</t>
  </si>
  <si>
    <t>CCl4</t>
  </si>
  <si>
    <t>CH3Br</t>
  </si>
  <si>
    <t>CH3CCl3</t>
  </si>
  <si>
    <t>SO2F2</t>
  </si>
  <si>
    <t>SF6</t>
  </si>
  <si>
    <t>NF3</t>
  </si>
  <si>
    <t>CF4</t>
  </si>
  <si>
    <t>C2F6</t>
  </si>
  <si>
    <t>C3F8</t>
  </si>
  <si>
    <t>C10F18</t>
  </si>
  <si>
    <t>SF5CF3</t>
  </si>
  <si>
    <t>PFPMIE</t>
  </si>
  <si>
    <t>CHCl3</t>
  </si>
  <si>
    <t>CH2Cl2</t>
  </si>
  <si>
    <t>CH3Cl</t>
  </si>
  <si>
    <t>CFC-11</t>
  </si>
  <si>
    <t>CFC-12</t>
  </si>
  <si>
    <t>CFC-13</t>
  </si>
  <si>
    <t>CFC-112</t>
  </si>
  <si>
    <t>CFC-112a</t>
  </si>
  <si>
    <t>CFC-113</t>
  </si>
  <si>
    <t>CFC-113a</t>
  </si>
  <si>
    <t>CFC-114</t>
  </si>
  <si>
    <t>CFC-114a</t>
  </si>
  <si>
    <t>CFC-115</t>
  </si>
  <si>
    <t>CCl2F2</t>
  </si>
  <si>
    <t>CClF3</t>
  </si>
  <si>
    <t>E-R316c</t>
  </si>
  <si>
    <t>Z-R316c</t>
  </si>
  <si>
    <t>CFC 1112</t>
  </si>
  <si>
    <t>CFC 1112a</t>
  </si>
  <si>
    <t>HFC-227ca</t>
  </si>
  <si>
    <t>HFC-245cb</t>
  </si>
  <si>
    <t>HCFC-141b</t>
  </si>
  <si>
    <t>HCFC-142b</t>
  </si>
  <si>
    <t>PRIMAP TP v2.5.1</t>
  </si>
  <si>
    <t>PRIMAP CR v2.5.1</t>
  </si>
  <si>
    <t>Perfluorocarbons (PFCs)</t>
  </si>
  <si>
    <t>x</t>
  </si>
  <si>
    <t>Basket</t>
  </si>
  <si>
    <t>Hydrofluorocarbons (HFCs)</t>
  </si>
  <si>
    <t>Name</t>
  </si>
  <si>
    <t>CAS</t>
  </si>
  <si>
    <t>Acronym</t>
  </si>
  <si>
    <t>Formula</t>
  </si>
  <si>
    <t>Lifetime (yr)</t>
  </si>
  <si>
    <t>Radiative efficiency (W m-2 ppb-1)</t>
  </si>
  <si>
    <t>AGWP20 (W m-2 yr kg-1)</t>
  </si>
  <si>
    <t>GWP20</t>
  </si>
  <si>
    <t>AGWP100 (W m-2 yr kg-1)</t>
  </si>
  <si>
    <t>GWP100</t>
  </si>
  <si>
    <t>AGWP500 (W m-2 yr kg-1)</t>
  </si>
  <si>
    <t>GWP500</t>
  </si>
  <si>
    <t>AGTP50 (K kg-1)</t>
  </si>
  <si>
    <t>GTP50</t>
  </si>
  <si>
    <t>AGTP100 (K kg-1)</t>
  </si>
  <si>
    <t>GTP100</t>
  </si>
  <si>
    <t>CGTP50 (yr)</t>
  </si>
  <si>
    <t>CGTP100 (yr)</t>
  </si>
  <si>
    <t>Carbon dioxide</t>
  </si>
  <si>
    <t>CO2</t>
  </si>
  <si>
    <t>Methane</t>
  </si>
  <si>
    <t>Nitrous oxide</t>
  </si>
  <si>
    <t>Trichlorofluoromethane</t>
  </si>
  <si>
    <t>CCl3F</t>
  </si>
  <si>
    <t>Dichlorodifluoromethane</t>
  </si>
  <si>
    <t>Chlorotrifluoromethane</t>
  </si>
  <si>
    <t>1,1,2,2-tetrachloro-1,2-difluoroethane</t>
  </si>
  <si>
    <t>CCl2FCCl2F</t>
  </si>
  <si>
    <t>1,1,1,2-tetrachloro-2,2-difluoroethane</t>
  </si>
  <si>
    <t>CCl3CClF2</t>
  </si>
  <si>
    <t>1,1,2-trichloro-1,2,2-trifluoroethane</t>
  </si>
  <si>
    <t>CCl2FCClF2</t>
  </si>
  <si>
    <t>1,1,1-trichloro-2,2,2-trifluoroethane</t>
  </si>
  <si>
    <t>CCl3CF3</t>
  </si>
  <si>
    <t>1,2-dichloro-1,1,2,2-tetrafluoroethane</t>
  </si>
  <si>
    <t>CClF2CClF2</t>
  </si>
  <si>
    <t>1,1-dichloro-1,2,2,2-tetrafluoroethane</t>
  </si>
  <si>
    <t>CCl2FCF3</t>
  </si>
  <si>
    <t>1-chloro-1,1,2,2,2-pentafluoroethane</t>
  </si>
  <si>
    <t>CClF2CF3</t>
  </si>
  <si>
    <t>(1s,2s)-1,2-dichloro-1,2,3,3,4,4-hexafluorocyclobutane</t>
  </si>
  <si>
    <t>trans cyc (-CClFCF2CF2CClF-)</t>
  </si>
  <si>
    <t>(1r,2s)-1,2-dichloro-1,2,3,3,4,4-hexafluorocyclobutane</t>
  </si>
  <si>
    <t>cis cyc (-CClFCF2CF2CClF-)</t>
  </si>
  <si>
    <t>(e)-1,2-dichloro-1,2-difluoroethene</t>
  </si>
  <si>
    <t>CClF=CClF</t>
  </si>
  <si>
    <t>1,1-dichloro-2,2-difluoroethene</t>
  </si>
  <si>
    <t>CCl2=CF2</t>
  </si>
  <si>
    <t>Dichlorofluoromethane</t>
  </si>
  <si>
    <t>HCFC-21</t>
  </si>
  <si>
    <t>CHCl2F</t>
  </si>
  <si>
    <t>Chlorodifluoromethane</t>
  </si>
  <si>
    <t>HCFC-22</t>
  </si>
  <si>
    <t>CHClF2</t>
  </si>
  <si>
    <t>Chlorofluoromethane</t>
  </si>
  <si>
    <t>HCFC-31</t>
  </si>
  <si>
    <t>CH2ClF</t>
  </si>
  <si>
    <t>1,1,2,2-tetrachloro-1-fluoroethane</t>
  </si>
  <si>
    <t>HCFC-121</t>
  </si>
  <si>
    <t>CHCl2CCl2F</t>
  </si>
  <si>
    <t>1,2,2-trichloro-1,1-difluoroethane</t>
  </si>
  <si>
    <t>HCFC-122</t>
  </si>
  <si>
    <t>CHCl2CClF2</t>
  </si>
  <si>
    <t>1,1,2-trichloro-1,2-difluoroethane</t>
  </si>
  <si>
    <t>HCFC-122a</t>
  </si>
  <si>
    <t>CHClFCCl2F</t>
  </si>
  <si>
    <t>2,2-dichloro-1,1,1-trifluoroethane</t>
  </si>
  <si>
    <t>HCFC-123</t>
  </si>
  <si>
    <t>CHCl2CF3</t>
  </si>
  <si>
    <t>1,2-dichloro-1,1,2-trifluoroethane</t>
  </si>
  <si>
    <t>HCFC-123a</t>
  </si>
  <si>
    <t>CHClFCClF2</t>
  </si>
  <si>
    <t>2-chloro-1,1,1,2-tetrafluoroethane</t>
  </si>
  <si>
    <t>HCFC-124</t>
  </si>
  <si>
    <t>CHClFCF3</t>
  </si>
  <si>
    <t>1-chloro-1,1,2,2-tetrafluoroethane</t>
  </si>
  <si>
    <t>HCFC-124a</t>
  </si>
  <si>
    <t>CHF2CClF2</t>
  </si>
  <si>
    <t>1,2-dichloro-1,2-difluoroethane</t>
  </si>
  <si>
    <t>HCFC-132</t>
  </si>
  <si>
    <t>CHClFCHClF</t>
  </si>
  <si>
    <t>1,1-dichloro-2,2-difluoroethane</t>
  </si>
  <si>
    <t>HCFC-132a</t>
  </si>
  <si>
    <t>CHCl2CHF2</t>
  </si>
  <si>
    <t>1,1-dichloro-1,2-difluoroethane</t>
  </si>
  <si>
    <t>HCFC-132c</t>
  </si>
  <si>
    <t>CH2FCCl2F</t>
  </si>
  <si>
    <t>2-chloro-1,1,1-trifluoroethane</t>
  </si>
  <si>
    <t>HCFC-133a</t>
  </si>
  <si>
    <t>CH2ClCF3</t>
  </si>
  <si>
    <t>1,2-dichloro-1-fluoroethane</t>
  </si>
  <si>
    <t>HCFC-141</t>
  </si>
  <si>
    <t>CH2ClCHClF</t>
  </si>
  <si>
    <t>1,1-dichloro-1-fluoroethane</t>
  </si>
  <si>
    <t>CH3CCl2F</t>
  </si>
  <si>
    <t>1-chloro-1,1-difluoroethane</t>
  </si>
  <si>
    <t>CH3CClF2</t>
  </si>
  <si>
    <t>3,3-dichloro-1,1,1,2,2-pentafluoropropane</t>
  </si>
  <si>
    <t>HCFC-225ca</t>
  </si>
  <si>
    <t>CHCl2CF2CF3</t>
  </si>
  <si>
    <t>1,3-dichloro-1,1,2,2,3-pentafluoropropane</t>
  </si>
  <si>
    <t>HCFC-225cb</t>
  </si>
  <si>
    <t>CHClFCF2CClF2</t>
  </si>
  <si>
    <t>(e)-1-chloro-3,3,3-trifluoroprop-1-ene</t>
  </si>
  <si>
    <t>HCFO-1233zd(E)</t>
  </si>
  <si>
    <t>(E)-CF3CH=CHCl</t>
  </si>
  <si>
    <t>1-chloro-3,3,3-trifluoroprop-1-ene</t>
  </si>
  <si>
    <t>HCFO-1233zd(Z)</t>
  </si>
  <si>
    <t>(Z)-CF3CH=CHCl</t>
  </si>
  <si>
    <t>(e)-1-chloro-2-fluoroethene</t>
  </si>
  <si>
    <t>(E/Z)-CHCl=CHF</t>
  </si>
  <si>
    <t>Trifluoromethane</t>
  </si>
  <si>
    <t>CHF3</t>
  </si>
  <si>
    <t>Difluoromethane</t>
  </si>
  <si>
    <t>CH2F2</t>
  </si>
  <si>
    <t>Fluoromethane</t>
  </si>
  <si>
    <t>CH3F</t>
  </si>
  <si>
    <t>1,1,1,2,2-pentafluoroethane</t>
  </si>
  <si>
    <t>CHF2CF3</t>
  </si>
  <si>
    <t>1,1,2,2-tetrafluoroethane</t>
  </si>
  <si>
    <t>CHF2CHF2</t>
  </si>
  <si>
    <t>1,1,1,2-tetrafluoroethane</t>
  </si>
  <si>
    <t>CH2FCF3</t>
  </si>
  <si>
    <t>1,1,2-trifluoroethane</t>
  </si>
  <si>
    <t>CH2FCHF2</t>
  </si>
  <si>
    <t>1,1,1-trifluoroethane</t>
  </si>
  <si>
    <t>CH3CF3</t>
  </si>
  <si>
    <t>1,2-difluoroethane</t>
  </si>
  <si>
    <t>CH2FCH2F</t>
  </si>
  <si>
    <t>1,1-difluoroethane</t>
  </si>
  <si>
    <t>CH3CHF2</t>
  </si>
  <si>
    <t>Fluoroethane</t>
  </si>
  <si>
    <t>CH3CH2F</t>
  </si>
  <si>
    <t>1,1,1,2,2,3,3-heptafluoropropane</t>
  </si>
  <si>
    <t>CF3CF2CHF2</t>
  </si>
  <si>
    <t>1,1,1,2,3,3,3-heptafluoropropane</t>
  </si>
  <si>
    <t>CF3CHFCF3</t>
  </si>
  <si>
    <t>1,1,1,2,2,3-hexafluoropropane</t>
  </si>
  <si>
    <t>CH2FCF2CF3</t>
  </si>
  <si>
    <t>1,1,1,2,3,3-hexafluoropropane</t>
  </si>
  <si>
    <t>CHF2CHFCF3</t>
  </si>
  <si>
    <t>1,1,1,3,3,3-hexafluoropropane</t>
  </si>
  <si>
    <t>CF3CH2CF3</t>
  </si>
  <si>
    <t>1,1,2,2,3-pentafluoropropane</t>
  </si>
  <si>
    <t>CH2FCF2CHF2</t>
  </si>
  <si>
    <t>1,1,1,2,2-pentafluoropropane</t>
  </si>
  <si>
    <t>CF3CF2CH3</t>
  </si>
  <si>
    <t>1,1,2,3,3-pentafluoropropane</t>
  </si>
  <si>
    <t>HFC-245ea</t>
  </si>
  <si>
    <t>CHF2CHFCHF2</t>
  </si>
  <si>
    <t>1,1,1,2,3-pentafluoropropane</t>
  </si>
  <si>
    <t>HFC-245eb</t>
  </si>
  <si>
    <t>CH2FCHFCF3</t>
  </si>
  <si>
    <t>1,1,1,3,3-pentafluoropropane</t>
  </si>
  <si>
    <t>CHF2CH2CF3</t>
  </si>
  <si>
    <t>1,1,1-trifluoropropane</t>
  </si>
  <si>
    <t>HFC-263fb</t>
  </si>
  <si>
    <t>CH3CH2CF3</t>
  </si>
  <si>
    <t>2,2-difluoropropane</t>
  </si>
  <si>
    <t>HFC-272ca</t>
  </si>
  <si>
    <t>CH3CF2CH3</t>
  </si>
  <si>
    <t>1,1,1,2,2,3,3,4,4-nonafluorobutane</t>
  </si>
  <si>
    <t>HFC-329p</t>
  </si>
  <si>
    <t>CHF2CF2CF2CF3</t>
  </si>
  <si>
    <t>1,1,1,3,3-pentafluorobutane</t>
  </si>
  <si>
    <t>CH3CF2CH2CF3</t>
  </si>
  <si>
    <t>1,1,1,2,2,3,4,5,5,5-decafluoropentane</t>
  </si>
  <si>
    <t>CF3CHFCHFCF2CF3</t>
  </si>
  <si>
    <t>Trifluoroethylene</t>
  </si>
  <si>
    <t>HFO-1123</t>
  </si>
  <si>
    <t>CHF=CF2</t>
  </si>
  <si>
    <t>1,1-difluoroethene</t>
  </si>
  <si>
    <t>HFO-1132a</t>
  </si>
  <si>
    <t>CH2=CF2</t>
  </si>
  <si>
    <t>Fluoroethene</t>
  </si>
  <si>
    <t>HFO-1141</t>
  </si>
  <si>
    <t>CH2=CHF</t>
  </si>
  <si>
    <t>(z)-1,2,3,3,3-pentafluoroprop-1-ene</t>
  </si>
  <si>
    <t>HFO-1225ye(Z)</t>
  </si>
  <si>
    <t>(Z)-CF3CF=CHF</t>
  </si>
  <si>
    <t>(e)-1,2,3,3,3-pentafluoroprop-1-ene</t>
  </si>
  <si>
    <t>HFO-1225ye(E)</t>
  </si>
  <si>
    <t>(E)-CF3CF=CHF</t>
  </si>
  <si>
    <t>(z)-1,3,3,3-tetrafluoroprop-1-ene</t>
  </si>
  <si>
    <t>HFO-1234ze(Z)</t>
  </si>
  <si>
    <t>(Z)-CF3CH=CHF</t>
  </si>
  <si>
    <t>(e)-1,3,3,3-tetrafluoroprop-1-ene</t>
  </si>
  <si>
    <t>HFO-1234ze(E)</t>
  </si>
  <si>
    <t>(E)-CF3CH=CHF</t>
  </si>
  <si>
    <t>2,3,3,3-tetrafluoroprop-1-ene</t>
  </si>
  <si>
    <t>HFO-1234yf</t>
  </si>
  <si>
    <t>CF3CF=CH2</t>
  </si>
  <si>
    <t>(e)-1,1,1,4,4,4-hexafluorobut-2-ene</t>
  </si>
  <si>
    <t>HFO-1336mzz(E)</t>
  </si>
  <si>
    <t>(E)-CF3CH=CHCF3</t>
  </si>
  <si>
    <t>(z)-1,1,1,4,4,4-hexafluorobut-2-ene</t>
  </si>
  <si>
    <t>HFO-1336mzz(Z)</t>
  </si>
  <si>
    <t>(Z)-CF3CH=CHCF3</t>
  </si>
  <si>
    <t>3,3,3-trifluoroprop-1-ene</t>
  </si>
  <si>
    <t>HFO-1243zf</t>
  </si>
  <si>
    <t>CF3CH=CH2</t>
  </si>
  <si>
    <t>3,3,4,4,4-pentafluorobut-1-ene</t>
  </si>
  <si>
    <t>HFO-1345zfc</t>
  </si>
  <si>
    <t>CF3CF2CH=CH2</t>
  </si>
  <si>
    <t>3,3,4,4,5,5,6,6,6-nonafluorohex-1-ene</t>
  </si>
  <si>
    <t>n-C4F9CH=CH2</t>
  </si>
  <si>
    <t>3,3,4,4,5,5,6,6,7,7,8,8,8-tridecafluorooct-1-ene</t>
  </si>
  <si>
    <t>n-C6F13CH=CH2</t>
  </si>
  <si>
    <t>3,3,4,4,5,5,6,6,7,7,8,8,9,9,10,10,10-heptadecafluorodec-1-ene</t>
  </si>
  <si>
    <t>n-C8F17CH=CH2</t>
  </si>
  <si>
    <t>3,3,3-trifluoro-2-(trifluoromethyl)prop-1-ene</t>
  </si>
  <si>
    <t>(CF3)2C=CH2</t>
  </si>
  <si>
    <t>1,1,2,2,3,3-hexafluorocyclopentane</t>
  </si>
  <si>
    <t>cyc (-CF2CF2CF2CH2CH2-)</t>
  </si>
  <si>
    <t>1,1,2,2,3,3,4-heptafluorocyclopentane</t>
  </si>
  <si>
    <t>cyc (-CF2CF2CF2CHFCH2-)</t>
  </si>
  <si>
    <t>1,3,3,4,4,5,5-heptafluorocyclopentene</t>
  </si>
  <si>
    <t>cyc (-CF2CF2CF2CF=CH-)</t>
  </si>
  <si>
    <t>(4s,5s)-1,1,2,2,3,3,4,5-octafluorocyclopentane</t>
  </si>
  <si>
    <t>trans-cyc (-CF2CF2CF2CHFCHF-)</t>
  </si>
  <si>
    <t>(e)-1,3,4,4,4-pentafluoro-3-(trifluoromethyl)but-1-ene</t>
  </si>
  <si>
    <t>HFO-1438ezy(E)</t>
  </si>
  <si>
    <t>(E)-(CF3)2CFCH=CHF</t>
  </si>
  <si>
    <t>3,3,4,4,5,5,5-heptafluoropent-1-ene</t>
  </si>
  <si>
    <t>HFO-1447fz</t>
  </si>
  <si>
    <t>CF3(CF2)2CH=CH2</t>
  </si>
  <si>
    <t>1,3,3,4,4-pentafluorocyclobutene</t>
  </si>
  <si>
    <t>cyc (-CH=CFCF2CF2-)</t>
  </si>
  <si>
    <t>3,3,4,4-tetrafluorocyclobutene</t>
  </si>
  <si>
    <t>cyc (-CH=CHCF2CF2-)</t>
  </si>
  <si>
    <t>1,1,1-trichloroethane</t>
  </si>
  <si>
    <t>Methyl chloroform</t>
  </si>
  <si>
    <t>Tetrachloromethane</t>
  </si>
  <si>
    <t>Carbon tetrachloride</t>
  </si>
  <si>
    <t>Chloromethane</t>
  </si>
  <si>
    <t>Methyl chloride</t>
  </si>
  <si>
    <t>Dichloromethane</t>
  </si>
  <si>
    <t>Methylene chloride</t>
  </si>
  <si>
    <t>Trichloromethane</t>
  </si>
  <si>
    <t>Chloroform</t>
  </si>
  <si>
    <t>Chloroethane</t>
  </si>
  <si>
    <t>CH3CH2Cl</t>
  </si>
  <si>
    <t>1,2-dichloroethane</t>
  </si>
  <si>
    <t>CH2ClCH2Cl</t>
  </si>
  <si>
    <t>1,1,2-trichloroethene</t>
  </si>
  <si>
    <t>CHCl=CCl2</t>
  </si>
  <si>
    <t>1,1,2,2-tetrachloroethene</t>
  </si>
  <si>
    <t>CCl2=CCl2</t>
  </si>
  <si>
    <t>2-chloropropane</t>
  </si>
  <si>
    <t>CH3CHClCH3</t>
  </si>
  <si>
    <t>1-chlorobutane</t>
  </si>
  <si>
    <t>CH3(CH2)2CH2Cl</t>
  </si>
  <si>
    <t>Bromomethane</t>
  </si>
  <si>
    <t>Methyl bromide</t>
  </si>
  <si>
    <t>Dibromomethane</t>
  </si>
  <si>
    <t>Methylene bromide</t>
  </si>
  <si>
    <t>CH2Br2</t>
  </si>
  <si>
    <t>Bromodifluoromethane</t>
  </si>
  <si>
    <t>Halon-1201</t>
  </si>
  <si>
    <t>CHBrF2</t>
  </si>
  <si>
    <t>Dibromodifluoromethane</t>
  </si>
  <si>
    <t>Halon-1202</t>
  </si>
  <si>
    <t>CBr2F2</t>
  </si>
  <si>
    <t>Bromochlorodifluoromethane</t>
  </si>
  <si>
    <t>Halon-1211</t>
  </si>
  <si>
    <t>CBrClF2</t>
  </si>
  <si>
    <t>Bromotrifluoromethane</t>
  </si>
  <si>
    <t>Halon-1301</t>
  </si>
  <si>
    <t>CBrF3</t>
  </si>
  <si>
    <t>2-bromo-1,1,1-trifluoroethane</t>
  </si>
  <si>
    <t>Halon-2301</t>
  </si>
  <si>
    <t>CH2BrCF3</t>
  </si>
  <si>
    <t>2-bromo-2-chloro-1,1,1-trifluoroethane</t>
  </si>
  <si>
    <t>Halon-2311</t>
  </si>
  <si>
    <t>CHBrClCF3</t>
  </si>
  <si>
    <t>2-bromo-1,1,1,2-tetrafluoroethane</t>
  </si>
  <si>
    <t>Halon-2401</t>
  </si>
  <si>
    <t>CHBrFCF3</t>
  </si>
  <si>
    <t>1,2-dibromo-1,1,2,2-tetrafluoroethane</t>
  </si>
  <si>
    <t>Halon-2402</t>
  </si>
  <si>
    <t>CBrF2CBrF2</t>
  </si>
  <si>
    <t>Tribromomethane</t>
  </si>
  <si>
    <t>CHBr3</t>
  </si>
  <si>
    <t>Bromochloromethane</t>
  </si>
  <si>
    <t>Halon-1011</t>
  </si>
  <si>
    <t>CH2BrCl</t>
  </si>
  <si>
    <t>Bromoethane</t>
  </si>
  <si>
    <t>CH3CH2Br</t>
  </si>
  <si>
    <t>1,2-dibromoethane</t>
  </si>
  <si>
    <t>EDB</t>
  </si>
  <si>
    <t>CH2BrCH2Br</t>
  </si>
  <si>
    <t>1-bromopropane</t>
  </si>
  <si>
    <t>CH3CH2CH2Br</t>
  </si>
  <si>
    <t>2-bromopropane</t>
  </si>
  <si>
    <t>CH3CHBrCH3</t>
  </si>
  <si>
    <t>Nitrogen trifluoride</t>
  </si>
  <si>
    <t>Pentadecafluorotriethylamine</t>
  </si>
  <si>
    <t>N(C2F5)3</t>
  </si>
  <si>
    <t>Perfluorotripropylamine</t>
  </si>
  <si>
    <t>PTPA</t>
  </si>
  <si>
    <t>N(CF2CF2CF3)3</t>
  </si>
  <si>
    <t>Heptacosafluorotributylamine</t>
  </si>
  <si>
    <t>PFTBA</t>
  </si>
  <si>
    <t>N(CF2CF2CF2CF3)3</t>
  </si>
  <si>
    <t>Perfluorotripentylamine</t>
  </si>
  <si>
    <t>N(CF2CF2CF2CF2CF3)3</t>
  </si>
  <si>
    <t>Heptafluoroisobutyronitrile</t>
  </si>
  <si>
    <t>(CF3)2CFCN</t>
  </si>
  <si>
    <t>Sulfur hexafluoride</t>
  </si>
  <si>
    <t>Pentafluoro(trifluoromethyl)-lambda6-sulfane</t>
  </si>
  <si>
    <t>Sulfuryl fluoride</t>
  </si>
  <si>
    <t>Tetrafluoromethane</t>
  </si>
  <si>
    <t>PFC-14</t>
  </si>
  <si>
    <t>Hexafluoroethane</t>
  </si>
  <si>
    <t>PFC-116</t>
  </si>
  <si>
    <t>Octafluoropropane</t>
  </si>
  <si>
    <t>PFC-218</t>
  </si>
  <si>
    <t>Hexafluorocyclobutene</t>
  </si>
  <si>
    <t>cyc (-CF=CFCF2CF2-)</t>
  </si>
  <si>
    <t>Octafluorocyclobutane</t>
  </si>
  <si>
    <t>PFC-C-318</t>
  </si>
  <si>
    <t>cyc (-CF2CF2CF2CF2-)</t>
  </si>
  <si>
    <t>Decafluorobutane</t>
  </si>
  <si>
    <t>PFC-31-10</t>
  </si>
  <si>
    <t>n-C4F10</t>
  </si>
  <si>
    <t>Octafluorocyclopentene</t>
  </si>
  <si>
    <t>cyc (-CF2CF2CFCF2CF2-)</t>
  </si>
  <si>
    <t>Dodecafluoropentane</t>
  </si>
  <si>
    <t>PFC-41-12</t>
  </si>
  <si>
    <t>n-C5F12</t>
  </si>
  <si>
    <t>Tetradecafluorohexane</t>
  </si>
  <si>
    <t>PFC-51-14</t>
  </si>
  <si>
    <t>n-C6F14</t>
  </si>
  <si>
    <t>Hexadecafluoroheptane</t>
  </si>
  <si>
    <t>PFC-61-16</t>
  </si>
  <si>
    <t>n-C7F16</t>
  </si>
  <si>
    <t>Octadecafluorooctane</t>
  </si>
  <si>
    <t>PFC-71-18</t>
  </si>
  <si>
    <t>n-C8F18</t>
  </si>
  <si>
    <t>1,1,2,2,3,3,4,4,4a,5,5,6,6,7,7,8,8,8a-octadecafluoronaphthalene</t>
  </si>
  <si>
    <t>PFC-91-18</t>
  </si>
  <si>
    <t>Z-C10F18</t>
  </si>
  <si>
    <t>E-C10F18</t>
  </si>
  <si>
    <t>1,1,2,2-tetrafluoroethene</t>
  </si>
  <si>
    <t>PFC-1114</t>
  </si>
  <si>
    <t>CF2=CF2</t>
  </si>
  <si>
    <t>1,1,2,3,3,3-hexafluoroprop-1-ene</t>
  </si>
  <si>
    <t>PFC-1216</t>
  </si>
  <si>
    <t>CF3CF=CF2</t>
  </si>
  <si>
    <t>1,1,2,3,4,4-hexafluorobuta-1,3-diene</t>
  </si>
  <si>
    <t>CF2=CFCF=CF2</t>
  </si>
  <si>
    <t>Octafluoro-1-butene</t>
  </si>
  <si>
    <t>CF3CF2CF=CF2</t>
  </si>
  <si>
    <t>Octafluoro-2-buene</t>
  </si>
  <si>
    <t>CF3CF=CFCF3</t>
  </si>
  <si>
    <t>Difluoromethoxy(trifluoro)methane</t>
  </si>
  <si>
    <t>HFE-125</t>
  </si>
  <si>
    <t>CHF2OCF3</t>
  </si>
  <si>
    <t>Difluoromethoxy(difluoro)methane</t>
  </si>
  <si>
    <t>HFE-134</t>
  </si>
  <si>
    <t>CHF2OCHF2</t>
  </si>
  <si>
    <t>Trifluoro(methoxy)methane</t>
  </si>
  <si>
    <t>HFE-143a</t>
  </si>
  <si>
    <t>CH3OCF3</t>
  </si>
  <si>
    <t>1,1,1,2-tetrafluoro-2-(trifluoromethoxy)ethane</t>
  </si>
  <si>
    <t>HFE-227ea</t>
  </si>
  <si>
    <t>CF3CHFOCF3</t>
  </si>
  <si>
    <t>2-chloro-1-(difluoromethoxy)-1,1,2-trifluoroethane</t>
  </si>
  <si>
    <t>HCFE-235ca2</t>
  </si>
  <si>
    <t>CHF2OCF2CHFCl</t>
  </si>
  <si>
    <t>2-chloro-2-(difluoromethoxy)-1,1,1-trifluoroethane</t>
  </si>
  <si>
    <t>HCFE-235da2</t>
  </si>
  <si>
    <t>CHF2OCHClCF3</t>
  </si>
  <si>
    <t>2-(difluoromethoxy)-1,1,1,2-tetrafluoroethane</t>
  </si>
  <si>
    <t>HFE-236ea2</t>
  </si>
  <si>
    <t>CHF2OCHFCF3</t>
  </si>
  <si>
    <t>1,1,1-trifluoro-2-(trifluoromethoxy)ethane</t>
  </si>
  <si>
    <t>HFE-236fa</t>
  </si>
  <si>
    <t>CF3CH2OCF3</t>
  </si>
  <si>
    <t>1,1,1,2,2-pentafluoro-2-methoxyethane</t>
  </si>
  <si>
    <t>HFE-245cb2</t>
  </si>
  <si>
    <t>CF3CF2OCH3</t>
  </si>
  <si>
    <t>1,1-difluoro-2-(trifluoromethoxy)ethane</t>
  </si>
  <si>
    <t>HFE-245fa1</t>
  </si>
  <si>
    <t>CHF2CH2OCF3</t>
  </si>
  <si>
    <t>2-(difluoromethoxy)-1,1,1-trifluoroethane</t>
  </si>
  <si>
    <t>HFE-245fa2</t>
  </si>
  <si>
    <t>CHF2OCH2CF3</t>
  </si>
  <si>
    <t>2,2,3,3,3-pentafluoropropan-1-ol</t>
  </si>
  <si>
    <t>CF3CF2CH2OH</t>
  </si>
  <si>
    <t>1,1,2,2-tetrafluoro-1-methoxyethane</t>
  </si>
  <si>
    <t>HFE-254cb1</t>
  </si>
  <si>
    <t>CH3OCF2CHF2</t>
  </si>
  <si>
    <t>1,1,1-trifluoro-2-methoxyethane</t>
  </si>
  <si>
    <t>HFE-263mf</t>
  </si>
  <si>
    <t>CF3CH2OCH3</t>
  </si>
  <si>
    <t>Trifluoromethoxyethane</t>
  </si>
  <si>
    <t>HFE-263m1</t>
  </si>
  <si>
    <t>CF3OCH2CH3</t>
  </si>
  <si>
    <t>3,3,3-trifluoropropan-1-ol</t>
  </si>
  <si>
    <t>CF3CH2CH2OH</t>
  </si>
  <si>
    <t>1,1,1,2,2-pentafluoro-2-(1,1,2,2-tetrafluoroethoxy)ethane</t>
  </si>
  <si>
    <t>HFE-329mcc2</t>
  </si>
  <si>
    <t>CHF2CF2OCF2CF3</t>
  </si>
  <si>
    <t>2-(difluoromethoxy)-1,1,1,3,3,3-hexafluoropropane</t>
  </si>
  <si>
    <t>HFE-338mmz1</t>
  </si>
  <si>
    <t>(CF3)2CHOCHF2</t>
  </si>
  <si>
    <t>1,1,1,2,2-pentafluoro-2-(2,2,2-trifluoroethoxy)ethane</t>
  </si>
  <si>
    <t>HFE-338mcf2</t>
  </si>
  <si>
    <t>CF3CH2OCF2CF3</t>
  </si>
  <si>
    <t>1,1,1,3,3,3-hexafluoro-2-(fluoromethoxy)propane</t>
  </si>
  <si>
    <t>HFE-347mmz1</t>
  </si>
  <si>
    <t>(CF3)2CHOCH2F</t>
  </si>
  <si>
    <t>1,1,1,2,2,3,3-heptafluoro-3-methoxypropane</t>
  </si>
  <si>
    <t>HFE-347mcc3</t>
  </si>
  <si>
    <t>CH3OCF2CF2CF3</t>
  </si>
  <si>
    <t>1-(2,2-difluoroethoxy)-1,1,2,2,2-pentafluoroethane</t>
  </si>
  <si>
    <t>HFE-347mcf2</t>
  </si>
  <si>
    <t>CHF2CH2OCF2CF3</t>
  </si>
  <si>
    <t>1,1,2,2-tetrafluoro-1-(2,2,2-trifluoroethoxy)ethane</t>
  </si>
  <si>
    <t>HFE-347pcf2</t>
  </si>
  <si>
    <t>CHF2CF2OCH2CF3</t>
  </si>
  <si>
    <t>1,1,1,2,3,3,3-heptafluoro-2-methoxypropane</t>
  </si>
  <si>
    <t>HFE-347mmy1</t>
  </si>
  <si>
    <t>(CF3)2CFOCH3</t>
  </si>
  <si>
    <t>1,1,1,2,3,3-hexafluoro-3-methoxypropane</t>
  </si>
  <si>
    <t>HFE-356mec3</t>
  </si>
  <si>
    <t>CH3OCF2CHFCF3</t>
  </si>
  <si>
    <t>1,1,1-trifluoro-2-(2,2,2-trifluoroethoxy)ethane</t>
  </si>
  <si>
    <t>HFE-356mff2</t>
  </si>
  <si>
    <t>CF3CH2OCH2CF3</t>
  </si>
  <si>
    <t>1-(2,2-difluoroethoxy)-1,1,2,2-tetrafluoroethane</t>
  </si>
  <si>
    <t>HFE-356pcf2</t>
  </si>
  <si>
    <t>CHF2CH2OCF2CHF2</t>
  </si>
  <si>
    <t>3-(difluoromethoxy)-1,1,2,2-tetrafluoropropane</t>
  </si>
  <si>
    <t>HFE-356pcf3</t>
  </si>
  <si>
    <t>CHF2OCH2CF2CHF2</t>
  </si>
  <si>
    <t>1,1,2,2,3,3-hexafluoro-1-methoxypropane</t>
  </si>
  <si>
    <t>HFE-356pcc3</t>
  </si>
  <si>
    <t>CH3OCF2CF2CHF2</t>
  </si>
  <si>
    <t>1,1,1,3,3,3-hexafluoro-2-methoxypropane</t>
  </si>
  <si>
    <t>HFE-356mmz1</t>
  </si>
  <si>
    <t>(CF3)2CHOCH3</t>
  </si>
  <si>
    <t>1,1,1,2,2-pentafluoro-3-methoxypropane</t>
  </si>
  <si>
    <t>HFE-365mcf3</t>
  </si>
  <si>
    <t>CF3CF2CH2OCH3</t>
  </si>
  <si>
    <t>1-ethoxy-1,1,2,2-tetrafluoroethane</t>
  </si>
  <si>
    <t>HFE-374pc2</t>
  </si>
  <si>
    <t>CHF2CF2OCH2CH3</t>
  </si>
  <si>
    <t>4,4,4-trifluorobutan-1-ol</t>
  </si>
  <si>
    <t>CF3(CH2)2CH2OH</t>
  </si>
  <si>
    <t>2,2,3,3,4,4,5,5-octafluorocyclopentan-1-ol</t>
  </si>
  <si>
    <t>cyc (-(CF2)4CH(OH)-)</t>
  </si>
  <si>
    <t>1-(difluoromethoxy)-2-[difluoromethoxy(difluoro)methoxy]-1,1,2,2-tetrafluoroethane</t>
  </si>
  <si>
    <t>HFE-43-10pccc124</t>
  </si>
  <si>
    <t>CHF2OCF2OCF2CF2OCHF2</t>
  </si>
  <si>
    <t>1,1,1,2,2,3,3,4,4-nonafluoro-4-methoxybutane</t>
  </si>
  <si>
    <t>HFE-449s1</t>
  </si>
  <si>
    <t>C4F9OCH3</t>
  </si>
  <si>
    <t>n-HFE-7100</t>
  </si>
  <si>
    <t>CF3CF2CF2CF2OCH3</t>
  </si>
  <si>
    <t>2-(difluoromethoxymethyl)-1,1,1,2,3,3,3-heptafluoropropane</t>
  </si>
  <si>
    <t>i-HFE-7100</t>
  </si>
  <si>
    <t>(CF3)2CFCF2OCH3</t>
  </si>
  <si>
    <t>1-ethoxy-1,1,2,2,3,3,4,4,4-nonafluorobutane</t>
  </si>
  <si>
    <t>HFE-569sf2</t>
  </si>
  <si>
    <t>C4F9OC2H5</t>
  </si>
  <si>
    <t>1-ethoxy-1,1,2,3,3,3-hexafluoro-2-(trifluoromethyl)propane</t>
  </si>
  <si>
    <t>i-HFE-7200</t>
  </si>
  <si>
    <t>(CF3)2CFCF2OCH2CH3</t>
  </si>
  <si>
    <t>1,1,1,2,2,3,4,5,5,5-decafluoro-3-methoxy-4-(trifluoromethyl)pentane</t>
  </si>
  <si>
    <t>HFE-7300</t>
  </si>
  <si>
    <t>(CF3)2CFCFOC2H5CF2CF2CF3</t>
  </si>
  <si>
    <t>4-ethoxy-1,1,1,2,2,3,3,4,5,6,6,6-dodecafluoro-5-(trifluoromethyl)hexane</t>
  </si>
  <si>
    <t>HFE-7500</t>
  </si>
  <si>
    <t>n-C3F7CFOC2H5CF(CF3)2</t>
  </si>
  <si>
    <t>Bis(difluoromethoxy)-difluoromethane</t>
  </si>
  <si>
    <t>HFE-236ca12</t>
  </si>
  <si>
    <t>CHF2OCF2OCHF2</t>
  </si>
  <si>
    <t>1,2-bis(difluoromethoxy)-1,1,2,2-tetrafluoroethane</t>
  </si>
  <si>
    <t>HFE-338pcc13</t>
  </si>
  <si>
    <t>CHF2OCF2CF2OCHF2</t>
  </si>
  <si>
    <t>1,1,1,3,3,3-hexafluoropropan-2-ol</t>
  </si>
  <si>
    <t>HFIP</t>
  </si>
  <si>
    <t>(CF3)2CHOH</t>
  </si>
  <si>
    <t>1-(difluoromethoxy)-2-[2-(difluoromethoxy)-1,1,2,2-tetrafluoroethoxy]-1,1,2,2-tetrafluoroethane</t>
  </si>
  <si>
    <t>HG-02</t>
  </si>
  <si>
    <t>CHF2(OCF2CF2)2OCHF2</t>
  </si>
  <si>
    <t>1,1,3,3,4,4,6,6,7,7,9,9,10,10,12,12-hexadecafluoro-2,5,8,11-tetraoxadodecane</t>
  </si>
  <si>
    <t>HG-03</t>
  </si>
  <si>
    <t>CHF2(OCF2CF2)3OCHF2</t>
  </si>
  <si>
    <t>2-ethenoxy-1,1,1-trifluoroethane</t>
  </si>
  <si>
    <t>Fluroxene</t>
  </si>
  <si>
    <t>CF3CH2OCH=CH2</t>
  </si>
  <si>
    <t>2-ethoxy-3,3,4,4,5-pentafluorotetrahydro-2,5-bis[1,2,2,2-tetrafluoro-1-(trifluoromethyl)ethyl]-furan</t>
  </si>
  <si>
    <t>C12H5F19O2</t>
  </si>
  <si>
    <t>Difluoro(methoxy)methane</t>
  </si>
  <si>
    <t>CH3OCHF2</t>
  </si>
  <si>
    <t>1,1,2,2-tetrafluoro-1,2-dimethoxyethane</t>
  </si>
  <si>
    <t>HG'-01</t>
  </si>
  <si>
    <t>CH3OCF2CF2OCH3</t>
  </si>
  <si>
    <t>1,1,2,2-Tetrafluoro-1-methoxyethane</t>
  </si>
  <si>
    <t>HG'-02</t>
  </si>
  <si>
    <t>CH3O(CF2CF2O)2CH3</t>
  </si>
  <si>
    <t>1,1,2,2-tetrafluoro-1-methoxy-2-[1,1,2,2-tetrafluoro-2-(1,1,2,2-tetrafluoro-2-methoxyethoxy)ethoxy]ethane</t>
  </si>
  <si>
    <t>HG'-03</t>
  </si>
  <si>
    <t>CH3O(CF2CF2O)3CH3</t>
  </si>
  <si>
    <t>1,1,1,2,3,3-hexafluoro-3-(trifluoromethoxy)propane</t>
  </si>
  <si>
    <t>HFE-329me3</t>
  </si>
  <si>
    <t>CF3CFHCF2OCF3</t>
  </si>
  <si>
    <t>3,3,4,4,5,5,6,6,7,7,7-undecafluoroheptan-1-ol</t>
  </si>
  <si>
    <t>CF3(CF2)4CH2CH2OH</t>
  </si>
  <si>
    <t>3,3,4,4,5,5,6,6,7,7,8,8,9,9,9-pentadecafluorononan-1-ol</t>
  </si>
  <si>
    <t>CF3(CF2)6CH2CH2OH</t>
  </si>
  <si>
    <t>3,3,4,4,5,5,6,6,7,7,8,8,9,9,10,10,11,11,11-nonadecafluoroundecan-1-ol</t>
  </si>
  <si>
    <t>CF3(CF2)8CH2CH2OH</t>
  </si>
  <si>
    <t>2-chloro-1,1,2-trifluoro-1-methoxyethane</t>
  </si>
  <si>
    <t>CH3OCF2CHClF</t>
  </si>
  <si>
    <t>1ÔÇÉ(difluoro(trifluoromethoxy)methoxy)ÔÇÉ1,1,2,3,3,3ÔÇÉhexafluoroÔÇÉ2ÔÇÉ(trifluoromethoxy)propane</t>
  </si>
  <si>
    <t>CF3OCFCF3CF2OCF2OCF3</t>
  </si>
  <si>
    <t>1,1,2-trifluoro-2-(trifluoromethoxy)ethene</t>
  </si>
  <si>
    <t>HFE-216</t>
  </si>
  <si>
    <t>CF3OCF=CF2</t>
  </si>
  <si>
    <t>Perfluoroethyl formate</t>
  </si>
  <si>
    <t>CF3CF2OCHO</t>
  </si>
  <si>
    <t>2,2,2-trifluoroethyl formate</t>
  </si>
  <si>
    <t>CF3CH2OCHO</t>
  </si>
  <si>
    <t>Formic acid;1,1,1,3,3,3-hexafluoropropan-2-ol</t>
  </si>
  <si>
    <t>(CF3)2CHOCHO</t>
  </si>
  <si>
    <t>Ethenyl 2,2,2-trifluoroacetate</t>
  </si>
  <si>
    <t>CF3COOCH=CH2</t>
  </si>
  <si>
    <t>Ethyl 2,2,2-trifluoroacetate</t>
  </si>
  <si>
    <t>CF3COOCH2CH3</t>
  </si>
  <si>
    <t>Prop-2-enyl 2,2,2-trifluoroacetate</t>
  </si>
  <si>
    <t>CF3COOCH2CH=CH2</t>
  </si>
  <si>
    <t>Methyl 2,2,2-trifluoroacetate</t>
  </si>
  <si>
    <t>CF3COOCH3</t>
  </si>
  <si>
    <t>2,2,3,3,4,4,4-heptafluorobutan-1-ol</t>
  </si>
  <si>
    <t>CF3CF2CF2CH2OH</t>
  </si>
  <si>
    <t>1,1,2-trifluoro-2-(trifluoromethoxy)ethane</t>
  </si>
  <si>
    <t>CHF2CHFOCF3</t>
  </si>
  <si>
    <t>1-ethoxy-1,1,2,3,3,3-hexafluoropropane</t>
  </si>
  <si>
    <t>CF3CHFCF2OCH2CH3</t>
  </si>
  <si>
    <t>1,1,1,2,2,3,3-heptafluoro-3-(1,2,2,2-tetrafluoroethoxy)propane</t>
  </si>
  <si>
    <t>CF3CF2CF2OCHFCF3</t>
  </si>
  <si>
    <t>2,2,3,3-tetrafluoropropan-1-ol</t>
  </si>
  <si>
    <t>CHF2CF2CH2OH</t>
  </si>
  <si>
    <t>2,2,3,4,4,4-hexafluorobutan-1-ol</t>
  </si>
  <si>
    <t>CF3CHFCF2CH2OH</t>
  </si>
  <si>
    <t>1,1,2,2-tetrafluoro-3-methoxypropane</t>
  </si>
  <si>
    <t>CHF2CF2CH2OCH3</t>
  </si>
  <si>
    <t>1,1,1,2,2,4,5,5,5-nonafluoro-4-(trifluoromethyl)pentan-3-one</t>
  </si>
  <si>
    <t>CF3CF2COCF(CF3)2</t>
  </si>
  <si>
    <t>3,3,3-trifluoropropanal</t>
  </si>
  <si>
    <t>CF3CH2CHO</t>
  </si>
  <si>
    <t>2-fluoroethanol</t>
  </si>
  <si>
    <t>CH2FCH2OH</t>
  </si>
  <si>
    <t>2,2-difluoroethanol</t>
  </si>
  <si>
    <t>CHF2CH2OH</t>
  </si>
  <si>
    <t>2,2,2-trifluoroethanol</t>
  </si>
  <si>
    <t>CF3CH2OH</t>
  </si>
  <si>
    <t>HG-04</t>
  </si>
  <si>
    <t>CHF2O(CF2CF2O)4CHF2</t>
  </si>
  <si>
    <t>Methyl-perfluoroheptene-ethers</t>
  </si>
  <si>
    <t>CH3OC7F13</t>
  </si>
  <si>
    <t>1,1,1-trifluoropropan-2-one</t>
  </si>
  <si>
    <t>CF3COCH3</t>
  </si>
  <si>
    <t>1,1,1-trifluorobutan-2-one</t>
  </si>
  <si>
    <t>CF3COCH2CH3</t>
  </si>
  <si>
    <t>1-chloro-2-ethenoxyethane</t>
  </si>
  <si>
    <t>2ClEVE</t>
  </si>
  <si>
    <t>ClCH2CH2OCH=CH2</t>
  </si>
  <si>
    <t>Ethane</t>
  </si>
  <si>
    <t>C2H6</t>
  </si>
  <si>
    <t>Propane</t>
  </si>
  <si>
    <t>C3H8</t>
  </si>
  <si>
    <t>Butane</t>
  </si>
  <si>
    <t>n-C4H10</t>
  </si>
  <si>
    <t>2-methylpentan-3-one</t>
  </si>
  <si>
    <t>CH3CH2COCH(CH3)2</t>
  </si>
  <si>
    <t>Ethyl methyl ether</t>
  </si>
  <si>
    <t>CH3CH2OCH3</t>
  </si>
  <si>
    <t>2,2,3,3,4,4,5,5-octafluorooxolane</t>
  </si>
  <si>
    <t>Octafluorooxolane</t>
  </si>
  <si>
    <t>c-C4F8O</t>
  </si>
  <si>
    <t>Crotonaldehyde</t>
  </si>
  <si>
    <t>CH3CH=CHCHO</t>
  </si>
  <si>
    <t>Methyl vinyl ketone</t>
  </si>
  <si>
    <t>MVK</t>
  </si>
  <si>
    <t>CH3COCH=CH2</t>
  </si>
  <si>
    <t>Allyl ether</t>
  </si>
  <si>
    <t>AE</t>
  </si>
  <si>
    <t>(CH2=CHCH2)2O</t>
  </si>
  <si>
    <t>Allyl ethyl ether</t>
  </si>
  <si>
    <t>AEE</t>
  </si>
  <si>
    <t>CH3CH2OCH2CH=CH2</t>
  </si>
  <si>
    <t>(z)-hex-2-en-1-ol</t>
  </si>
  <si>
    <t>CH3CH2CH2CH=CHCH2OH</t>
  </si>
  <si>
    <t>(e)-hex-2-en-1-ol</t>
  </si>
  <si>
    <t>3-butenenitrile</t>
  </si>
  <si>
    <t>Allyl cyanide</t>
  </si>
  <si>
    <t>CH2=CHCH2CN</t>
  </si>
  <si>
    <t>Hexamethyldisiloxane</t>
  </si>
  <si>
    <t>C6H18OSi2</t>
  </si>
  <si>
    <t>Octamethyltrisiloxane</t>
  </si>
  <si>
    <t>C8H24O2Si3</t>
  </si>
  <si>
    <t>Decamethyltetrasiloxane</t>
  </si>
  <si>
    <t>C10H30O3Si4</t>
  </si>
  <si>
    <t>Dodecamethylpentasiloxane</t>
  </si>
  <si>
    <t>C12H36O4Si5</t>
  </si>
  <si>
    <t>Hexamethylcyclotrisiloxane</t>
  </si>
  <si>
    <t>C6H18O3Si3</t>
  </si>
  <si>
    <t>Octamethylcyclotetrasiloxane</t>
  </si>
  <si>
    <t>C8H24O4Si4</t>
  </si>
  <si>
    <t>Decamethylcyclopentasiloxane</t>
  </si>
  <si>
    <t>C10H30O5Si5</t>
  </si>
  <si>
    <t>Dodecamethylcyclohexasiloxane</t>
  </si>
  <si>
    <t>C12H36O6Si6</t>
  </si>
  <si>
    <t>Annex I Inventories</t>
  </si>
  <si>
    <t>c-C4F8</t>
  </si>
  <si>
    <t>C7F16</t>
  </si>
  <si>
    <t>C8F18</t>
  </si>
  <si>
    <t>CIP 2024.04</t>
  </si>
  <si>
    <t>C4F10</t>
  </si>
  <si>
    <t>C5F12</t>
  </si>
  <si>
    <t>C6F14</t>
  </si>
  <si>
    <t>c-C3F6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</si>
</sst>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.00\ _F_-;\-* #,##0.00\ _F_-;_-* &quot;-&quot;??\ _F_-;_-@_-"/>
    <numFmt numFmtId="165" formatCode="#,##0.0000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Times New Roman"/>
      <family val="1"/>
    </font>
    <font>
      <sz val="9"/>
      <color indexed="8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1"/>
      <color indexed="8"/>
      <name val="Calibri"/>
      <family val="2"/>
    </font>
    <font>
      <b/>
      <sz val="10"/>
      <name val="Arial"/>
      <family val="2"/>
    </font>
    <font>
      <u/>
      <sz val="10"/>
      <color indexed="12"/>
      <name val="Times New Roman"/>
      <family val="1"/>
    </font>
    <font>
      <sz val="11"/>
      <color indexed="8"/>
      <name val="Calibri"/>
      <family val="2"/>
      <charset val="186"/>
    </font>
    <font>
      <sz val="11"/>
      <color indexed="9"/>
      <name val="Calibri"/>
      <family val="2"/>
    </font>
    <font>
      <sz val="11"/>
      <color indexed="9"/>
      <name val="Calibri"/>
      <family val="2"/>
      <charset val="186"/>
    </font>
    <font>
      <b/>
      <sz val="11"/>
      <color indexed="63"/>
      <name val="Calibri"/>
      <family val="2"/>
    </font>
    <font>
      <sz val="11"/>
      <color indexed="20"/>
      <name val="Calibri"/>
      <family val="2"/>
      <charset val="186"/>
    </font>
    <font>
      <b/>
      <sz val="11"/>
      <color indexed="52"/>
      <name val="Calibri"/>
      <family val="2"/>
    </font>
    <font>
      <b/>
      <sz val="11"/>
      <color indexed="52"/>
      <name val="Calibri"/>
      <family val="2"/>
      <charset val="186"/>
    </font>
    <font>
      <b/>
      <sz val="11"/>
      <color indexed="9"/>
      <name val="Calibri"/>
      <family val="2"/>
      <charset val="186"/>
    </font>
    <font>
      <sz val="8"/>
      <name val="Helvetica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i/>
      <sz val="11"/>
      <color indexed="23"/>
      <name val="Calibri"/>
      <family val="2"/>
      <charset val="186"/>
    </font>
    <font>
      <sz val="11"/>
      <color indexed="17"/>
      <name val="Calibri"/>
      <family val="2"/>
      <charset val="186"/>
    </font>
    <font>
      <sz val="11"/>
      <color indexed="17"/>
      <name val="Calibri"/>
      <family val="2"/>
    </font>
    <font>
      <b/>
      <sz val="15"/>
      <color indexed="56"/>
      <name val="Calibri"/>
      <family val="2"/>
      <charset val="186"/>
    </font>
    <font>
      <b/>
      <sz val="13"/>
      <color indexed="56"/>
      <name val="Calibri"/>
      <family val="2"/>
      <charset val="186"/>
    </font>
    <font>
      <b/>
      <sz val="11"/>
      <color indexed="56"/>
      <name val="Calibri"/>
      <family val="2"/>
      <charset val="186"/>
    </font>
    <font>
      <sz val="11"/>
      <color indexed="62"/>
      <name val="Calibri"/>
      <family val="2"/>
      <charset val="186"/>
    </font>
    <font>
      <sz val="11"/>
      <color indexed="52"/>
      <name val="Calibri"/>
      <family val="2"/>
      <charset val="186"/>
    </font>
    <font>
      <sz val="11"/>
      <color indexed="60"/>
      <name val="Calibri"/>
      <family val="2"/>
      <charset val="186"/>
    </font>
    <font>
      <sz val="10"/>
      <name val="Arial"/>
      <family val="2"/>
      <charset val="186"/>
    </font>
    <font>
      <b/>
      <sz val="11"/>
      <color indexed="63"/>
      <name val="Calibri"/>
      <family val="2"/>
      <charset val="186"/>
    </font>
    <font>
      <sz val="11"/>
      <color indexed="20"/>
      <name val="Calibri"/>
      <family val="2"/>
    </font>
    <font>
      <b/>
      <sz val="18"/>
      <color indexed="56"/>
      <name val="Cambria"/>
      <family val="2"/>
      <charset val="186"/>
    </font>
    <font>
      <b/>
      <sz val="11"/>
      <color indexed="8"/>
      <name val="Calibri"/>
      <family val="2"/>
      <charset val="186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  <charset val="186"/>
    </font>
    <font>
      <b/>
      <sz val="11"/>
      <color indexed="9"/>
      <name val="Calibri"/>
      <family val="2"/>
    </font>
    <font>
      <u/>
      <sz val="10"/>
      <color indexed="12"/>
      <name val="Times New Roman"/>
      <family val="1"/>
      <charset val="186"/>
    </font>
    <font>
      <sz val="10"/>
      <name val="Arial"/>
      <family val="2"/>
      <charset val="204"/>
    </font>
    <font>
      <b/>
      <sz val="11"/>
      <color indexed="12"/>
      <name val="Arial"/>
      <family val="2"/>
      <charset val="204"/>
    </font>
    <font>
      <sz val="8"/>
      <name val="Helvetica"/>
      <family val="2"/>
    </font>
    <font>
      <u/>
      <sz val="10"/>
      <color theme="10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darkTrellis"/>
    </fill>
  </fills>
  <borders count="7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3737">
    <xf numFmtId="0" fontId="0" fillId="0" borderId="0"/>
    <xf numFmtId="0" fontId="2" fillId="2" borderId="1" applyNumberFormat="0" applyAlignment="0" applyProtection="0"/>
    <xf numFmtId="0" fontId="9" fillId="0" borderId="0" applyNumberFormat="0" applyFill="0" applyBorder="0" applyAlignment="0" applyProtection="0"/>
    <xf numFmtId="0" fontId="10" fillId="0" borderId="0" applyNumberFormat="0">
      <alignment horizontal="right"/>
    </xf>
    <xf numFmtId="0" fontId="11" fillId="0" borderId="0"/>
    <xf numFmtId="0" fontId="13" fillId="0" borderId="0" applyNumberFormat="0" applyFill="0" applyBorder="0" applyProtection="0">
      <alignment horizontal="left" vertical="center"/>
    </xf>
    <xf numFmtId="0" fontId="14" fillId="22" borderId="0" applyBorder="0">
      <alignment horizontal="right" vertical="center"/>
    </xf>
    <xf numFmtId="0" fontId="14" fillId="22" borderId="4">
      <alignment horizontal="right" vertical="center"/>
    </xf>
    <xf numFmtId="0" fontId="11" fillId="0" borderId="0" applyNumberFormat="0" applyFont="0" applyFill="0" applyBorder="0" applyProtection="0">
      <alignment horizontal="left" vertical="center" indent="2"/>
    </xf>
    <xf numFmtId="0" fontId="14" fillId="22" borderId="0" applyBorder="0">
      <alignment horizontal="right" vertical="center"/>
    </xf>
    <xf numFmtId="0" fontId="14" fillId="0" borderId="0" applyBorder="0">
      <alignment horizontal="right" vertical="center"/>
    </xf>
    <xf numFmtId="0" fontId="11" fillId="23" borderId="0" applyNumberFormat="0" applyFont="0" applyBorder="0" applyAlignment="0" applyProtection="0"/>
    <xf numFmtId="0" fontId="11" fillId="0" borderId="0" applyNumberFormat="0" applyFont="0" applyFill="0" applyBorder="0" applyProtection="0">
      <alignment horizontal="left" vertical="center" indent="5"/>
    </xf>
    <xf numFmtId="0" fontId="14" fillId="0" borderId="8" applyNumberFormat="0" applyFill="0" applyAlignment="0" applyProtection="0"/>
    <xf numFmtId="0" fontId="10" fillId="0" borderId="12">
      <alignment horizontal="left" vertical="top" wrapText="1"/>
    </xf>
    <xf numFmtId="0" fontId="10" fillId="24" borderId="8">
      <alignment horizontal="right" vertical="center"/>
    </xf>
    <xf numFmtId="0" fontId="10" fillId="24" borderId="8">
      <alignment horizontal="right" vertical="center"/>
    </xf>
    <xf numFmtId="0" fontId="14" fillId="0" borderId="14">
      <alignment horizontal="left" vertical="center" wrapText="1" indent="2"/>
    </xf>
    <xf numFmtId="0" fontId="10" fillId="24" borderId="9">
      <alignment horizontal="right" vertical="center"/>
    </xf>
    <xf numFmtId="0" fontId="14" fillId="0" borderId="8">
      <alignment horizontal="right" vertical="center"/>
    </xf>
    <xf numFmtId="0" fontId="11" fillId="0" borderId="13"/>
    <xf numFmtId="0" fontId="16" fillId="22" borderId="8">
      <alignment horizontal="right" vertical="center"/>
    </xf>
    <xf numFmtId="0" fontId="14" fillId="23" borderId="8"/>
    <xf numFmtId="0" fontId="10" fillId="22" borderId="8">
      <alignment horizontal="right" vertical="center"/>
    </xf>
    <xf numFmtId="0" fontId="10" fillId="22" borderId="5">
      <alignment horizontal="right" vertical="center"/>
    </xf>
    <xf numFmtId="0" fontId="14" fillId="0" borderId="5">
      <alignment horizontal="right" vertical="center"/>
    </xf>
    <xf numFmtId="4" fontId="11" fillId="0" borderId="0"/>
    <xf numFmtId="0" fontId="10" fillId="24" borderId="10">
      <alignment horizontal="right" vertical="center"/>
    </xf>
    <xf numFmtId="0" fontId="10" fillId="24" borderId="5">
      <alignment horizontal="right" vertical="center"/>
    </xf>
    <xf numFmtId="0" fontId="10" fillId="24" borderId="7">
      <alignment horizontal="right" vertical="center"/>
    </xf>
    <xf numFmtId="0" fontId="17" fillId="0" borderId="0"/>
    <xf numFmtId="4" fontId="10" fillId="24" borderId="9">
      <alignment horizontal="right" vertical="center"/>
    </xf>
    <xf numFmtId="0" fontId="14" fillId="0" borderId="0"/>
    <xf numFmtId="0" fontId="14" fillId="27" borderId="8">
      <alignment horizontal="right" vertical="center"/>
    </xf>
    <xf numFmtId="0" fontId="14" fillId="27" borderId="0" applyBorder="0">
      <alignment horizontal="right" vertical="center"/>
    </xf>
    <xf numFmtId="0" fontId="11" fillId="0" borderId="0"/>
    <xf numFmtId="0" fontId="11" fillId="26" borderId="8"/>
    <xf numFmtId="4" fontId="11" fillId="0" borderId="0"/>
    <xf numFmtId="4" fontId="14" fillId="0" borderId="8" applyFill="0" applyBorder="0" applyProtection="0">
      <alignment horizontal="right" vertical="center"/>
    </xf>
    <xf numFmtId="0" fontId="19" fillId="0" borderId="0" applyNumberFormat="0" applyFill="0" applyBorder="0" applyAlignment="0" applyProtection="0"/>
    <xf numFmtId="4" fontId="11" fillId="0" borderId="0"/>
    <xf numFmtId="4" fontId="11" fillId="0" borderId="0"/>
    <xf numFmtId="0" fontId="1" fillId="0" borderId="0"/>
    <xf numFmtId="4" fontId="12" fillId="0" borderId="0"/>
    <xf numFmtId="0" fontId="14" fillId="23" borderId="8"/>
    <xf numFmtId="0" fontId="10" fillId="24" borderId="9">
      <alignment horizontal="right" vertical="center"/>
    </xf>
    <xf numFmtId="0" fontId="26" fillId="46" borderId="29" applyNumberFormat="0" applyAlignment="0" applyProtection="0"/>
    <xf numFmtId="0" fontId="20" fillId="49" borderId="31" applyNumberFormat="0" applyFont="0" applyAlignment="0" applyProtection="0"/>
    <xf numFmtId="4" fontId="14" fillId="23" borderId="32"/>
    <xf numFmtId="0" fontId="45" fillId="0" borderId="30" applyNumberFormat="0" applyFill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0" fontId="38" fillId="33" borderId="29" applyNumberFormat="0" applyAlignment="0" applyProtection="0"/>
    <xf numFmtId="0" fontId="5" fillId="0" borderId="0" applyNumberFormat="0" applyFill="0" applyBorder="0" applyAlignment="0" applyProtection="0"/>
    <xf numFmtId="4" fontId="10" fillId="24" borderId="32">
      <alignment horizontal="right" vertical="center"/>
    </xf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38" fillId="33" borderId="29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8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8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8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8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8" fillId="18" borderId="0" applyNumberFormat="0" applyBorder="0" applyAlignment="0" applyProtection="0"/>
    <xf numFmtId="0" fontId="7" fillId="0" borderId="3" applyNumberFormat="0" applyFill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8" fillId="21" borderId="0" applyNumberFormat="0" applyBorder="0" applyAlignment="0" applyProtection="0"/>
    <xf numFmtId="0" fontId="14" fillId="0" borderId="8" applyNumberFormat="0" applyFill="0" applyAlignment="0" applyProtection="0"/>
    <xf numFmtId="0" fontId="10" fillId="24" borderId="8">
      <alignment horizontal="right" vertical="center"/>
    </xf>
    <xf numFmtId="0" fontId="10" fillId="24" borderId="8">
      <alignment horizontal="right" vertical="center"/>
    </xf>
    <xf numFmtId="0" fontId="14" fillId="0" borderId="14">
      <alignment horizontal="left" vertical="center" wrapText="1" indent="2"/>
    </xf>
    <xf numFmtId="0" fontId="10" fillId="24" borderId="9">
      <alignment horizontal="right" vertical="center"/>
    </xf>
    <xf numFmtId="0" fontId="14" fillId="0" borderId="8">
      <alignment horizontal="right" vertical="center"/>
    </xf>
    <xf numFmtId="0" fontId="16" fillId="22" borderId="8">
      <alignment horizontal="right" vertical="center"/>
    </xf>
    <xf numFmtId="0" fontId="14" fillId="23" borderId="8"/>
    <xf numFmtId="0" fontId="10" fillId="22" borderId="8">
      <alignment horizontal="right" vertical="center"/>
    </xf>
    <xf numFmtId="0" fontId="10" fillId="24" borderId="7">
      <alignment horizontal="right" vertical="center"/>
    </xf>
    <xf numFmtId="0" fontId="18" fillId="0" borderId="0" applyNumberFormat="0" applyFill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3" borderId="0" applyNumberFormat="0" applyBorder="0" applyAlignment="0" applyProtection="0"/>
    <xf numFmtId="0" fontId="11" fillId="0" borderId="0" applyNumberFormat="0" applyFont="0" applyFill="0" applyBorder="0" applyProtection="0">
      <alignment horizontal="left" vertical="center" indent="2"/>
    </xf>
    <xf numFmtId="0" fontId="11" fillId="0" borderId="0" applyNumberFormat="0" applyFont="0" applyFill="0" applyBorder="0" applyProtection="0">
      <alignment horizontal="left" vertical="center" indent="2"/>
    </xf>
    <xf numFmtId="49" fontId="14" fillId="0" borderId="8" applyNumberFormat="0" applyFont="0" applyFill="0" applyBorder="0" applyProtection="0">
      <alignment horizontal="left" vertical="center" indent="2"/>
    </xf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1" borderId="0" applyNumberFormat="0" applyBorder="0" applyAlignment="0" applyProtection="0"/>
    <xf numFmtId="0" fontId="20" fillId="34" borderId="0" applyNumberFormat="0" applyBorder="0" applyAlignment="0" applyProtection="0"/>
    <xf numFmtId="0" fontId="20" fillId="37" borderId="0" applyNumberFormat="0" applyBorder="0" applyAlignment="0" applyProtection="0"/>
    <xf numFmtId="0" fontId="11" fillId="0" borderId="0" applyNumberFormat="0" applyFont="0" applyFill="0" applyBorder="0" applyProtection="0">
      <alignment horizontal="left" vertical="center" indent="5"/>
    </xf>
    <xf numFmtId="0" fontId="11" fillId="0" borderId="0" applyNumberFormat="0" applyFont="0" applyFill="0" applyBorder="0" applyProtection="0">
      <alignment horizontal="left" vertical="center" indent="5"/>
    </xf>
    <xf numFmtId="49" fontId="14" fillId="0" borderId="7" applyNumberFormat="0" applyFont="0" applyFill="0" applyBorder="0" applyProtection="0">
      <alignment horizontal="left" vertical="center" indent="5"/>
    </xf>
    <xf numFmtId="0" fontId="22" fillId="38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4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45" borderId="0" applyNumberFormat="0" applyBorder="0" applyAlignment="0" applyProtection="0"/>
    <xf numFmtId="0" fontId="13" fillId="27" borderId="0" applyBorder="0" applyAlignment="0"/>
    <xf numFmtId="4" fontId="13" fillId="27" borderId="0" applyBorder="0" applyAlignment="0"/>
    <xf numFmtId="4" fontId="14" fillId="27" borderId="0" applyBorder="0">
      <alignment horizontal="right" vertical="center"/>
    </xf>
    <xf numFmtId="4" fontId="14" fillId="22" borderId="0" applyBorder="0">
      <alignment horizontal="right" vertical="center"/>
    </xf>
    <xf numFmtId="4" fontId="14" fillId="22" borderId="0" applyBorder="0">
      <alignment horizontal="right" vertical="center"/>
    </xf>
    <xf numFmtId="4" fontId="10" fillId="22" borderId="8">
      <alignment horizontal="right" vertical="center"/>
    </xf>
    <xf numFmtId="4" fontId="16" fillId="22" borderId="8">
      <alignment horizontal="right" vertical="center"/>
    </xf>
    <xf numFmtId="4" fontId="10" fillId="24" borderId="8">
      <alignment horizontal="right" vertical="center"/>
    </xf>
    <xf numFmtId="4" fontId="10" fillId="24" borderId="8">
      <alignment horizontal="right" vertical="center"/>
    </xf>
    <xf numFmtId="4" fontId="10" fillId="24" borderId="7">
      <alignment horizontal="right" vertical="center"/>
    </xf>
    <xf numFmtId="4" fontId="10" fillId="24" borderId="9">
      <alignment horizontal="right" vertical="center"/>
    </xf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5" borderId="0" applyNumberFormat="0" applyBorder="0" applyAlignment="0" applyProtection="0"/>
    <xf numFmtId="0" fontId="24" fillId="29" borderId="0" applyNumberFormat="0" applyBorder="0" applyAlignment="0" applyProtection="0"/>
    <xf numFmtId="4" fontId="13" fillId="0" borderId="6" applyFill="0" applyBorder="0" applyProtection="0">
      <alignment horizontal="right" vertical="center"/>
    </xf>
    <xf numFmtId="0" fontId="26" fillId="46" borderId="16" applyNumberFormat="0" applyAlignment="0" applyProtection="0"/>
    <xf numFmtId="0" fontId="27" fillId="47" borderId="17" applyNumberFormat="0" applyAlignment="0" applyProtection="0"/>
    <xf numFmtId="43" fontId="17" fillId="0" borderId="0" applyFont="0" applyFill="0" applyBorder="0" applyAlignment="0" applyProtection="0"/>
    <xf numFmtId="164" fontId="28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4" fillId="24" borderId="14">
      <alignment horizontal="left" vertical="center" wrapText="1" indent="2"/>
    </xf>
    <xf numFmtId="0" fontId="14" fillId="22" borderId="7">
      <alignment horizontal="left" vertical="center"/>
    </xf>
    <xf numFmtId="0" fontId="32" fillId="0" borderId="0" applyNumberFormat="0" applyFill="0" applyBorder="0" applyAlignment="0" applyProtection="0"/>
    <xf numFmtId="0" fontId="33" fillId="30" borderId="0" applyNumberFormat="0" applyBorder="0" applyAlignment="0" applyProtection="0"/>
    <xf numFmtId="0" fontId="34" fillId="30" borderId="0" applyNumberFormat="0" applyBorder="0" applyAlignment="0" applyProtection="0"/>
    <xf numFmtId="0" fontId="35" fillId="0" borderId="19" applyNumberFormat="0" applyFill="0" applyAlignment="0" applyProtection="0"/>
    <xf numFmtId="0" fontId="36" fillId="0" borderId="20" applyNumberFormat="0" applyFill="0" applyAlignment="0" applyProtection="0"/>
    <xf numFmtId="0" fontId="37" fillId="0" borderId="21" applyNumberFormat="0" applyFill="0" applyAlignment="0" applyProtection="0"/>
    <xf numFmtId="0" fontId="37" fillId="0" borderId="0" applyNumberFormat="0" applyFill="0" applyBorder="0" applyAlignment="0" applyProtection="0"/>
    <xf numFmtId="0" fontId="38" fillId="33" borderId="16" applyNumberFormat="0" applyAlignment="0" applyProtection="0"/>
    <xf numFmtId="4" fontId="14" fillId="0" borderId="0" applyBorder="0">
      <alignment horizontal="right" vertical="center"/>
    </xf>
    <xf numFmtId="0" fontId="14" fillId="0" borderId="11">
      <alignment horizontal="right" vertical="center"/>
    </xf>
    <xf numFmtId="4" fontId="14" fillId="0" borderId="8">
      <alignment horizontal="right" vertical="center"/>
    </xf>
    <xf numFmtId="1" fontId="15" fillId="22" borderId="0" applyBorder="0">
      <alignment horizontal="right" vertical="center"/>
    </xf>
    <xf numFmtId="0" fontId="39" fillId="0" borderId="22" applyNumberFormat="0" applyFill="0" applyAlignment="0" applyProtection="0"/>
    <xf numFmtId="0" fontId="40" fillId="4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28" fillId="0" borderId="0"/>
    <xf numFmtId="4" fontId="4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4" fontId="14" fillId="0" borderId="0" applyFill="0" applyBorder="0" applyProtection="0">
      <alignment horizontal="right" vertical="center"/>
    </xf>
    <xf numFmtId="4" fontId="14" fillId="0" borderId="0" applyFill="0" applyBorder="0" applyProtection="0">
      <alignment horizontal="right" vertical="center"/>
    </xf>
    <xf numFmtId="4" fontId="14" fillId="0" borderId="8" applyFill="0" applyBorder="0" applyProtection="0">
      <alignment horizontal="right" vertical="center"/>
    </xf>
    <xf numFmtId="0" fontId="13" fillId="0" borderId="0" applyNumberFormat="0" applyFill="0" applyBorder="0" applyProtection="0">
      <alignment horizontal="left" vertical="center"/>
    </xf>
    <xf numFmtId="49" fontId="13" fillId="0" borderId="8" applyNumberFormat="0" applyFill="0" applyBorder="0" applyProtection="0">
      <alignment horizontal="left" vertical="center"/>
    </xf>
    <xf numFmtId="0" fontId="11" fillId="23" borderId="0" applyNumberFormat="0" applyFont="0" applyBorder="0" applyAlignment="0" applyProtection="0"/>
    <xf numFmtId="4" fontId="11" fillId="23" borderId="0" applyNumberFormat="0" applyFont="0" applyBorder="0" applyAlignment="0" applyProtection="0"/>
    <xf numFmtId="4" fontId="11" fillId="23" borderId="0" applyNumberFormat="0" applyFont="0" applyBorder="0" applyAlignment="0" applyProtection="0"/>
    <xf numFmtId="0" fontId="11" fillId="23" borderId="0" applyNumberFormat="0" applyFont="0" applyBorder="0" applyAlignment="0" applyProtection="0"/>
    <xf numFmtId="0" fontId="11" fillId="23" borderId="0" applyNumberFormat="0" applyFont="0" applyBorder="0" applyAlignment="0" applyProtection="0"/>
    <xf numFmtId="0" fontId="28" fillId="25" borderId="0" applyNumberFormat="0" applyFont="0" applyBorder="0" applyAlignment="0" applyProtection="0"/>
    <xf numFmtId="0" fontId="20" fillId="49" borderId="23" applyNumberFormat="0" applyFont="0" applyAlignment="0" applyProtection="0"/>
    <xf numFmtId="0" fontId="11" fillId="49" borderId="23" applyNumberFormat="0" applyFont="0" applyAlignment="0" applyProtection="0"/>
    <xf numFmtId="0" fontId="42" fillId="46" borderId="15" applyNumberFormat="0" applyAlignment="0" applyProtection="0"/>
    <xf numFmtId="165" fontId="14" fillId="50" borderId="8" applyNumberFormat="0" applyFont="0" applyBorder="0" applyAlignment="0" applyProtection="0">
      <alignment horizontal="right" vertical="center"/>
    </xf>
    <xf numFmtId="9" fontId="28" fillId="0" borderId="0" applyFont="0" applyFill="0" applyBorder="0" applyAlignment="0" applyProtection="0"/>
    <xf numFmtId="0" fontId="43" fillId="29" borderId="0" applyNumberFormat="0" applyBorder="0" applyAlignment="0" applyProtection="0"/>
    <xf numFmtId="4" fontId="14" fillId="23" borderId="8"/>
    <xf numFmtId="0" fontId="14" fillId="23" borderId="5"/>
    <xf numFmtId="0" fontId="44" fillId="0" borderId="0" applyNumberFormat="0" applyFill="0" applyBorder="0" applyAlignment="0" applyProtection="0"/>
    <xf numFmtId="0" fontId="45" fillId="0" borderId="18" applyNumberFormat="0" applyFill="0" applyAlignment="0" applyProtection="0"/>
    <xf numFmtId="0" fontId="46" fillId="0" borderId="0" applyNumberFormat="0" applyFill="0" applyBorder="0" applyAlignment="0" applyProtection="0"/>
    <xf numFmtId="0" fontId="47" fillId="0" borderId="19" applyNumberFormat="0" applyFill="0" applyAlignment="0" applyProtection="0"/>
    <xf numFmtId="0" fontId="48" fillId="0" borderId="20" applyNumberFormat="0" applyFill="0" applyAlignment="0" applyProtection="0"/>
    <xf numFmtId="0" fontId="49" fillId="0" borderId="21" applyNumberFormat="0" applyFill="0" applyAlignment="0" applyProtection="0"/>
    <xf numFmtId="0" fontId="49" fillId="0" borderId="0" applyNumberFormat="0" applyFill="0" applyBorder="0" applyAlignment="0" applyProtection="0"/>
    <xf numFmtId="0" fontId="50" fillId="0" borderId="22" applyNumberFormat="0" applyFill="0" applyAlignment="0" applyProtection="0"/>
    <xf numFmtId="0" fontId="52" fillId="0" borderId="0" applyNumberFormat="0" applyFill="0" applyBorder="0" applyAlignment="0" applyProtection="0"/>
    <xf numFmtId="0" fontId="53" fillId="47" borderId="17" applyNumberFormat="0" applyAlignment="0" applyProtection="0"/>
    <xf numFmtId="0" fontId="19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1" fillId="0" borderId="0" applyNumberFormat="0" applyFont="0" applyFill="0" applyBorder="0" applyProtection="0">
      <alignment horizontal="left" vertical="center"/>
    </xf>
    <xf numFmtId="0" fontId="14" fillId="22" borderId="0" applyBorder="0">
      <alignment horizontal="right" vertical="center"/>
    </xf>
    <xf numFmtId="0" fontId="14" fillId="22" borderId="0" applyBorder="0">
      <alignment horizontal="right" vertical="center"/>
    </xf>
    <xf numFmtId="0" fontId="14" fillId="0" borderId="0" applyBorder="0">
      <alignment horizontal="right" vertical="center"/>
    </xf>
    <xf numFmtId="4" fontId="11" fillId="0" borderId="0"/>
    <xf numFmtId="0" fontId="55" fillId="0" borderId="0"/>
    <xf numFmtId="0" fontId="11" fillId="23" borderId="0" applyNumberFormat="0" applyFont="0" applyBorder="0" applyAlignment="0" applyProtection="0"/>
    <xf numFmtId="0" fontId="19" fillId="0" borderId="0" applyNumberFormat="0" applyFill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1" borderId="0" applyNumberFormat="0" applyBorder="0" applyAlignment="0" applyProtection="0"/>
    <xf numFmtId="0" fontId="20" fillId="34" borderId="0" applyNumberFormat="0" applyBorder="0" applyAlignment="0" applyProtection="0"/>
    <xf numFmtId="0" fontId="20" fillId="37" borderId="0" applyNumberFormat="0" applyBorder="0" applyAlignment="0" applyProtection="0"/>
    <xf numFmtId="0" fontId="22" fillId="38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4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45" borderId="0" applyNumberFormat="0" applyBorder="0" applyAlignment="0" applyProtection="0"/>
    <xf numFmtId="0" fontId="24" fillId="29" borderId="0" applyNumberFormat="0" applyBorder="0" applyAlignment="0" applyProtection="0"/>
    <xf numFmtId="0" fontId="26" fillId="46" borderId="16" applyNumberFormat="0" applyAlignment="0" applyProtection="0"/>
    <xf numFmtId="0" fontId="27" fillId="47" borderId="17" applyNumberFormat="0" applyAlignment="0" applyProtection="0"/>
    <xf numFmtId="0" fontId="32" fillId="0" borderId="0" applyNumberFormat="0" applyFill="0" applyBorder="0" applyAlignment="0" applyProtection="0"/>
    <xf numFmtId="0" fontId="33" fillId="30" borderId="0" applyNumberFormat="0" applyBorder="0" applyAlignment="0" applyProtection="0"/>
    <xf numFmtId="0" fontId="35" fillId="0" borderId="19" applyNumberFormat="0" applyFill="0" applyAlignment="0" applyProtection="0"/>
    <xf numFmtId="0" fontId="36" fillId="0" borderId="20" applyNumberFormat="0" applyFill="0" applyAlignment="0" applyProtection="0"/>
    <xf numFmtId="0" fontId="37" fillId="0" borderId="21" applyNumberFormat="0" applyFill="0" applyAlignment="0" applyProtection="0"/>
    <xf numFmtId="0" fontId="37" fillId="0" borderId="0" applyNumberFormat="0" applyFill="0" applyBorder="0" applyAlignment="0" applyProtection="0"/>
    <xf numFmtId="0" fontId="38" fillId="33" borderId="16" applyNumberFormat="0" applyAlignment="0" applyProtection="0"/>
    <xf numFmtId="0" fontId="39" fillId="0" borderId="22" applyNumberFormat="0" applyFill="0" applyAlignment="0" applyProtection="0"/>
    <xf numFmtId="0" fontId="40" fillId="48" borderId="0" applyNumberFormat="0" applyBorder="0" applyAlignment="0" applyProtection="0"/>
    <xf numFmtId="0" fontId="11" fillId="0" borderId="0"/>
    <xf numFmtId="0" fontId="20" fillId="49" borderId="23" applyNumberFormat="0" applyFont="0" applyAlignment="0" applyProtection="0"/>
    <xf numFmtId="0" fontId="42" fillId="46" borderId="15" applyNumberFormat="0" applyAlignment="0" applyProtection="0"/>
    <xf numFmtId="0" fontId="44" fillId="0" borderId="0" applyNumberFormat="0" applyFill="0" applyBorder="0" applyAlignment="0" applyProtection="0"/>
    <xf numFmtId="0" fontId="45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56" fillId="0" borderId="0">
      <alignment horizontal="left" vertical="center" indent="1"/>
    </xf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1" borderId="0" applyNumberFormat="0" applyBorder="0" applyAlignment="0" applyProtection="0"/>
    <xf numFmtId="0" fontId="20" fillId="34" borderId="0" applyNumberFormat="0" applyBorder="0" applyAlignment="0" applyProtection="0"/>
    <xf numFmtId="0" fontId="20" fillId="37" borderId="0" applyNumberFormat="0" applyBorder="0" applyAlignment="0" applyProtection="0"/>
    <xf numFmtId="0" fontId="22" fillId="38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0" fillId="22" borderId="24">
      <alignment horizontal="right" vertical="center"/>
    </xf>
    <xf numFmtId="4" fontId="10" fillId="22" borderId="24">
      <alignment horizontal="right" vertical="center"/>
    </xf>
    <xf numFmtId="0" fontId="16" fillId="22" borderId="24">
      <alignment horizontal="right" vertical="center"/>
    </xf>
    <xf numFmtId="4" fontId="16" fillId="22" borderId="24">
      <alignment horizontal="right" vertical="center"/>
    </xf>
    <xf numFmtId="0" fontId="10" fillId="24" borderId="24">
      <alignment horizontal="right" vertical="center"/>
    </xf>
    <xf numFmtId="4" fontId="10" fillId="24" borderId="24">
      <alignment horizontal="right" vertical="center"/>
    </xf>
    <xf numFmtId="0" fontId="10" fillId="24" borderId="24">
      <alignment horizontal="right" vertical="center"/>
    </xf>
    <xf numFmtId="4" fontId="10" fillId="24" borderId="24">
      <alignment horizontal="right" vertical="center"/>
    </xf>
    <xf numFmtId="0" fontId="10" fillId="24" borderId="25">
      <alignment horizontal="right" vertical="center"/>
    </xf>
    <xf numFmtId="4" fontId="10" fillId="24" borderId="25">
      <alignment horizontal="right" vertical="center"/>
    </xf>
    <xf numFmtId="0" fontId="10" fillId="24" borderId="26">
      <alignment horizontal="right" vertical="center"/>
    </xf>
    <xf numFmtId="4" fontId="10" fillId="24" borderId="26">
      <alignment horizontal="right" vertical="center"/>
    </xf>
    <xf numFmtId="0" fontId="26" fillId="46" borderId="16" applyNumberFormat="0" applyAlignment="0" applyProtection="0"/>
    <xf numFmtId="0" fontId="14" fillId="24" borderId="27">
      <alignment horizontal="left" vertical="center" wrapText="1" indent="2"/>
    </xf>
    <xf numFmtId="0" fontId="14" fillId="0" borderId="27">
      <alignment horizontal="left" vertical="center" wrapText="1" indent="2"/>
    </xf>
    <xf numFmtId="0" fontId="14" fillId="22" borderId="25">
      <alignment horizontal="left" vertical="center"/>
    </xf>
    <xf numFmtId="0" fontId="32" fillId="0" borderId="0" applyNumberFormat="0" applyFill="0" applyBorder="0" applyAlignment="0" applyProtection="0"/>
    <xf numFmtId="0" fontId="38" fillId="33" borderId="16" applyNumberFormat="0" applyAlignment="0" applyProtection="0"/>
    <xf numFmtId="0" fontId="14" fillId="0" borderId="24">
      <alignment horizontal="right" vertical="center"/>
    </xf>
    <xf numFmtId="4" fontId="14" fillId="0" borderId="24">
      <alignment horizontal="right" vertical="center"/>
    </xf>
    <xf numFmtId="0" fontId="1" fillId="0" borderId="0"/>
    <xf numFmtId="0" fontId="14" fillId="0" borderId="24" applyNumberFormat="0" applyFill="0" applyAlignment="0" applyProtection="0"/>
    <xf numFmtId="0" fontId="42" fillId="46" borderId="15" applyNumberFormat="0" applyAlignment="0" applyProtection="0"/>
    <xf numFmtId="165" fontId="14" fillId="50" borderId="24" applyNumberFormat="0" applyFont="0" applyBorder="0" applyAlignment="0" applyProtection="0">
      <alignment horizontal="right" vertical="center"/>
    </xf>
    <xf numFmtId="0" fontId="14" fillId="23" borderId="24"/>
    <xf numFmtId="4" fontId="14" fillId="23" borderId="24"/>
    <xf numFmtId="0" fontId="45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2" borderId="1" applyNumberFormat="0" applyAlignment="0" applyProtection="0"/>
    <xf numFmtId="0" fontId="14" fillId="22" borderId="0" applyBorder="0">
      <alignment horizontal="right" vertical="center"/>
    </xf>
    <xf numFmtId="0" fontId="14" fillId="22" borderId="0" applyBorder="0">
      <alignment horizontal="right" vertical="center"/>
    </xf>
    <xf numFmtId="0" fontId="14" fillId="0" borderId="0" applyBorder="0">
      <alignment horizontal="right" vertical="center"/>
    </xf>
    <xf numFmtId="0" fontId="11" fillId="0" borderId="0"/>
    <xf numFmtId="49" fontId="14" fillId="0" borderId="24" applyNumberFormat="0" applyFont="0" applyFill="0" applyBorder="0" applyProtection="0">
      <alignment horizontal="left" vertical="center" indent="2"/>
    </xf>
    <xf numFmtId="49" fontId="14" fillId="0" borderId="25" applyNumberFormat="0" applyFont="0" applyFill="0" applyBorder="0" applyProtection="0">
      <alignment horizontal="left" vertical="center" indent="5"/>
    </xf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5" borderId="0" applyNumberFormat="0" applyBorder="0" applyAlignment="0" applyProtection="0"/>
    <xf numFmtId="0" fontId="34" fillId="30" borderId="0" applyNumberFormat="0" applyBorder="0" applyAlignment="0" applyProtection="0"/>
    <xf numFmtId="4" fontId="11" fillId="0" borderId="0"/>
    <xf numFmtId="0" fontId="11" fillId="0" borderId="0"/>
    <xf numFmtId="0" fontId="1" fillId="0" borderId="0"/>
    <xf numFmtId="4" fontId="14" fillId="0" borderId="24" applyFill="0" applyBorder="0" applyProtection="0">
      <alignment horizontal="right" vertical="center"/>
    </xf>
    <xf numFmtId="49" fontId="13" fillId="0" borderId="24" applyNumberFormat="0" applyFill="0" applyBorder="0" applyProtection="0">
      <alignment horizontal="left" vertical="center"/>
    </xf>
    <xf numFmtId="0" fontId="11" fillId="23" borderId="0" applyNumberFormat="0" applyFont="0" applyBorder="0" applyAlignment="0" applyProtection="0"/>
    <xf numFmtId="0" fontId="43" fillId="29" borderId="0" applyNumberFormat="0" applyBorder="0" applyAlignment="0" applyProtection="0"/>
    <xf numFmtId="0" fontId="47" fillId="0" borderId="19" applyNumberFormat="0" applyFill="0" applyAlignment="0" applyProtection="0"/>
    <xf numFmtId="0" fontId="48" fillId="0" borderId="20" applyNumberFormat="0" applyFill="0" applyAlignment="0" applyProtection="0"/>
    <xf numFmtId="0" fontId="49" fillId="0" borderId="21" applyNumberFormat="0" applyFill="0" applyAlignment="0" applyProtection="0"/>
    <xf numFmtId="0" fontId="49" fillId="0" borderId="0" applyNumberFormat="0" applyFill="0" applyBorder="0" applyAlignment="0" applyProtection="0"/>
    <xf numFmtId="0" fontId="50" fillId="0" borderId="22" applyNumberFormat="0" applyFill="0" applyAlignment="0" applyProtection="0"/>
    <xf numFmtId="0" fontId="53" fillId="47" borderId="17" applyNumberFormat="0" applyAlignment="0" applyProtection="0"/>
    <xf numFmtId="0" fontId="19" fillId="0" borderId="0" applyNumberFormat="0" applyFill="0" applyBorder="0" applyAlignment="0" applyProtection="0"/>
    <xf numFmtId="0" fontId="1" fillId="0" borderId="0"/>
    <xf numFmtId="0" fontId="2" fillId="2" borderId="1" applyNumberFormat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7" fillId="36" borderId="0" applyNumberFormat="0" applyBorder="0" applyAlignment="0" applyProtection="0"/>
    <xf numFmtId="0" fontId="17" fillId="31" borderId="0" applyNumberFormat="0" applyBorder="0" applyAlignment="0" applyProtection="0"/>
    <xf numFmtId="0" fontId="17" fillId="34" borderId="0" applyNumberFormat="0" applyBorder="0" applyAlignment="0" applyProtection="0"/>
    <xf numFmtId="0" fontId="17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3" fillId="46" borderId="15" applyNumberFormat="0" applyAlignment="0" applyProtection="0"/>
    <xf numFmtId="0" fontId="25" fillId="46" borderId="16" applyNumberFormat="0" applyAlignment="0" applyProtection="0"/>
    <xf numFmtId="0" fontId="30" fillId="0" borderId="18" applyNumberFormat="0" applyFill="0" applyAlignment="0" applyProtection="0"/>
    <xf numFmtId="0" fontId="31" fillId="0" borderId="0" applyNumberFormat="0" applyFill="0" applyBorder="0" applyAlignment="0" applyProtection="0"/>
    <xf numFmtId="0" fontId="1" fillId="0" borderId="0"/>
    <xf numFmtId="0" fontId="5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49" fontId="14" fillId="0" borderId="8" applyNumberFormat="0" applyFont="0" applyFill="0" applyBorder="0" applyProtection="0">
      <alignment horizontal="left" vertical="center" indent="2"/>
    </xf>
    <xf numFmtId="49" fontId="14" fillId="0" borderId="7" applyNumberFormat="0" applyFont="0" applyFill="0" applyBorder="0" applyProtection="0">
      <alignment horizontal="left" vertical="center" indent="5"/>
    </xf>
    <xf numFmtId="0" fontId="10" fillId="22" borderId="8">
      <alignment horizontal="right" vertical="center"/>
    </xf>
    <xf numFmtId="4" fontId="10" fillId="22" borderId="8">
      <alignment horizontal="right" vertical="center"/>
    </xf>
    <xf numFmtId="0" fontId="16" fillId="22" borderId="8">
      <alignment horizontal="right" vertical="center"/>
    </xf>
    <xf numFmtId="4" fontId="16" fillId="22" borderId="8">
      <alignment horizontal="right" vertical="center"/>
    </xf>
    <xf numFmtId="0" fontId="10" fillId="24" borderId="8">
      <alignment horizontal="right" vertical="center"/>
    </xf>
    <xf numFmtId="4" fontId="10" fillId="24" borderId="8">
      <alignment horizontal="right" vertical="center"/>
    </xf>
    <xf numFmtId="0" fontId="10" fillId="24" borderId="8">
      <alignment horizontal="right" vertical="center"/>
    </xf>
    <xf numFmtId="4" fontId="10" fillId="24" borderId="8">
      <alignment horizontal="right" vertical="center"/>
    </xf>
    <xf numFmtId="0" fontId="10" fillId="24" borderId="7">
      <alignment horizontal="right" vertical="center"/>
    </xf>
    <xf numFmtId="4" fontId="10" fillId="24" borderId="7">
      <alignment horizontal="right" vertical="center"/>
    </xf>
    <xf numFmtId="0" fontId="10" fillId="24" borderId="9">
      <alignment horizontal="right" vertical="center"/>
    </xf>
    <xf numFmtId="4" fontId="10" fillId="24" borderId="9">
      <alignment horizontal="right" vertical="center"/>
    </xf>
    <xf numFmtId="164" fontId="57" fillId="0" borderId="0" applyFont="0" applyFill="0" applyBorder="0" applyAlignment="0" applyProtection="0"/>
    <xf numFmtId="0" fontId="14" fillId="24" borderId="14">
      <alignment horizontal="left" vertical="center" wrapText="1" indent="2"/>
    </xf>
    <xf numFmtId="0" fontId="14" fillId="0" borderId="14">
      <alignment horizontal="left" vertical="center" wrapText="1" indent="2"/>
    </xf>
    <xf numFmtId="0" fontId="14" fillId="22" borderId="7">
      <alignment horizontal="left" vertical="center"/>
    </xf>
    <xf numFmtId="0" fontId="29" fillId="33" borderId="16" applyNumberFormat="0" applyAlignment="0" applyProtection="0"/>
    <xf numFmtId="0" fontId="14" fillId="0" borderId="8">
      <alignment horizontal="right" vertical="center"/>
    </xf>
    <xf numFmtId="4" fontId="14" fillId="0" borderId="8">
      <alignment horizontal="right" vertical="center"/>
    </xf>
    <xf numFmtId="0" fontId="57" fillId="0" borderId="0"/>
    <xf numFmtId="0" fontId="55" fillId="0" borderId="0"/>
    <xf numFmtId="0" fontId="5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5" fillId="0" borderId="0"/>
    <xf numFmtId="0" fontId="11" fillId="0" borderId="0"/>
    <xf numFmtId="4" fontId="14" fillId="0" borderId="8" applyFill="0" applyBorder="0" applyProtection="0">
      <alignment horizontal="right" vertical="center"/>
    </xf>
    <xf numFmtId="49" fontId="13" fillId="0" borderId="8" applyNumberFormat="0" applyFill="0" applyBorder="0" applyProtection="0">
      <alignment horizontal="left" vertical="center"/>
    </xf>
    <xf numFmtId="0" fontId="14" fillId="0" borderId="8" applyNumberFormat="0" applyFill="0" applyAlignment="0" applyProtection="0"/>
    <xf numFmtId="0" fontId="57" fillId="25" borderId="0" applyNumberFormat="0" applyFont="0" applyBorder="0" applyAlignment="0" applyProtection="0"/>
    <xf numFmtId="165" fontId="14" fillId="50" borderId="8" applyNumberFormat="0" applyFont="0" applyBorder="0" applyAlignment="0" applyProtection="0">
      <alignment horizontal="right" vertical="center"/>
    </xf>
    <xf numFmtId="9" fontId="57" fillId="0" borderId="0" applyFont="0" applyFill="0" applyBorder="0" applyAlignment="0" applyProtection="0"/>
    <xf numFmtId="0" fontId="14" fillId="23" borderId="8"/>
    <xf numFmtId="4" fontId="14" fillId="23" borderId="8"/>
    <xf numFmtId="0" fontId="14" fillId="24" borderId="27">
      <alignment horizontal="left" vertical="center" wrapText="1" indent="2"/>
    </xf>
    <xf numFmtId="0" fontId="14" fillId="0" borderId="27">
      <alignment horizontal="left" vertical="center" wrapText="1" indent="2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24" borderId="14">
      <alignment horizontal="left" vertical="center" wrapText="1" indent="2"/>
    </xf>
    <xf numFmtId="0" fontId="14" fillId="0" borderId="14">
      <alignment horizontal="left" vertical="center" wrapText="1" indent="2"/>
    </xf>
    <xf numFmtId="0" fontId="11" fillId="0" borderId="0"/>
    <xf numFmtId="4" fontId="10" fillId="24" borderId="24">
      <alignment horizontal="right" vertical="center"/>
    </xf>
    <xf numFmtId="0" fontId="14" fillId="23" borderId="24"/>
    <xf numFmtId="0" fontId="25" fillId="46" borderId="16" applyNumberFormat="0" applyAlignment="0" applyProtection="0"/>
    <xf numFmtId="0" fontId="10" fillId="22" borderId="24">
      <alignment horizontal="right" vertical="center"/>
    </xf>
    <xf numFmtId="0" fontId="14" fillId="0" borderId="24">
      <alignment horizontal="right" vertical="center"/>
    </xf>
    <xf numFmtId="0" fontId="45" fillId="0" borderId="18" applyNumberFormat="0" applyFill="0" applyAlignment="0" applyProtection="0"/>
    <xf numFmtId="0" fontId="14" fillId="22" borderId="25">
      <alignment horizontal="left" vertical="center"/>
    </xf>
    <xf numFmtId="0" fontId="38" fillId="33" borderId="16" applyNumberFormat="0" applyAlignment="0" applyProtection="0"/>
    <xf numFmtId="165" fontId="14" fillId="50" borderId="24" applyNumberFormat="0" applyFont="0" applyBorder="0" applyAlignment="0" applyProtection="0">
      <alignment horizontal="right" vertical="center"/>
    </xf>
    <xf numFmtId="0" fontId="20" fillId="49" borderId="23" applyNumberFormat="0" applyFont="0" applyAlignment="0" applyProtection="0"/>
    <xf numFmtId="0" fontId="14" fillId="0" borderId="27">
      <alignment horizontal="left" vertical="center" wrapText="1" indent="2"/>
    </xf>
    <xf numFmtId="4" fontId="14" fillId="23" borderId="24"/>
    <xf numFmtId="49" fontId="13" fillId="0" borderId="24" applyNumberFormat="0" applyFill="0" applyBorder="0" applyProtection="0">
      <alignment horizontal="left" vertical="center"/>
    </xf>
    <xf numFmtId="0" fontId="14" fillId="0" borderId="24">
      <alignment horizontal="right" vertical="center"/>
    </xf>
    <xf numFmtId="4" fontId="10" fillId="24" borderId="26">
      <alignment horizontal="right" vertical="center"/>
    </xf>
    <xf numFmtId="4" fontId="10" fillId="24" borderId="24">
      <alignment horizontal="right" vertical="center"/>
    </xf>
    <xf numFmtId="4" fontId="10" fillId="24" borderId="24">
      <alignment horizontal="right" vertical="center"/>
    </xf>
    <xf numFmtId="0" fontId="16" fillId="22" borderId="24">
      <alignment horizontal="right" vertical="center"/>
    </xf>
    <xf numFmtId="0" fontId="10" fillId="22" borderId="24">
      <alignment horizontal="right" vertical="center"/>
    </xf>
    <xf numFmtId="49" fontId="14" fillId="0" borderId="24" applyNumberFormat="0" applyFont="0" applyFill="0" applyBorder="0" applyProtection="0">
      <alignment horizontal="left" vertical="center" indent="2"/>
    </xf>
    <xf numFmtId="0" fontId="38" fillId="33" borderId="16" applyNumberFormat="0" applyAlignment="0" applyProtection="0"/>
    <xf numFmtId="0" fontId="23" fillId="46" borderId="15" applyNumberFormat="0" applyAlignment="0" applyProtection="0"/>
    <xf numFmtId="49" fontId="14" fillId="0" borderId="24" applyNumberFormat="0" applyFont="0" applyFill="0" applyBorder="0" applyProtection="0">
      <alignment horizontal="left" vertical="center" indent="2"/>
    </xf>
    <xf numFmtId="0" fontId="29" fillId="33" borderId="16" applyNumberFormat="0" applyAlignment="0" applyProtection="0"/>
    <xf numFmtId="4" fontId="14" fillId="0" borderId="24" applyFill="0" applyBorder="0" applyProtection="0">
      <alignment horizontal="right" vertical="center"/>
    </xf>
    <xf numFmtId="0" fontId="26" fillId="46" borderId="16" applyNumberFormat="0" applyAlignment="0" applyProtection="0"/>
    <xf numFmtId="0" fontId="45" fillId="0" borderId="18" applyNumberFormat="0" applyFill="0" applyAlignment="0" applyProtection="0"/>
    <xf numFmtId="0" fontId="42" fillId="46" borderId="15" applyNumberFormat="0" applyAlignment="0" applyProtection="0"/>
    <xf numFmtId="0" fontId="14" fillId="0" borderId="24" applyNumberFormat="0" applyFill="0" applyAlignment="0" applyProtection="0"/>
    <xf numFmtId="4" fontId="14" fillId="0" borderId="24">
      <alignment horizontal="right" vertical="center"/>
    </xf>
    <xf numFmtId="0" fontId="14" fillId="0" borderId="24">
      <alignment horizontal="right" vertical="center"/>
    </xf>
    <xf numFmtId="0" fontId="38" fillId="33" borderId="16" applyNumberFormat="0" applyAlignment="0" applyProtection="0"/>
    <xf numFmtId="0" fontId="23" fillId="46" borderId="15" applyNumberFormat="0" applyAlignment="0" applyProtection="0"/>
    <xf numFmtId="0" fontId="25" fillId="46" borderId="16" applyNumberFormat="0" applyAlignment="0" applyProtection="0"/>
    <xf numFmtId="0" fontId="14" fillId="24" borderId="27">
      <alignment horizontal="left" vertical="center" wrapText="1" indent="2"/>
    </xf>
    <xf numFmtId="0" fontId="26" fillId="46" borderId="16" applyNumberFormat="0" applyAlignment="0" applyProtection="0"/>
    <xf numFmtId="0" fontId="26" fillId="46" borderId="16" applyNumberFormat="0" applyAlignment="0" applyProtection="0"/>
    <xf numFmtId="4" fontId="10" fillId="24" borderId="25">
      <alignment horizontal="right" vertical="center"/>
    </xf>
    <xf numFmtId="0" fontId="10" fillId="24" borderId="25">
      <alignment horizontal="right" vertical="center"/>
    </xf>
    <xf numFmtId="0" fontId="10" fillId="24" borderId="24">
      <alignment horizontal="right" vertical="center"/>
    </xf>
    <xf numFmtId="4" fontId="16" fillId="22" borderId="24">
      <alignment horizontal="right" vertical="center"/>
    </xf>
    <xf numFmtId="0" fontId="29" fillId="33" borderId="16" applyNumberFormat="0" applyAlignment="0" applyProtection="0"/>
    <xf numFmtId="0" fontId="30" fillId="0" borderId="18" applyNumberFormat="0" applyFill="0" applyAlignment="0" applyProtection="0"/>
    <xf numFmtId="0" fontId="45" fillId="0" borderId="18" applyNumberFormat="0" applyFill="0" applyAlignment="0" applyProtection="0"/>
    <xf numFmtId="0" fontId="20" fillId="49" borderId="23" applyNumberFormat="0" applyFont="0" applyAlignment="0" applyProtection="0"/>
    <xf numFmtId="0" fontId="38" fillId="33" borderId="16" applyNumberFormat="0" applyAlignment="0" applyProtection="0"/>
    <xf numFmtId="49" fontId="13" fillId="0" borderId="24" applyNumberFormat="0" applyFill="0" applyBorder="0" applyProtection="0">
      <alignment horizontal="left" vertical="center"/>
    </xf>
    <xf numFmtId="0" fontId="14" fillId="24" borderId="27">
      <alignment horizontal="left" vertical="center" wrapText="1" indent="2"/>
    </xf>
    <xf numFmtId="0" fontId="26" fillId="46" borderId="16" applyNumberFormat="0" applyAlignment="0" applyProtection="0"/>
    <xf numFmtId="0" fontId="14" fillId="0" borderId="27">
      <alignment horizontal="left" vertical="center" wrapText="1" indent="2"/>
    </xf>
    <xf numFmtId="0" fontId="20" fillId="49" borderId="23" applyNumberFormat="0" applyFont="0" applyAlignment="0" applyProtection="0"/>
    <xf numFmtId="0" fontId="11" fillId="49" borderId="23" applyNumberFormat="0" applyFont="0" applyAlignment="0" applyProtection="0"/>
    <xf numFmtId="0" fontId="42" fillId="46" borderId="15" applyNumberFormat="0" applyAlignment="0" applyProtection="0"/>
    <xf numFmtId="0" fontId="45" fillId="0" borderId="18" applyNumberFormat="0" applyFill="0" applyAlignment="0" applyProtection="0"/>
    <xf numFmtId="4" fontId="14" fillId="23" borderId="24"/>
    <xf numFmtId="0" fontId="10" fillId="24" borderId="24">
      <alignment horizontal="right" vertical="center"/>
    </xf>
    <xf numFmtId="0" fontId="45" fillId="0" borderId="18" applyNumberFormat="0" applyFill="0" applyAlignment="0" applyProtection="0"/>
    <xf numFmtId="4" fontId="10" fillId="24" borderId="26">
      <alignment horizontal="right" vertical="center"/>
    </xf>
    <xf numFmtId="0" fontId="25" fillId="46" borderId="16" applyNumberFormat="0" applyAlignment="0" applyProtection="0"/>
    <xf numFmtId="0" fontId="10" fillId="24" borderId="25">
      <alignment horizontal="right" vertical="center"/>
    </xf>
    <xf numFmtId="0" fontId="26" fillId="46" borderId="16" applyNumberFormat="0" applyAlignment="0" applyProtection="0"/>
    <xf numFmtId="0" fontId="30" fillId="0" borderId="18" applyNumberFormat="0" applyFill="0" applyAlignment="0" applyProtection="0"/>
    <xf numFmtId="0" fontId="20" fillId="49" borderId="23" applyNumberFormat="0" applyFont="0" applyAlignment="0" applyProtection="0"/>
    <xf numFmtId="4" fontId="10" fillId="24" borderId="25">
      <alignment horizontal="right" vertical="center"/>
    </xf>
    <xf numFmtId="0" fontId="14" fillId="24" borderId="27">
      <alignment horizontal="left" vertical="center" wrapText="1" indent="2"/>
    </xf>
    <xf numFmtId="0" fontId="14" fillId="23" borderId="24"/>
    <xf numFmtId="165" fontId="14" fillId="50" borderId="24" applyNumberFormat="0" applyFont="0" applyBorder="0" applyAlignment="0" applyProtection="0">
      <alignment horizontal="right" vertical="center"/>
    </xf>
    <xf numFmtId="0" fontId="14" fillId="0" borderId="24" applyNumberFormat="0" applyFill="0" applyAlignment="0" applyProtection="0"/>
    <xf numFmtId="4" fontId="14" fillId="0" borderId="24" applyFill="0" applyBorder="0" applyProtection="0">
      <alignment horizontal="right" vertical="center"/>
    </xf>
    <xf numFmtId="4" fontId="10" fillId="22" borderId="24">
      <alignment horizontal="right" vertical="center"/>
    </xf>
    <xf numFmtId="0" fontId="30" fillId="0" borderId="18" applyNumberFormat="0" applyFill="0" applyAlignment="0" applyProtection="0"/>
    <xf numFmtId="49" fontId="13" fillId="0" borderId="24" applyNumberFormat="0" applyFill="0" applyBorder="0" applyProtection="0">
      <alignment horizontal="left" vertical="center"/>
    </xf>
    <xf numFmtId="49" fontId="14" fillId="0" borderId="25" applyNumberFormat="0" applyFont="0" applyFill="0" applyBorder="0" applyProtection="0">
      <alignment horizontal="left" vertical="center" indent="5"/>
    </xf>
    <xf numFmtId="0" fontId="14" fillId="22" borderId="25">
      <alignment horizontal="left" vertical="center"/>
    </xf>
    <xf numFmtId="0" fontId="26" fillId="46" borderId="16" applyNumberFormat="0" applyAlignment="0" applyProtection="0"/>
    <xf numFmtId="4" fontId="10" fillId="24" borderId="26">
      <alignment horizontal="right" vertical="center"/>
    </xf>
    <xf numFmtId="0" fontId="38" fillId="33" borderId="16" applyNumberFormat="0" applyAlignment="0" applyProtection="0"/>
    <xf numFmtId="0" fontId="38" fillId="33" borderId="16" applyNumberFormat="0" applyAlignment="0" applyProtection="0"/>
    <xf numFmtId="0" fontId="20" fillId="49" borderId="23" applyNumberFormat="0" applyFont="0" applyAlignment="0" applyProtection="0"/>
    <xf numFmtId="0" fontId="42" fillId="46" borderId="15" applyNumberFormat="0" applyAlignment="0" applyProtection="0"/>
    <xf numFmtId="0" fontId="45" fillId="0" borderId="18" applyNumberFormat="0" applyFill="0" applyAlignment="0" applyProtection="0"/>
    <xf numFmtId="0" fontId="10" fillId="24" borderId="24">
      <alignment horizontal="right" vertical="center"/>
    </xf>
    <xf numFmtId="0" fontId="11" fillId="49" borderId="23" applyNumberFormat="0" applyFont="0" applyAlignment="0" applyProtection="0"/>
    <xf numFmtId="4" fontId="14" fillId="0" borderId="24">
      <alignment horizontal="right" vertical="center"/>
    </xf>
    <xf numFmtId="0" fontId="45" fillId="0" borderId="18" applyNumberFormat="0" applyFill="0" applyAlignment="0" applyProtection="0"/>
    <xf numFmtId="0" fontId="10" fillId="24" borderId="24">
      <alignment horizontal="right" vertical="center"/>
    </xf>
    <xf numFmtId="0" fontId="10" fillId="24" borderId="24">
      <alignment horizontal="right" vertical="center"/>
    </xf>
    <xf numFmtId="4" fontId="16" fillId="22" borderId="24">
      <alignment horizontal="right" vertical="center"/>
    </xf>
    <xf numFmtId="0" fontId="10" fillId="22" borderId="24">
      <alignment horizontal="right" vertical="center"/>
    </xf>
    <xf numFmtId="4" fontId="10" fillId="22" borderId="24">
      <alignment horizontal="right" vertical="center"/>
    </xf>
    <xf numFmtId="0" fontId="16" fillId="22" borderId="24">
      <alignment horizontal="right" vertical="center"/>
    </xf>
    <xf numFmtId="4" fontId="16" fillId="22" borderId="24">
      <alignment horizontal="right" vertical="center"/>
    </xf>
    <xf numFmtId="0" fontId="10" fillId="24" borderId="24">
      <alignment horizontal="right" vertical="center"/>
    </xf>
    <xf numFmtId="4" fontId="10" fillId="24" borderId="24">
      <alignment horizontal="right" vertical="center"/>
    </xf>
    <xf numFmtId="0" fontId="10" fillId="24" borderId="24">
      <alignment horizontal="right" vertical="center"/>
    </xf>
    <xf numFmtId="4" fontId="10" fillId="24" borderId="24">
      <alignment horizontal="right" vertical="center"/>
    </xf>
    <xf numFmtId="0" fontId="10" fillId="24" borderId="25">
      <alignment horizontal="right" vertical="center"/>
    </xf>
    <xf numFmtId="4" fontId="10" fillId="24" borderId="25">
      <alignment horizontal="right" vertical="center"/>
    </xf>
    <xf numFmtId="0" fontId="10" fillId="24" borderId="26">
      <alignment horizontal="right" vertical="center"/>
    </xf>
    <xf numFmtId="4" fontId="10" fillId="24" borderId="26">
      <alignment horizontal="right" vertical="center"/>
    </xf>
    <xf numFmtId="0" fontId="26" fillId="46" borderId="16" applyNumberFormat="0" applyAlignment="0" applyProtection="0"/>
    <xf numFmtId="0" fontId="14" fillId="24" borderId="27">
      <alignment horizontal="left" vertical="center" wrapText="1" indent="2"/>
    </xf>
    <xf numFmtId="0" fontId="14" fillId="0" borderId="27">
      <alignment horizontal="left" vertical="center" wrapText="1" indent="2"/>
    </xf>
    <xf numFmtId="0" fontId="14" fillId="22" borderId="25">
      <alignment horizontal="left" vertical="center"/>
    </xf>
    <xf numFmtId="0" fontId="38" fillId="33" borderId="16" applyNumberFormat="0" applyAlignment="0" applyProtection="0"/>
    <xf numFmtId="0" fontId="14" fillId="0" borderId="24">
      <alignment horizontal="right" vertical="center"/>
    </xf>
    <xf numFmtId="4" fontId="14" fillId="0" borderId="24">
      <alignment horizontal="right" vertical="center"/>
    </xf>
    <xf numFmtId="0" fontId="14" fillId="0" borderId="24" applyNumberFormat="0" applyFill="0" applyAlignment="0" applyProtection="0"/>
    <xf numFmtId="0" fontId="42" fillId="46" borderId="15" applyNumberFormat="0" applyAlignment="0" applyProtection="0"/>
    <xf numFmtId="165" fontId="14" fillId="50" borderId="24" applyNumberFormat="0" applyFont="0" applyBorder="0" applyAlignment="0" applyProtection="0">
      <alignment horizontal="right" vertical="center"/>
    </xf>
    <xf numFmtId="0" fontId="14" fillId="23" borderId="24"/>
    <xf numFmtId="4" fontId="14" fillId="23" borderId="24"/>
    <xf numFmtId="0" fontId="45" fillId="0" borderId="18" applyNumberFormat="0" applyFill="0" applyAlignment="0" applyProtection="0"/>
    <xf numFmtId="0" fontId="11" fillId="49" borderId="23" applyNumberFormat="0" applyFont="0" applyAlignment="0" applyProtection="0"/>
    <xf numFmtId="0" fontId="20" fillId="49" borderId="23" applyNumberFormat="0" applyFont="0" applyAlignment="0" applyProtection="0"/>
    <xf numFmtId="0" fontId="14" fillId="0" borderId="24" applyNumberFormat="0" applyFill="0" applyAlignment="0" applyProtection="0"/>
    <xf numFmtId="0" fontId="30" fillId="0" borderId="18" applyNumberFormat="0" applyFill="0" applyAlignment="0" applyProtection="0"/>
    <xf numFmtId="0" fontId="45" fillId="0" borderId="18" applyNumberFormat="0" applyFill="0" applyAlignment="0" applyProtection="0"/>
    <xf numFmtId="0" fontId="29" fillId="33" borderId="16" applyNumberFormat="0" applyAlignment="0" applyProtection="0"/>
    <xf numFmtId="0" fontId="26" fillId="46" borderId="16" applyNumberFormat="0" applyAlignment="0" applyProtection="0"/>
    <xf numFmtId="4" fontId="16" fillId="22" borderId="24">
      <alignment horizontal="right" vertical="center"/>
    </xf>
    <xf numFmtId="0" fontId="10" fillId="22" borderId="24">
      <alignment horizontal="right" vertical="center"/>
    </xf>
    <xf numFmtId="165" fontId="14" fillId="50" borderId="24" applyNumberFormat="0" applyFont="0" applyBorder="0" applyAlignment="0" applyProtection="0">
      <alignment horizontal="right" vertical="center"/>
    </xf>
    <xf numFmtId="0" fontId="30" fillId="0" borderId="18" applyNumberFormat="0" applyFill="0" applyAlignment="0" applyProtection="0"/>
    <xf numFmtId="49" fontId="14" fillId="0" borderId="24" applyNumberFormat="0" applyFont="0" applyFill="0" applyBorder="0" applyProtection="0">
      <alignment horizontal="left" vertical="center" indent="2"/>
    </xf>
    <xf numFmtId="49" fontId="14" fillId="0" borderId="25" applyNumberFormat="0" applyFont="0" applyFill="0" applyBorder="0" applyProtection="0">
      <alignment horizontal="left" vertical="center" indent="5"/>
    </xf>
    <xf numFmtId="49" fontId="14" fillId="0" borderId="24" applyNumberFormat="0" applyFont="0" applyFill="0" applyBorder="0" applyProtection="0">
      <alignment horizontal="left" vertical="center" indent="2"/>
    </xf>
    <xf numFmtId="4" fontId="14" fillId="0" borderId="24" applyFill="0" applyBorder="0" applyProtection="0">
      <alignment horizontal="right" vertical="center"/>
    </xf>
    <xf numFmtId="49" fontId="13" fillId="0" borderId="24" applyNumberFormat="0" applyFill="0" applyBorder="0" applyProtection="0">
      <alignment horizontal="left" vertical="center"/>
    </xf>
    <xf numFmtId="0" fontId="14" fillId="0" borderId="27">
      <alignment horizontal="left" vertical="center" wrapText="1" indent="2"/>
    </xf>
    <xf numFmtId="0" fontId="42" fillId="46" borderId="15" applyNumberFormat="0" applyAlignment="0" applyProtection="0"/>
    <xf numFmtId="0" fontId="10" fillId="24" borderId="26">
      <alignment horizontal="right" vertical="center"/>
    </xf>
    <xf numFmtId="0" fontId="29" fillId="33" borderId="16" applyNumberFormat="0" applyAlignment="0" applyProtection="0"/>
    <xf numFmtId="0" fontId="10" fillId="24" borderId="26">
      <alignment horizontal="right" vertical="center"/>
    </xf>
    <xf numFmtId="4" fontId="10" fillId="24" borderId="24">
      <alignment horizontal="right" vertical="center"/>
    </xf>
    <xf numFmtId="0" fontId="10" fillId="24" borderId="24">
      <alignment horizontal="right" vertical="center"/>
    </xf>
    <xf numFmtId="0" fontId="23" fillId="46" borderId="15" applyNumberFormat="0" applyAlignment="0" applyProtection="0"/>
    <xf numFmtId="0" fontId="25" fillId="46" borderId="16" applyNumberFormat="0" applyAlignment="0" applyProtection="0"/>
    <xf numFmtId="0" fontId="30" fillId="0" borderId="18" applyNumberFormat="0" applyFill="0" applyAlignment="0" applyProtection="0"/>
    <xf numFmtId="0" fontId="14" fillId="23" borderId="24"/>
    <xf numFmtId="4" fontId="14" fillId="23" borderId="24"/>
    <xf numFmtId="4" fontId="10" fillId="24" borderId="24">
      <alignment horizontal="right" vertical="center"/>
    </xf>
    <xf numFmtId="0" fontId="16" fillId="22" borderId="24">
      <alignment horizontal="right" vertical="center"/>
    </xf>
    <xf numFmtId="0" fontId="29" fillId="33" borderId="16" applyNumberFormat="0" applyAlignment="0" applyProtection="0"/>
    <xf numFmtId="0" fontId="26" fillId="46" borderId="16" applyNumberFormat="0" applyAlignment="0" applyProtection="0"/>
    <xf numFmtId="4" fontId="14" fillId="0" borderId="24">
      <alignment horizontal="right" vertical="center"/>
    </xf>
    <xf numFmtId="0" fontId="14" fillId="24" borderId="27">
      <alignment horizontal="left" vertical="center" wrapText="1" indent="2"/>
    </xf>
    <xf numFmtId="0" fontId="14" fillId="0" borderId="27">
      <alignment horizontal="left" vertical="center" wrapText="1" indent="2"/>
    </xf>
    <xf numFmtId="0" fontId="42" fillId="46" borderId="15" applyNumberFormat="0" applyAlignment="0" applyProtection="0"/>
    <xf numFmtId="0" fontId="38" fillId="33" borderId="16" applyNumberFormat="0" applyAlignment="0" applyProtection="0"/>
    <xf numFmtId="0" fontId="25" fillId="46" borderId="16" applyNumberFormat="0" applyAlignment="0" applyProtection="0"/>
    <xf numFmtId="0" fontId="23" fillId="46" borderId="15" applyNumberFormat="0" applyAlignment="0" applyProtection="0"/>
    <xf numFmtId="0" fontId="10" fillId="24" borderId="26">
      <alignment horizontal="right" vertical="center"/>
    </xf>
    <xf numFmtId="0" fontId="16" fillId="22" borderId="24">
      <alignment horizontal="right" vertical="center"/>
    </xf>
    <xf numFmtId="4" fontId="10" fillId="22" borderId="24">
      <alignment horizontal="right" vertical="center"/>
    </xf>
    <xf numFmtId="4" fontId="10" fillId="24" borderId="24">
      <alignment horizontal="right" vertical="center"/>
    </xf>
    <xf numFmtId="49" fontId="14" fillId="0" borderId="25" applyNumberFormat="0" applyFont="0" applyFill="0" applyBorder="0" applyProtection="0">
      <alignment horizontal="left" vertical="center" indent="5"/>
    </xf>
    <xf numFmtId="4" fontId="14" fillId="0" borderId="24" applyFill="0" applyBorder="0" applyProtection="0">
      <alignment horizontal="right" vertical="center"/>
    </xf>
    <xf numFmtId="4" fontId="10" fillId="22" borderId="24">
      <alignment horizontal="right" vertical="center"/>
    </xf>
    <xf numFmtId="0" fontId="11" fillId="0" borderId="0"/>
    <xf numFmtId="0" fontId="38" fillId="33" borderId="16" applyNumberFormat="0" applyAlignment="0" applyProtection="0"/>
    <xf numFmtId="0" fontId="29" fillId="33" borderId="16" applyNumberFormat="0" applyAlignment="0" applyProtection="0"/>
    <xf numFmtId="0" fontId="25" fillId="46" borderId="16" applyNumberFormat="0" applyAlignment="0" applyProtection="0"/>
    <xf numFmtId="0" fontId="14" fillId="24" borderId="27">
      <alignment horizontal="left" vertical="center" wrapText="1" indent="2"/>
    </xf>
    <xf numFmtId="0" fontId="14" fillId="0" borderId="27">
      <alignment horizontal="left" vertical="center" wrapText="1" indent="2"/>
    </xf>
    <xf numFmtId="0" fontId="14" fillId="24" borderId="27">
      <alignment horizontal="left" vertical="center" wrapText="1" indent="2"/>
    </xf>
    <xf numFmtId="0" fontId="14" fillId="0" borderId="27">
      <alignment horizontal="left" vertical="center" wrapText="1" indent="2"/>
    </xf>
    <xf numFmtId="0" fontId="23" fillId="46" borderId="15" applyNumberFormat="0" applyAlignment="0" applyProtection="0"/>
    <xf numFmtId="0" fontId="25" fillId="46" borderId="16" applyNumberFormat="0" applyAlignment="0" applyProtection="0"/>
    <xf numFmtId="0" fontId="26" fillId="46" borderId="16" applyNumberFormat="0" applyAlignment="0" applyProtection="0"/>
    <xf numFmtId="0" fontId="29" fillId="33" borderId="16" applyNumberFormat="0" applyAlignment="0" applyProtection="0"/>
    <xf numFmtId="0" fontId="30" fillId="0" borderId="18" applyNumberFormat="0" applyFill="0" applyAlignment="0" applyProtection="0"/>
    <xf numFmtId="0" fontId="38" fillId="33" borderId="16" applyNumberFormat="0" applyAlignment="0" applyProtection="0"/>
    <xf numFmtId="0" fontId="20" fillId="49" borderId="23" applyNumberFormat="0" applyFont="0" applyAlignment="0" applyProtection="0"/>
    <xf numFmtId="0" fontId="11" fillId="49" borderId="23" applyNumberFormat="0" applyFont="0" applyAlignment="0" applyProtection="0"/>
    <xf numFmtId="0" fontId="42" fillId="46" borderId="15" applyNumberFormat="0" applyAlignment="0" applyProtection="0"/>
    <xf numFmtId="0" fontId="45" fillId="0" borderId="18" applyNumberFormat="0" applyFill="0" applyAlignment="0" applyProtection="0"/>
    <xf numFmtId="0" fontId="26" fillId="46" borderId="16" applyNumberFormat="0" applyAlignment="0" applyProtection="0"/>
    <xf numFmtId="0" fontId="38" fillId="33" borderId="16" applyNumberFormat="0" applyAlignment="0" applyProtection="0"/>
    <xf numFmtId="0" fontId="20" fillId="49" borderId="23" applyNumberFormat="0" applyFont="0" applyAlignment="0" applyProtection="0"/>
    <xf numFmtId="0" fontId="42" fillId="46" borderId="15" applyNumberFormat="0" applyAlignment="0" applyProtection="0"/>
    <xf numFmtId="0" fontId="45" fillId="0" borderId="18" applyNumberFormat="0" applyFill="0" applyAlignment="0" applyProtection="0"/>
    <xf numFmtId="0" fontId="10" fillId="24" borderId="7">
      <alignment horizontal="right" vertical="center"/>
    </xf>
    <xf numFmtId="4" fontId="10" fillId="24" borderId="7">
      <alignment horizontal="right" vertical="center"/>
    </xf>
    <xf numFmtId="0" fontId="10" fillId="24" borderId="9">
      <alignment horizontal="right" vertical="center"/>
    </xf>
    <xf numFmtId="4" fontId="10" fillId="24" borderId="9">
      <alignment horizontal="right" vertical="center"/>
    </xf>
    <xf numFmtId="0" fontId="26" fillId="46" borderId="16" applyNumberFormat="0" applyAlignment="0" applyProtection="0"/>
    <xf numFmtId="0" fontId="14" fillId="24" borderId="14">
      <alignment horizontal="left" vertical="center" wrapText="1" indent="2"/>
    </xf>
    <xf numFmtId="0" fontId="14" fillId="0" borderId="14">
      <alignment horizontal="left" vertical="center" wrapText="1" indent="2"/>
    </xf>
    <xf numFmtId="0" fontId="14" fillId="22" borderId="7">
      <alignment horizontal="left" vertical="center"/>
    </xf>
    <xf numFmtId="0" fontId="38" fillId="33" borderId="16" applyNumberFormat="0" applyAlignment="0" applyProtection="0"/>
    <xf numFmtId="0" fontId="42" fillId="46" borderId="15" applyNumberFormat="0" applyAlignment="0" applyProtection="0"/>
    <xf numFmtId="0" fontId="45" fillId="0" borderId="18" applyNumberFormat="0" applyFill="0" applyAlignment="0" applyProtection="0"/>
    <xf numFmtId="49" fontId="14" fillId="0" borderId="7" applyNumberFormat="0" applyFont="0" applyFill="0" applyBorder="0" applyProtection="0">
      <alignment horizontal="left" vertical="center" indent="5"/>
    </xf>
    <xf numFmtId="0" fontId="23" fillId="46" borderId="15" applyNumberFormat="0" applyAlignment="0" applyProtection="0"/>
    <xf numFmtId="0" fontId="25" fillId="46" borderId="16" applyNumberFormat="0" applyAlignment="0" applyProtection="0"/>
    <xf numFmtId="0" fontId="30" fillId="0" borderId="18" applyNumberFormat="0" applyFill="0" applyAlignment="0" applyProtection="0"/>
    <xf numFmtId="49" fontId="14" fillId="0" borderId="24" applyNumberFormat="0" applyFont="0" applyFill="0" applyBorder="0" applyProtection="0">
      <alignment horizontal="left" vertical="center" indent="2"/>
    </xf>
    <xf numFmtId="0" fontId="10" fillId="22" borderId="24">
      <alignment horizontal="right" vertical="center"/>
    </xf>
    <xf numFmtId="4" fontId="10" fillId="22" borderId="24">
      <alignment horizontal="right" vertical="center"/>
    </xf>
    <xf numFmtId="0" fontId="16" fillId="22" borderId="24">
      <alignment horizontal="right" vertical="center"/>
    </xf>
    <xf numFmtId="4" fontId="16" fillId="22" borderId="24">
      <alignment horizontal="right" vertical="center"/>
    </xf>
    <xf numFmtId="0" fontId="10" fillId="24" borderId="24">
      <alignment horizontal="right" vertical="center"/>
    </xf>
    <xf numFmtId="4" fontId="10" fillId="24" borderId="24">
      <alignment horizontal="right" vertical="center"/>
    </xf>
    <xf numFmtId="0" fontId="10" fillId="24" borderId="24">
      <alignment horizontal="right" vertical="center"/>
    </xf>
    <xf numFmtId="4" fontId="10" fillId="24" borderId="24">
      <alignment horizontal="right" vertical="center"/>
    </xf>
    <xf numFmtId="0" fontId="29" fillId="33" borderId="16" applyNumberFormat="0" applyAlignment="0" applyProtection="0"/>
    <xf numFmtId="0" fontId="14" fillId="0" borderId="24">
      <alignment horizontal="right" vertical="center"/>
    </xf>
    <xf numFmtId="4" fontId="14" fillId="0" borderId="24">
      <alignment horizontal="right" vertical="center"/>
    </xf>
    <xf numFmtId="4" fontId="14" fillId="0" borderId="24" applyFill="0" applyBorder="0" applyProtection="0">
      <alignment horizontal="right" vertical="center"/>
    </xf>
    <xf numFmtId="49" fontId="13" fillId="0" borderId="24" applyNumberFormat="0" applyFill="0" applyBorder="0" applyProtection="0">
      <alignment horizontal="left" vertical="center"/>
    </xf>
    <xf numFmtId="0" fontId="14" fillId="0" borderId="24" applyNumberFormat="0" applyFill="0" applyAlignment="0" applyProtection="0"/>
    <xf numFmtId="165" fontId="14" fillId="50" borderId="24" applyNumberFormat="0" applyFont="0" applyBorder="0" applyAlignment="0" applyProtection="0">
      <alignment horizontal="right" vertical="center"/>
    </xf>
    <xf numFmtId="0" fontId="14" fillId="23" borderId="24"/>
    <xf numFmtId="4" fontId="14" fillId="23" borderId="24"/>
    <xf numFmtId="4" fontId="10" fillId="24" borderId="24">
      <alignment horizontal="right" vertical="center"/>
    </xf>
    <xf numFmtId="0" fontId="14" fillId="23" borderId="24"/>
    <xf numFmtId="0" fontId="25" fillId="46" borderId="16" applyNumberFormat="0" applyAlignment="0" applyProtection="0"/>
    <xf numFmtId="0" fontId="10" fillId="22" borderId="24">
      <alignment horizontal="right" vertical="center"/>
    </xf>
    <xf numFmtId="0" fontId="14" fillId="0" borderId="24">
      <alignment horizontal="right" vertical="center"/>
    </xf>
    <xf numFmtId="0" fontId="45" fillId="0" borderId="18" applyNumberFormat="0" applyFill="0" applyAlignment="0" applyProtection="0"/>
    <xf numFmtId="0" fontId="14" fillId="22" borderId="25">
      <alignment horizontal="left" vertical="center"/>
    </xf>
    <xf numFmtId="0" fontId="38" fillId="33" borderId="16" applyNumberFormat="0" applyAlignment="0" applyProtection="0"/>
    <xf numFmtId="165" fontId="14" fillId="50" borderId="24" applyNumberFormat="0" applyFont="0" applyBorder="0" applyAlignment="0" applyProtection="0">
      <alignment horizontal="right" vertical="center"/>
    </xf>
    <xf numFmtId="0" fontId="20" fillId="49" borderId="23" applyNumberFormat="0" applyFont="0" applyAlignment="0" applyProtection="0"/>
    <xf numFmtId="0" fontId="14" fillId="0" borderId="27">
      <alignment horizontal="left" vertical="center" wrapText="1" indent="2"/>
    </xf>
    <xf numFmtId="4" fontId="14" fillId="23" borderId="24"/>
    <xf numFmtId="49" fontId="13" fillId="0" borderId="24" applyNumberFormat="0" applyFill="0" applyBorder="0" applyProtection="0">
      <alignment horizontal="left" vertical="center"/>
    </xf>
    <xf numFmtId="0" fontId="14" fillId="0" borderId="24">
      <alignment horizontal="right" vertical="center"/>
    </xf>
    <xf numFmtId="4" fontId="10" fillId="24" borderId="26">
      <alignment horizontal="right" vertical="center"/>
    </xf>
    <xf numFmtId="4" fontId="10" fillId="24" borderId="24">
      <alignment horizontal="right" vertical="center"/>
    </xf>
    <xf numFmtId="4" fontId="10" fillId="24" borderId="24">
      <alignment horizontal="right" vertical="center"/>
    </xf>
    <xf numFmtId="0" fontId="16" fillId="22" borderId="24">
      <alignment horizontal="right" vertical="center"/>
    </xf>
    <xf numFmtId="0" fontId="10" fillId="22" borderId="24">
      <alignment horizontal="right" vertical="center"/>
    </xf>
    <xf numFmtId="49" fontId="14" fillId="0" borderId="24" applyNumberFormat="0" applyFont="0" applyFill="0" applyBorder="0" applyProtection="0">
      <alignment horizontal="left" vertical="center" indent="2"/>
    </xf>
    <xf numFmtId="0" fontId="38" fillId="33" borderId="16" applyNumberFormat="0" applyAlignment="0" applyProtection="0"/>
    <xf numFmtId="0" fontId="23" fillId="46" borderId="15" applyNumberFormat="0" applyAlignment="0" applyProtection="0"/>
    <xf numFmtId="49" fontId="14" fillId="0" borderId="24" applyNumberFormat="0" applyFont="0" applyFill="0" applyBorder="0" applyProtection="0">
      <alignment horizontal="left" vertical="center" indent="2"/>
    </xf>
    <xf numFmtId="0" fontId="29" fillId="33" borderId="16" applyNumberFormat="0" applyAlignment="0" applyProtection="0"/>
    <xf numFmtId="4" fontId="14" fillId="0" borderId="24" applyFill="0" applyBorder="0" applyProtection="0">
      <alignment horizontal="right" vertical="center"/>
    </xf>
    <xf numFmtId="0" fontId="26" fillId="46" borderId="16" applyNumberFormat="0" applyAlignment="0" applyProtection="0"/>
    <xf numFmtId="0" fontId="45" fillId="0" borderId="18" applyNumberFormat="0" applyFill="0" applyAlignment="0" applyProtection="0"/>
    <xf numFmtId="0" fontId="42" fillId="46" borderId="15" applyNumberFormat="0" applyAlignment="0" applyProtection="0"/>
    <xf numFmtId="0" fontId="14" fillId="0" borderId="24" applyNumberFormat="0" applyFill="0" applyAlignment="0" applyProtection="0"/>
    <xf numFmtId="4" fontId="14" fillId="0" borderId="24">
      <alignment horizontal="right" vertical="center"/>
    </xf>
    <xf numFmtId="0" fontId="14" fillId="0" borderId="24">
      <alignment horizontal="right" vertical="center"/>
    </xf>
    <xf numFmtId="0" fontId="38" fillId="33" borderId="16" applyNumberFormat="0" applyAlignment="0" applyProtection="0"/>
    <xf numFmtId="0" fontId="23" fillId="46" borderId="15" applyNumberFormat="0" applyAlignment="0" applyProtection="0"/>
    <xf numFmtId="0" fontId="25" fillId="46" borderId="16" applyNumberFormat="0" applyAlignment="0" applyProtection="0"/>
    <xf numFmtId="0" fontId="14" fillId="24" borderId="27">
      <alignment horizontal="left" vertical="center" wrapText="1" indent="2"/>
    </xf>
    <xf numFmtId="0" fontId="26" fillId="46" borderId="16" applyNumberFormat="0" applyAlignment="0" applyProtection="0"/>
    <xf numFmtId="0" fontId="26" fillId="46" borderId="16" applyNumberFormat="0" applyAlignment="0" applyProtection="0"/>
    <xf numFmtId="4" fontId="10" fillId="24" borderId="25">
      <alignment horizontal="right" vertical="center"/>
    </xf>
    <xf numFmtId="0" fontId="10" fillId="24" borderId="25">
      <alignment horizontal="right" vertical="center"/>
    </xf>
    <xf numFmtId="0" fontId="10" fillId="24" borderId="24">
      <alignment horizontal="right" vertical="center"/>
    </xf>
    <xf numFmtId="4" fontId="16" fillId="22" borderId="24">
      <alignment horizontal="right" vertical="center"/>
    </xf>
    <xf numFmtId="0" fontId="29" fillId="33" borderId="16" applyNumberFormat="0" applyAlignment="0" applyProtection="0"/>
    <xf numFmtId="0" fontId="30" fillId="0" borderId="18" applyNumberFormat="0" applyFill="0" applyAlignment="0" applyProtection="0"/>
    <xf numFmtId="0" fontId="45" fillId="0" borderId="18" applyNumberFormat="0" applyFill="0" applyAlignment="0" applyProtection="0"/>
    <xf numFmtId="0" fontId="20" fillId="49" borderId="23" applyNumberFormat="0" applyFont="0" applyAlignment="0" applyProtection="0"/>
    <xf numFmtId="0" fontId="38" fillId="33" borderId="16" applyNumberFormat="0" applyAlignment="0" applyProtection="0"/>
    <xf numFmtId="49" fontId="13" fillId="0" borderId="24" applyNumberFormat="0" applyFill="0" applyBorder="0" applyProtection="0">
      <alignment horizontal="left" vertical="center"/>
    </xf>
    <xf numFmtId="0" fontId="14" fillId="24" borderId="27">
      <alignment horizontal="left" vertical="center" wrapText="1" indent="2"/>
    </xf>
    <xf numFmtId="0" fontId="26" fillId="46" borderId="16" applyNumberFormat="0" applyAlignment="0" applyProtection="0"/>
    <xf numFmtId="0" fontId="14" fillId="0" borderId="27">
      <alignment horizontal="left" vertical="center" wrapText="1" indent="2"/>
    </xf>
    <xf numFmtId="0" fontId="20" fillId="49" borderId="23" applyNumberFormat="0" applyFont="0" applyAlignment="0" applyProtection="0"/>
    <xf numFmtId="0" fontId="11" fillId="49" borderId="23" applyNumberFormat="0" applyFont="0" applyAlignment="0" applyProtection="0"/>
    <xf numFmtId="0" fontId="42" fillId="46" borderId="15" applyNumberFormat="0" applyAlignment="0" applyProtection="0"/>
    <xf numFmtId="0" fontId="45" fillId="0" borderId="18" applyNumberFormat="0" applyFill="0" applyAlignment="0" applyProtection="0"/>
    <xf numFmtId="4" fontId="14" fillId="23" borderId="24"/>
    <xf numFmtId="0" fontId="10" fillId="24" borderId="24">
      <alignment horizontal="right" vertical="center"/>
    </xf>
    <xf numFmtId="0" fontId="45" fillId="0" borderId="18" applyNumberFormat="0" applyFill="0" applyAlignment="0" applyProtection="0"/>
    <xf numFmtId="4" fontId="10" fillId="24" borderId="26">
      <alignment horizontal="right" vertical="center"/>
    </xf>
    <xf numFmtId="0" fontId="25" fillId="46" borderId="16" applyNumberFormat="0" applyAlignment="0" applyProtection="0"/>
    <xf numFmtId="0" fontId="10" fillId="24" borderId="25">
      <alignment horizontal="right" vertical="center"/>
    </xf>
    <xf numFmtId="0" fontId="26" fillId="46" borderId="16" applyNumberFormat="0" applyAlignment="0" applyProtection="0"/>
    <xf numFmtId="0" fontId="30" fillId="0" borderId="18" applyNumberFormat="0" applyFill="0" applyAlignment="0" applyProtection="0"/>
    <xf numFmtId="0" fontId="20" fillId="49" borderId="23" applyNumberFormat="0" applyFont="0" applyAlignment="0" applyProtection="0"/>
    <xf numFmtId="4" fontId="10" fillId="24" borderId="25">
      <alignment horizontal="right" vertical="center"/>
    </xf>
    <xf numFmtId="0" fontId="14" fillId="24" borderId="27">
      <alignment horizontal="left" vertical="center" wrapText="1" indent="2"/>
    </xf>
    <xf numFmtId="0" fontId="14" fillId="23" borderId="24"/>
    <xf numFmtId="165" fontId="14" fillId="50" borderId="24" applyNumberFormat="0" applyFont="0" applyBorder="0" applyAlignment="0" applyProtection="0">
      <alignment horizontal="right" vertical="center"/>
    </xf>
    <xf numFmtId="0" fontId="14" fillId="0" borderId="24" applyNumberFormat="0" applyFill="0" applyAlignment="0" applyProtection="0"/>
    <xf numFmtId="4" fontId="14" fillId="0" borderId="24" applyFill="0" applyBorder="0" applyProtection="0">
      <alignment horizontal="right" vertical="center"/>
    </xf>
    <xf numFmtId="4" fontId="10" fillId="22" borderId="24">
      <alignment horizontal="right" vertical="center"/>
    </xf>
    <xf numFmtId="0" fontId="30" fillId="0" borderId="18" applyNumberFormat="0" applyFill="0" applyAlignment="0" applyProtection="0"/>
    <xf numFmtId="49" fontId="13" fillId="0" borderId="24" applyNumberFormat="0" applyFill="0" applyBorder="0" applyProtection="0">
      <alignment horizontal="left" vertical="center"/>
    </xf>
    <xf numFmtId="49" fontId="14" fillId="0" borderId="25" applyNumberFormat="0" applyFont="0" applyFill="0" applyBorder="0" applyProtection="0">
      <alignment horizontal="left" vertical="center" indent="5"/>
    </xf>
    <xf numFmtId="0" fontId="14" fillId="22" borderId="25">
      <alignment horizontal="left" vertical="center"/>
    </xf>
    <xf numFmtId="0" fontId="26" fillId="46" borderId="16" applyNumberFormat="0" applyAlignment="0" applyProtection="0"/>
    <xf numFmtId="4" fontId="10" fillId="24" borderId="26">
      <alignment horizontal="right" vertical="center"/>
    </xf>
    <xf numFmtId="0" fontId="38" fillId="33" borderId="16" applyNumberFormat="0" applyAlignment="0" applyProtection="0"/>
    <xf numFmtId="0" fontId="38" fillId="33" borderId="16" applyNumberFormat="0" applyAlignment="0" applyProtection="0"/>
    <xf numFmtId="0" fontId="20" fillId="49" borderId="23" applyNumberFormat="0" applyFont="0" applyAlignment="0" applyProtection="0"/>
    <xf numFmtId="0" fontId="42" fillId="46" borderId="15" applyNumberFormat="0" applyAlignment="0" applyProtection="0"/>
    <xf numFmtId="0" fontId="45" fillId="0" borderId="18" applyNumberFormat="0" applyFill="0" applyAlignment="0" applyProtection="0"/>
    <xf numFmtId="0" fontId="10" fillId="24" borderId="24">
      <alignment horizontal="right" vertical="center"/>
    </xf>
    <xf numFmtId="0" fontId="11" fillId="49" borderId="23" applyNumberFormat="0" applyFont="0" applyAlignment="0" applyProtection="0"/>
    <xf numFmtId="4" fontId="14" fillId="0" borderId="24">
      <alignment horizontal="right" vertical="center"/>
    </xf>
    <xf numFmtId="0" fontId="45" fillId="0" borderId="18" applyNumberFormat="0" applyFill="0" applyAlignment="0" applyProtection="0"/>
    <xf numFmtId="0" fontId="10" fillId="24" borderId="24">
      <alignment horizontal="right" vertical="center"/>
    </xf>
    <xf numFmtId="0" fontId="10" fillId="24" borderId="24">
      <alignment horizontal="right" vertical="center"/>
    </xf>
    <xf numFmtId="4" fontId="16" fillId="22" borderId="24">
      <alignment horizontal="right" vertical="center"/>
    </xf>
    <xf numFmtId="0" fontId="10" fillId="22" borderId="24">
      <alignment horizontal="right" vertical="center"/>
    </xf>
    <xf numFmtId="4" fontId="10" fillId="22" borderId="24">
      <alignment horizontal="right" vertical="center"/>
    </xf>
    <xf numFmtId="0" fontId="16" fillId="22" borderId="24">
      <alignment horizontal="right" vertical="center"/>
    </xf>
    <xf numFmtId="4" fontId="16" fillId="22" borderId="24">
      <alignment horizontal="right" vertical="center"/>
    </xf>
    <xf numFmtId="0" fontId="10" fillId="24" borderId="24">
      <alignment horizontal="right" vertical="center"/>
    </xf>
    <xf numFmtId="4" fontId="10" fillId="24" borderId="24">
      <alignment horizontal="right" vertical="center"/>
    </xf>
    <xf numFmtId="0" fontId="10" fillId="24" borderId="24">
      <alignment horizontal="right" vertical="center"/>
    </xf>
    <xf numFmtId="4" fontId="10" fillId="24" borderId="24">
      <alignment horizontal="right" vertical="center"/>
    </xf>
    <xf numFmtId="0" fontId="10" fillId="24" borderId="25">
      <alignment horizontal="right" vertical="center"/>
    </xf>
    <xf numFmtId="4" fontId="10" fillId="24" borderId="25">
      <alignment horizontal="right" vertical="center"/>
    </xf>
    <xf numFmtId="0" fontId="10" fillId="24" borderId="26">
      <alignment horizontal="right" vertical="center"/>
    </xf>
    <xf numFmtId="4" fontId="10" fillId="24" borderId="26">
      <alignment horizontal="right" vertical="center"/>
    </xf>
    <xf numFmtId="0" fontId="26" fillId="46" borderId="16" applyNumberFormat="0" applyAlignment="0" applyProtection="0"/>
    <xf numFmtId="0" fontId="14" fillId="24" borderId="27">
      <alignment horizontal="left" vertical="center" wrapText="1" indent="2"/>
    </xf>
    <xf numFmtId="0" fontId="14" fillId="0" borderId="27">
      <alignment horizontal="left" vertical="center" wrapText="1" indent="2"/>
    </xf>
    <xf numFmtId="0" fontId="14" fillId="22" borderId="25">
      <alignment horizontal="left" vertical="center"/>
    </xf>
    <xf numFmtId="0" fontId="38" fillId="33" borderId="16" applyNumberFormat="0" applyAlignment="0" applyProtection="0"/>
    <xf numFmtId="0" fontId="14" fillId="0" borderId="24">
      <alignment horizontal="right" vertical="center"/>
    </xf>
    <xf numFmtId="4" fontId="14" fillId="0" borderId="24">
      <alignment horizontal="right" vertical="center"/>
    </xf>
    <xf numFmtId="0" fontId="14" fillId="0" borderId="24" applyNumberFormat="0" applyFill="0" applyAlignment="0" applyProtection="0"/>
    <xf numFmtId="0" fontId="42" fillId="46" borderId="15" applyNumberFormat="0" applyAlignment="0" applyProtection="0"/>
    <xf numFmtId="165" fontId="14" fillId="50" borderId="24" applyNumberFormat="0" applyFont="0" applyBorder="0" applyAlignment="0" applyProtection="0">
      <alignment horizontal="right" vertical="center"/>
    </xf>
    <xf numFmtId="0" fontId="14" fillId="23" borderId="24"/>
    <xf numFmtId="4" fontId="14" fillId="23" borderId="24"/>
    <xf numFmtId="0" fontId="45" fillId="0" borderId="18" applyNumberFormat="0" applyFill="0" applyAlignment="0" applyProtection="0"/>
    <xf numFmtId="0" fontId="11" fillId="49" borderId="23" applyNumberFormat="0" applyFont="0" applyAlignment="0" applyProtection="0"/>
    <xf numFmtId="0" fontId="20" fillId="49" borderId="23" applyNumberFormat="0" applyFont="0" applyAlignment="0" applyProtection="0"/>
    <xf numFmtId="0" fontId="14" fillId="0" borderId="24" applyNumberFormat="0" applyFill="0" applyAlignment="0" applyProtection="0"/>
    <xf numFmtId="0" fontId="30" fillId="0" borderId="18" applyNumberFormat="0" applyFill="0" applyAlignment="0" applyProtection="0"/>
    <xf numFmtId="0" fontId="45" fillId="0" borderId="18" applyNumberFormat="0" applyFill="0" applyAlignment="0" applyProtection="0"/>
    <xf numFmtId="0" fontId="29" fillId="33" borderId="16" applyNumberFormat="0" applyAlignment="0" applyProtection="0"/>
    <xf numFmtId="0" fontId="26" fillId="46" borderId="16" applyNumberFormat="0" applyAlignment="0" applyProtection="0"/>
    <xf numFmtId="4" fontId="16" fillId="22" borderId="24">
      <alignment horizontal="right" vertical="center"/>
    </xf>
    <xf numFmtId="0" fontId="10" fillId="22" borderId="24">
      <alignment horizontal="right" vertical="center"/>
    </xf>
    <xf numFmtId="165" fontId="14" fillId="50" borderId="24" applyNumberFormat="0" applyFont="0" applyBorder="0" applyAlignment="0" applyProtection="0">
      <alignment horizontal="right" vertical="center"/>
    </xf>
    <xf numFmtId="0" fontId="30" fillId="0" borderId="18" applyNumberFormat="0" applyFill="0" applyAlignment="0" applyProtection="0"/>
    <xf numFmtId="49" fontId="14" fillId="0" borderId="24" applyNumberFormat="0" applyFont="0" applyFill="0" applyBorder="0" applyProtection="0">
      <alignment horizontal="left" vertical="center" indent="2"/>
    </xf>
    <xf numFmtId="49" fontId="14" fillId="0" borderId="25" applyNumberFormat="0" applyFont="0" applyFill="0" applyBorder="0" applyProtection="0">
      <alignment horizontal="left" vertical="center" indent="5"/>
    </xf>
    <xf numFmtId="49" fontId="14" fillId="0" borderId="24" applyNumberFormat="0" applyFont="0" applyFill="0" applyBorder="0" applyProtection="0">
      <alignment horizontal="left" vertical="center" indent="2"/>
    </xf>
    <xf numFmtId="4" fontId="14" fillId="0" borderId="24" applyFill="0" applyBorder="0" applyProtection="0">
      <alignment horizontal="right" vertical="center"/>
    </xf>
    <xf numFmtId="49" fontId="13" fillId="0" borderId="24" applyNumberFormat="0" applyFill="0" applyBorder="0" applyProtection="0">
      <alignment horizontal="left" vertical="center"/>
    </xf>
    <xf numFmtId="0" fontId="14" fillId="0" borderId="27">
      <alignment horizontal="left" vertical="center" wrapText="1" indent="2"/>
    </xf>
    <xf numFmtId="0" fontId="42" fillId="46" borderId="15" applyNumberFormat="0" applyAlignment="0" applyProtection="0"/>
    <xf numFmtId="0" fontId="10" fillId="24" borderId="26">
      <alignment horizontal="right" vertical="center"/>
    </xf>
    <xf numFmtId="0" fontId="29" fillId="33" borderId="16" applyNumberFormat="0" applyAlignment="0" applyProtection="0"/>
    <xf numFmtId="0" fontId="10" fillId="24" borderId="26">
      <alignment horizontal="right" vertical="center"/>
    </xf>
    <xf numFmtId="4" fontId="10" fillId="24" borderId="24">
      <alignment horizontal="right" vertical="center"/>
    </xf>
    <xf numFmtId="0" fontId="10" fillId="24" borderId="24">
      <alignment horizontal="right" vertical="center"/>
    </xf>
    <xf numFmtId="0" fontId="23" fillId="46" borderId="15" applyNumberFormat="0" applyAlignment="0" applyProtection="0"/>
    <xf numFmtId="0" fontId="25" fillId="46" borderId="16" applyNumberFormat="0" applyAlignment="0" applyProtection="0"/>
    <xf numFmtId="0" fontId="30" fillId="0" borderId="18" applyNumberFormat="0" applyFill="0" applyAlignment="0" applyProtection="0"/>
    <xf numFmtId="0" fontId="14" fillId="23" borderId="24"/>
    <xf numFmtId="4" fontId="14" fillId="23" borderId="24"/>
    <xf numFmtId="4" fontId="10" fillId="24" borderId="24">
      <alignment horizontal="right" vertical="center"/>
    </xf>
    <xf numFmtId="0" fontId="16" fillId="22" borderId="24">
      <alignment horizontal="right" vertical="center"/>
    </xf>
    <xf numFmtId="0" fontId="29" fillId="33" borderId="16" applyNumberFormat="0" applyAlignment="0" applyProtection="0"/>
    <xf numFmtId="0" fontId="26" fillId="46" borderId="16" applyNumberFormat="0" applyAlignment="0" applyProtection="0"/>
    <xf numFmtId="4" fontId="14" fillId="0" borderId="24">
      <alignment horizontal="right" vertical="center"/>
    </xf>
    <xf numFmtId="0" fontId="14" fillId="24" borderId="27">
      <alignment horizontal="left" vertical="center" wrapText="1" indent="2"/>
    </xf>
    <xf numFmtId="0" fontId="14" fillId="0" borderId="27">
      <alignment horizontal="left" vertical="center" wrapText="1" indent="2"/>
    </xf>
    <xf numFmtId="0" fontId="42" fillId="46" borderId="15" applyNumberFormat="0" applyAlignment="0" applyProtection="0"/>
    <xf numFmtId="0" fontId="38" fillId="33" borderId="16" applyNumberFormat="0" applyAlignment="0" applyProtection="0"/>
    <xf numFmtId="0" fontId="25" fillId="46" borderId="16" applyNumberFormat="0" applyAlignment="0" applyProtection="0"/>
    <xf numFmtId="0" fontId="23" fillId="46" borderId="15" applyNumberFormat="0" applyAlignment="0" applyProtection="0"/>
    <xf numFmtId="0" fontId="10" fillId="24" borderId="26">
      <alignment horizontal="right" vertical="center"/>
    </xf>
    <xf numFmtId="0" fontId="16" fillId="22" borderId="24">
      <alignment horizontal="right" vertical="center"/>
    </xf>
    <xf numFmtId="4" fontId="10" fillId="22" borderId="24">
      <alignment horizontal="right" vertical="center"/>
    </xf>
    <xf numFmtId="4" fontId="10" fillId="24" borderId="24">
      <alignment horizontal="right" vertical="center"/>
    </xf>
    <xf numFmtId="49" fontId="14" fillId="0" borderId="25" applyNumberFormat="0" applyFont="0" applyFill="0" applyBorder="0" applyProtection="0">
      <alignment horizontal="left" vertical="center" indent="5"/>
    </xf>
    <xf numFmtId="4" fontId="14" fillId="0" borderId="24" applyFill="0" applyBorder="0" applyProtection="0">
      <alignment horizontal="right" vertical="center"/>
    </xf>
    <xf numFmtId="4" fontId="10" fillId="22" borderId="24">
      <alignment horizontal="right" vertical="center"/>
    </xf>
    <xf numFmtId="0" fontId="38" fillId="33" borderId="16" applyNumberFormat="0" applyAlignment="0" applyProtection="0"/>
    <xf numFmtId="0" fontId="29" fillId="33" borderId="16" applyNumberFormat="0" applyAlignment="0" applyProtection="0"/>
    <xf numFmtId="0" fontId="25" fillId="46" borderId="16" applyNumberFormat="0" applyAlignment="0" applyProtection="0"/>
    <xf numFmtId="0" fontId="14" fillId="24" borderId="27">
      <alignment horizontal="left" vertical="center" wrapText="1" indent="2"/>
    </xf>
    <xf numFmtId="0" fontId="14" fillId="0" borderId="27">
      <alignment horizontal="left" vertical="center" wrapText="1" indent="2"/>
    </xf>
    <xf numFmtId="0" fontId="14" fillId="24" borderId="27">
      <alignment horizontal="left" vertical="center" wrapText="1" indent="2"/>
    </xf>
    <xf numFmtId="0" fontId="14" fillId="0" borderId="27">
      <alignment horizontal="left" vertical="center" wrapText="1" indent="2"/>
    </xf>
    <xf numFmtId="0" fontId="25" fillId="46" borderId="29" applyNumberFormat="0" applyAlignment="0" applyProtection="0"/>
    <xf numFmtId="0" fontId="26" fillId="46" borderId="29" applyNumberFormat="0" applyAlignment="0" applyProtection="0"/>
    <xf numFmtId="0" fontId="16" fillId="22" borderId="32">
      <alignment horizontal="right" vertical="center"/>
    </xf>
    <xf numFmtId="0" fontId="29" fillId="33" borderId="29" applyNumberFormat="0" applyAlignment="0" applyProtection="0"/>
    <xf numFmtId="0" fontId="23" fillId="46" borderId="28" applyNumberFormat="0" applyAlignment="0" applyProtection="0"/>
    <xf numFmtId="0" fontId="1" fillId="5" borderId="0" applyNumberFormat="0" applyBorder="0" applyAlignment="0" applyProtection="0"/>
    <xf numFmtId="4" fontId="10" fillId="24" borderId="32">
      <alignment horizontal="right" vertical="center"/>
    </xf>
    <xf numFmtId="0" fontId="25" fillId="46" borderId="29" applyNumberFormat="0" applyAlignment="0" applyProtection="0"/>
    <xf numFmtId="0" fontId="14" fillId="22" borderId="33">
      <alignment horizontal="left" vertical="center"/>
    </xf>
    <xf numFmtId="0" fontId="30" fillId="0" borderId="30" applyNumberFormat="0" applyFill="0" applyAlignment="0" applyProtection="0"/>
    <xf numFmtId="0" fontId="45" fillId="0" borderId="30" applyNumberFormat="0" applyFill="0" applyAlignment="0" applyProtection="0"/>
    <xf numFmtId="0" fontId="26" fillId="46" borderId="29" applyNumberFormat="0" applyAlignment="0" applyProtection="0"/>
    <xf numFmtId="4" fontId="14" fillId="23" borderId="32"/>
    <xf numFmtId="0" fontId="14" fillId="23" borderId="32"/>
    <xf numFmtId="4" fontId="14" fillId="23" borderId="32"/>
    <xf numFmtId="0" fontId="16" fillId="22" borderId="32">
      <alignment horizontal="right" vertical="center"/>
    </xf>
    <xf numFmtId="0" fontId="30" fillId="0" borderId="30" applyNumberFormat="0" applyFill="0" applyAlignment="0" applyProtection="0"/>
    <xf numFmtId="0" fontId="14" fillId="24" borderId="35">
      <alignment horizontal="left" vertical="center" wrapText="1" indent="2"/>
    </xf>
    <xf numFmtId="0" fontId="10" fillId="22" borderId="32">
      <alignment horizontal="right" vertical="center"/>
    </xf>
    <xf numFmtId="0" fontId="38" fillId="33" borderId="29" applyNumberFormat="0" applyAlignment="0" applyProtection="0"/>
    <xf numFmtId="0" fontId="16" fillId="22" borderId="32">
      <alignment horizontal="right" vertical="center"/>
    </xf>
    <xf numFmtId="4" fontId="10" fillId="24" borderId="32">
      <alignment horizontal="right" vertical="center"/>
    </xf>
    <xf numFmtId="0" fontId="16" fillId="22" borderId="32">
      <alignment horizontal="right" vertical="center"/>
    </xf>
    <xf numFmtId="0" fontId="38" fillId="33" borderId="29" applyNumberFormat="0" applyAlignment="0" applyProtection="0"/>
    <xf numFmtId="0" fontId="3" fillId="3" borderId="2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8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8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8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8" fillId="21" borderId="0" applyNumberFormat="0" applyBorder="0" applyAlignment="0" applyProtection="0"/>
    <xf numFmtId="0" fontId="11" fillId="49" borderId="31" applyNumberFormat="0" applyFont="0" applyAlignment="0" applyProtection="0"/>
    <xf numFmtId="4" fontId="14" fillId="0" borderId="32">
      <alignment horizontal="right" vertical="center"/>
    </xf>
    <xf numFmtId="0" fontId="14" fillId="23" borderId="32"/>
    <xf numFmtId="0" fontId="29" fillId="33" borderId="29" applyNumberFormat="0" applyAlignment="0" applyProtection="0"/>
    <xf numFmtId="49" fontId="14" fillId="0" borderId="32" applyNumberFormat="0" applyFont="0" applyFill="0" applyBorder="0" applyProtection="0">
      <alignment horizontal="left" vertical="center" indent="2"/>
    </xf>
    <xf numFmtId="4" fontId="16" fillId="22" borderId="32">
      <alignment horizontal="right" vertical="center"/>
    </xf>
    <xf numFmtId="0" fontId="14" fillId="0" borderId="35">
      <alignment horizontal="left" vertical="center" wrapText="1" indent="2"/>
    </xf>
    <xf numFmtId="4" fontId="14" fillId="0" borderId="32" applyFill="0" applyBorder="0" applyProtection="0">
      <alignment horizontal="right" vertical="center"/>
    </xf>
    <xf numFmtId="49" fontId="14" fillId="0" borderId="33" applyNumberFormat="0" applyFont="0" applyFill="0" applyBorder="0" applyProtection="0">
      <alignment horizontal="left" vertical="center" indent="5"/>
    </xf>
    <xf numFmtId="0" fontId="30" fillId="0" borderId="30" applyNumberFormat="0" applyFill="0" applyAlignment="0" applyProtection="0"/>
    <xf numFmtId="0" fontId="10" fillId="22" borderId="32">
      <alignment horizontal="right" vertical="center"/>
    </xf>
    <xf numFmtId="0" fontId="26" fillId="46" borderId="29" applyNumberFormat="0" applyAlignment="0" applyProtection="0"/>
    <xf numFmtId="0" fontId="30" fillId="0" borderId="30" applyNumberFormat="0" applyFill="0" applyAlignment="0" applyProtection="0"/>
    <xf numFmtId="0" fontId="14" fillId="0" borderId="32" applyNumberFormat="0" applyFill="0" applyAlignment="0" applyProtection="0"/>
    <xf numFmtId="0" fontId="20" fillId="49" borderId="31" applyNumberFormat="0" applyFont="0" applyAlignment="0" applyProtection="0"/>
    <xf numFmtId="0" fontId="16" fillId="22" borderId="32">
      <alignment horizontal="right" vertical="center"/>
    </xf>
    <xf numFmtId="0" fontId="10" fillId="22" borderId="32">
      <alignment horizontal="right" vertical="center"/>
    </xf>
    <xf numFmtId="0" fontId="10" fillId="24" borderId="32">
      <alignment horizontal="right" vertical="center"/>
    </xf>
    <xf numFmtId="0" fontId="45" fillId="0" borderId="30" applyNumberFormat="0" applyFill="0" applyAlignment="0" applyProtection="0"/>
    <xf numFmtId="0" fontId="11" fillId="49" borderId="31" applyNumberFormat="0" applyFont="0" applyAlignment="0" applyProtection="0"/>
    <xf numFmtId="0" fontId="45" fillId="0" borderId="30" applyNumberFormat="0" applyFill="0" applyAlignment="0" applyProtection="0"/>
    <xf numFmtId="0" fontId="38" fillId="33" borderId="29" applyNumberFormat="0" applyAlignment="0" applyProtection="0"/>
    <xf numFmtId="0" fontId="38" fillId="33" borderId="29" applyNumberFormat="0" applyAlignment="0" applyProtection="0"/>
    <xf numFmtId="4" fontId="10" fillId="24" borderId="34">
      <alignment horizontal="right" vertical="center"/>
    </xf>
    <xf numFmtId="0" fontId="42" fillId="46" borderId="28" applyNumberFormat="0" applyAlignment="0" applyProtection="0"/>
    <xf numFmtId="0" fontId="20" fillId="49" borderId="31" applyNumberFormat="0" applyFont="0" applyAlignment="0" applyProtection="0"/>
    <xf numFmtId="0" fontId="26" fillId="46" borderId="29" applyNumberFormat="0" applyAlignment="0" applyProtection="0"/>
    <xf numFmtId="49" fontId="13" fillId="0" borderId="32" applyNumberFormat="0" applyFill="0" applyBorder="0" applyProtection="0">
      <alignment horizontal="left" vertical="center"/>
    </xf>
    <xf numFmtId="0" fontId="20" fillId="49" borderId="31" applyNumberFormat="0" applyFont="0" applyAlignment="0" applyProtection="0"/>
    <xf numFmtId="0" fontId="30" fillId="0" borderId="30" applyNumberFormat="0" applyFill="0" applyAlignment="0" applyProtection="0"/>
    <xf numFmtId="4" fontId="16" fillId="22" borderId="32">
      <alignment horizontal="right" vertical="center"/>
    </xf>
    <xf numFmtId="4" fontId="10" fillId="24" borderId="33">
      <alignment horizontal="right" vertical="center"/>
    </xf>
    <xf numFmtId="0" fontId="14" fillId="24" borderId="35">
      <alignment horizontal="left" vertical="center" wrapText="1" indent="2"/>
    </xf>
    <xf numFmtId="0" fontId="38" fillId="33" borderId="29" applyNumberFormat="0" applyAlignment="0" applyProtection="0"/>
    <xf numFmtId="0" fontId="14" fillId="0" borderId="32" applyNumberFormat="0" applyFill="0" applyAlignment="0" applyProtection="0"/>
    <xf numFmtId="0" fontId="26" fillId="46" borderId="29" applyNumberFormat="0" applyAlignment="0" applyProtection="0"/>
    <xf numFmtId="49" fontId="14" fillId="0" borderId="32" applyNumberFormat="0" applyFont="0" applyFill="0" applyBorder="0" applyProtection="0">
      <alignment horizontal="left" vertical="center" indent="2"/>
    </xf>
    <xf numFmtId="0" fontId="23" fillId="46" borderId="28" applyNumberFormat="0" applyAlignment="0" applyProtection="0"/>
    <xf numFmtId="49" fontId="14" fillId="0" borderId="32" applyNumberFormat="0" applyFont="0" applyFill="0" applyBorder="0" applyProtection="0">
      <alignment horizontal="left" vertical="center" indent="2"/>
    </xf>
    <xf numFmtId="4" fontId="10" fillId="24" borderId="34">
      <alignment horizontal="right" vertical="center"/>
    </xf>
    <xf numFmtId="0" fontId="14" fillId="0" borderId="35">
      <alignment horizontal="left" vertical="center" wrapText="1" indent="2"/>
    </xf>
    <xf numFmtId="0" fontId="45" fillId="0" borderId="30" applyNumberFormat="0" applyFill="0" applyAlignment="0" applyProtection="0"/>
    <xf numFmtId="0" fontId="25" fillId="46" borderId="29" applyNumberFormat="0" applyAlignment="0" applyProtection="0"/>
    <xf numFmtId="0" fontId="23" fillId="46" borderId="28" applyNumberFormat="0" applyAlignment="0" applyProtection="0"/>
    <xf numFmtId="0" fontId="14" fillId="23" borderId="32"/>
    <xf numFmtId="4" fontId="10" fillId="22" borderId="32">
      <alignment horizontal="right" vertical="center"/>
    </xf>
    <xf numFmtId="4" fontId="10" fillId="24" borderId="33">
      <alignment horizontal="right" vertical="center"/>
    </xf>
    <xf numFmtId="0" fontId="20" fillId="49" borderId="31" applyNumberFormat="0" applyFont="0" applyAlignment="0" applyProtection="0"/>
    <xf numFmtId="0" fontId="30" fillId="0" borderId="30" applyNumberFormat="0" applyFill="0" applyAlignment="0" applyProtection="0"/>
    <xf numFmtId="0" fontId="26" fillId="46" borderId="29" applyNumberFormat="0" applyAlignment="0" applyProtection="0"/>
    <xf numFmtId="0" fontId="10" fillId="24" borderId="33">
      <alignment horizontal="right" vertical="center"/>
    </xf>
    <xf numFmtId="0" fontId="25" fillId="46" borderId="29" applyNumberFormat="0" applyAlignment="0" applyProtection="0"/>
    <xf numFmtId="4" fontId="16" fillId="22" borderId="32">
      <alignment horizontal="right" vertical="center"/>
    </xf>
    <xf numFmtId="4" fontId="10" fillId="24" borderId="34">
      <alignment horizontal="right" vertical="center"/>
    </xf>
    <xf numFmtId="0" fontId="14" fillId="0" borderId="32">
      <alignment horizontal="right" vertical="center"/>
    </xf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8" fillId="18" borderId="0" applyNumberFormat="0" applyBorder="0" applyAlignment="0" applyProtection="0"/>
    <xf numFmtId="0" fontId="25" fillId="46" borderId="29" applyNumberFormat="0" applyAlignment="0" applyProtection="0"/>
    <xf numFmtId="0" fontId="14" fillId="24" borderId="51">
      <alignment horizontal="left" vertical="center" wrapText="1" indent="2"/>
    </xf>
    <xf numFmtId="0" fontId="8" fillId="6" borderId="0" applyNumberFormat="0" applyBorder="0" applyAlignment="0" applyProtection="0"/>
    <xf numFmtId="0" fontId="1" fillId="4" borderId="0" applyNumberFormat="0" applyBorder="0" applyAlignment="0" applyProtection="0"/>
    <xf numFmtId="0" fontId="3" fillId="3" borderId="2" applyNumberForma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8" borderId="0" applyNumberFormat="0" applyBorder="0" applyAlignment="0" applyProtection="0"/>
    <xf numFmtId="0" fontId="8" fillId="6" borderId="0" applyNumberFormat="0" applyBorder="0" applyAlignment="0" applyProtection="0"/>
    <xf numFmtId="0" fontId="1" fillId="4" borderId="0" applyNumberFormat="0" applyBorder="0" applyAlignment="0" applyProtection="0"/>
    <xf numFmtId="0" fontId="20" fillId="49" borderId="47" applyNumberFormat="0" applyFont="0" applyAlignment="0" applyProtection="0"/>
    <xf numFmtId="0" fontId="14" fillId="23" borderId="32"/>
    <xf numFmtId="0" fontId="14" fillId="0" borderId="32">
      <alignment horizontal="right" vertical="center"/>
    </xf>
    <xf numFmtId="0" fontId="20" fillId="49" borderId="31" applyNumberFormat="0" applyFont="0" applyAlignment="0" applyProtection="0"/>
    <xf numFmtId="0" fontId="14" fillId="0" borderId="72">
      <alignment horizontal="right" vertical="center"/>
    </xf>
    <xf numFmtId="49" fontId="13" fillId="0" borderId="32" applyNumberFormat="0" applyFill="0" applyBorder="0" applyProtection="0">
      <alignment horizontal="left" vertical="center"/>
    </xf>
    <xf numFmtId="49" fontId="14" fillId="0" borderId="32" applyNumberFormat="0" applyFont="0" applyFill="0" applyBorder="0" applyProtection="0">
      <alignment horizontal="left" vertical="center" indent="2"/>
    </xf>
    <xf numFmtId="49" fontId="14" fillId="0" borderId="32" applyNumberFormat="0" applyFont="0" applyFill="0" applyBorder="0" applyProtection="0">
      <alignment horizontal="left" vertical="center" indent="2"/>
    </xf>
    <xf numFmtId="165" fontId="14" fillId="50" borderId="32" applyNumberFormat="0" applyFont="0" applyBorder="0" applyAlignment="0" applyProtection="0">
      <alignment horizontal="right" vertical="center"/>
    </xf>
    <xf numFmtId="4" fontId="16" fillId="22" borderId="32">
      <alignment horizontal="right" vertical="center"/>
    </xf>
    <xf numFmtId="0" fontId="29" fillId="33" borderId="29" applyNumberFormat="0" applyAlignment="0" applyProtection="0"/>
    <xf numFmtId="4" fontId="10" fillId="22" borderId="32">
      <alignment horizontal="right" vertical="center"/>
    </xf>
    <xf numFmtId="4" fontId="16" fillId="22" borderId="32">
      <alignment horizontal="right" vertical="center"/>
    </xf>
    <xf numFmtId="0" fontId="10" fillId="24" borderId="32">
      <alignment horizontal="right" vertical="center"/>
    </xf>
    <xf numFmtId="4" fontId="14" fillId="0" borderId="32">
      <alignment horizontal="right" vertical="center"/>
    </xf>
    <xf numFmtId="0" fontId="10" fillId="24" borderId="32">
      <alignment horizontal="right" vertical="center"/>
    </xf>
    <xf numFmtId="0" fontId="42" fillId="46" borderId="28" applyNumberFormat="0" applyAlignment="0" applyProtection="0"/>
    <xf numFmtId="0" fontId="11" fillId="49" borderId="31" applyNumberFormat="0" applyFont="0" applyAlignment="0" applyProtection="0"/>
    <xf numFmtId="0" fontId="14" fillId="0" borderId="35">
      <alignment horizontal="left" vertical="center" wrapText="1" indent="2"/>
    </xf>
    <xf numFmtId="0" fontId="14" fillId="24" borderId="35">
      <alignment horizontal="left" vertical="center" wrapText="1" indent="2"/>
    </xf>
    <xf numFmtId="0" fontId="38" fillId="33" borderId="29" applyNumberFormat="0" applyAlignment="0" applyProtection="0"/>
    <xf numFmtId="0" fontId="45" fillId="0" borderId="30" applyNumberFormat="0" applyFill="0" applyAlignment="0" applyProtection="0"/>
    <xf numFmtId="0" fontId="29" fillId="33" borderId="29" applyNumberFormat="0" applyAlignment="0" applyProtection="0"/>
    <xf numFmtId="0" fontId="10" fillId="24" borderId="32">
      <alignment horizontal="right" vertical="center"/>
    </xf>
    <xf numFmtId="0" fontId="26" fillId="46" borderId="29" applyNumberFormat="0" applyAlignment="0" applyProtection="0"/>
    <xf numFmtId="0" fontId="25" fillId="46" borderId="29" applyNumberFormat="0" applyAlignment="0" applyProtection="0"/>
    <xf numFmtId="0" fontId="14" fillId="0" borderId="32">
      <alignment horizontal="right" vertical="center"/>
    </xf>
    <xf numFmtId="0" fontId="42" fillId="46" borderId="28" applyNumberFormat="0" applyAlignment="0" applyProtection="0"/>
    <xf numFmtId="4" fontId="14" fillId="0" borderId="32" applyFill="0" applyBorder="0" applyProtection="0">
      <alignment horizontal="right" vertical="center"/>
    </xf>
    <xf numFmtId="0" fontId="10" fillId="24" borderId="32">
      <alignment horizontal="right" vertical="center"/>
    </xf>
    <xf numFmtId="0" fontId="45" fillId="0" borderId="30" applyNumberFormat="0" applyFill="0" applyAlignment="0" applyProtection="0"/>
    <xf numFmtId="0" fontId="30" fillId="0" borderId="30" applyNumberFormat="0" applyFill="0" applyAlignment="0" applyProtection="0"/>
    <xf numFmtId="0" fontId="23" fillId="46" borderId="28" applyNumberFormat="0" applyAlignment="0" applyProtection="0"/>
    <xf numFmtId="0" fontId="10" fillId="24" borderId="72">
      <alignment horizontal="right" vertical="center"/>
    </xf>
    <xf numFmtId="0" fontId="5" fillId="0" borderId="0" applyNumberFormat="0" applyFill="0" applyBorder="0" applyAlignment="0" applyProtection="0"/>
    <xf numFmtId="4" fontId="14" fillId="23" borderId="32"/>
    <xf numFmtId="0" fontId="30" fillId="0" borderId="30" applyNumberFormat="0" applyFill="0" applyAlignment="0" applyProtection="0"/>
    <xf numFmtId="0" fontId="23" fillId="46" borderId="28" applyNumberFormat="0" applyAlignment="0" applyProtection="0"/>
    <xf numFmtId="4" fontId="10" fillId="24" borderId="32">
      <alignment horizontal="right" vertical="center"/>
    </xf>
    <xf numFmtId="0" fontId="29" fillId="33" borderId="29" applyNumberFormat="0" applyAlignment="0" applyProtection="0"/>
    <xf numFmtId="0" fontId="42" fillId="46" borderId="28" applyNumberFormat="0" applyAlignment="0" applyProtection="0"/>
    <xf numFmtId="0" fontId="14" fillId="24" borderId="35">
      <alignment horizontal="left" vertical="center" wrapText="1" indent="2"/>
    </xf>
    <xf numFmtId="4" fontId="10" fillId="24" borderId="34">
      <alignment horizontal="right" vertical="center"/>
    </xf>
    <xf numFmtId="4" fontId="10" fillId="24" borderId="33">
      <alignment horizontal="right" vertical="center"/>
    </xf>
    <xf numFmtId="4" fontId="10" fillId="24" borderId="32">
      <alignment horizontal="right" vertical="center"/>
    </xf>
    <xf numFmtId="4" fontId="10" fillId="24" borderId="32">
      <alignment horizontal="right" vertical="center"/>
    </xf>
    <xf numFmtId="4" fontId="16" fillId="22" borderId="32">
      <alignment horizontal="right" vertical="center"/>
    </xf>
    <xf numFmtId="4" fontId="10" fillId="24" borderId="33">
      <alignment horizontal="right" vertical="center"/>
    </xf>
    <xf numFmtId="0" fontId="30" fillId="0" borderId="30" applyNumberFormat="0" applyFill="0" applyAlignment="0" applyProtection="0"/>
    <xf numFmtId="0" fontId="10" fillId="24" borderId="33">
      <alignment horizontal="right" vertical="center"/>
    </xf>
    <xf numFmtId="4" fontId="10" fillId="24" borderId="34">
      <alignment horizontal="right" vertical="center"/>
    </xf>
    <xf numFmtId="0" fontId="10" fillId="24" borderId="32">
      <alignment horizontal="right" vertical="center"/>
    </xf>
    <xf numFmtId="0" fontId="45" fillId="0" borderId="30" applyNumberFormat="0" applyFill="0" applyAlignment="0" applyProtection="0"/>
    <xf numFmtId="0" fontId="10" fillId="24" borderId="32">
      <alignment horizontal="right" vertical="center"/>
    </xf>
    <xf numFmtId="4" fontId="10" fillId="24" borderId="32">
      <alignment horizontal="right" vertical="center"/>
    </xf>
    <xf numFmtId="0" fontId="26" fillId="46" borderId="29" applyNumberFormat="0" applyAlignment="0" applyProtection="0"/>
    <xf numFmtId="0" fontId="10" fillId="24" borderId="34">
      <alignment horizontal="right" vertical="center"/>
    </xf>
    <xf numFmtId="0" fontId="14" fillId="24" borderId="35">
      <alignment horizontal="left" vertical="center" wrapText="1" indent="2"/>
    </xf>
    <xf numFmtId="4" fontId="16" fillId="22" borderId="32">
      <alignment horizontal="right" vertical="center"/>
    </xf>
    <xf numFmtId="0" fontId="10" fillId="24" borderId="34">
      <alignment horizontal="right" vertical="center"/>
    </xf>
    <xf numFmtId="4" fontId="10" fillId="24" borderId="34">
      <alignment horizontal="right" vertical="center"/>
    </xf>
    <xf numFmtId="0" fontId="42" fillId="46" borderId="28" applyNumberFormat="0" applyAlignment="0" applyProtection="0"/>
    <xf numFmtId="0" fontId="14" fillId="22" borderId="33">
      <alignment horizontal="left" vertical="center"/>
    </xf>
    <xf numFmtId="0" fontId="10" fillId="24" borderId="32">
      <alignment horizontal="right" vertical="center"/>
    </xf>
    <xf numFmtId="4" fontId="14" fillId="0" borderId="32">
      <alignment horizontal="right" vertical="center"/>
    </xf>
    <xf numFmtId="0" fontId="1" fillId="10" borderId="0" applyNumberFormat="0" applyBorder="0" applyAlignment="0" applyProtection="0"/>
    <xf numFmtId="0" fontId="11" fillId="49" borderId="31" applyNumberFormat="0" applyFont="0" applyAlignment="0" applyProtection="0"/>
    <xf numFmtId="0" fontId="1" fillId="13" borderId="0" applyNumberFormat="0" applyBorder="0" applyAlignment="0" applyProtection="0"/>
    <xf numFmtId="0" fontId="5" fillId="0" borderId="0" applyNumberFormat="0" applyFill="0" applyBorder="0" applyAlignment="0" applyProtection="0"/>
    <xf numFmtId="0" fontId="14" fillId="24" borderId="35">
      <alignment horizontal="left" vertical="center" wrapText="1" indent="2"/>
    </xf>
    <xf numFmtId="4" fontId="10" fillId="24" borderId="32">
      <alignment horizontal="right" vertical="center"/>
    </xf>
    <xf numFmtId="0" fontId="42" fillId="46" borderId="28" applyNumberFormat="0" applyAlignment="0" applyProtection="0"/>
    <xf numFmtId="0" fontId="26" fillId="46" borderId="29" applyNumberFormat="0" applyAlignment="0" applyProtection="0"/>
    <xf numFmtId="0" fontId="38" fillId="33" borderId="29" applyNumberFormat="0" applyAlignment="0" applyProtection="0"/>
    <xf numFmtId="0" fontId="20" fillId="49" borderId="31" applyNumberFormat="0" applyFont="0" applyAlignment="0" applyProtection="0"/>
    <xf numFmtId="0" fontId="29" fillId="33" borderId="69" applyNumberFormat="0" applyAlignment="0" applyProtection="0"/>
    <xf numFmtId="4" fontId="10" fillId="22" borderId="32">
      <alignment horizontal="right" vertical="center"/>
    </xf>
    <xf numFmtId="0" fontId="14" fillId="0" borderId="32">
      <alignment horizontal="right" vertical="center"/>
    </xf>
    <xf numFmtId="4" fontId="14" fillId="23" borderId="32"/>
    <xf numFmtId="0" fontId="8" fillId="9" borderId="0" applyNumberFormat="0" applyBorder="0" applyAlignment="0" applyProtection="0"/>
    <xf numFmtId="0" fontId="14" fillId="0" borderId="32" applyNumberFormat="0" applyFill="0" applyAlignment="0" applyProtection="0"/>
    <xf numFmtId="0" fontId="10" fillId="24" borderId="33">
      <alignment horizontal="right" vertical="center"/>
    </xf>
    <xf numFmtId="4" fontId="10" fillId="24" borderId="34">
      <alignment horizontal="right" vertical="center"/>
    </xf>
    <xf numFmtId="0" fontId="10" fillId="24" borderId="32">
      <alignment horizontal="right" vertical="center"/>
    </xf>
    <xf numFmtId="0" fontId="45" fillId="0" borderId="30" applyNumberFormat="0" applyFill="0" applyAlignment="0" applyProtection="0"/>
    <xf numFmtId="0" fontId="26" fillId="46" borderId="29" applyNumberFormat="0" applyAlignment="0" applyProtection="0"/>
    <xf numFmtId="49" fontId="13" fillId="0" borderId="32" applyNumberFormat="0" applyFill="0" applyBorder="0" applyProtection="0">
      <alignment horizontal="left" vertical="center"/>
    </xf>
    <xf numFmtId="165" fontId="14" fillId="50" borderId="32" applyNumberFormat="0" applyFont="0" applyBorder="0" applyAlignment="0" applyProtection="0">
      <alignment horizontal="right" vertical="center"/>
    </xf>
    <xf numFmtId="165" fontId="14" fillId="50" borderId="32" applyNumberFormat="0" applyFont="0" applyBorder="0" applyAlignment="0" applyProtection="0">
      <alignment horizontal="right" vertical="center"/>
    </xf>
    <xf numFmtId="0" fontId="14" fillId="22" borderId="33">
      <alignment horizontal="left" vertical="center"/>
    </xf>
    <xf numFmtId="0" fontId="10" fillId="24" borderId="33">
      <alignment horizontal="right" vertical="center"/>
    </xf>
    <xf numFmtId="0" fontId="26" fillId="46" borderId="29" applyNumberFormat="0" applyAlignment="0" applyProtection="0"/>
    <xf numFmtId="0" fontId="23" fillId="46" borderId="28" applyNumberFormat="0" applyAlignment="0" applyProtection="0"/>
    <xf numFmtId="4" fontId="14" fillId="0" borderId="32">
      <alignment horizontal="right" vertical="center"/>
    </xf>
    <xf numFmtId="0" fontId="45" fillId="0" borderId="30" applyNumberFormat="0" applyFill="0" applyAlignment="0" applyProtection="0"/>
    <xf numFmtId="0" fontId="29" fillId="33" borderId="29" applyNumberFormat="0" applyAlignment="0" applyProtection="0"/>
    <xf numFmtId="0" fontId="10" fillId="24" borderId="33">
      <alignment horizontal="right" vertical="center"/>
    </xf>
    <xf numFmtId="0" fontId="16" fillId="22" borderId="72">
      <alignment horizontal="right" vertical="center"/>
    </xf>
    <xf numFmtId="0" fontId="1" fillId="8" borderId="0" applyNumberFormat="0" applyBorder="0" applyAlignment="0" applyProtection="0"/>
    <xf numFmtId="4" fontId="10" fillId="24" borderId="32">
      <alignment horizontal="right" vertical="center"/>
    </xf>
    <xf numFmtId="0" fontId="14" fillId="23" borderId="32"/>
    <xf numFmtId="0" fontId="25" fillId="46" borderId="29" applyNumberFormat="0" applyAlignment="0" applyProtection="0"/>
    <xf numFmtId="0" fontId="10" fillId="24" borderId="32">
      <alignment horizontal="right" vertical="center"/>
    </xf>
    <xf numFmtId="0" fontId="10" fillId="24" borderId="34">
      <alignment horizontal="right" vertical="center"/>
    </xf>
    <xf numFmtId="0" fontId="10" fillId="24" borderId="34">
      <alignment horizontal="right" vertical="center"/>
    </xf>
    <xf numFmtId="0" fontId="14" fillId="0" borderId="35">
      <alignment horizontal="left" vertical="center" wrapText="1" indent="2"/>
    </xf>
    <xf numFmtId="0" fontId="26" fillId="46" borderId="29" applyNumberFormat="0" applyAlignment="0" applyProtection="0"/>
    <xf numFmtId="0" fontId="10" fillId="24" borderId="34">
      <alignment horizontal="right" vertical="center"/>
    </xf>
    <xf numFmtId="0" fontId="10" fillId="24" borderId="33">
      <alignment horizontal="right" vertical="center"/>
    </xf>
    <xf numFmtId="0" fontId="10" fillId="24" borderId="32">
      <alignment horizontal="right" vertical="center"/>
    </xf>
    <xf numFmtId="0" fontId="10" fillId="24" borderId="32">
      <alignment horizontal="right" vertical="center"/>
    </xf>
    <xf numFmtId="0" fontId="14" fillId="24" borderId="35">
      <alignment horizontal="left" vertical="center" wrapText="1" indent="2"/>
    </xf>
    <xf numFmtId="0" fontId="20" fillId="49" borderId="31" applyNumberFormat="0" applyFont="0" applyAlignment="0" applyProtection="0"/>
    <xf numFmtId="0" fontId="26" fillId="46" borderId="29" applyNumberFormat="0" applyAlignment="0" applyProtection="0"/>
    <xf numFmtId="0" fontId="25" fillId="46" borderId="29" applyNumberFormat="0" applyAlignment="0" applyProtection="0"/>
    <xf numFmtId="0" fontId="45" fillId="0" borderId="30" applyNumberFormat="0" applyFill="0" applyAlignment="0" applyProtection="0"/>
    <xf numFmtId="4" fontId="14" fillId="23" borderId="32"/>
    <xf numFmtId="4" fontId="10" fillId="24" borderId="34">
      <alignment horizontal="right" vertical="center"/>
    </xf>
    <xf numFmtId="4" fontId="10" fillId="24" borderId="33">
      <alignment horizontal="right" vertical="center"/>
    </xf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1" fillId="49" borderId="31" applyNumberFormat="0" applyFont="0" applyAlignment="0" applyProtection="0"/>
    <xf numFmtId="0" fontId="26" fillId="46" borderId="29" applyNumberFormat="0" applyAlignment="0" applyProtection="0"/>
    <xf numFmtId="4" fontId="14" fillId="0" borderId="32">
      <alignment horizontal="right" vertical="center"/>
    </xf>
    <xf numFmtId="0" fontId="14" fillId="0" borderId="32">
      <alignment horizontal="right" vertical="center"/>
    </xf>
    <xf numFmtId="0" fontId="45" fillId="0" borderId="30" applyNumberFormat="0" applyFill="0" applyAlignment="0" applyProtection="0"/>
    <xf numFmtId="0" fontId="45" fillId="0" borderId="30" applyNumberFormat="0" applyFill="0" applyAlignment="0" applyProtection="0"/>
    <xf numFmtId="49" fontId="14" fillId="0" borderId="33" applyNumberFormat="0" applyFont="0" applyFill="0" applyBorder="0" applyProtection="0">
      <alignment horizontal="left" vertical="center" indent="5"/>
    </xf>
    <xf numFmtId="0" fontId="23" fillId="46" borderId="28" applyNumberFormat="0" applyAlignment="0" applyProtection="0"/>
    <xf numFmtId="49" fontId="14" fillId="0" borderId="32" applyNumberFormat="0" applyFont="0" applyFill="0" applyBorder="0" applyProtection="0">
      <alignment horizontal="left" vertical="center" indent="2"/>
    </xf>
    <xf numFmtId="0" fontId="10" fillId="24" borderId="32">
      <alignment horizontal="right" vertical="center"/>
    </xf>
    <xf numFmtId="0" fontId="26" fillId="46" borderId="29" applyNumberFormat="0" applyAlignment="0" applyProtection="0"/>
    <xf numFmtId="165" fontId="14" fillId="50" borderId="32" applyNumberFormat="0" applyFont="0" applyBorder="0" applyAlignment="0" applyProtection="0">
      <alignment horizontal="right" vertical="center"/>
    </xf>
    <xf numFmtId="0" fontId="38" fillId="33" borderId="29" applyNumberFormat="0" applyAlignment="0" applyProtection="0"/>
    <xf numFmtId="0" fontId="10" fillId="22" borderId="32">
      <alignment horizontal="right" vertical="center"/>
    </xf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8" fillId="21" borderId="0" applyNumberFormat="0" applyBorder="0" applyAlignment="0" applyProtection="0"/>
    <xf numFmtId="0" fontId="42" fillId="46" borderId="28" applyNumberFormat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4" fillId="0" borderId="35">
      <alignment horizontal="left" vertical="center" wrapText="1" indent="2"/>
    </xf>
    <xf numFmtId="165" fontId="14" fillId="50" borderId="32" applyNumberFormat="0" applyFont="0" applyBorder="0" applyAlignment="0" applyProtection="0">
      <alignment horizontal="right" vertical="center"/>
    </xf>
    <xf numFmtId="0" fontId="45" fillId="0" borderId="30" applyNumberFormat="0" applyFill="0" applyAlignment="0" applyProtection="0"/>
    <xf numFmtId="0" fontId="14" fillId="23" borderId="32"/>
    <xf numFmtId="4" fontId="14" fillId="0" borderId="32">
      <alignment horizontal="right" vertical="center"/>
    </xf>
    <xf numFmtId="0" fontId="38" fillId="33" borderId="29" applyNumberFormat="0" applyAlignment="0" applyProtection="0"/>
    <xf numFmtId="0" fontId="14" fillId="22" borderId="33">
      <alignment horizontal="left" vertical="center"/>
    </xf>
    <xf numFmtId="0" fontId="10" fillId="24" borderId="32">
      <alignment horizontal="right" vertical="center"/>
    </xf>
    <xf numFmtId="4" fontId="10" fillId="24" borderId="33">
      <alignment horizontal="right" vertical="center"/>
    </xf>
    <xf numFmtId="0" fontId="10" fillId="24" borderId="34">
      <alignment horizontal="right" vertical="center"/>
    </xf>
    <xf numFmtId="4" fontId="10" fillId="24" borderId="32">
      <alignment horizontal="right" vertical="center"/>
    </xf>
    <xf numFmtId="0" fontId="16" fillId="22" borderId="32">
      <alignment horizontal="right" vertical="center"/>
    </xf>
    <xf numFmtId="4" fontId="16" fillId="22" borderId="32">
      <alignment horizontal="right" vertical="center"/>
    </xf>
    <xf numFmtId="0" fontId="10" fillId="22" borderId="32">
      <alignment horizontal="right" vertical="center"/>
    </xf>
    <xf numFmtId="0" fontId="1" fillId="8" borderId="0" applyNumberFormat="0" applyBorder="0" applyAlignment="0" applyProtection="0"/>
    <xf numFmtId="0" fontId="10" fillId="24" borderId="72">
      <alignment horizontal="right" vertical="center"/>
    </xf>
    <xf numFmtId="0" fontId="1" fillId="5" borderId="0" applyNumberFormat="0" applyBorder="0" applyAlignment="0" applyProtection="0"/>
    <xf numFmtId="0" fontId="20" fillId="49" borderId="31" applyNumberFormat="0" applyFont="0" applyAlignment="0" applyProtection="0"/>
    <xf numFmtId="0" fontId="38" fillId="33" borderId="69" applyNumberFormat="0" applyAlignment="0" applyProtection="0"/>
    <xf numFmtId="0" fontId="1" fillId="13" borderId="0" applyNumberFormat="0" applyBorder="0" applyAlignment="0" applyProtection="0"/>
    <xf numFmtId="0" fontId="45" fillId="0" borderId="30" applyNumberFormat="0" applyFill="0" applyAlignment="0" applyProtection="0"/>
    <xf numFmtId="0" fontId="11" fillId="49" borderId="31" applyNumberFormat="0" applyFont="0" applyAlignment="0" applyProtection="0"/>
    <xf numFmtId="0" fontId="42" fillId="46" borderId="28" applyNumberFormat="0" applyAlignment="0" applyProtection="0"/>
    <xf numFmtId="0" fontId="38" fillId="33" borderId="29" applyNumberFormat="0" applyAlignment="0" applyProtection="0"/>
    <xf numFmtId="0" fontId="14" fillId="24" borderId="35">
      <alignment horizontal="left" vertical="center" wrapText="1" indent="2"/>
    </xf>
    <xf numFmtId="4" fontId="16" fillId="22" borderId="32">
      <alignment horizontal="right" vertical="center"/>
    </xf>
    <xf numFmtId="0" fontId="1" fillId="11" borderId="0" applyNumberFormat="0" applyBorder="0" applyAlignment="0" applyProtection="0"/>
    <xf numFmtId="0" fontId="14" fillId="0" borderId="72">
      <alignment horizontal="right" vertical="center"/>
    </xf>
    <xf numFmtId="0" fontId="7" fillId="0" borderId="3" applyNumberFormat="0" applyFill="0" applyAlignment="0" applyProtection="0"/>
    <xf numFmtId="0" fontId="1" fillId="17" borderId="0" applyNumberFormat="0" applyBorder="0" applyAlignment="0" applyProtection="0"/>
    <xf numFmtId="4" fontId="16" fillId="22" borderId="32">
      <alignment horizontal="right" vertical="center"/>
    </xf>
    <xf numFmtId="4" fontId="10" fillId="22" borderId="32">
      <alignment horizontal="right" vertical="center"/>
    </xf>
    <xf numFmtId="0" fontId="14" fillId="0" borderId="35">
      <alignment horizontal="left" vertical="center" wrapText="1" indent="2"/>
    </xf>
    <xf numFmtId="0" fontId="42" fillId="46" borderId="28" applyNumberFormat="0" applyAlignment="0" applyProtection="0"/>
    <xf numFmtId="0" fontId="14" fillId="0" borderId="32">
      <alignment horizontal="right" vertical="center"/>
    </xf>
    <xf numFmtId="0" fontId="45" fillId="0" borderId="30" applyNumberFormat="0" applyFill="0" applyAlignment="0" applyProtection="0"/>
    <xf numFmtId="4" fontId="14" fillId="23" borderId="32"/>
    <xf numFmtId="0" fontId="38" fillId="33" borderId="29" applyNumberFormat="0" applyAlignment="0" applyProtection="0"/>
    <xf numFmtId="165" fontId="14" fillId="50" borderId="72" applyNumberFormat="0" applyFont="0" applyBorder="0" applyAlignment="0" applyProtection="0">
      <alignment horizontal="right" vertical="center"/>
    </xf>
    <xf numFmtId="165" fontId="14" fillId="50" borderId="32" applyNumberFormat="0" applyFont="0" applyBorder="0" applyAlignment="0" applyProtection="0">
      <alignment horizontal="right" vertical="center"/>
    </xf>
    <xf numFmtId="0" fontId="26" fillId="46" borderId="29" applyNumberFormat="0" applyAlignment="0" applyProtection="0"/>
    <xf numFmtId="0" fontId="5" fillId="0" borderId="0" applyNumberFormat="0" applyFill="0" applyBorder="0" applyAlignment="0" applyProtection="0"/>
    <xf numFmtId="0" fontId="38" fillId="33" borderId="29" applyNumberFormat="0" applyAlignment="0" applyProtection="0"/>
    <xf numFmtId="0" fontId="23" fillId="46" borderId="28" applyNumberFormat="0" applyAlignment="0" applyProtection="0"/>
    <xf numFmtId="49" fontId="13" fillId="0" borderId="32" applyNumberFormat="0" applyFill="0" applyBorder="0" applyProtection="0">
      <alignment horizontal="left" vertical="center"/>
    </xf>
    <xf numFmtId="0" fontId="45" fillId="0" borderId="30" applyNumberFormat="0" applyFill="0" applyAlignment="0" applyProtection="0"/>
    <xf numFmtId="0" fontId="14" fillId="0" borderId="32">
      <alignment horizontal="right" vertical="center"/>
    </xf>
    <xf numFmtId="0" fontId="10" fillId="24" borderId="33">
      <alignment horizontal="right" vertical="center"/>
    </xf>
    <xf numFmtId="0" fontId="45" fillId="0" borderId="30" applyNumberFormat="0" applyFill="0" applyAlignment="0" applyProtection="0"/>
    <xf numFmtId="0" fontId="1" fillId="7" borderId="0" applyNumberFormat="0" applyBorder="0" applyAlignment="0" applyProtection="0"/>
    <xf numFmtId="4" fontId="14" fillId="0" borderId="32" applyFill="0" applyBorder="0" applyProtection="0">
      <alignment horizontal="right" vertical="center"/>
    </xf>
    <xf numFmtId="0" fontId="1" fillId="0" borderId="0"/>
    <xf numFmtId="0" fontId="14" fillId="0" borderId="35">
      <alignment horizontal="left" vertical="center" wrapText="1" indent="2"/>
    </xf>
    <xf numFmtId="0" fontId="45" fillId="0" borderId="30" applyNumberFormat="0" applyFill="0" applyAlignment="0" applyProtection="0"/>
    <xf numFmtId="0" fontId="23" fillId="46" borderId="28" applyNumberFormat="0" applyAlignment="0" applyProtection="0"/>
    <xf numFmtId="0" fontId="10" fillId="24" borderId="32">
      <alignment horizontal="right" vertical="center"/>
    </xf>
    <xf numFmtId="0" fontId="25" fillId="46" borderId="29" applyNumberFormat="0" applyAlignment="0" applyProtection="0"/>
    <xf numFmtId="0" fontId="14" fillId="22" borderId="33">
      <alignment horizontal="left" vertical="center"/>
    </xf>
    <xf numFmtId="4" fontId="14" fillId="0" borderId="8" applyFill="0" applyBorder="0" applyProtection="0">
      <alignment horizontal="right" vertical="center"/>
    </xf>
    <xf numFmtId="4" fontId="14" fillId="0" borderId="56" applyFill="0" applyBorder="0" applyProtection="0">
      <alignment horizontal="right" vertical="center"/>
    </xf>
    <xf numFmtId="0" fontId="10" fillId="22" borderId="32">
      <alignment horizontal="right" vertical="center"/>
    </xf>
    <xf numFmtId="0" fontId="30" fillId="0" borderId="30" applyNumberFormat="0" applyFill="0" applyAlignment="0" applyProtection="0"/>
    <xf numFmtId="0" fontId="14" fillId="0" borderId="32">
      <alignment horizontal="right" vertical="center"/>
    </xf>
    <xf numFmtId="0" fontId="11" fillId="49" borderId="31" applyNumberFormat="0" applyFont="0" applyAlignment="0" applyProtection="0"/>
    <xf numFmtId="0" fontId="8" fillId="21" borderId="0" applyNumberFormat="0" applyBorder="0" applyAlignment="0" applyProtection="0"/>
    <xf numFmtId="0" fontId="38" fillId="33" borderId="29" applyNumberFormat="0" applyAlignment="0" applyProtection="0"/>
    <xf numFmtId="0" fontId="14" fillId="0" borderId="32" applyNumberFormat="0" applyFill="0" applyAlignment="0" applyProtection="0"/>
    <xf numFmtId="0" fontId="30" fillId="0" borderId="30" applyNumberFormat="0" applyFill="0" applyAlignment="0" applyProtection="0"/>
    <xf numFmtId="0" fontId="42" fillId="46" borderId="28" applyNumberFormat="0" applyAlignment="0" applyProtection="0"/>
    <xf numFmtId="4" fontId="10" fillId="24" borderId="32">
      <alignment horizontal="right" vertical="center"/>
    </xf>
    <xf numFmtId="4" fontId="14" fillId="23" borderId="32"/>
    <xf numFmtId="0" fontId="45" fillId="0" borderId="30" applyNumberFormat="0" applyFill="0" applyAlignment="0" applyProtection="0"/>
    <xf numFmtId="0" fontId="23" fillId="46" borderId="28" applyNumberFormat="0" applyAlignment="0" applyProtection="0"/>
    <xf numFmtId="0" fontId="25" fillId="46" borderId="29" applyNumberFormat="0" applyAlignment="0" applyProtection="0"/>
    <xf numFmtId="0" fontId="26" fillId="46" borderId="29" applyNumberFormat="0" applyAlignment="0" applyProtection="0"/>
    <xf numFmtId="0" fontId="42" fillId="46" borderId="28" applyNumberFormat="0" applyAlignment="0" applyProtection="0"/>
    <xf numFmtId="0" fontId="10" fillId="24" borderId="34">
      <alignment horizontal="right" vertical="center"/>
    </xf>
    <xf numFmtId="0" fontId="14" fillId="0" borderId="32" applyNumberFormat="0" applyFill="0" applyAlignment="0" applyProtection="0"/>
    <xf numFmtId="49" fontId="14" fillId="0" borderId="33" applyNumberFormat="0" applyFont="0" applyFill="0" applyBorder="0" applyProtection="0">
      <alignment horizontal="left" vertical="center" indent="5"/>
    </xf>
    <xf numFmtId="0" fontId="45" fillId="0" borderId="30" applyNumberFormat="0" applyFill="0" applyAlignment="0" applyProtection="0"/>
    <xf numFmtId="0" fontId="14" fillId="0" borderId="32" applyNumberFormat="0" applyFill="0" applyAlignment="0" applyProtection="0"/>
    <xf numFmtId="0" fontId="25" fillId="46" borderId="61" applyNumberFormat="0" applyAlignment="0" applyProtection="0"/>
    <xf numFmtId="0" fontId="1" fillId="13" borderId="0" applyNumberFormat="0" applyBorder="0" applyAlignment="0" applyProtection="0"/>
    <xf numFmtId="0" fontId="20" fillId="49" borderId="31" applyNumberFormat="0" applyFont="0" applyAlignment="0" applyProtection="0"/>
    <xf numFmtId="0" fontId="10" fillId="24" borderId="74">
      <alignment horizontal="right" vertical="center"/>
    </xf>
    <xf numFmtId="0" fontId="14" fillId="0" borderId="35">
      <alignment horizontal="left" vertical="center" wrapText="1" indent="2"/>
    </xf>
    <xf numFmtId="4" fontId="10" fillId="22" borderId="32">
      <alignment horizontal="right" vertical="center"/>
    </xf>
    <xf numFmtId="0" fontId="42" fillId="46" borderId="28" applyNumberFormat="0" applyAlignment="0" applyProtection="0"/>
    <xf numFmtId="49" fontId="14" fillId="0" borderId="33" applyNumberFormat="0" applyFont="0" applyFill="0" applyBorder="0" applyProtection="0">
      <alignment horizontal="left" vertical="center" indent="5"/>
    </xf>
    <xf numFmtId="4" fontId="14" fillId="0" borderId="32">
      <alignment horizontal="right" vertical="center"/>
    </xf>
    <xf numFmtId="0" fontId="1" fillId="19" borderId="0" applyNumberFormat="0" applyBorder="0" applyAlignment="0" applyProtection="0"/>
    <xf numFmtId="0" fontId="30" fillId="0" borderId="30" applyNumberFormat="0" applyFill="0" applyAlignment="0" applyProtection="0"/>
    <xf numFmtId="4" fontId="10" fillId="24" borderId="34">
      <alignment horizontal="right" vertical="center"/>
    </xf>
    <xf numFmtId="4" fontId="10" fillId="24" borderId="32">
      <alignment horizontal="right" vertical="center"/>
    </xf>
    <xf numFmtId="4" fontId="10" fillId="24" borderId="32">
      <alignment horizontal="right" vertical="center"/>
    </xf>
    <xf numFmtId="0" fontId="45" fillId="0" borderId="30" applyNumberFormat="0" applyFill="0" applyAlignment="0" applyProtection="0"/>
    <xf numFmtId="0" fontId="26" fillId="46" borderId="29" applyNumberFormat="0" applyAlignment="0" applyProtection="0"/>
    <xf numFmtId="0" fontId="29" fillId="33" borderId="29" applyNumberFormat="0" applyAlignment="0" applyProtection="0"/>
    <xf numFmtId="0" fontId="4" fillId="3" borderId="1" applyNumberFormat="0" applyAlignment="0" applyProtection="0"/>
    <xf numFmtId="49" fontId="13" fillId="0" borderId="32" applyNumberFormat="0" applyFill="0" applyBorder="0" applyProtection="0">
      <alignment horizontal="left" vertical="center"/>
    </xf>
    <xf numFmtId="0" fontId="11" fillId="49" borderId="31" applyNumberFormat="0" applyFont="0" applyAlignment="0" applyProtection="0"/>
    <xf numFmtId="4" fontId="10" fillId="24" borderId="32">
      <alignment horizontal="right" vertical="center"/>
    </xf>
    <xf numFmtId="0" fontId="8" fillId="6" borderId="0" applyNumberFormat="0" applyBorder="0" applyAlignment="0" applyProtection="0"/>
    <xf numFmtId="0" fontId="5" fillId="0" borderId="0" applyNumberFormat="0" applyFill="0" applyBorder="0" applyAlignment="0" applyProtection="0"/>
    <xf numFmtId="49" fontId="14" fillId="0" borderId="32" applyNumberFormat="0" applyFont="0" applyFill="0" applyBorder="0" applyProtection="0">
      <alignment horizontal="left" vertical="center" indent="2"/>
    </xf>
    <xf numFmtId="0" fontId="45" fillId="0" borderId="30" applyNumberFormat="0" applyFill="0" applyAlignment="0" applyProtection="0"/>
    <xf numFmtId="4" fontId="14" fillId="0" borderId="32" applyFill="0" applyBorder="0" applyProtection="0">
      <alignment horizontal="right" vertical="center"/>
    </xf>
    <xf numFmtId="0" fontId="38" fillId="33" borderId="29" applyNumberFormat="0" applyAlignment="0" applyProtection="0"/>
    <xf numFmtId="49" fontId="13" fillId="0" borderId="32" applyNumberFormat="0" applyFill="0" applyBorder="0" applyProtection="0">
      <alignment horizontal="left" vertical="center"/>
    </xf>
    <xf numFmtId="49" fontId="14" fillId="0" borderId="32" applyNumberFormat="0" applyFont="0" applyFill="0" applyBorder="0" applyProtection="0">
      <alignment horizontal="left" vertical="center" indent="2"/>
    </xf>
    <xf numFmtId="4" fontId="14" fillId="0" borderId="32" applyFill="0" applyBorder="0" applyProtection="0">
      <alignment horizontal="right" vertical="center"/>
    </xf>
    <xf numFmtId="165" fontId="14" fillId="50" borderId="32" applyNumberFormat="0" applyFont="0" applyBorder="0" applyAlignment="0" applyProtection="0">
      <alignment horizontal="right" vertical="center"/>
    </xf>
    <xf numFmtId="0" fontId="8" fillId="15" borderId="0" applyNumberFormat="0" applyBorder="0" applyAlignment="0" applyProtection="0"/>
    <xf numFmtId="0" fontId="16" fillId="22" borderId="32">
      <alignment horizontal="right" vertical="center"/>
    </xf>
    <xf numFmtId="0" fontId="29" fillId="33" borderId="29" applyNumberFormat="0" applyAlignment="0" applyProtection="0"/>
    <xf numFmtId="4" fontId="10" fillId="24" borderId="32">
      <alignment horizontal="right" vertical="center"/>
    </xf>
    <xf numFmtId="0" fontId="14" fillId="22" borderId="33">
      <alignment horizontal="left" vertical="center"/>
    </xf>
    <xf numFmtId="4" fontId="14" fillId="0" borderId="32" applyFill="0" applyBorder="0" applyProtection="0">
      <alignment horizontal="right" vertical="center"/>
    </xf>
    <xf numFmtId="0" fontId="8" fillId="18" borderId="0" applyNumberFormat="0" applyBorder="0" applyAlignment="0" applyProtection="0"/>
    <xf numFmtId="0" fontId="10" fillId="24" borderId="32">
      <alignment horizontal="right" vertical="center"/>
    </xf>
    <xf numFmtId="0" fontId="14" fillId="24" borderId="35">
      <alignment horizontal="left" vertical="center" wrapText="1" indent="2"/>
    </xf>
    <xf numFmtId="165" fontId="14" fillId="50" borderId="32" applyNumberFormat="0" applyFont="0" applyBorder="0" applyAlignment="0" applyProtection="0">
      <alignment horizontal="right" vertical="center"/>
    </xf>
    <xf numFmtId="0" fontId="20" fillId="49" borderId="31" applyNumberFormat="0" applyFont="0" applyAlignment="0" applyProtection="0"/>
    <xf numFmtId="49" fontId="14" fillId="0" borderId="32" applyNumberFormat="0" applyFont="0" applyFill="0" applyBorder="0" applyProtection="0">
      <alignment horizontal="left" vertical="center" indent="2"/>
    </xf>
    <xf numFmtId="0" fontId="6" fillId="0" borderId="0" applyNumberFormat="0" applyFill="0" applyBorder="0" applyAlignment="0" applyProtection="0"/>
    <xf numFmtId="49" fontId="13" fillId="0" borderId="32" applyNumberFormat="0" applyFill="0" applyBorder="0" applyProtection="0">
      <alignment horizontal="left" vertical="center"/>
    </xf>
    <xf numFmtId="165" fontId="14" fillId="50" borderId="32" applyNumberFormat="0" applyFont="0" applyBorder="0" applyAlignment="0" applyProtection="0">
      <alignment horizontal="right" vertical="center"/>
    </xf>
    <xf numFmtId="0" fontId="42" fillId="46" borderId="28" applyNumberFormat="0" applyAlignment="0" applyProtection="0"/>
    <xf numFmtId="0" fontId="14" fillId="0" borderId="32">
      <alignment horizontal="right" vertical="center"/>
    </xf>
    <xf numFmtId="0" fontId="14" fillId="23" borderId="32"/>
    <xf numFmtId="4" fontId="10" fillId="24" borderId="32">
      <alignment horizontal="right" vertical="center"/>
    </xf>
    <xf numFmtId="0" fontId="14" fillId="23" borderId="32"/>
    <xf numFmtId="0" fontId="38" fillId="33" borderId="29" applyNumberFormat="0" applyAlignment="0" applyProtection="0"/>
    <xf numFmtId="0" fontId="16" fillId="22" borderId="32">
      <alignment horizontal="right" vertical="center"/>
    </xf>
    <xf numFmtId="0" fontId="14" fillId="0" borderId="35">
      <alignment horizontal="left" vertical="center" wrapText="1" indent="2"/>
    </xf>
    <xf numFmtId="0" fontId="10" fillId="22" borderId="32">
      <alignment horizontal="right" vertical="center"/>
    </xf>
    <xf numFmtId="0" fontId="29" fillId="33" borderId="29" applyNumberFormat="0" applyAlignment="0" applyProtection="0"/>
    <xf numFmtId="0" fontId="14" fillId="24" borderId="35">
      <alignment horizontal="left" vertical="center" wrapText="1" indent="2"/>
    </xf>
    <xf numFmtId="49" fontId="14" fillId="0" borderId="32" applyNumberFormat="0" applyFont="0" applyFill="0" applyBorder="0" applyProtection="0">
      <alignment horizontal="left" vertical="center" indent="2"/>
    </xf>
    <xf numFmtId="0" fontId="1" fillId="14" borderId="0" applyNumberFormat="0" applyBorder="0" applyAlignment="0" applyProtection="0"/>
    <xf numFmtId="0" fontId="25" fillId="46" borderId="29" applyNumberFormat="0" applyAlignment="0" applyProtection="0"/>
    <xf numFmtId="0" fontId="16" fillId="22" borderId="32">
      <alignment horizontal="right" vertical="center"/>
    </xf>
    <xf numFmtId="0" fontId="4" fillId="3" borderId="1" applyNumberFormat="0" applyAlignment="0" applyProtection="0"/>
    <xf numFmtId="0" fontId="1" fillId="10" borderId="0" applyNumberFormat="0" applyBorder="0" applyAlignment="0" applyProtection="0"/>
    <xf numFmtId="0" fontId="6" fillId="0" borderId="0" applyNumberFormat="0" applyFill="0" applyBorder="0" applyAlignment="0" applyProtection="0"/>
    <xf numFmtId="0" fontId="10" fillId="24" borderId="32">
      <alignment horizontal="right" vertical="center"/>
    </xf>
    <xf numFmtId="4" fontId="14" fillId="0" borderId="32" applyFill="0" applyBorder="0" applyProtection="0">
      <alignment horizontal="right" vertical="center"/>
    </xf>
    <xf numFmtId="0" fontId="14" fillId="24" borderId="35">
      <alignment horizontal="left" vertical="center" wrapText="1" indent="2"/>
    </xf>
    <xf numFmtId="0" fontId="20" fillId="49" borderId="31" applyNumberFormat="0" applyFont="0" applyAlignment="0" applyProtection="0"/>
    <xf numFmtId="0" fontId="29" fillId="33" borderId="29" applyNumberFormat="0" applyAlignment="0" applyProtection="0"/>
    <xf numFmtId="4" fontId="14" fillId="23" borderId="32"/>
    <xf numFmtId="49" fontId="13" fillId="0" borderId="32" applyNumberFormat="0" applyFill="0" applyBorder="0" applyProtection="0">
      <alignment horizontal="left" vertical="center"/>
    </xf>
    <xf numFmtId="0" fontId="45" fillId="0" borderId="30" applyNumberFormat="0" applyFill="0" applyAlignment="0" applyProtection="0"/>
    <xf numFmtId="0" fontId="14" fillId="22" borderId="33">
      <alignment horizontal="left" vertical="center"/>
    </xf>
    <xf numFmtId="0" fontId="14" fillId="0" borderId="35">
      <alignment horizontal="left" vertical="center" wrapText="1" indent="2"/>
    </xf>
    <xf numFmtId="0" fontId="38" fillId="33" borderId="29" applyNumberFormat="0" applyAlignment="0" applyProtection="0"/>
    <xf numFmtId="0" fontId="14" fillId="24" borderId="35">
      <alignment horizontal="left" vertical="center" wrapText="1" indent="2"/>
    </xf>
    <xf numFmtId="0" fontId="20" fillId="49" borderId="31" applyNumberFormat="0" applyFont="0" applyAlignment="0" applyProtection="0"/>
    <xf numFmtId="0" fontId="38" fillId="33" borderId="29" applyNumberFormat="0" applyAlignment="0" applyProtection="0"/>
    <xf numFmtId="4" fontId="14" fillId="23" borderId="32"/>
    <xf numFmtId="0" fontId="26" fillId="46" borderId="29" applyNumberFormat="0" applyAlignment="0" applyProtection="0"/>
    <xf numFmtId="0" fontId="38" fillId="33" borderId="29" applyNumberFormat="0" applyAlignment="0" applyProtection="0"/>
    <xf numFmtId="4" fontId="10" fillId="24" borderId="32">
      <alignment horizontal="right" vertical="center"/>
    </xf>
    <xf numFmtId="0" fontId="30" fillId="0" borderId="30" applyNumberFormat="0" applyFill="0" applyAlignment="0" applyProtection="0"/>
    <xf numFmtId="0" fontId="29" fillId="33" borderId="29" applyNumberFormat="0" applyAlignment="0" applyProtection="0"/>
    <xf numFmtId="0" fontId="1" fillId="7" borderId="0" applyNumberFormat="0" applyBorder="0" applyAlignment="0" applyProtection="0"/>
    <xf numFmtId="0" fontId="38" fillId="33" borderId="61" applyNumberFormat="0" applyAlignment="0" applyProtection="0"/>
    <xf numFmtId="0" fontId="14" fillId="24" borderId="35">
      <alignment horizontal="left" vertical="center" wrapText="1" indent="2"/>
    </xf>
    <xf numFmtId="0" fontId="42" fillId="46" borderId="28" applyNumberFormat="0" applyAlignment="0" applyProtection="0"/>
    <xf numFmtId="0" fontId="38" fillId="33" borderId="29" applyNumberFormat="0" applyAlignment="0" applyProtection="0"/>
    <xf numFmtId="4" fontId="10" fillId="24" borderId="32">
      <alignment horizontal="right" vertical="center"/>
    </xf>
    <xf numFmtId="0" fontId="14" fillId="23" borderId="32"/>
    <xf numFmtId="0" fontId="26" fillId="46" borderId="69" applyNumberFormat="0" applyAlignment="0" applyProtection="0"/>
    <xf numFmtId="0" fontId="14" fillId="0" borderId="35">
      <alignment horizontal="left" vertical="center" wrapText="1" indent="2"/>
    </xf>
    <xf numFmtId="0" fontId="8" fillId="15" borderId="0" applyNumberFormat="0" applyBorder="0" applyAlignment="0" applyProtection="0"/>
    <xf numFmtId="0" fontId="25" fillId="46" borderId="29" applyNumberFormat="0" applyAlignment="0" applyProtection="0"/>
    <xf numFmtId="4" fontId="10" fillId="22" borderId="32">
      <alignment horizontal="right" vertical="center"/>
    </xf>
    <xf numFmtId="0" fontId="10" fillId="22" borderId="32">
      <alignment horizontal="right" vertical="center"/>
    </xf>
    <xf numFmtId="0" fontId="10" fillId="24" borderId="32">
      <alignment horizontal="right" vertical="center"/>
    </xf>
    <xf numFmtId="0" fontId="1" fillId="20" borderId="0" applyNumberFormat="0" applyBorder="0" applyAlignment="0" applyProtection="0"/>
    <xf numFmtId="0" fontId="42" fillId="46" borderId="28" applyNumberFormat="0" applyAlignment="0" applyProtection="0"/>
    <xf numFmtId="49" fontId="14" fillId="0" borderId="33" applyNumberFormat="0" applyFont="0" applyFill="0" applyBorder="0" applyProtection="0">
      <alignment horizontal="left" vertical="center" indent="5"/>
    </xf>
    <xf numFmtId="0" fontId="20" fillId="49" borderId="31" applyNumberFormat="0" applyFont="0" applyAlignment="0" applyProtection="0"/>
    <xf numFmtId="165" fontId="14" fillId="50" borderId="32" applyNumberFormat="0" applyFont="0" applyBorder="0" applyAlignment="0" applyProtection="0">
      <alignment horizontal="right" vertical="center"/>
    </xf>
    <xf numFmtId="0" fontId="38" fillId="33" borderId="29" applyNumberFormat="0" applyAlignment="0" applyProtection="0"/>
    <xf numFmtId="0" fontId="10" fillId="24" borderId="32">
      <alignment horizontal="right" vertical="center"/>
    </xf>
    <xf numFmtId="0" fontId="14" fillId="23" borderId="32"/>
    <xf numFmtId="0" fontId="42" fillId="46" borderId="28" applyNumberFormat="0" applyAlignment="0" applyProtection="0"/>
    <xf numFmtId="0" fontId="26" fillId="46" borderId="29" applyNumberFormat="0" applyAlignment="0" applyProtection="0"/>
    <xf numFmtId="0" fontId="25" fillId="46" borderId="29" applyNumberFormat="0" applyAlignment="0" applyProtection="0"/>
    <xf numFmtId="0" fontId="29" fillId="33" borderId="29" applyNumberFormat="0" applyAlignment="0" applyProtection="0"/>
    <xf numFmtId="0" fontId="29" fillId="33" borderId="29" applyNumberFormat="0" applyAlignment="0" applyProtection="0"/>
    <xf numFmtId="0" fontId="14" fillId="0" borderId="35">
      <alignment horizontal="left" vertical="center" wrapText="1" indent="2"/>
    </xf>
    <xf numFmtId="4" fontId="10" fillId="24" borderId="33">
      <alignment horizontal="right" vertical="center"/>
    </xf>
    <xf numFmtId="4" fontId="14" fillId="0" borderId="32">
      <alignment horizontal="right" vertical="center"/>
    </xf>
    <xf numFmtId="49" fontId="13" fillId="0" borderId="32" applyNumberFormat="0" applyFill="0" applyBorder="0" applyProtection="0">
      <alignment horizontal="left" vertical="center"/>
    </xf>
    <xf numFmtId="4" fontId="14" fillId="0" borderId="32">
      <alignment horizontal="right" vertical="center"/>
    </xf>
    <xf numFmtId="0" fontId="42" fillId="46" borderId="28" applyNumberFormat="0" applyAlignment="0" applyProtection="0"/>
    <xf numFmtId="4" fontId="10" fillId="22" borderId="64">
      <alignment horizontal="right" vertical="center"/>
    </xf>
    <xf numFmtId="0" fontId="8" fillId="12" borderId="0" applyNumberFormat="0" applyBorder="0" applyAlignment="0" applyProtection="0"/>
    <xf numFmtId="0" fontId="14" fillId="0" borderId="35">
      <alignment horizontal="left" vertical="center" wrapText="1" indent="2"/>
    </xf>
    <xf numFmtId="0" fontId="8" fillId="12" borderId="0" applyNumberFormat="0" applyBorder="0" applyAlignment="0" applyProtection="0"/>
    <xf numFmtId="0" fontId="20" fillId="49" borderId="31" applyNumberFormat="0" applyFont="0" applyAlignment="0" applyProtection="0"/>
    <xf numFmtId="0" fontId="10" fillId="22" borderId="32">
      <alignment horizontal="right" vertical="center"/>
    </xf>
    <xf numFmtId="0" fontId="8" fillId="9" borderId="0" applyNumberFormat="0" applyBorder="0" applyAlignment="0" applyProtection="0"/>
    <xf numFmtId="0" fontId="14" fillId="0" borderId="32" applyNumberFormat="0" applyFill="0" applyAlignment="0" applyProtection="0"/>
    <xf numFmtId="49" fontId="13" fillId="0" borderId="32" applyNumberFormat="0" applyFill="0" applyBorder="0" applyProtection="0">
      <alignment horizontal="left" vertical="center"/>
    </xf>
    <xf numFmtId="0" fontId="14" fillId="0" borderId="32">
      <alignment horizontal="right" vertical="center"/>
    </xf>
    <xf numFmtId="4" fontId="10" fillId="22" borderId="32">
      <alignment horizontal="right" vertical="center"/>
    </xf>
    <xf numFmtId="0" fontId="26" fillId="46" borderId="29" applyNumberFormat="0" applyAlignment="0" applyProtection="0"/>
    <xf numFmtId="0" fontId="10" fillId="24" borderId="34">
      <alignment horizontal="right" vertical="center"/>
    </xf>
    <xf numFmtId="4" fontId="10" fillId="22" borderId="32">
      <alignment horizontal="right" vertical="center"/>
    </xf>
    <xf numFmtId="0" fontId="10" fillId="24" borderId="32">
      <alignment horizontal="right" vertical="center"/>
    </xf>
    <xf numFmtId="0" fontId="26" fillId="46" borderId="29" applyNumberFormat="0" applyAlignment="0" applyProtection="0"/>
    <xf numFmtId="0" fontId="3" fillId="3" borderId="2" applyNumberFormat="0" applyAlignment="0" applyProtection="0"/>
    <xf numFmtId="4" fontId="14" fillId="0" borderId="32" applyFill="0" applyBorder="0" applyProtection="0">
      <alignment horizontal="right" vertical="center"/>
    </xf>
    <xf numFmtId="0" fontId="20" fillId="49" borderId="31" applyNumberFormat="0" applyFont="0" applyAlignment="0" applyProtection="0"/>
    <xf numFmtId="0" fontId="1" fillId="14" borderId="0" applyNumberFormat="0" applyBorder="0" applyAlignment="0" applyProtection="0"/>
    <xf numFmtId="0" fontId="10" fillId="22" borderId="32">
      <alignment horizontal="right" vertical="center"/>
    </xf>
    <xf numFmtId="0" fontId="30" fillId="0" borderId="30" applyNumberFormat="0" applyFill="0" applyAlignment="0" applyProtection="0"/>
    <xf numFmtId="0" fontId="14" fillId="0" borderId="32" applyNumberFormat="0" applyFill="0" applyAlignment="0" applyProtection="0"/>
    <xf numFmtId="0" fontId="30" fillId="0" borderId="30" applyNumberFormat="0" applyFill="0" applyAlignment="0" applyProtection="0"/>
    <xf numFmtId="4" fontId="14" fillId="0" borderId="32" applyFill="0" applyBorder="0" applyProtection="0">
      <alignment horizontal="right" vertical="center"/>
    </xf>
    <xf numFmtId="49" fontId="14" fillId="0" borderId="33" applyNumberFormat="0" applyFont="0" applyFill="0" applyBorder="0" applyProtection="0">
      <alignment horizontal="left" vertical="center" indent="5"/>
    </xf>
    <xf numFmtId="0" fontId="14" fillId="0" borderId="32" applyNumberFormat="0" applyFill="0" applyAlignment="0" applyProtection="0"/>
    <xf numFmtId="0" fontId="14" fillId="0" borderId="32" applyNumberFormat="0" applyFill="0" applyAlignment="0" applyProtection="0"/>
    <xf numFmtId="4" fontId="10" fillId="24" borderId="32">
      <alignment horizontal="right" vertical="center"/>
    </xf>
    <xf numFmtId="0" fontId="29" fillId="33" borderId="29" applyNumberFormat="0" applyAlignment="0" applyProtection="0"/>
    <xf numFmtId="0" fontId="26" fillId="46" borderId="29" applyNumberFormat="0" applyAlignment="0" applyProtection="0"/>
    <xf numFmtId="4" fontId="14" fillId="0" borderId="32">
      <alignment horizontal="right" vertical="center"/>
    </xf>
    <xf numFmtId="0" fontId="14" fillId="24" borderId="35">
      <alignment horizontal="left" vertical="center" wrapText="1" indent="2"/>
    </xf>
    <xf numFmtId="0" fontId="14" fillId="0" borderId="35">
      <alignment horizontal="left" vertical="center" wrapText="1" indent="2"/>
    </xf>
    <xf numFmtId="0" fontId="42" fillId="46" borderId="28" applyNumberFormat="0" applyAlignment="0" applyProtection="0"/>
    <xf numFmtId="0" fontId="38" fillId="33" borderId="29" applyNumberFormat="0" applyAlignment="0" applyProtection="0"/>
    <xf numFmtId="0" fontId="25" fillId="46" borderId="29" applyNumberFormat="0" applyAlignment="0" applyProtection="0"/>
    <xf numFmtId="0" fontId="23" fillId="46" borderId="28" applyNumberFormat="0" applyAlignment="0" applyProtection="0"/>
    <xf numFmtId="0" fontId="10" fillId="24" borderId="34">
      <alignment horizontal="right" vertical="center"/>
    </xf>
    <xf numFmtId="0" fontId="16" fillId="22" borderId="32">
      <alignment horizontal="right" vertical="center"/>
    </xf>
    <xf numFmtId="4" fontId="10" fillId="22" borderId="32">
      <alignment horizontal="right" vertical="center"/>
    </xf>
    <xf numFmtId="4" fontId="10" fillId="24" borderId="32">
      <alignment horizontal="right" vertical="center"/>
    </xf>
    <xf numFmtId="49" fontId="14" fillId="0" borderId="33" applyNumberFormat="0" applyFont="0" applyFill="0" applyBorder="0" applyProtection="0">
      <alignment horizontal="left" vertical="center" indent="5"/>
    </xf>
    <xf numFmtId="4" fontId="14" fillId="0" borderId="32" applyFill="0" applyBorder="0" applyProtection="0">
      <alignment horizontal="right" vertical="center"/>
    </xf>
    <xf numFmtId="4" fontId="10" fillId="22" borderId="32">
      <alignment horizontal="right" vertical="center"/>
    </xf>
    <xf numFmtId="0" fontId="38" fillId="33" borderId="29" applyNumberFormat="0" applyAlignment="0" applyProtection="0"/>
    <xf numFmtId="0" fontId="29" fillId="33" borderId="29" applyNumberFormat="0" applyAlignment="0" applyProtection="0"/>
    <xf numFmtId="0" fontId="25" fillId="46" borderId="29" applyNumberFormat="0" applyAlignment="0" applyProtection="0"/>
    <xf numFmtId="0" fontId="14" fillId="24" borderId="35">
      <alignment horizontal="left" vertical="center" wrapText="1" indent="2"/>
    </xf>
    <xf numFmtId="0" fontId="14" fillId="0" borderId="35">
      <alignment horizontal="left" vertical="center" wrapText="1" indent="2"/>
    </xf>
    <xf numFmtId="0" fontId="14" fillId="24" borderId="35">
      <alignment horizontal="left" vertical="center" wrapText="1" indent="2"/>
    </xf>
    <xf numFmtId="0" fontId="14" fillId="0" borderId="35">
      <alignment horizontal="left" vertical="center" wrapText="1" indent="2"/>
    </xf>
    <xf numFmtId="0" fontId="16" fillId="22" borderId="72">
      <alignment horizontal="right" vertical="center"/>
    </xf>
    <xf numFmtId="0" fontId="5" fillId="0" borderId="0" applyNumberFormat="0" applyFill="0" applyBorder="0" applyAlignment="0" applyProtection="0"/>
    <xf numFmtId="0" fontId="45" fillId="0" borderId="62" applyNumberFormat="0" applyFill="0" applyAlignment="0" applyProtection="0"/>
    <xf numFmtId="0" fontId="1" fillId="19" borderId="0" applyNumberFormat="0" applyBorder="0" applyAlignment="0" applyProtection="0"/>
    <xf numFmtId="4" fontId="14" fillId="0" borderId="72">
      <alignment horizontal="right" vertical="center"/>
    </xf>
    <xf numFmtId="0" fontId="26" fillId="46" borderId="69" applyNumberFormat="0" applyAlignment="0" applyProtection="0"/>
    <xf numFmtId="0" fontId="1" fillId="0" borderId="0"/>
    <xf numFmtId="0" fontId="1" fillId="11" borderId="0" applyNumberFormat="0" applyBorder="0" applyAlignment="0" applyProtection="0"/>
    <xf numFmtId="0" fontId="7" fillId="0" borderId="3" applyNumberFormat="0" applyFill="0" applyAlignment="0" applyProtection="0"/>
    <xf numFmtId="9" fontId="11" fillId="0" borderId="0" applyFont="0" applyFill="0" applyBorder="0" applyAlignment="0" applyProtection="0"/>
    <xf numFmtId="0" fontId="14" fillId="0" borderId="72">
      <alignment horizontal="right" vertical="center"/>
    </xf>
    <xf numFmtId="0" fontId="45" fillId="0" borderId="70" applyNumberFormat="0" applyFill="0" applyAlignment="0" applyProtection="0"/>
    <xf numFmtId="0" fontId="14" fillId="0" borderId="72">
      <alignment horizontal="right" vertical="center"/>
    </xf>
    <xf numFmtId="0" fontId="26" fillId="46" borderId="69" applyNumberFormat="0" applyAlignment="0" applyProtection="0"/>
    <xf numFmtId="0" fontId="42" fillId="46" borderId="68" applyNumberFormat="0" applyAlignment="0" applyProtection="0"/>
    <xf numFmtId="4" fontId="16" fillId="22" borderId="64">
      <alignment horizontal="right" vertical="center"/>
    </xf>
    <xf numFmtId="0" fontId="8" fillId="21" borderId="0" applyNumberFormat="0" applyBorder="0" applyAlignment="0" applyProtection="0"/>
    <xf numFmtId="0" fontId="3" fillId="3" borderId="2" applyNumberFormat="0" applyAlignment="0" applyProtection="0"/>
    <xf numFmtId="0" fontId="23" fillId="46" borderId="60" applyNumberFormat="0" applyAlignment="0" applyProtection="0"/>
    <xf numFmtId="0" fontId="14" fillId="24" borderId="67">
      <alignment horizontal="left" vertical="center" wrapText="1" indent="2"/>
    </xf>
    <xf numFmtId="4" fontId="10" fillId="22" borderId="72">
      <alignment horizontal="right" vertical="center"/>
    </xf>
    <xf numFmtId="0" fontId="1" fillId="19" borderId="0" applyNumberFormat="0" applyBorder="0" applyAlignment="0" applyProtection="0"/>
    <xf numFmtId="0" fontId="4" fillId="3" borderId="1" applyNumberFormat="0" applyAlignment="0" applyProtection="0"/>
    <xf numFmtId="0" fontId="14" fillId="0" borderId="48" applyNumberFormat="0" applyFill="0" applyAlignment="0" applyProtection="0"/>
    <xf numFmtId="0" fontId="42" fillId="46" borderId="44" applyNumberFormat="0" applyAlignment="0" applyProtection="0"/>
    <xf numFmtId="0" fontId="8" fillId="18" borderId="0" applyNumberFormat="0" applyBorder="0" applyAlignment="0" applyProtection="0"/>
    <xf numFmtId="0" fontId="58" fillId="0" borderId="0" applyNumberFormat="0" applyFill="0" applyBorder="0" applyAlignment="0" applyProtection="0"/>
    <xf numFmtId="0" fontId="10" fillId="22" borderId="40">
      <alignment horizontal="right" vertical="center"/>
    </xf>
    <xf numFmtId="0" fontId="7" fillId="0" borderId="3" applyNumberFormat="0" applyFill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6" fillId="0" borderId="0" applyNumberFormat="0" applyFill="0" applyBorder="0" applyAlignment="0" applyProtection="0"/>
    <xf numFmtId="0" fontId="14" fillId="24" borderId="75">
      <alignment horizontal="left" vertical="center" wrapText="1" indent="2"/>
    </xf>
    <xf numFmtId="4" fontId="11" fillId="0" borderId="0"/>
    <xf numFmtId="0" fontId="3" fillId="3" borderId="2" applyNumberFormat="0" applyAlignment="0" applyProtection="0"/>
    <xf numFmtId="0" fontId="4" fillId="3" borderId="1" applyNumberFormat="0" applyAlignment="0" applyProtection="0"/>
    <xf numFmtId="0" fontId="8" fillId="15" borderId="0" applyNumberFormat="0" applyBorder="0" applyAlignment="0" applyProtection="0"/>
    <xf numFmtId="0" fontId="1" fillId="20" borderId="0" applyNumberFormat="0" applyBorder="0" applyAlignment="0" applyProtection="0"/>
    <xf numFmtId="0" fontId="42" fillId="46" borderId="60" applyNumberFormat="0" applyAlignment="0" applyProtection="0"/>
    <xf numFmtId="0" fontId="1" fillId="0" borderId="0"/>
    <xf numFmtId="0" fontId="8" fillId="12" borderId="0" applyNumberFormat="0" applyBorder="0" applyAlignment="0" applyProtection="0"/>
    <xf numFmtId="0" fontId="11" fillId="0" borderId="0"/>
    <xf numFmtId="0" fontId="8" fillId="9" borderId="0" applyNumberFormat="0" applyBorder="0" applyAlignment="0" applyProtection="0"/>
    <xf numFmtId="0" fontId="3" fillId="3" borderId="2" applyNumberFormat="0" applyAlignment="0" applyProtection="0"/>
    <xf numFmtId="0" fontId="29" fillId="33" borderId="69" applyNumberFormat="0" applyAlignment="0" applyProtection="0"/>
    <xf numFmtId="0" fontId="5" fillId="0" borderId="0" applyNumberFormat="0" applyFill="0" applyBorder="0" applyAlignment="0" applyProtection="0"/>
    <xf numFmtId="0" fontId="20" fillId="49" borderId="71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8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8" fillId="9" borderId="0" applyNumberFormat="0" applyBorder="0" applyAlignment="0" applyProtection="0"/>
    <xf numFmtId="4" fontId="14" fillId="0" borderId="72">
      <alignment horizontal="right"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8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8" fillId="15" borderId="0" applyNumberFormat="0" applyBorder="0" applyAlignment="0" applyProtection="0"/>
    <xf numFmtId="0" fontId="6" fillId="0" borderId="0" applyNumberForma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8" fillId="21" borderId="0" applyNumberFormat="0" applyBorder="0" applyAlignment="0" applyProtection="0"/>
    <xf numFmtId="0" fontId="14" fillId="0" borderId="32" applyNumberFormat="0" applyFill="0" applyAlignment="0" applyProtection="0"/>
    <xf numFmtId="0" fontId="10" fillId="24" borderId="32">
      <alignment horizontal="right" vertical="center"/>
    </xf>
    <xf numFmtId="0" fontId="10" fillId="24" borderId="32">
      <alignment horizontal="right" vertical="center"/>
    </xf>
    <xf numFmtId="0" fontId="10" fillId="24" borderId="64">
      <alignment horizontal="right" vertical="center"/>
    </xf>
    <xf numFmtId="0" fontId="14" fillId="0" borderId="51">
      <alignment horizontal="left" vertical="center" wrapText="1" indent="2"/>
    </xf>
    <xf numFmtId="0" fontId="14" fillId="0" borderId="32">
      <alignment horizontal="right" vertical="center"/>
    </xf>
    <xf numFmtId="0" fontId="16" fillId="22" borderId="32">
      <alignment horizontal="right" vertical="center"/>
    </xf>
    <xf numFmtId="0" fontId="14" fillId="23" borderId="32"/>
    <xf numFmtId="0" fontId="10" fillId="22" borderId="32">
      <alignment horizontal="right" vertical="center"/>
    </xf>
    <xf numFmtId="0" fontId="42" fillId="46" borderId="44" applyNumberFormat="0" applyAlignment="0" applyProtection="0"/>
    <xf numFmtId="0" fontId="14" fillId="22" borderId="41">
      <alignment horizontal="left" vertical="center"/>
    </xf>
    <xf numFmtId="0" fontId="1" fillId="7" borderId="0" applyNumberFormat="0" applyBorder="0" applyAlignment="0" applyProtection="0"/>
    <xf numFmtId="0" fontId="14" fillId="0" borderId="56">
      <alignment horizontal="right" vertical="center"/>
    </xf>
    <xf numFmtId="4" fontId="10" fillId="24" borderId="41">
      <alignment horizontal="right" vertical="center"/>
    </xf>
    <xf numFmtId="4" fontId="14" fillId="23" borderId="56"/>
    <xf numFmtId="0" fontId="30" fillId="0" borderId="70" applyNumberFormat="0" applyFill="0" applyAlignment="0" applyProtection="0"/>
    <xf numFmtId="49" fontId="13" fillId="0" borderId="56" applyNumberFormat="0" applyFill="0" applyBorder="0" applyProtection="0">
      <alignment horizontal="left" vertical="center"/>
    </xf>
    <xf numFmtId="4" fontId="10" fillId="24" borderId="72">
      <alignment horizontal="right" vertical="center"/>
    </xf>
    <xf numFmtId="0" fontId="8" fillId="21" borderId="0" applyNumberFormat="0" applyBorder="0" applyAlignment="0" applyProtection="0"/>
    <xf numFmtId="0" fontId="29" fillId="33" borderId="69" applyNumberFormat="0" applyAlignment="0" applyProtection="0"/>
    <xf numFmtId="0" fontId="26" fillId="46" borderId="69" applyNumberFormat="0" applyAlignment="0" applyProtection="0"/>
    <xf numFmtId="49" fontId="14" fillId="0" borderId="72" applyNumberFormat="0" applyFont="0" applyFill="0" applyBorder="0" applyProtection="0">
      <alignment horizontal="left" vertical="center" indent="2"/>
    </xf>
    <xf numFmtId="0" fontId="29" fillId="33" borderId="69" applyNumberFormat="0" applyAlignment="0" applyProtection="0"/>
    <xf numFmtId="49" fontId="14" fillId="0" borderId="49" applyNumberFormat="0" applyFont="0" applyFill="0" applyBorder="0" applyProtection="0">
      <alignment horizontal="left" vertical="center" indent="5"/>
    </xf>
    <xf numFmtId="0" fontId="8" fillId="9" borderId="0" applyNumberFormat="0" applyBorder="0" applyAlignment="0" applyProtection="0"/>
    <xf numFmtId="0" fontId="30" fillId="0" borderId="70" applyNumberFormat="0" applyFill="0" applyAlignment="0" applyProtection="0"/>
    <xf numFmtId="0" fontId="1" fillId="4" borderId="0" applyNumberFormat="0" applyBorder="0" applyAlignment="0" applyProtection="0"/>
    <xf numFmtId="0" fontId="29" fillId="33" borderId="69" applyNumberFormat="0" applyAlignment="0" applyProtection="0"/>
    <xf numFmtId="0" fontId="45" fillId="0" borderId="70" applyNumberFormat="0" applyFill="0" applyAlignment="0" applyProtection="0"/>
    <xf numFmtId="0" fontId="26" fillId="46" borderId="53" applyNumberFormat="0" applyAlignment="0" applyProtection="0"/>
    <xf numFmtId="4" fontId="10" fillId="24" borderId="64">
      <alignment horizontal="right" vertical="center"/>
    </xf>
    <xf numFmtId="0" fontId="20" fillId="49" borderId="71" applyNumberFormat="0" applyFont="0" applyAlignment="0" applyProtection="0"/>
    <xf numFmtId="0" fontId="20" fillId="49" borderId="55" applyNumberFormat="0" applyFont="0" applyAlignment="0" applyProtection="0"/>
    <xf numFmtId="0" fontId="16" fillId="22" borderId="48">
      <alignment horizontal="right" vertical="center"/>
    </xf>
    <xf numFmtId="0" fontId="1" fillId="5" borderId="0" applyNumberFormat="0" applyBorder="0" applyAlignment="0" applyProtection="0"/>
    <xf numFmtId="4" fontId="14" fillId="0" borderId="72">
      <alignment horizontal="right" vertical="center"/>
    </xf>
    <xf numFmtId="0" fontId="14" fillId="0" borderId="64" applyNumberFormat="0" applyFill="0" applyAlignment="0" applyProtection="0"/>
    <xf numFmtId="4" fontId="10" fillId="24" borderId="73">
      <alignment horizontal="right" vertical="center"/>
    </xf>
    <xf numFmtId="0" fontId="8" fillId="12" borderId="0" applyNumberFormat="0" applyBorder="0" applyAlignment="0" applyProtection="0"/>
    <xf numFmtId="0" fontId="26" fillId="46" borderId="45" applyNumberFormat="0" applyAlignment="0" applyProtection="0"/>
    <xf numFmtId="4" fontId="10" fillId="24" borderId="50">
      <alignment horizontal="right" vertical="center"/>
    </xf>
    <xf numFmtId="0" fontId="10" fillId="24" borderId="50">
      <alignment horizontal="right" vertical="center"/>
    </xf>
    <xf numFmtId="4" fontId="10" fillId="24" borderId="49">
      <alignment horizontal="right" vertical="center"/>
    </xf>
    <xf numFmtId="0" fontId="10" fillId="24" borderId="49">
      <alignment horizontal="right" vertical="center"/>
    </xf>
    <xf numFmtId="4" fontId="10" fillId="24" borderId="48">
      <alignment horizontal="right" vertical="center"/>
    </xf>
    <xf numFmtId="0" fontId="10" fillId="24" borderId="48">
      <alignment horizontal="right" vertical="center"/>
    </xf>
    <xf numFmtId="4" fontId="16" fillId="22" borderId="48">
      <alignment horizontal="right" vertical="center"/>
    </xf>
    <xf numFmtId="0" fontId="26" fillId="46" borderId="37" applyNumberFormat="0" applyAlignment="0" applyProtection="0"/>
    <xf numFmtId="0" fontId="16" fillId="22" borderId="48">
      <alignment horizontal="right" vertical="center"/>
    </xf>
    <xf numFmtId="49" fontId="14" fillId="0" borderId="65" applyNumberFormat="0" applyFont="0" applyFill="0" applyBorder="0" applyProtection="0">
      <alignment horizontal="left" vertical="center" indent="5"/>
    </xf>
    <xf numFmtId="4" fontId="14" fillId="0" borderId="72">
      <alignment horizontal="right" vertical="center"/>
    </xf>
    <xf numFmtId="4" fontId="10" fillId="22" borderId="72">
      <alignment horizontal="right" vertical="center"/>
    </xf>
    <xf numFmtId="165" fontId="14" fillId="50" borderId="72" applyNumberFormat="0" applyFont="0" applyBorder="0" applyAlignment="0" applyProtection="0">
      <alignment horizontal="right" vertical="center"/>
    </xf>
    <xf numFmtId="0" fontId="26" fillId="46" borderId="53" applyNumberFormat="0" applyAlignment="0" applyProtection="0"/>
    <xf numFmtId="0" fontId="10" fillId="22" borderId="72">
      <alignment horizontal="right" vertical="center"/>
    </xf>
    <xf numFmtId="0" fontId="42" fillId="46" borderId="52" applyNumberFormat="0" applyAlignment="0" applyProtection="0"/>
    <xf numFmtId="0" fontId="26" fillId="46" borderId="45" applyNumberFormat="0" applyAlignment="0" applyProtection="0"/>
    <xf numFmtId="0" fontId="16" fillId="22" borderId="72">
      <alignment horizontal="right" vertical="center"/>
    </xf>
    <xf numFmtId="0" fontId="38" fillId="33" borderId="37" applyNumberFormat="0" applyAlignment="0" applyProtection="0"/>
    <xf numFmtId="49" fontId="14" fillId="0" borderId="56" applyNumberFormat="0" applyFont="0" applyFill="0" applyBorder="0" applyProtection="0">
      <alignment horizontal="left" vertical="center" indent="2"/>
    </xf>
    <xf numFmtId="4" fontId="16" fillId="22" borderId="72">
      <alignment horizontal="right" vertical="center"/>
    </xf>
    <xf numFmtId="0" fontId="10" fillId="24" borderId="73">
      <alignment horizontal="right" vertical="center"/>
    </xf>
    <xf numFmtId="0" fontId="8" fillId="15" borderId="0" applyNumberFormat="0" applyBorder="0" applyAlignment="0" applyProtection="0"/>
    <xf numFmtId="0" fontId="10" fillId="24" borderId="72">
      <alignment horizontal="right" vertical="center"/>
    </xf>
    <xf numFmtId="4" fontId="10" fillId="24" borderId="72">
      <alignment horizontal="right" vertical="center"/>
    </xf>
    <xf numFmtId="0" fontId="26" fillId="46" borderId="69" applyNumberFormat="0" applyAlignment="0" applyProtection="0"/>
    <xf numFmtId="4" fontId="16" fillId="22" borderId="72">
      <alignment horizontal="right" vertical="center"/>
    </xf>
    <xf numFmtId="0" fontId="45" fillId="0" borderId="46" applyNumberFormat="0" applyFill="0" applyAlignment="0" applyProtection="0"/>
    <xf numFmtId="0" fontId="29" fillId="33" borderId="69" applyNumberFormat="0" applyAlignment="0" applyProtection="0"/>
    <xf numFmtId="0" fontId="10" fillId="24" borderId="66">
      <alignment horizontal="right" vertical="center"/>
    </xf>
    <xf numFmtId="0" fontId="42" fillId="46" borderId="68" applyNumberFormat="0" applyAlignment="0" applyProtection="0"/>
    <xf numFmtId="4" fontId="14" fillId="0" borderId="32" applyFill="0" applyBorder="0" applyProtection="0">
      <alignment horizontal="right" vertical="center"/>
    </xf>
    <xf numFmtId="0" fontId="1" fillId="10" borderId="0" applyNumberFormat="0" applyBorder="0" applyAlignment="0" applyProtection="0"/>
    <xf numFmtId="0" fontId="8" fillId="12" borderId="0" applyNumberFormat="0" applyBorder="0" applyAlignment="0" applyProtection="0"/>
    <xf numFmtId="0" fontId="20" fillId="49" borderId="39" applyNumberFormat="0" applyFont="0" applyAlignment="0" applyProtection="0"/>
    <xf numFmtId="0" fontId="11" fillId="49" borderId="39" applyNumberFormat="0" applyFont="0" applyAlignment="0" applyProtection="0"/>
    <xf numFmtId="0" fontId="42" fillId="46" borderId="36" applyNumberFormat="0" applyAlignment="0" applyProtection="0"/>
    <xf numFmtId="0" fontId="45" fillId="0" borderId="70" applyNumberFormat="0" applyFill="0" applyAlignment="0" applyProtection="0"/>
    <xf numFmtId="0" fontId="10" fillId="24" borderId="73">
      <alignment horizontal="right" vertical="center"/>
    </xf>
    <xf numFmtId="0" fontId="1" fillId="13" borderId="0" applyNumberFormat="0" applyBorder="0" applyAlignment="0" applyProtection="0"/>
    <xf numFmtId="4" fontId="14" fillId="23" borderId="72"/>
    <xf numFmtId="0" fontId="30" fillId="0" borderId="70" applyNumberFormat="0" applyFill="0" applyAlignment="0" applyProtection="0"/>
    <xf numFmtId="0" fontId="45" fillId="0" borderId="38" applyNumberFormat="0" applyFill="0" applyAlignment="0" applyProtection="0"/>
    <xf numFmtId="0" fontId="42" fillId="46" borderId="68" applyNumberFormat="0" applyAlignment="0" applyProtection="0"/>
    <xf numFmtId="49" fontId="14" fillId="0" borderId="73" applyNumberFormat="0" applyFont="0" applyFill="0" applyBorder="0" applyProtection="0">
      <alignment horizontal="left" vertical="center" indent="5"/>
    </xf>
    <xf numFmtId="0" fontId="10" fillId="24" borderId="72">
      <alignment horizontal="right" vertical="center"/>
    </xf>
    <xf numFmtId="0" fontId="1" fillId="20" borderId="0" applyNumberFormat="0" applyBorder="0" applyAlignment="0" applyProtection="0"/>
    <xf numFmtId="0" fontId="14" fillId="24" borderId="75">
      <alignment horizontal="left" vertical="center" wrapText="1" indent="2"/>
    </xf>
    <xf numFmtId="0" fontId="14" fillId="22" borderId="73">
      <alignment horizontal="left" vertical="center"/>
    </xf>
    <xf numFmtId="0" fontId="26" fillId="46" borderId="69" applyNumberFormat="0" applyAlignment="0" applyProtection="0"/>
    <xf numFmtId="0" fontId="3" fillId="3" borderId="2" applyNumberFormat="0" applyAlignment="0" applyProtection="0"/>
    <xf numFmtId="0" fontId="11" fillId="49" borderId="47" applyNumberFormat="0" applyFont="0" applyAlignment="0" applyProtection="0"/>
    <xf numFmtId="0" fontId="1" fillId="19" borderId="0" applyNumberFormat="0" applyBorder="0" applyAlignment="0" applyProtection="0"/>
    <xf numFmtId="4" fontId="14" fillId="0" borderId="64" applyFill="0" applyBorder="0" applyProtection="0">
      <alignment horizontal="right" vertical="center"/>
    </xf>
    <xf numFmtId="4" fontId="14" fillId="23" borderId="72"/>
    <xf numFmtId="0" fontId="10" fillId="22" borderId="56">
      <alignment horizontal="right" vertical="center"/>
    </xf>
    <xf numFmtId="0" fontId="38" fillId="33" borderId="53" applyNumberFormat="0" applyAlignment="0" applyProtection="0"/>
    <xf numFmtId="0" fontId="10" fillId="24" borderId="41">
      <alignment horizontal="right" vertical="center"/>
    </xf>
    <xf numFmtId="0" fontId="14" fillId="23" borderId="56"/>
    <xf numFmtId="49" fontId="14" fillId="0" borderId="72" applyNumberFormat="0" applyFont="0" applyFill="0" applyBorder="0" applyProtection="0">
      <alignment horizontal="left" vertical="center" indent="2"/>
    </xf>
    <xf numFmtId="0" fontId="14" fillId="24" borderId="67">
      <alignment horizontal="left" vertical="center" wrapText="1" indent="2"/>
    </xf>
    <xf numFmtId="4" fontId="10" fillId="24" borderId="74">
      <alignment horizontal="right" vertical="center"/>
    </xf>
    <xf numFmtId="0" fontId="25" fillId="46" borderId="53" applyNumberFormat="0" applyAlignment="0" applyProtection="0"/>
    <xf numFmtId="0" fontId="8" fillId="9" borderId="0" applyNumberFormat="0" applyBorder="0" applyAlignment="0" applyProtection="0"/>
    <xf numFmtId="0" fontId="20" fillId="49" borderId="55" applyNumberFormat="0" applyFont="0" applyAlignment="0" applyProtection="0"/>
    <xf numFmtId="0" fontId="14" fillId="0" borderId="72">
      <alignment horizontal="right" vertical="center"/>
    </xf>
    <xf numFmtId="0" fontId="38" fillId="33" borderId="69" applyNumberFormat="0" applyAlignment="0" applyProtection="0"/>
    <xf numFmtId="49" fontId="14" fillId="0" borderId="48" applyNumberFormat="0" applyFont="0" applyFill="0" applyBorder="0" applyProtection="0">
      <alignment horizontal="left" vertical="center" indent="2"/>
    </xf>
    <xf numFmtId="0" fontId="1" fillId="5" borderId="0" applyNumberFormat="0" applyBorder="0" applyAlignment="0" applyProtection="0"/>
    <xf numFmtId="0" fontId="14" fillId="0" borderId="48">
      <alignment horizontal="right" vertical="center"/>
    </xf>
    <xf numFmtId="0" fontId="10" fillId="24" borderId="48">
      <alignment horizontal="right" vertical="center"/>
    </xf>
    <xf numFmtId="0" fontId="10" fillId="22" borderId="64">
      <alignment horizontal="right" vertical="center"/>
    </xf>
    <xf numFmtId="0" fontId="14" fillId="0" borderId="72" applyNumberFormat="0" applyFill="0" applyAlignment="0" applyProtection="0"/>
    <xf numFmtId="4" fontId="10" fillId="24" borderId="48">
      <alignment horizontal="right" vertical="center"/>
    </xf>
    <xf numFmtId="0" fontId="26" fillId="46" borderId="37" applyNumberFormat="0" applyAlignment="0" applyProtection="0"/>
    <xf numFmtId="4" fontId="10" fillId="22" borderId="48">
      <alignment horizontal="right" vertical="center"/>
    </xf>
    <xf numFmtId="0" fontId="38" fillId="33" borderId="45" applyNumberFormat="0" applyAlignment="0" applyProtection="0"/>
    <xf numFmtId="0" fontId="45" fillId="0" borderId="62" applyNumberFormat="0" applyFill="0" applyAlignment="0" applyProtection="0"/>
    <xf numFmtId="0" fontId="45" fillId="0" borderId="54" applyNumberFormat="0" applyFill="0" applyAlignment="0" applyProtection="0"/>
    <xf numFmtId="0" fontId="10" fillId="24" borderId="57">
      <alignment horizontal="right" vertical="center"/>
    </xf>
    <xf numFmtId="0" fontId="5" fillId="0" borderId="0" applyNumberFormat="0" applyFill="0" applyBorder="0" applyAlignment="0" applyProtection="0"/>
    <xf numFmtId="165" fontId="14" fillId="50" borderId="72" applyNumberFormat="0" applyFont="0" applyBorder="0" applyAlignment="0" applyProtection="0">
      <alignment horizontal="right" vertical="center"/>
    </xf>
    <xf numFmtId="0" fontId="38" fillId="33" borderId="37" applyNumberFormat="0" applyAlignment="0" applyProtection="0"/>
    <xf numFmtId="0" fontId="45" fillId="0" borderId="54" applyNumberFormat="0" applyFill="0" applyAlignment="0" applyProtection="0"/>
    <xf numFmtId="0" fontId="5" fillId="0" borderId="0" applyNumberFormat="0" applyFill="0" applyBorder="0" applyAlignment="0" applyProtection="0"/>
    <xf numFmtId="0" fontId="20" fillId="49" borderId="39" applyNumberFormat="0" applyFont="0" applyAlignment="0" applyProtection="0"/>
    <xf numFmtId="0" fontId="42" fillId="46" borderId="36" applyNumberFormat="0" applyAlignment="0" applyProtection="0"/>
    <xf numFmtId="0" fontId="45" fillId="0" borderId="38" applyNumberFormat="0" applyFill="0" applyAlignment="0" applyProtection="0"/>
    <xf numFmtId="0" fontId="42" fillId="46" borderId="60" applyNumberFormat="0" applyAlignment="0" applyProtection="0"/>
    <xf numFmtId="0" fontId="1" fillId="5" borderId="0" applyNumberFormat="0" applyBorder="0" applyAlignment="0" applyProtection="0"/>
    <xf numFmtId="0" fontId="14" fillId="0" borderId="64">
      <alignment horizontal="right" vertical="center"/>
    </xf>
    <xf numFmtId="4" fontId="14" fillId="0" borderId="48" applyFill="0" applyBorder="0" applyProtection="0">
      <alignment horizontal="right" vertical="center"/>
    </xf>
    <xf numFmtId="0" fontId="10" fillId="24" borderId="72">
      <alignment horizontal="right" vertical="center"/>
    </xf>
    <xf numFmtId="0" fontId="29" fillId="33" borderId="45" applyNumberFormat="0" applyAlignment="0" applyProtection="0"/>
    <xf numFmtId="0" fontId="14" fillId="24" borderId="75">
      <alignment horizontal="left" vertical="center" wrapText="1" indent="2"/>
    </xf>
    <xf numFmtId="4" fontId="16" fillId="22" borderId="72">
      <alignment horizontal="right" vertical="center"/>
    </xf>
    <xf numFmtId="0" fontId="30" fillId="0" borderId="46" applyNumberFormat="0" applyFill="0" applyAlignment="0" applyProtection="0"/>
    <xf numFmtId="0" fontId="23" fillId="46" borderId="44" applyNumberFormat="0" applyAlignment="0" applyProtection="0"/>
    <xf numFmtId="0" fontId="1" fillId="19" borderId="0" applyNumberFormat="0" applyBorder="0" applyAlignment="0" applyProtection="0"/>
    <xf numFmtId="0" fontId="38" fillId="33" borderId="53" applyNumberFormat="0" applyAlignment="0" applyProtection="0"/>
    <xf numFmtId="4" fontId="14" fillId="0" borderId="48" applyFill="0" applyBorder="0" applyProtection="0">
      <alignment horizontal="right" vertical="center"/>
    </xf>
    <xf numFmtId="0" fontId="23" fillId="46" borderId="68" applyNumberFormat="0" applyAlignment="0" applyProtection="0"/>
    <xf numFmtId="0" fontId="10" fillId="22" borderId="40">
      <alignment horizontal="right" vertical="center"/>
    </xf>
    <xf numFmtId="4" fontId="10" fillId="22" borderId="40">
      <alignment horizontal="right" vertical="center"/>
    </xf>
    <xf numFmtId="0" fontId="16" fillId="22" borderId="40">
      <alignment horizontal="right" vertical="center"/>
    </xf>
    <xf numFmtId="4" fontId="16" fillId="22" borderId="40">
      <alignment horizontal="right" vertical="center"/>
    </xf>
    <xf numFmtId="0" fontId="10" fillId="24" borderId="40">
      <alignment horizontal="right" vertical="center"/>
    </xf>
    <xf numFmtId="4" fontId="10" fillId="24" borderId="40">
      <alignment horizontal="right" vertical="center"/>
    </xf>
    <xf numFmtId="0" fontId="10" fillId="24" borderId="40">
      <alignment horizontal="right" vertical="center"/>
    </xf>
    <xf numFmtId="4" fontId="10" fillId="24" borderId="40">
      <alignment horizontal="right" vertical="center"/>
    </xf>
    <xf numFmtId="0" fontId="10" fillId="24" borderId="41">
      <alignment horizontal="right" vertical="center"/>
    </xf>
    <xf numFmtId="4" fontId="10" fillId="24" borderId="41">
      <alignment horizontal="right" vertical="center"/>
    </xf>
    <xf numFmtId="0" fontId="10" fillId="24" borderId="42">
      <alignment horizontal="right" vertical="center"/>
    </xf>
    <xf numFmtId="4" fontId="10" fillId="24" borderId="42">
      <alignment horizontal="right" vertical="center"/>
    </xf>
    <xf numFmtId="0" fontId="26" fillId="46" borderId="37" applyNumberFormat="0" applyAlignment="0" applyProtection="0"/>
    <xf numFmtId="0" fontId="14" fillId="24" borderId="43">
      <alignment horizontal="left" vertical="center" wrapText="1" indent="2"/>
    </xf>
    <xf numFmtId="0" fontId="14" fillId="0" borderId="43">
      <alignment horizontal="left" vertical="center" wrapText="1" indent="2"/>
    </xf>
    <xf numFmtId="0" fontId="14" fillId="22" borderId="41">
      <alignment horizontal="left" vertical="center"/>
    </xf>
    <xf numFmtId="0" fontId="29" fillId="33" borderId="61" applyNumberFormat="0" applyAlignment="0" applyProtection="0"/>
    <xf numFmtId="0" fontId="38" fillId="33" borderId="37" applyNumberFormat="0" applyAlignment="0" applyProtection="0"/>
    <xf numFmtId="0" fontId="14" fillId="0" borderId="40">
      <alignment horizontal="right" vertical="center"/>
    </xf>
    <xf numFmtId="4" fontId="14" fillId="0" borderId="40">
      <alignment horizontal="right" vertical="center"/>
    </xf>
    <xf numFmtId="0" fontId="16" fillId="22" borderId="72">
      <alignment horizontal="right" vertical="center"/>
    </xf>
    <xf numFmtId="0" fontId="14" fillId="0" borderId="40" applyNumberFormat="0" applyFill="0" applyAlignment="0" applyProtection="0"/>
    <xf numFmtId="0" fontId="42" fillId="46" borderId="36" applyNumberFormat="0" applyAlignment="0" applyProtection="0"/>
    <xf numFmtId="165" fontId="14" fillId="50" borderId="40" applyNumberFormat="0" applyFont="0" applyBorder="0" applyAlignment="0" applyProtection="0">
      <alignment horizontal="right" vertical="center"/>
    </xf>
    <xf numFmtId="0" fontId="14" fillId="23" borderId="40"/>
    <xf numFmtId="4" fontId="14" fillId="23" borderId="40"/>
    <xf numFmtId="0" fontId="45" fillId="0" borderId="38" applyNumberFormat="0" applyFill="0" applyAlignment="0" applyProtection="0"/>
    <xf numFmtId="0" fontId="1" fillId="4" borderId="0" applyNumberFormat="0" applyBorder="0" applyAlignment="0" applyProtection="0"/>
    <xf numFmtId="4" fontId="10" fillId="24" borderId="72">
      <alignment horizontal="right" vertical="center"/>
    </xf>
    <xf numFmtId="0" fontId="16" fillId="22" borderId="56">
      <alignment horizontal="right" vertical="center"/>
    </xf>
    <xf numFmtId="0" fontId="14" fillId="23" borderId="40"/>
    <xf numFmtId="4" fontId="14" fillId="23" borderId="72"/>
    <xf numFmtId="0" fontId="26" fillId="46" borderId="69" applyNumberFormat="0" applyAlignment="0" applyProtection="0"/>
    <xf numFmtId="0" fontId="1" fillId="13" borderId="0" applyNumberFormat="0" applyBorder="0" applyAlignment="0" applyProtection="0"/>
    <xf numFmtId="4" fontId="14" fillId="23" borderId="64"/>
    <xf numFmtId="4" fontId="10" fillId="24" borderId="56">
      <alignment horizontal="right" vertical="center"/>
    </xf>
    <xf numFmtId="0" fontId="16" fillId="22" borderId="40">
      <alignment horizontal="right" vertical="center"/>
    </xf>
    <xf numFmtId="0" fontId="29" fillId="33" borderId="69" applyNumberFormat="0" applyAlignment="0" applyProtection="0"/>
    <xf numFmtId="0" fontId="7" fillId="0" borderId="3" applyNumberFormat="0" applyFill="0" applyAlignment="0" applyProtection="0"/>
    <xf numFmtId="0" fontId="14" fillId="0" borderId="59">
      <alignment horizontal="left" vertical="center" wrapText="1" indent="2"/>
    </xf>
    <xf numFmtId="0" fontId="26" fillId="46" borderId="45" applyNumberFormat="0" applyAlignment="0" applyProtection="0"/>
    <xf numFmtId="0" fontId="8" fillId="15" borderId="0" applyNumberFormat="0" applyBorder="0" applyAlignment="0" applyProtection="0"/>
    <xf numFmtId="0" fontId="14" fillId="22" borderId="73">
      <alignment horizontal="left" vertical="center"/>
    </xf>
    <xf numFmtId="0" fontId="1" fillId="7" borderId="0" applyNumberFormat="0" applyBorder="0" applyAlignment="0" applyProtection="0"/>
    <xf numFmtId="0" fontId="1" fillId="20" borderId="0" applyNumberFormat="0" applyBorder="0" applyAlignment="0" applyProtection="0"/>
    <xf numFmtId="0" fontId="14" fillId="0" borderId="40">
      <alignment horizontal="right" vertical="center"/>
    </xf>
    <xf numFmtId="0" fontId="14" fillId="0" borderId="75">
      <alignment horizontal="left" vertical="center" wrapText="1" indent="2"/>
    </xf>
    <xf numFmtId="0" fontId="5" fillId="0" borderId="0" applyNumberFormat="0" applyFill="0" applyBorder="0" applyAlignment="0" applyProtection="0"/>
    <xf numFmtId="0" fontId="38" fillId="33" borderId="53" applyNumberFormat="0" applyAlignment="0" applyProtection="0"/>
    <xf numFmtId="0" fontId="26" fillId="46" borderId="69" applyNumberFormat="0" applyAlignment="0" applyProtection="0"/>
    <xf numFmtId="0" fontId="30" fillId="0" borderId="70" applyNumberFormat="0" applyFill="0" applyAlignment="0" applyProtection="0"/>
    <xf numFmtId="0" fontId="38" fillId="33" borderId="45" applyNumberFormat="0" applyAlignment="0" applyProtection="0"/>
    <xf numFmtId="4" fontId="14" fillId="0" borderId="72">
      <alignment horizontal="right" vertical="center"/>
    </xf>
    <xf numFmtId="0" fontId="45" fillId="0" borderId="54" applyNumberFormat="0" applyFill="0" applyAlignment="0" applyProtection="0"/>
    <xf numFmtId="4" fontId="10" fillId="24" borderId="58">
      <alignment horizontal="right" vertical="center"/>
    </xf>
    <xf numFmtId="0" fontId="10" fillId="24" borderId="56">
      <alignment horizontal="right" vertical="center"/>
    </xf>
    <xf numFmtId="0" fontId="14" fillId="22" borderId="57">
      <alignment horizontal="left" vertical="center"/>
    </xf>
    <xf numFmtId="0" fontId="1" fillId="8" borderId="0" applyNumberFormat="0" applyBorder="0" applyAlignment="0" applyProtection="0"/>
    <xf numFmtId="0" fontId="14" fillId="23" borderId="72"/>
    <xf numFmtId="0" fontId="8" fillId="12" borderId="0" applyNumberFormat="0" applyBorder="0" applyAlignment="0" applyProtection="0"/>
    <xf numFmtId="0" fontId="14" fillId="0" borderId="67">
      <alignment horizontal="left" vertical="center" wrapText="1" indent="2"/>
    </xf>
    <xf numFmtId="4" fontId="10" fillId="22" borderId="72">
      <alignment horizontal="right" vertical="center"/>
    </xf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0" fillId="24" borderId="40">
      <alignment horizontal="right" vertical="center"/>
    </xf>
    <xf numFmtId="0" fontId="10" fillId="24" borderId="42">
      <alignment horizontal="right" vertical="center"/>
    </xf>
    <xf numFmtId="0" fontId="1" fillId="19" borderId="0" applyNumberFormat="0" applyBorder="0" applyAlignment="0" applyProtection="0"/>
    <xf numFmtId="0" fontId="8" fillId="12" borderId="0" applyNumberFormat="0" applyBorder="0" applyAlignment="0" applyProtection="0"/>
    <xf numFmtId="0" fontId="10" fillId="22" borderId="72">
      <alignment horizontal="right" vertical="center"/>
    </xf>
    <xf numFmtId="0" fontId="4" fillId="3" borderId="1" applyNumberFormat="0" applyAlignment="0" applyProtection="0"/>
    <xf numFmtId="4" fontId="14" fillId="23" borderId="72"/>
    <xf numFmtId="4" fontId="10" fillId="24" borderId="65">
      <alignment horizontal="right" vertical="center"/>
    </xf>
    <xf numFmtId="0" fontId="7" fillId="0" borderId="3" applyNumberFormat="0" applyFill="0" applyAlignment="0" applyProtection="0"/>
    <xf numFmtId="49" fontId="14" fillId="0" borderId="40" applyNumberFormat="0" applyFont="0" applyFill="0" applyBorder="0" applyProtection="0">
      <alignment horizontal="left" vertical="center" indent="2"/>
    </xf>
    <xf numFmtId="49" fontId="14" fillId="0" borderId="41" applyNumberFormat="0" applyFont="0" applyFill="0" applyBorder="0" applyProtection="0">
      <alignment horizontal="left" vertical="center" indent="5"/>
    </xf>
    <xf numFmtId="0" fontId="8" fillId="18" borderId="0" applyNumberFormat="0" applyBorder="0" applyAlignment="0" applyProtection="0"/>
    <xf numFmtId="0" fontId="4" fillId="3" borderId="1" applyNumberFormat="0" applyAlignment="0" applyProtection="0"/>
    <xf numFmtId="0" fontId="1" fillId="10" borderId="0" applyNumberFormat="0" applyBorder="0" applyAlignment="0" applyProtection="0"/>
    <xf numFmtId="0" fontId="10" fillId="24" borderId="72">
      <alignment horizontal="right" vertical="center"/>
    </xf>
    <xf numFmtId="0" fontId="14" fillId="0" borderId="72" applyNumberFormat="0" applyFill="0" applyAlignment="0" applyProtection="0"/>
    <xf numFmtId="0" fontId="8" fillId="6" borderId="0" applyNumberFormat="0" applyBorder="0" applyAlignment="0" applyProtection="0"/>
    <xf numFmtId="4" fontId="14" fillId="0" borderId="40" applyFill="0" applyBorder="0" applyProtection="0">
      <alignment horizontal="right" vertical="center"/>
    </xf>
    <xf numFmtId="49" fontId="13" fillId="0" borderId="40" applyNumberFormat="0" applyFill="0" applyBorder="0" applyProtection="0">
      <alignment horizontal="left" vertical="center"/>
    </xf>
    <xf numFmtId="0" fontId="14" fillId="22" borderId="73">
      <alignment horizontal="left" vertical="center"/>
    </xf>
    <xf numFmtId="0" fontId="10" fillId="24" borderId="48">
      <alignment horizontal="right" vertical="center"/>
    </xf>
    <xf numFmtId="0" fontId="10" fillId="24" borderId="56">
      <alignment horizontal="right" vertical="center"/>
    </xf>
    <xf numFmtId="4" fontId="10" fillId="24" borderId="74">
      <alignment horizontal="right" vertical="center"/>
    </xf>
    <xf numFmtId="0" fontId="10" fillId="24" borderId="72">
      <alignment horizontal="right" vertical="center"/>
    </xf>
    <xf numFmtId="0" fontId="1" fillId="17" borderId="0" applyNumberFormat="0" applyBorder="0" applyAlignment="0" applyProtection="0"/>
    <xf numFmtId="0" fontId="10" fillId="22" borderId="48">
      <alignment horizontal="right" vertical="center"/>
    </xf>
    <xf numFmtId="0" fontId="10" fillId="24" borderId="73">
      <alignment horizontal="right" vertical="center"/>
    </xf>
    <xf numFmtId="0" fontId="45" fillId="0" borderId="46" applyNumberFormat="0" applyFill="0" applyAlignment="0" applyProtection="0"/>
    <xf numFmtId="0" fontId="8" fillId="6" borderId="0" applyNumberFormat="0" applyBorder="0" applyAlignment="0" applyProtection="0"/>
    <xf numFmtId="0" fontId="14" fillId="0" borderId="48" applyNumberFormat="0" applyFill="0" applyAlignment="0" applyProtection="0"/>
    <xf numFmtId="0" fontId="14" fillId="0" borderId="72" applyNumberFormat="0" applyFill="0" applyAlignment="0" applyProtection="0"/>
    <xf numFmtId="0" fontId="10" fillId="24" borderId="74">
      <alignment horizontal="right" vertical="center"/>
    </xf>
    <xf numFmtId="0" fontId="30" fillId="0" borderId="54" applyNumberFormat="0" applyFill="0" applyAlignment="0" applyProtection="0"/>
    <xf numFmtId="4" fontId="14" fillId="0" borderId="72" applyFill="0" applyBorder="0" applyProtection="0">
      <alignment horizontal="right" vertical="center"/>
    </xf>
    <xf numFmtId="0" fontId="25" fillId="46" borderId="69" applyNumberFormat="0" applyAlignment="0" applyProtection="0"/>
    <xf numFmtId="0" fontId="8" fillId="9" borderId="0" applyNumberFormat="0" applyBorder="0" applyAlignment="0" applyProtection="0"/>
    <xf numFmtId="0" fontId="25" fillId="46" borderId="45" applyNumberFormat="0" applyAlignment="0" applyProtection="0"/>
    <xf numFmtId="0" fontId="14" fillId="24" borderId="75">
      <alignment horizontal="left" vertical="center" wrapText="1" indent="2"/>
    </xf>
    <xf numFmtId="4" fontId="16" fillId="22" borderId="56">
      <alignment horizontal="right" vertical="center"/>
    </xf>
    <xf numFmtId="0" fontId="14" fillId="0" borderId="67">
      <alignment horizontal="left" vertical="center" wrapText="1" indent="2"/>
    </xf>
    <xf numFmtId="0" fontId="38" fillId="33" borderId="61" applyNumberFormat="0" applyAlignment="0" applyProtection="0"/>
    <xf numFmtId="4" fontId="10" fillId="24" borderId="56">
      <alignment horizontal="right" vertical="center"/>
    </xf>
    <xf numFmtId="49" fontId="13" fillId="0" borderId="48" applyNumberFormat="0" applyFill="0" applyBorder="0" applyProtection="0">
      <alignment horizontal="left" vertical="center"/>
    </xf>
    <xf numFmtId="49" fontId="13" fillId="0" borderId="72" applyNumberFormat="0" applyFill="0" applyBorder="0" applyProtection="0">
      <alignment horizontal="left" vertical="center"/>
    </xf>
    <xf numFmtId="0" fontId="23" fillId="46" borderId="36" applyNumberFormat="0" applyAlignment="0" applyProtection="0"/>
    <xf numFmtId="0" fontId="25" fillId="46" borderId="37" applyNumberFormat="0" applyAlignment="0" applyProtection="0"/>
    <xf numFmtId="0" fontId="30" fillId="0" borderId="38" applyNumberFormat="0" applyFill="0" applyAlignment="0" applyProtection="0"/>
    <xf numFmtId="49" fontId="14" fillId="0" borderId="72" applyNumberFormat="0" applyFont="0" applyFill="0" applyBorder="0" applyProtection="0">
      <alignment horizontal="left" vertical="center" indent="2"/>
    </xf>
    <xf numFmtId="0" fontId="14" fillId="23" borderId="72"/>
    <xf numFmtId="0" fontId="42" fillId="46" borderId="52" applyNumberFormat="0" applyAlignment="0" applyProtection="0"/>
    <xf numFmtId="0" fontId="38" fillId="33" borderId="69" applyNumberFormat="0" applyAlignment="0" applyProtection="0"/>
    <xf numFmtId="49" fontId="14" fillId="0" borderId="41" applyNumberFormat="0" applyFont="0" applyFill="0" applyBorder="0" applyProtection="0">
      <alignment horizontal="left" vertical="center" indent="5"/>
    </xf>
    <xf numFmtId="0" fontId="1" fillId="13" borderId="0" applyNumberFormat="0" applyBorder="0" applyAlignment="0" applyProtection="0"/>
    <xf numFmtId="0" fontId="8" fillId="21" borderId="0" applyNumberFormat="0" applyBorder="0" applyAlignment="0" applyProtection="0"/>
    <xf numFmtId="4" fontId="10" fillId="24" borderId="66">
      <alignment horizontal="right" vertical="center"/>
    </xf>
    <xf numFmtId="0" fontId="14" fillId="24" borderId="75">
      <alignment horizontal="left" vertical="center" wrapText="1" indent="2"/>
    </xf>
    <xf numFmtId="0" fontId="11" fillId="49" borderId="71" applyNumberFormat="0" applyFont="0" applyAlignment="0" applyProtection="0"/>
    <xf numFmtId="0" fontId="20" fillId="49" borderId="63" applyNumberFormat="0" applyFont="0" applyAlignment="0" applyProtection="0"/>
    <xf numFmtId="0" fontId="14" fillId="23" borderId="48"/>
    <xf numFmtId="0" fontId="45" fillId="0" borderId="46" applyNumberFormat="0" applyFill="0" applyAlignment="0" applyProtection="0"/>
    <xf numFmtId="0" fontId="38" fillId="33" borderId="45" applyNumberFormat="0" applyAlignment="0" applyProtection="0"/>
    <xf numFmtId="4" fontId="14" fillId="0" borderId="48">
      <alignment horizontal="right" vertical="center"/>
    </xf>
    <xf numFmtId="4" fontId="10" fillId="24" borderId="74">
      <alignment horizontal="right" vertical="center"/>
    </xf>
    <xf numFmtId="0" fontId="23" fillId="46" borderId="52" applyNumberFormat="0" applyAlignment="0" applyProtection="0"/>
    <xf numFmtId="0" fontId="29" fillId="33" borderId="53" applyNumberFormat="0" applyAlignment="0" applyProtection="0"/>
    <xf numFmtId="0" fontId="29" fillId="33" borderId="37" applyNumberFormat="0" applyAlignment="0" applyProtection="0"/>
    <xf numFmtId="49" fontId="13" fillId="0" borderId="72" applyNumberFormat="0" applyFill="0" applyBorder="0" applyProtection="0">
      <alignment horizontal="left" vertical="center"/>
    </xf>
    <xf numFmtId="4" fontId="10" fillId="24" borderId="74">
      <alignment horizontal="right" vertical="center"/>
    </xf>
    <xf numFmtId="0" fontId="42" fillId="46" borderId="44" applyNumberFormat="0" applyAlignment="0" applyProtection="0"/>
    <xf numFmtId="0" fontId="20" fillId="49" borderId="47" applyNumberFormat="0" applyFont="0" applyAlignment="0" applyProtection="0"/>
    <xf numFmtId="4" fontId="16" fillId="22" borderId="72">
      <alignment horizontal="right" vertical="center"/>
    </xf>
    <xf numFmtId="0" fontId="38" fillId="33" borderId="69" applyNumberFormat="0" applyAlignment="0" applyProtection="0"/>
    <xf numFmtId="0" fontId="6" fillId="0" borderId="0" applyNumberFormat="0" applyFill="0" applyBorder="0" applyAlignment="0" applyProtection="0"/>
    <xf numFmtId="0" fontId="10" fillId="24" borderId="64">
      <alignment horizontal="right" vertical="center"/>
    </xf>
    <xf numFmtId="0" fontId="26" fillId="46" borderId="61" applyNumberFormat="0" applyAlignment="0" applyProtection="0"/>
    <xf numFmtId="0" fontId="42" fillId="46" borderId="60" applyNumberFormat="0" applyAlignment="0" applyProtection="0"/>
    <xf numFmtId="0" fontId="14" fillId="24" borderId="43">
      <alignment horizontal="left" vertical="center" wrapText="1" indent="2"/>
    </xf>
    <xf numFmtId="0" fontId="14" fillId="0" borderId="43">
      <alignment horizontal="left" vertical="center" wrapText="1" indent="2"/>
    </xf>
    <xf numFmtId="0" fontId="8" fillId="18" borderId="0" applyNumberFormat="0" applyBorder="0" applyAlignment="0" applyProtection="0"/>
    <xf numFmtId="0" fontId="29" fillId="33" borderId="69" applyNumberFormat="0" applyAlignment="0" applyProtection="0"/>
    <xf numFmtId="0" fontId="6" fillId="0" borderId="0" applyNumberFormat="0" applyFill="0" applyBorder="0" applyAlignment="0" applyProtection="0"/>
    <xf numFmtId="0" fontId="4" fillId="3" borderId="1" applyNumberFormat="0" applyAlignment="0" applyProtection="0"/>
    <xf numFmtId="0" fontId="30" fillId="0" borderId="70" applyNumberFormat="0" applyFill="0" applyAlignment="0" applyProtection="0"/>
    <xf numFmtId="4" fontId="14" fillId="0" borderId="40" applyFill="0" applyBorder="0" applyProtection="0">
      <alignment horizontal="right" vertical="center"/>
    </xf>
    <xf numFmtId="0" fontId="20" fillId="49" borderId="71" applyNumberFormat="0" applyFont="0" applyAlignment="0" applyProtection="0"/>
    <xf numFmtId="0" fontId="10" fillId="24" borderId="72">
      <alignment horizontal="right" vertical="center"/>
    </xf>
    <xf numFmtId="0" fontId="10" fillId="24" borderId="72">
      <alignment horizontal="right" vertical="center"/>
    </xf>
    <xf numFmtId="0" fontId="30" fillId="0" borderId="62" applyNumberFormat="0" applyFill="0" applyAlignment="0" applyProtection="0"/>
    <xf numFmtId="0" fontId="14" fillId="0" borderId="72" applyNumberFormat="0" applyFill="0" applyAlignment="0" applyProtection="0"/>
    <xf numFmtId="4" fontId="14" fillId="23" borderId="72"/>
    <xf numFmtId="0" fontId="1" fillId="8" borderId="0" applyNumberFormat="0" applyBorder="0" applyAlignment="0" applyProtection="0"/>
    <xf numFmtId="0" fontId="10" fillId="24" borderId="66">
      <alignment horizontal="right" vertical="center"/>
    </xf>
    <xf numFmtId="4" fontId="10" fillId="22" borderId="56">
      <alignment horizontal="right" vertical="center"/>
    </xf>
    <xf numFmtId="0" fontId="14" fillId="24" borderId="59">
      <alignment horizontal="left" vertical="center" wrapText="1" indent="2"/>
    </xf>
    <xf numFmtId="0" fontId="10" fillId="24" borderId="58">
      <alignment horizontal="right" vertical="center"/>
    </xf>
    <xf numFmtId="4" fontId="10" fillId="24" borderId="57">
      <alignment horizontal="right" vertical="center"/>
    </xf>
    <xf numFmtId="0" fontId="26" fillId="46" borderId="53" applyNumberFormat="0" applyAlignment="0" applyProtection="0"/>
    <xf numFmtId="0" fontId="14" fillId="0" borderId="56" applyNumberFormat="0" applyFill="0" applyAlignment="0" applyProtection="0"/>
    <xf numFmtId="4" fontId="14" fillId="0" borderId="56">
      <alignment horizontal="right" vertical="center"/>
    </xf>
    <xf numFmtId="0" fontId="20" fillId="49" borderId="71" applyNumberFormat="0" applyFont="0" applyAlignment="0" applyProtection="0"/>
    <xf numFmtId="0" fontId="26" fillId="46" borderId="61" applyNumberFormat="0" applyAlignment="0" applyProtection="0"/>
    <xf numFmtId="0" fontId="29" fillId="33" borderId="69" applyNumberFormat="0" applyAlignment="0" applyProtection="0"/>
    <xf numFmtId="0" fontId="20" fillId="49" borderId="71" applyNumberFormat="0" applyFont="0" applyAlignment="0" applyProtection="0"/>
    <xf numFmtId="0" fontId="45" fillId="0" borderId="70" applyNumberFormat="0" applyFill="0" applyAlignment="0" applyProtection="0"/>
    <xf numFmtId="0" fontId="45" fillId="0" borderId="70" applyNumberFormat="0" applyFill="0" applyAlignment="0" applyProtection="0"/>
    <xf numFmtId="49" fontId="14" fillId="0" borderId="57" applyNumberFormat="0" applyFont="0" applyFill="0" applyBorder="0" applyProtection="0">
      <alignment horizontal="left" vertical="center" indent="5"/>
    </xf>
    <xf numFmtId="0" fontId="4" fillId="3" borderId="1" applyNumberFormat="0" applyAlignment="0" applyProtection="0"/>
    <xf numFmtId="0" fontId="11" fillId="49" borderId="71" applyNumberFormat="0" applyFont="0" applyAlignment="0" applyProtection="0"/>
    <xf numFmtId="0" fontId="45" fillId="0" borderId="70" applyNumberFormat="0" applyFill="0" applyAlignment="0" applyProtection="0"/>
    <xf numFmtId="4" fontId="14" fillId="0" borderId="72" applyFill="0" applyBorder="0" applyProtection="0">
      <alignment horizontal="right" vertical="center"/>
    </xf>
    <xf numFmtId="0" fontId="14" fillId="0" borderId="75">
      <alignment horizontal="left" vertical="center" wrapText="1" indent="2"/>
    </xf>
    <xf numFmtId="0" fontId="10" fillId="24" borderId="41">
      <alignment horizontal="right" vertical="center"/>
    </xf>
    <xf numFmtId="0" fontId="6" fillId="0" borderId="0" applyNumberFormat="0" applyFill="0" applyBorder="0" applyAlignment="0" applyProtection="0"/>
    <xf numFmtId="0" fontId="1" fillId="14" borderId="0" applyNumberFormat="0" applyBorder="0" applyAlignment="0" applyProtection="0"/>
    <xf numFmtId="0" fontId="8" fillId="21" borderId="0" applyNumberFormat="0" applyBorder="0" applyAlignment="0" applyProtection="0"/>
    <xf numFmtId="0" fontId="10" fillId="24" borderId="40">
      <alignment horizontal="right" vertical="center"/>
    </xf>
    <xf numFmtId="0" fontId="14" fillId="0" borderId="43">
      <alignment horizontal="left" vertical="center" wrapText="1" indent="2"/>
    </xf>
    <xf numFmtId="0" fontId="14" fillId="0" borderId="40" applyNumberFormat="0" applyFill="0" applyAlignment="0" applyProtection="0"/>
    <xf numFmtId="0" fontId="8" fillId="18" borderId="0" applyNumberFormat="0" applyBorder="0" applyAlignment="0" applyProtection="0"/>
    <xf numFmtId="4" fontId="10" fillId="24" borderId="72">
      <alignment horizontal="right" vertical="center"/>
    </xf>
    <xf numFmtId="0" fontId="1" fillId="16" borderId="0" applyNumberFormat="0" applyBorder="0" applyAlignment="0" applyProtection="0"/>
    <xf numFmtId="0" fontId="8" fillId="15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8" fillId="9" borderId="0" applyNumberFormat="0" applyBorder="0" applyAlignment="0" applyProtection="0"/>
    <xf numFmtId="0" fontId="1" fillId="5" borderId="0" applyNumberFormat="0" applyBorder="0" applyAlignment="0" applyProtection="0"/>
    <xf numFmtId="0" fontId="8" fillId="6" borderId="0" applyNumberFormat="0" applyBorder="0" applyAlignment="0" applyProtection="0"/>
    <xf numFmtId="0" fontId="3" fillId="3" borderId="2" applyNumberFormat="0" applyAlignment="0" applyProtection="0"/>
    <xf numFmtId="165" fontId="14" fillId="50" borderId="56" applyNumberFormat="0" applyFont="0" applyBorder="0" applyAlignment="0" applyProtection="0">
      <alignment horizontal="right" vertical="center"/>
    </xf>
    <xf numFmtId="0" fontId="38" fillId="33" borderId="69" applyNumberFormat="0" applyAlignment="0" applyProtection="0"/>
    <xf numFmtId="0" fontId="1" fillId="16" borderId="0" applyNumberFormat="0" applyBorder="0" applyAlignment="0" applyProtection="0"/>
    <xf numFmtId="4" fontId="10" fillId="24" borderId="40">
      <alignment horizontal="right" vertical="center"/>
    </xf>
    <xf numFmtId="0" fontId="14" fillId="23" borderId="40"/>
    <xf numFmtId="0" fontId="25" fillId="46" borderId="37" applyNumberFormat="0" applyAlignment="0" applyProtection="0"/>
    <xf numFmtId="0" fontId="10" fillId="22" borderId="40">
      <alignment horizontal="right" vertical="center"/>
    </xf>
    <xf numFmtId="0" fontId="14" fillId="0" borderId="40">
      <alignment horizontal="right" vertical="center"/>
    </xf>
    <xf numFmtId="0" fontId="45" fillId="0" borderId="38" applyNumberFormat="0" applyFill="0" applyAlignment="0" applyProtection="0"/>
    <xf numFmtId="0" fontId="14" fillId="22" borderId="41">
      <alignment horizontal="left" vertical="center"/>
    </xf>
    <xf numFmtId="0" fontId="38" fillId="33" borderId="37" applyNumberFormat="0" applyAlignment="0" applyProtection="0"/>
    <xf numFmtId="165" fontId="14" fillId="50" borderId="40" applyNumberFormat="0" applyFont="0" applyBorder="0" applyAlignment="0" applyProtection="0">
      <alignment horizontal="right" vertical="center"/>
    </xf>
    <xf numFmtId="0" fontId="20" fillId="49" borderId="39" applyNumberFormat="0" applyFont="0" applyAlignment="0" applyProtection="0"/>
    <xf numFmtId="0" fontId="14" fillId="0" borderId="43">
      <alignment horizontal="left" vertical="center" wrapText="1" indent="2"/>
    </xf>
    <xf numFmtId="4" fontId="14" fillId="23" borderId="40"/>
    <xf numFmtId="49" fontId="13" fillId="0" borderId="40" applyNumberFormat="0" applyFill="0" applyBorder="0" applyProtection="0">
      <alignment horizontal="left" vertical="center"/>
    </xf>
    <xf numFmtId="0" fontId="14" fillId="0" borderId="40">
      <alignment horizontal="right" vertical="center"/>
    </xf>
    <xf numFmtId="4" fontId="10" fillId="24" borderId="42">
      <alignment horizontal="right" vertical="center"/>
    </xf>
    <xf numFmtId="4" fontId="10" fillId="24" borderId="40">
      <alignment horizontal="right" vertical="center"/>
    </xf>
    <xf numFmtId="4" fontId="10" fillId="24" borderId="40">
      <alignment horizontal="right" vertical="center"/>
    </xf>
    <xf numFmtId="0" fontId="16" fillId="22" borderId="40">
      <alignment horizontal="right" vertical="center"/>
    </xf>
    <xf numFmtId="0" fontId="10" fillId="22" borderId="40">
      <alignment horizontal="right" vertical="center"/>
    </xf>
    <xf numFmtId="49" fontId="14" fillId="0" borderId="40" applyNumberFormat="0" applyFont="0" applyFill="0" applyBorder="0" applyProtection="0">
      <alignment horizontal="left" vertical="center" indent="2"/>
    </xf>
    <xf numFmtId="0" fontId="38" fillId="33" borderId="37" applyNumberFormat="0" applyAlignment="0" applyProtection="0"/>
    <xf numFmtId="0" fontId="23" fillId="46" borderId="36" applyNumberFormat="0" applyAlignment="0" applyProtection="0"/>
    <xf numFmtId="49" fontId="14" fillId="0" borderId="40" applyNumberFormat="0" applyFont="0" applyFill="0" applyBorder="0" applyProtection="0">
      <alignment horizontal="left" vertical="center" indent="2"/>
    </xf>
    <xf numFmtId="0" fontId="29" fillId="33" borderId="37" applyNumberFormat="0" applyAlignment="0" applyProtection="0"/>
    <xf numFmtId="4" fontId="14" fillId="0" borderId="40" applyFill="0" applyBorder="0" applyProtection="0">
      <alignment horizontal="right" vertical="center"/>
    </xf>
    <xf numFmtId="0" fontId="26" fillId="46" borderId="37" applyNumberFormat="0" applyAlignment="0" applyProtection="0"/>
    <xf numFmtId="0" fontId="45" fillId="0" borderId="38" applyNumberFormat="0" applyFill="0" applyAlignment="0" applyProtection="0"/>
    <xf numFmtId="0" fontId="42" fillId="46" borderId="36" applyNumberFormat="0" applyAlignment="0" applyProtection="0"/>
    <xf numFmtId="0" fontId="14" fillId="0" borderId="40" applyNumberFormat="0" applyFill="0" applyAlignment="0" applyProtection="0"/>
    <xf numFmtId="4" fontId="14" fillId="0" borderId="40">
      <alignment horizontal="right" vertical="center"/>
    </xf>
    <xf numFmtId="0" fontId="14" fillId="0" borderId="40">
      <alignment horizontal="right" vertical="center"/>
    </xf>
    <xf numFmtId="0" fontId="38" fillId="33" borderId="37" applyNumberFormat="0" applyAlignment="0" applyProtection="0"/>
    <xf numFmtId="0" fontId="23" fillId="46" borderId="36" applyNumberFormat="0" applyAlignment="0" applyProtection="0"/>
    <xf numFmtId="0" fontId="25" fillId="46" borderId="37" applyNumberFormat="0" applyAlignment="0" applyProtection="0"/>
    <xf numFmtId="0" fontId="14" fillId="24" borderId="43">
      <alignment horizontal="left" vertical="center" wrapText="1" indent="2"/>
    </xf>
    <xf numFmtId="0" fontId="26" fillId="46" borderId="37" applyNumberFormat="0" applyAlignment="0" applyProtection="0"/>
    <xf numFmtId="0" fontId="26" fillId="46" borderId="37" applyNumberFormat="0" applyAlignment="0" applyProtection="0"/>
    <xf numFmtId="4" fontId="10" fillId="24" borderId="41">
      <alignment horizontal="right" vertical="center"/>
    </xf>
    <xf numFmtId="0" fontId="10" fillId="24" borderId="41">
      <alignment horizontal="right" vertical="center"/>
    </xf>
    <xf numFmtId="0" fontId="10" fillId="24" borderId="40">
      <alignment horizontal="right" vertical="center"/>
    </xf>
    <xf numFmtId="4" fontId="16" fillId="22" borderId="40">
      <alignment horizontal="right" vertical="center"/>
    </xf>
    <xf numFmtId="0" fontId="29" fillId="33" borderId="37" applyNumberFormat="0" applyAlignment="0" applyProtection="0"/>
    <xf numFmtId="0" fontId="30" fillId="0" borderId="38" applyNumberFormat="0" applyFill="0" applyAlignment="0" applyProtection="0"/>
    <xf numFmtId="0" fontId="45" fillId="0" borderId="38" applyNumberFormat="0" applyFill="0" applyAlignment="0" applyProtection="0"/>
    <xf numFmtId="0" fontId="20" fillId="49" borderId="39" applyNumberFormat="0" applyFont="0" applyAlignment="0" applyProtection="0"/>
    <xf numFmtId="0" fontId="38" fillId="33" borderId="37" applyNumberFormat="0" applyAlignment="0" applyProtection="0"/>
    <xf numFmtId="49" fontId="13" fillId="0" borderId="40" applyNumberFormat="0" applyFill="0" applyBorder="0" applyProtection="0">
      <alignment horizontal="left" vertical="center"/>
    </xf>
    <xf numFmtId="0" fontId="14" fillId="24" borderId="43">
      <alignment horizontal="left" vertical="center" wrapText="1" indent="2"/>
    </xf>
    <xf numFmtId="0" fontId="26" fillId="46" borderId="37" applyNumberFormat="0" applyAlignment="0" applyProtection="0"/>
    <xf numFmtId="0" fontId="14" fillId="0" borderId="43">
      <alignment horizontal="left" vertical="center" wrapText="1" indent="2"/>
    </xf>
    <xf numFmtId="0" fontId="20" fillId="49" borderId="39" applyNumberFormat="0" applyFont="0" applyAlignment="0" applyProtection="0"/>
    <xf numFmtId="0" fontId="11" fillId="49" borderId="39" applyNumberFormat="0" applyFont="0" applyAlignment="0" applyProtection="0"/>
    <xf numFmtId="0" fontId="42" fillId="46" borderId="36" applyNumberFormat="0" applyAlignment="0" applyProtection="0"/>
    <xf numFmtId="0" fontId="45" fillId="0" borderId="38" applyNumberFormat="0" applyFill="0" applyAlignment="0" applyProtection="0"/>
    <xf numFmtId="4" fontId="14" fillId="23" borderId="40"/>
    <xf numFmtId="0" fontId="10" fillId="24" borderId="40">
      <alignment horizontal="right" vertical="center"/>
    </xf>
    <xf numFmtId="0" fontId="45" fillId="0" borderId="38" applyNumberFormat="0" applyFill="0" applyAlignment="0" applyProtection="0"/>
    <xf numFmtId="4" fontId="10" fillId="24" borderId="42">
      <alignment horizontal="right" vertical="center"/>
    </xf>
    <xf numFmtId="0" fontId="25" fillId="46" borderId="37" applyNumberFormat="0" applyAlignment="0" applyProtection="0"/>
    <xf numFmtId="0" fontId="10" fillId="24" borderId="41">
      <alignment horizontal="right" vertical="center"/>
    </xf>
    <xf numFmtId="0" fontId="26" fillId="46" borderId="37" applyNumberFormat="0" applyAlignment="0" applyProtection="0"/>
    <xf numFmtId="0" fontId="30" fillId="0" borderId="38" applyNumberFormat="0" applyFill="0" applyAlignment="0" applyProtection="0"/>
    <xf numFmtId="0" fontId="20" fillId="49" borderId="39" applyNumberFormat="0" applyFont="0" applyAlignment="0" applyProtection="0"/>
    <xf numFmtId="4" fontId="10" fillId="24" borderId="41">
      <alignment horizontal="right" vertical="center"/>
    </xf>
    <xf numFmtId="0" fontId="14" fillId="24" borderId="43">
      <alignment horizontal="left" vertical="center" wrapText="1" indent="2"/>
    </xf>
    <xf numFmtId="0" fontId="14" fillId="23" borderId="40"/>
    <xf numFmtId="165" fontId="14" fillId="50" borderId="40" applyNumberFormat="0" applyFont="0" applyBorder="0" applyAlignment="0" applyProtection="0">
      <alignment horizontal="right" vertical="center"/>
    </xf>
    <xf numFmtId="0" fontId="14" fillId="0" borderId="40" applyNumberFormat="0" applyFill="0" applyAlignment="0" applyProtection="0"/>
    <xf numFmtId="4" fontId="14" fillId="0" borderId="40" applyFill="0" applyBorder="0" applyProtection="0">
      <alignment horizontal="right" vertical="center"/>
    </xf>
    <xf numFmtId="4" fontId="10" fillId="22" borderId="40">
      <alignment horizontal="right" vertical="center"/>
    </xf>
    <xf numFmtId="0" fontId="30" fillId="0" borderId="38" applyNumberFormat="0" applyFill="0" applyAlignment="0" applyProtection="0"/>
    <xf numFmtId="49" fontId="13" fillId="0" borderId="40" applyNumberFormat="0" applyFill="0" applyBorder="0" applyProtection="0">
      <alignment horizontal="left" vertical="center"/>
    </xf>
    <xf numFmtId="49" fontId="14" fillId="0" borderId="41" applyNumberFormat="0" applyFont="0" applyFill="0" applyBorder="0" applyProtection="0">
      <alignment horizontal="left" vertical="center" indent="5"/>
    </xf>
    <xf numFmtId="0" fontId="14" fillId="22" borderId="41">
      <alignment horizontal="left" vertical="center"/>
    </xf>
    <xf numFmtId="0" fontId="26" fillId="46" borderId="37" applyNumberFormat="0" applyAlignment="0" applyProtection="0"/>
    <xf numFmtId="4" fontId="10" fillId="24" borderId="42">
      <alignment horizontal="right" vertical="center"/>
    </xf>
    <xf numFmtId="0" fontId="38" fillId="33" borderId="37" applyNumberFormat="0" applyAlignment="0" applyProtection="0"/>
    <xf numFmtId="0" fontId="38" fillId="33" borderId="37" applyNumberFormat="0" applyAlignment="0" applyProtection="0"/>
    <xf numFmtId="0" fontId="20" fillId="49" borderId="39" applyNumberFormat="0" applyFont="0" applyAlignment="0" applyProtection="0"/>
    <xf numFmtId="0" fontId="42" fillId="46" borderId="36" applyNumberFormat="0" applyAlignment="0" applyProtection="0"/>
    <xf numFmtId="0" fontId="45" fillId="0" borderId="38" applyNumberFormat="0" applyFill="0" applyAlignment="0" applyProtection="0"/>
    <xf numFmtId="0" fontId="10" fillId="24" borderId="40">
      <alignment horizontal="right" vertical="center"/>
    </xf>
    <xf numFmtId="0" fontId="11" fillId="49" borderId="39" applyNumberFormat="0" applyFont="0" applyAlignment="0" applyProtection="0"/>
    <xf numFmtId="4" fontId="14" fillId="0" borderId="40">
      <alignment horizontal="right" vertical="center"/>
    </xf>
    <xf numFmtId="0" fontId="45" fillId="0" borderId="38" applyNumberFormat="0" applyFill="0" applyAlignment="0" applyProtection="0"/>
    <xf numFmtId="0" fontId="10" fillId="24" borderId="40">
      <alignment horizontal="right" vertical="center"/>
    </xf>
    <xf numFmtId="0" fontId="10" fillId="24" borderId="40">
      <alignment horizontal="right" vertical="center"/>
    </xf>
    <xf numFmtId="4" fontId="16" fillId="22" borderId="40">
      <alignment horizontal="right" vertical="center"/>
    </xf>
    <xf numFmtId="0" fontId="10" fillId="22" borderId="40">
      <alignment horizontal="right" vertical="center"/>
    </xf>
    <xf numFmtId="4" fontId="10" fillId="22" borderId="40">
      <alignment horizontal="right" vertical="center"/>
    </xf>
    <xf numFmtId="0" fontId="16" fillId="22" borderId="40">
      <alignment horizontal="right" vertical="center"/>
    </xf>
    <xf numFmtId="4" fontId="16" fillId="22" borderId="40">
      <alignment horizontal="right" vertical="center"/>
    </xf>
    <xf numFmtId="0" fontId="10" fillId="24" borderId="40">
      <alignment horizontal="right" vertical="center"/>
    </xf>
    <xf numFmtId="4" fontId="10" fillId="24" borderId="40">
      <alignment horizontal="right" vertical="center"/>
    </xf>
    <xf numFmtId="0" fontId="10" fillId="24" borderId="40">
      <alignment horizontal="right" vertical="center"/>
    </xf>
    <xf numFmtId="4" fontId="10" fillId="24" borderId="40">
      <alignment horizontal="right" vertical="center"/>
    </xf>
    <xf numFmtId="0" fontId="10" fillId="24" borderId="41">
      <alignment horizontal="right" vertical="center"/>
    </xf>
    <xf numFmtId="4" fontId="10" fillId="24" borderId="41">
      <alignment horizontal="right" vertical="center"/>
    </xf>
    <xf numFmtId="0" fontId="10" fillId="24" borderId="42">
      <alignment horizontal="right" vertical="center"/>
    </xf>
    <xf numFmtId="4" fontId="10" fillId="24" borderId="42">
      <alignment horizontal="right" vertical="center"/>
    </xf>
    <xf numFmtId="0" fontId="26" fillId="46" borderId="37" applyNumberFormat="0" applyAlignment="0" applyProtection="0"/>
    <xf numFmtId="0" fontId="14" fillId="24" borderId="43">
      <alignment horizontal="left" vertical="center" wrapText="1" indent="2"/>
    </xf>
    <xf numFmtId="0" fontId="14" fillId="0" borderId="43">
      <alignment horizontal="left" vertical="center" wrapText="1" indent="2"/>
    </xf>
    <xf numFmtId="0" fontId="14" fillId="22" borderId="41">
      <alignment horizontal="left" vertical="center"/>
    </xf>
    <xf numFmtId="0" fontId="38" fillId="33" borderId="37" applyNumberFormat="0" applyAlignment="0" applyProtection="0"/>
    <xf numFmtId="0" fontId="14" fillId="0" borderId="40">
      <alignment horizontal="right" vertical="center"/>
    </xf>
    <xf numFmtId="4" fontId="14" fillId="0" borderId="40">
      <alignment horizontal="right" vertical="center"/>
    </xf>
    <xf numFmtId="0" fontId="14" fillId="0" borderId="40" applyNumberFormat="0" applyFill="0" applyAlignment="0" applyProtection="0"/>
    <xf numFmtId="0" fontId="42" fillId="46" borderId="36" applyNumberFormat="0" applyAlignment="0" applyProtection="0"/>
    <xf numFmtId="165" fontId="14" fillId="50" borderId="40" applyNumberFormat="0" applyFont="0" applyBorder="0" applyAlignment="0" applyProtection="0">
      <alignment horizontal="right" vertical="center"/>
    </xf>
    <xf numFmtId="0" fontId="14" fillId="23" borderId="40"/>
    <xf numFmtId="4" fontId="14" fillId="23" borderId="40"/>
    <xf numFmtId="0" fontId="45" fillId="0" borderId="38" applyNumberFormat="0" applyFill="0" applyAlignment="0" applyProtection="0"/>
    <xf numFmtId="0" fontId="11" fillId="49" borderId="39" applyNumberFormat="0" applyFont="0" applyAlignment="0" applyProtection="0"/>
    <xf numFmtId="0" fontId="20" fillId="49" borderId="39" applyNumberFormat="0" applyFont="0" applyAlignment="0" applyProtection="0"/>
    <xf numFmtId="0" fontId="14" fillId="0" borderId="40" applyNumberFormat="0" applyFill="0" applyAlignment="0" applyProtection="0"/>
    <xf numFmtId="0" fontId="30" fillId="0" borderId="38" applyNumberFormat="0" applyFill="0" applyAlignment="0" applyProtection="0"/>
    <xf numFmtId="0" fontId="45" fillId="0" borderId="38" applyNumberFormat="0" applyFill="0" applyAlignment="0" applyProtection="0"/>
    <xf numFmtId="0" fontId="29" fillId="33" borderId="37" applyNumberFormat="0" applyAlignment="0" applyProtection="0"/>
    <xf numFmtId="0" fontId="26" fillId="46" borderId="37" applyNumberFormat="0" applyAlignment="0" applyProtection="0"/>
    <xf numFmtId="4" fontId="16" fillId="22" borderId="40">
      <alignment horizontal="right" vertical="center"/>
    </xf>
    <xf numFmtId="0" fontId="10" fillId="22" borderId="40">
      <alignment horizontal="right" vertical="center"/>
    </xf>
    <xf numFmtId="165" fontId="14" fillId="50" borderId="40" applyNumberFormat="0" applyFont="0" applyBorder="0" applyAlignment="0" applyProtection="0">
      <alignment horizontal="right" vertical="center"/>
    </xf>
    <xf numFmtId="0" fontId="30" fillId="0" borderId="38" applyNumberFormat="0" applyFill="0" applyAlignment="0" applyProtection="0"/>
    <xf numFmtId="49" fontId="14" fillId="0" borderId="40" applyNumberFormat="0" applyFont="0" applyFill="0" applyBorder="0" applyProtection="0">
      <alignment horizontal="left" vertical="center" indent="2"/>
    </xf>
    <xf numFmtId="49" fontId="14" fillId="0" borderId="41" applyNumberFormat="0" applyFont="0" applyFill="0" applyBorder="0" applyProtection="0">
      <alignment horizontal="left" vertical="center" indent="5"/>
    </xf>
    <xf numFmtId="49" fontId="14" fillId="0" borderId="40" applyNumberFormat="0" applyFont="0" applyFill="0" applyBorder="0" applyProtection="0">
      <alignment horizontal="left" vertical="center" indent="2"/>
    </xf>
    <xf numFmtId="4" fontId="14" fillId="0" borderId="40" applyFill="0" applyBorder="0" applyProtection="0">
      <alignment horizontal="right" vertical="center"/>
    </xf>
    <xf numFmtId="49" fontId="13" fillId="0" borderId="40" applyNumberFormat="0" applyFill="0" applyBorder="0" applyProtection="0">
      <alignment horizontal="left" vertical="center"/>
    </xf>
    <xf numFmtId="0" fontId="14" fillId="0" borderId="43">
      <alignment horizontal="left" vertical="center" wrapText="1" indent="2"/>
    </xf>
    <xf numFmtId="0" fontId="42" fillId="46" borderId="36" applyNumberFormat="0" applyAlignment="0" applyProtection="0"/>
    <xf numFmtId="0" fontId="10" fillId="24" borderId="42">
      <alignment horizontal="right" vertical="center"/>
    </xf>
    <xf numFmtId="0" fontId="29" fillId="33" borderId="37" applyNumberFormat="0" applyAlignment="0" applyProtection="0"/>
    <xf numFmtId="0" fontId="10" fillId="24" borderId="42">
      <alignment horizontal="right" vertical="center"/>
    </xf>
    <xf numFmtId="4" fontId="10" fillId="24" borderId="40">
      <alignment horizontal="right" vertical="center"/>
    </xf>
    <xf numFmtId="0" fontId="10" fillId="24" borderId="40">
      <alignment horizontal="right" vertical="center"/>
    </xf>
    <xf numFmtId="0" fontId="23" fillId="46" borderId="36" applyNumberFormat="0" applyAlignment="0" applyProtection="0"/>
    <xf numFmtId="0" fontId="25" fillId="46" borderId="37" applyNumberFormat="0" applyAlignment="0" applyProtection="0"/>
    <xf numFmtId="0" fontId="30" fillId="0" borderId="38" applyNumberFormat="0" applyFill="0" applyAlignment="0" applyProtection="0"/>
    <xf numFmtId="0" fontId="14" fillId="23" borderId="40"/>
    <xf numFmtId="4" fontId="14" fillId="23" borderId="40"/>
    <xf numFmtId="4" fontId="10" fillId="24" borderId="40">
      <alignment horizontal="right" vertical="center"/>
    </xf>
    <xf numFmtId="0" fontId="16" fillId="22" borderId="40">
      <alignment horizontal="right" vertical="center"/>
    </xf>
    <xf numFmtId="0" fontId="29" fillId="33" borderId="37" applyNumberFormat="0" applyAlignment="0" applyProtection="0"/>
    <xf numFmtId="0" fontId="26" fillId="46" borderId="37" applyNumberFormat="0" applyAlignment="0" applyProtection="0"/>
    <xf numFmtId="4" fontId="14" fillId="0" borderId="40">
      <alignment horizontal="right" vertical="center"/>
    </xf>
    <xf numFmtId="0" fontId="14" fillId="24" borderId="43">
      <alignment horizontal="left" vertical="center" wrapText="1" indent="2"/>
    </xf>
    <xf numFmtId="0" fontId="14" fillId="0" borderId="43">
      <alignment horizontal="left" vertical="center" wrapText="1" indent="2"/>
    </xf>
    <xf numFmtId="0" fontId="42" fillId="46" borderId="36" applyNumberFormat="0" applyAlignment="0" applyProtection="0"/>
    <xf numFmtId="0" fontId="38" fillId="33" borderId="37" applyNumberFormat="0" applyAlignment="0" applyProtection="0"/>
    <xf numFmtId="0" fontId="25" fillId="46" borderId="37" applyNumberFormat="0" applyAlignment="0" applyProtection="0"/>
    <xf numFmtId="0" fontId="23" fillId="46" borderId="36" applyNumberFormat="0" applyAlignment="0" applyProtection="0"/>
    <xf numFmtId="0" fontId="10" fillId="24" borderId="42">
      <alignment horizontal="right" vertical="center"/>
    </xf>
    <xf numFmtId="0" fontId="16" fillId="22" borderId="40">
      <alignment horizontal="right" vertical="center"/>
    </xf>
    <xf numFmtId="4" fontId="10" fillId="22" borderId="40">
      <alignment horizontal="right" vertical="center"/>
    </xf>
    <xf numFmtId="4" fontId="10" fillId="24" borderId="40">
      <alignment horizontal="right" vertical="center"/>
    </xf>
    <xf numFmtId="49" fontId="14" fillId="0" borderId="41" applyNumberFormat="0" applyFont="0" applyFill="0" applyBorder="0" applyProtection="0">
      <alignment horizontal="left" vertical="center" indent="5"/>
    </xf>
    <xf numFmtId="4" fontId="14" fillId="0" borderId="40" applyFill="0" applyBorder="0" applyProtection="0">
      <alignment horizontal="right" vertical="center"/>
    </xf>
    <xf numFmtId="4" fontId="10" fillId="22" borderId="40">
      <alignment horizontal="right" vertical="center"/>
    </xf>
    <xf numFmtId="0" fontId="8" fillId="6" borderId="0" applyNumberFormat="0" applyBorder="0" applyAlignment="0" applyProtection="0"/>
    <xf numFmtId="0" fontId="38" fillId="33" borderId="37" applyNumberFormat="0" applyAlignment="0" applyProtection="0"/>
    <xf numFmtId="0" fontId="29" fillId="33" borderId="37" applyNumberFormat="0" applyAlignment="0" applyProtection="0"/>
    <xf numFmtId="0" fontId="25" fillId="46" borderId="37" applyNumberFormat="0" applyAlignment="0" applyProtection="0"/>
    <xf numFmtId="0" fontId="14" fillId="24" borderId="43">
      <alignment horizontal="left" vertical="center" wrapText="1" indent="2"/>
    </xf>
    <xf numFmtId="0" fontId="14" fillId="0" borderId="43">
      <alignment horizontal="left" vertical="center" wrapText="1" indent="2"/>
    </xf>
    <xf numFmtId="0" fontId="14" fillId="24" borderId="43">
      <alignment horizontal="left" vertical="center" wrapText="1" indent="2"/>
    </xf>
    <xf numFmtId="0" fontId="14" fillId="0" borderId="43">
      <alignment horizontal="left" vertical="center" wrapText="1" indent="2"/>
    </xf>
    <xf numFmtId="0" fontId="23" fillId="46" borderId="36" applyNumberFormat="0" applyAlignment="0" applyProtection="0"/>
    <xf numFmtId="0" fontId="25" fillId="46" borderId="37" applyNumberFormat="0" applyAlignment="0" applyProtection="0"/>
    <xf numFmtId="0" fontId="26" fillId="46" borderId="37" applyNumberFormat="0" applyAlignment="0" applyProtection="0"/>
    <xf numFmtId="0" fontId="29" fillId="33" borderId="37" applyNumberFormat="0" applyAlignment="0" applyProtection="0"/>
    <xf numFmtId="0" fontId="30" fillId="0" borderId="38" applyNumberFormat="0" applyFill="0" applyAlignment="0" applyProtection="0"/>
    <xf numFmtId="0" fontId="38" fillId="33" borderId="37" applyNumberFormat="0" applyAlignment="0" applyProtection="0"/>
    <xf numFmtId="0" fontId="20" fillId="49" borderId="39" applyNumberFormat="0" applyFont="0" applyAlignment="0" applyProtection="0"/>
    <xf numFmtId="0" fontId="11" fillId="49" borderId="39" applyNumberFormat="0" applyFont="0" applyAlignment="0" applyProtection="0"/>
    <xf numFmtId="0" fontId="42" fillId="46" borderId="36" applyNumberFormat="0" applyAlignment="0" applyProtection="0"/>
    <xf numFmtId="0" fontId="45" fillId="0" borderId="38" applyNumberFormat="0" applyFill="0" applyAlignment="0" applyProtection="0"/>
    <xf numFmtId="0" fontId="26" fillId="46" borderId="37" applyNumberFormat="0" applyAlignment="0" applyProtection="0"/>
    <xf numFmtId="0" fontId="38" fillId="33" borderId="37" applyNumberFormat="0" applyAlignment="0" applyProtection="0"/>
    <xf numFmtId="0" fontId="20" fillId="49" borderId="39" applyNumberFormat="0" applyFont="0" applyAlignment="0" applyProtection="0"/>
    <xf numFmtId="0" fontId="42" fillId="46" borderId="36" applyNumberFormat="0" applyAlignment="0" applyProtection="0"/>
    <xf numFmtId="0" fontId="45" fillId="0" borderId="38" applyNumberFormat="0" applyFill="0" applyAlignment="0" applyProtection="0"/>
    <xf numFmtId="165" fontId="14" fillId="50" borderId="48" applyNumberFormat="0" applyFont="0" applyBorder="0" applyAlignment="0" applyProtection="0">
      <alignment horizontal="right" vertical="center"/>
    </xf>
    <xf numFmtId="4" fontId="14" fillId="23" borderId="48"/>
    <xf numFmtId="0" fontId="14" fillId="22" borderId="49">
      <alignment horizontal="left" vertical="center"/>
    </xf>
    <xf numFmtId="0" fontId="14" fillId="0" borderId="48">
      <alignment horizontal="right" vertical="center"/>
    </xf>
    <xf numFmtId="0" fontId="26" fillId="46" borderId="37" applyNumberFormat="0" applyAlignment="0" applyProtection="0"/>
    <xf numFmtId="0" fontId="45" fillId="0" borderId="62" applyNumberFormat="0" applyFill="0" applyAlignment="0" applyProtection="0"/>
    <xf numFmtId="0" fontId="20" fillId="49" borderId="71" applyNumberFormat="0" applyFont="0" applyAlignment="0" applyProtection="0"/>
    <xf numFmtId="0" fontId="38" fillId="33" borderId="37" applyNumberFormat="0" applyAlignment="0" applyProtection="0"/>
    <xf numFmtId="0" fontId="42" fillId="46" borderId="36" applyNumberFormat="0" applyAlignment="0" applyProtection="0"/>
    <xf numFmtId="0" fontId="45" fillId="0" borderId="38" applyNumberFormat="0" applyFill="0" applyAlignment="0" applyProtection="0"/>
    <xf numFmtId="0" fontId="23" fillId="46" borderId="36" applyNumberFormat="0" applyAlignment="0" applyProtection="0"/>
    <xf numFmtId="0" fontId="25" fillId="46" borderId="37" applyNumberFormat="0" applyAlignment="0" applyProtection="0"/>
    <xf numFmtId="0" fontId="30" fillId="0" borderId="38" applyNumberFormat="0" applyFill="0" applyAlignment="0" applyProtection="0"/>
    <xf numFmtId="49" fontId="14" fillId="0" borderId="40" applyNumberFormat="0" applyFont="0" applyFill="0" applyBorder="0" applyProtection="0">
      <alignment horizontal="left" vertical="center" indent="2"/>
    </xf>
    <xf numFmtId="0" fontId="10" fillId="22" borderId="40">
      <alignment horizontal="right" vertical="center"/>
    </xf>
    <xf numFmtId="4" fontId="10" fillId="22" borderId="40">
      <alignment horizontal="right" vertical="center"/>
    </xf>
    <xf numFmtId="0" fontId="16" fillId="22" borderId="40">
      <alignment horizontal="right" vertical="center"/>
    </xf>
    <xf numFmtId="4" fontId="16" fillId="22" borderId="40">
      <alignment horizontal="right" vertical="center"/>
    </xf>
    <xf numFmtId="0" fontId="10" fillId="24" borderId="40">
      <alignment horizontal="right" vertical="center"/>
    </xf>
    <xf numFmtId="4" fontId="10" fillId="24" borderId="40">
      <alignment horizontal="right" vertical="center"/>
    </xf>
    <xf numFmtId="0" fontId="10" fillId="24" borderId="40">
      <alignment horizontal="right" vertical="center"/>
    </xf>
    <xf numFmtId="4" fontId="10" fillId="24" borderId="40">
      <alignment horizontal="right" vertical="center"/>
    </xf>
    <xf numFmtId="0" fontId="29" fillId="33" borderId="37" applyNumberFormat="0" applyAlignment="0" applyProtection="0"/>
    <xf numFmtId="0" fontId="14" fillId="0" borderId="40">
      <alignment horizontal="right" vertical="center"/>
    </xf>
    <xf numFmtId="4" fontId="14" fillId="0" borderId="40">
      <alignment horizontal="right" vertical="center"/>
    </xf>
    <xf numFmtId="4" fontId="14" fillId="0" borderId="40" applyFill="0" applyBorder="0" applyProtection="0">
      <alignment horizontal="right" vertical="center"/>
    </xf>
    <xf numFmtId="49" fontId="13" fillId="0" borderId="40" applyNumberFormat="0" applyFill="0" applyBorder="0" applyProtection="0">
      <alignment horizontal="left" vertical="center"/>
    </xf>
    <xf numFmtId="0" fontId="14" fillId="0" borderId="40" applyNumberFormat="0" applyFill="0" applyAlignment="0" applyProtection="0"/>
    <xf numFmtId="165" fontId="14" fillId="50" borderId="40" applyNumberFormat="0" applyFont="0" applyBorder="0" applyAlignment="0" applyProtection="0">
      <alignment horizontal="right" vertical="center"/>
    </xf>
    <xf numFmtId="0" fontId="14" fillId="23" borderId="40"/>
    <xf numFmtId="4" fontId="14" fillId="23" borderId="40"/>
    <xf numFmtId="4" fontId="10" fillId="24" borderId="40">
      <alignment horizontal="right" vertical="center"/>
    </xf>
    <xf numFmtId="0" fontId="14" fillId="23" borderId="40"/>
    <xf numFmtId="0" fontId="25" fillId="46" borderId="37" applyNumberFormat="0" applyAlignment="0" applyProtection="0"/>
    <xf numFmtId="0" fontId="10" fillId="22" borderId="40">
      <alignment horizontal="right" vertical="center"/>
    </xf>
    <xf numFmtId="0" fontId="14" fillId="0" borderId="40">
      <alignment horizontal="right" vertical="center"/>
    </xf>
    <xf numFmtId="0" fontId="45" fillId="0" borderId="38" applyNumberFormat="0" applyFill="0" applyAlignment="0" applyProtection="0"/>
    <xf numFmtId="0" fontId="14" fillId="22" borderId="41">
      <alignment horizontal="left" vertical="center"/>
    </xf>
    <xf numFmtId="0" fontId="38" fillId="33" borderId="37" applyNumberFormat="0" applyAlignment="0" applyProtection="0"/>
    <xf numFmtId="165" fontId="14" fillId="50" borderId="40" applyNumberFormat="0" applyFont="0" applyBorder="0" applyAlignment="0" applyProtection="0">
      <alignment horizontal="right" vertical="center"/>
    </xf>
    <xf numFmtId="0" fontId="20" fillId="49" borderId="39" applyNumberFormat="0" applyFont="0" applyAlignment="0" applyProtection="0"/>
    <xf numFmtId="0" fontId="14" fillId="0" borderId="43">
      <alignment horizontal="left" vertical="center" wrapText="1" indent="2"/>
    </xf>
    <xf numFmtId="4" fontId="14" fillId="23" borderId="40"/>
    <xf numFmtId="49" fontId="13" fillId="0" borderId="40" applyNumberFormat="0" applyFill="0" applyBorder="0" applyProtection="0">
      <alignment horizontal="left" vertical="center"/>
    </xf>
    <xf numFmtId="0" fontId="14" fillId="0" borderId="40">
      <alignment horizontal="right" vertical="center"/>
    </xf>
    <xf numFmtId="4" fontId="10" fillId="24" borderId="42">
      <alignment horizontal="right" vertical="center"/>
    </xf>
    <xf numFmtId="4" fontId="10" fillId="24" borderId="40">
      <alignment horizontal="right" vertical="center"/>
    </xf>
    <xf numFmtId="4" fontId="10" fillId="24" borderId="40">
      <alignment horizontal="right" vertical="center"/>
    </xf>
    <xf numFmtId="0" fontId="16" fillId="22" borderId="40">
      <alignment horizontal="right" vertical="center"/>
    </xf>
    <xf numFmtId="0" fontId="10" fillId="22" borderId="40">
      <alignment horizontal="right" vertical="center"/>
    </xf>
    <xf numFmtId="49" fontId="14" fillId="0" borderId="40" applyNumberFormat="0" applyFont="0" applyFill="0" applyBorder="0" applyProtection="0">
      <alignment horizontal="left" vertical="center" indent="2"/>
    </xf>
    <xf numFmtId="0" fontId="38" fillId="33" borderId="37" applyNumberFormat="0" applyAlignment="0" applyProtection="0"/>
    <xf numFmtId="0" fontId="23" fillId="46" borderId="36" applyNumberFormat="0" applyAlignment="0" applyProtection="0"/>
    <xf numFmtId="49" fontId="14" fillId="0" borderId="40" applyNumberFormat="0" applyFont="0" applyFill="0" applyBorder="0" applyProtection="0">
      <alignment horizontal="left" vertical="center" indent="2"/>
    </xf>
    <xf numFmtId="0" fontId="29" fillId="33" borderId="37" applyNumberFormat="0" applyAlignment="0" applyProtection="0"/>
    <xf numFmtId="4" fontId="14" fillId="0" borderId="40" applyFill="0" applyBorder="0" applyProtection="0">
      <alignment horizontal="right" vertical="center"/>
    </xf>
    <xf numFmtId="0" fontId="26" fillId="46" borderId="37" applyNumberFormat="0" applyAlignment="0" applyProtection="0"/>
    <xf numFmtId="0" fontId="45" fillId="0" borderId="38" applyNumberFormat="0" applyFill="0" applyAlignment="0" applyProtection="0"/>
    <xf numFmtId="0" fontId="42" fillId="46" borderId="36" applyNumberFormat="0" applyAlignment="0" applyProtection="0"/>
    <xf numFmtId="0" fontId="14" fillId="0" borderId="40" applyNumberFormat="0" applyFill="0" applyAlignment="0" applyProtection="0"/>
    <xf numFmtId="4" fontId="14" fillId="0" borderId="40">
      <alignment horizontal="right" vertical="center"/>
    </xf>
    <xf numFmtId="0" fontId="14" fillId="0" borderId="40">
      <alignment horizontal="right" vertical="center"/>
    </xf>
    <xf numFmtId="0" fontId="38" fillId="33" borderId="37" applyNumberFormat="0" applyAlignment="0" applyProtection="0"/>
    <xf numFmtId="0" fontId="23" fillId="46" borderId="36" applyNumberFormat="0" applyAlignment="0" applyProtection="0"/>
    <xf numFmtId="0" fontId="25" fillId="46" borderId="37" applyNumberFormat="0" applyAlignment="0" applyProtection="0"/>
    <xf numFmtId="0" fontId="14" fillId="24" borderId="43">
      <alignment horizontal="left" vertical="center" wrapText="1" indent="2"/>
    </xf>
    <xf numFmtId="0" fontId="26" fillId="46" borderId="37" applyNumberFormat="0" applyAlignment="0" applyProtection="0"/>
    <xf numFmtId="0" fontId="26" fillId="46" borderId="37" applyNumberFormat="0" applyAlignment="0" applyProtection="0"/>
    <xf numFmtId="4" fontId="10" fillId="24" borderId="41">
      <alignment horizontal="right" vertical="center"/>
    </xf>
    <xf numFmtId="0" fontId="10" fillId="24" borderId="41">
      <alignment horizontal="right" vertical="center"/>
    </xf>
    <xf numFmtId="0" fontId="10" fillId="24" borderId="40">
      <alignment horizontal="right" vertical="center"/>
    </xf>
    <xf numFmtId="4" fontId="16" fillId="22" borderId="40">
      <alignment horizontal="right" vertical="center"/>
    </xf>
    <xf numFmtId="0" fontId="29" fillId="33" borderId="37" applyNumberFormat="0" applyAlignment="0" applyProtection="0"/>
    <xf numFmtId="0" fontId="30" fillId="0" borderId="38" applyNumberFormat="0" applyFill="0" applyAlignment="0" applyProtection="0"/>
    <xf numFmtId="0" fontId="45" fillId="0" borderId="38" applyNumberFormat="0" applyFill="0" applyAlignment="0" applyProtection="0"/>
    <xf numFmtId="0" fontId="20" fillId="49" borderId="39" applyNumberFormat="0" applyFont="0" applyAlignment="0" applyProtection="0"/>
    <xf numFmtId="0" fontId="38" fillId="33" borderId="37" applyNumberFormat="0" applyAlignment="0" applyProtection="0"/>
    <xf numFmtId="49" fontId="13" fillId="0" borderId="40" applyNumberFormat="0" applyFill="0" applyBorder="0" applyProtection="0">
      <alignment horizontal="left" vertical="center"/>
    </xf>
    <xf numFmtId="0" fontId="14" fillId="24" borderId="43">
      <alignment horizontal="left" vertical="center" wrapText="1" indent="2"/>
    </xf>
    <xf numFmtId="0" fontId="26" fillId="46" borderId="37" applyNumberFormat="0" applyAlignment="0" applyProtection="0"/>
    <xf numFmtId="0" fontId="14" fillId="0" borderId="43">
      <alignment horizontal="left" vertical="center" wrapText="1" indent="2"/>
    </xf>
    <xf numFmtId="0" fontId="20" fillId="49" borderId="39" applyNumberFormat="0" applyFont="0" applyAlignment="0" applyProtection="0"/>
    <xf numFmtId="0" fontId="11" fillId="49" borderId="39" applyNumberFormat="0" applyFont="0" applyAlignment="0" applyProtection="0"/>
    <xf numFmtId="0" fontId="42" fillId="46" borderId="36" applyNumberFormat="0" applyAlignment="0" applyProtection="0"/>
    <xf numFmtId="0" fontId="45" fillId="0" borderId="38" applyNumberFormat="0" applyFill="0" applyAlignment="0" applyProtection="0"/>
    <xf numFmtId="4" fontId="14" fillId="23" borderId="40"/>
    <xf numFmtId="0" fontId="10" fillId="24" borderId="40">
      <alignment horizontal="right" vertical="center"/>
    </xf>
    <xf numFmtId="0" fontId="45" fillId="0" borderId="38" applyNumberFormat="0" applyFill="0" applyAlignment="0" applyProtection="0"/>
    <xf numFmtId="4" fontId="10" fillId="24" borderId="42">
      <alignment horizontal="right" vertical="center"/>
    </xf>
    <xf numFmtId="0" fontId="25" fillId="46" borderId="37" applyNumberFormat="0" applyAlignment="0" applyProtection="0"/>
    <xf numFmtId="0" fontId="10" fillId="24" borderId="41">
      <alignment horizontal="right" vertical="center"/>
    </xf>
    <xf numFmtId="0" fontId="26" fillId="46" borderId="37" applyNumberFormat="0" applyAlignment="0" applyProtection="0"/>
    <xf numFmtId="0" fontId="30" fillId="0" borderId="38" applyNumberFormat="0" applyFill="0" applyAlignment="0" applyProtection="0"/>
    <xf numFmtId="0" fontId="20" fillId="49" borderId="39" applyNumberFormat="0" applyFont="0" applyAlignment="0" applyProtection="0"/>
    <xf numFmtId="4" fontId="10" fillId="24" borderId="41">
      <alignment horizontal="right" vertical="center"/>
    </xf>
    <xf numFmtId="0" fontId="14" fillId="24" borderId="43">
      <alignment horizontal="left" vertical="center" wrapText="1" indent="2"/>
    </xf>
    <xf numFmtId="0" fontId="14" fillId="23" borderId="40"/>
    <xf numFmtId="165" fontId="14" fillId="50" borderId="40" applyNumberFormat="0" applyFont="0" applyBorder="0" applyAlignment="0" applyProtection="0">
      <alignment horizontal="right" vertical="center"/>
    </xf>
    <xf numFmtId="0" fontId="14" fillId="0" borderId="40" applyNumberFormat="0" applyFill="0" applyAlignment="0" applyProtection="0"/>
    <xf numFmtId="4" fontId="14" fillId="0" borderId="40" applyFill="0" applyBorder="0" applyProtection="0">
      <alignment horizontal="right" vertical="center"/>
    </xf>
    <xf numFmtId="4" fontId="10" fillId="22" borderId="40">
      <alignment horizontal="right" vertical="center"/>
    </xf>
    <xf numFmtId="0" fontId="30" fillId="0" borderId="38" applyNumberFormat="0" applyFill="0" applyAlignment="0" applyProtection="0"/>
    <xf numFmtId="49" fontId="13" fillId="0" borderId="40" applyNumberFormat="0" applyFill="0" applyBorder="0" applyProtection="0">
      <alignment horizontal="left" vertical="center"/>
    </xf>
    <xf numFmtId="49" fontId="14" fillId="0" borderId="41" applyNumberFormat="0" applyFont="0" applyFill="0" applyBorder="0" applyProtection="0">
      <alignment horizontal="left" vertical="center" indent="5"/>
    </xf>
    <xf numFmtId="0" fontId="14" fillId="22" borderId="41">
      <alignment horizontal="left" vertical="center"/>
    </xf>
    <xf numFmtId="0" fontId="26" fillId="46" borderId="37" applyNumberFormat="0" applyAlignment="0" applyProtection="0"/>
    <xf numFmtId="4" fontId="10" fillId="24" borderId="42">
      <alignment horizontal="right" vertical="center"/>
    </xf>
    <xf numFmtId="0" fontId="38" fillId="33" borderId="37" applyNumberFormat="0" applyAlignment="0" applyProtection="0"/>
    <xf numFmtId="0" fontId="38" fillId="33" borderId="37" applyNumberFormat="0" applyAlignment="0" applyProtection="0"/>
    <xf numFmtId="0" fontId="20" fillId="49" borderId="39" applyNumberFormat="0" applyFont="0" applyAlignment="0" applyProtection="0"/>
    <xf numFmtId="0" fontId="42" fillId="46" borderId="36" applyNumberFormat="0" applyAlignment="0" applyProtection="0"/>
    <xf numFmtId="0" fontId="45" fillId="0" borderId="38" applyNumberFormat="0" applyFill="0" applyAlignment="0" applyProtection="0"/>
    <xf numFmtId="0" fontId="10" fillId="24" borderId="40">
      <alignment horizontal="right" vertical="center"/>
    </xf>
    <xf numFmtId="0" fontId="11" fillId="49" borderId="39" applyNumberFormat="0" applyFont="0" applyAlignment="0" applyProtection="0"/>
    <xf numFmtId="4" fontId="14" fillId="0" borderId="40">
      <alignment horizontal="right" vertical="center"/>
    </xf>
    <xf numFmtId="0" fontId="45" fillId="0" borderId="38" applyNumberFormat="0" applyFill="0" applyAlignment="0" applyProtection="0"/>
    <xf numFmtId="0" fontId="10" fillId="24" borderId="40">
      <alignment horizontal="right" vertical="center"/>
    </xf>
    <xf numFmtId="0" fontId="10" fillId="24" borderId="40">
      <alignment horizontal="right" vertical="center"/>
    </xf>
    <xf numFmtId="4" fontId="16" fillId="22" borderId="40">
      <alignment horizontal="right" vertical="center"/>
    </xf>
    <xf numFmtId="0" fontId="10" fillId="22" borderId="40">
      <alignment horizontal="right" vertical="center"/>
    </xf>
    <xf numFmtId="4" fontId="10" fillId="22" borderId="40">
      <alignment horizontal="right" vertical="center"/>
    </xf>
    <xf numFmtId="0" fontId="16" fillId="22" borderId="40">
      <alignment horizontal="right" vertical="center"/>
    </xf>
    <xf numFmtId="4" fontId="16" fillId="22" borderId="40">
      <alignment horizontal="right" vertical="center"/>
    </xf>
    <xf numFmtId="0" fontId="10" fillId="24" borderId="40">
      <alignment horizontal="right" vertical="center"/>
    </xf>
    <xf numFmtId="4" fontId="10" fillId="24" borderId="40">
      <alignment horizontal="right" vertical="center"/>
    </xf>
    <xf numFmtId="0" fontId="10" fillId="24" borderId="40">
      <alignment horizontal="right" vertical="center"/>
    </xf>
    <xf numFmtId="4" fontId="10" fillId="24" borderId="40">
      <alignment horizontal="right" vertical="center"/>
    </xf>
    <xf numFmtId="0" fontId="10" fillId="24" borderId="41">
      <alignment horizontal="right" vertical="center"/>
    </xf>
    <xf numFmtId="4" fontId="10" fillId="24" borderId="41">
      <alignment horizontal="right" vertical="center"/>
    </xf>
    <xf numFmtId="0" fontId="10" fillId="24" borderId="42">
      <alignment horizontal="right" vertical="center"/>
    </xf>
    <xf numFmtId="4" fontId="10" fillId="24" borderId="42">
      <alignment horizontal="right" vertical="center"/>
    </xf>
    <xf numFmtId="0" fontId="26" fillId="46" borderId="37" applyNumberFormat="0" applyAlignment="0" applyProtection="0"/>
    <xf numFmtId="0" fontId="14" fillId="24" borderId="43">
      <alignment horizontal="left" vertical="center" wrapText="1" indent="2"/>
    </xf>
    <xf numFmtId="0" fontId="14" fillId="0" borderId="43">
      <alignment horizontal="left" vertical="center" wrapText="1" indent="2"/>
    </xf>
    <xf numFmtId="0" fontId="14" fillId="22" borderId="41">
      <alignment horizontal="left" vertical="center"/>
    </xf>
    <xf numFmtId="0" fontId="38" fillId="33" borderId="37" applyNumberFormat="0" applyAlignment="0" applyProtection="0"/>
    <xf numFmtId="0" fontId="14" fillId="0" borderId="40">
      <alignment horizontal="right" vertical="center"/>
    </xf>
    <xf numFmtId="4" fontId="14" fillId="0" borderId="40">
      <alignment horizontal="right" vertical="center"/>
    </xf>
    <xf numFmtId="0" fontId="14" fillId="0" borderId="40" applyNumberFormat="0" applyFill="0" applyAlignment="0" applyProtection="0"/>
    <xf numFmtId="0" fontId="42" fillId="46" borderId="36" applyNumberFormat="0" applyAlignment="0" applyProtection="0"/>
    <xf numFmtId="165" fontId="14" fillId="50" borderId="40" applyNumberFormat="0" applyFont="0" applyBorder="0" applyAlignment="0" applyProtection="0">
      <alignment horizontal="right" vertical="center"/>
    </xf>
    <xf numFmtId="0" fontId="14" fillId="23" borderId="40"/>
    <xf numFmtId="4" fontId="14" fillId="23" borderId="40"/>
    <xf numFmtId="0" fontId="45" fillId="0" borderId="38" applyNumberFormat="0" applyFill="0" applyAlignment="0" applyProtection="0"/>
    <xf numFmtId="0" fontId="11" fillId="49" borderId="39" applyNumberFormat="0" applyFont="0" applyAlignment="0" applyProtection="0"/>
    <xf numFmtId="0" fontId="20" fillId="49" borderId="39" applyNumberFormat="0" applyFont="0" applyAlignment="0" applyProtection="0"/>
    <xf numFmtId="0" fontId="14" fillId="0" borderId="40" applyNumberFormat="0" applyFill="0" applyAlignment="0" applyProtection="0"/>
    <xf numFmtId="0" fontId="30" fillId="0" borderId="38" applyNumberFormat="0" applyFill="0" applyAlignment="0" applyProtection="0"/>
    <xf numFmtId="0" fontId="45" fillId="0" borderId="38" applyNumberFormat="0" applyFill="0" applyAlignment="0" applyProtection="0"/>
    <xf numFmtId="0" fontId="29" fillId="33" borderId="37" applyNumberFormat="0" applyAlignment="0" applyProtection="0"/>
    <xf numFmtId="0" fontId="26" fillId="46" borderId="37" applyNumberFormat="0" applyAlignment="0" applyProtection="0"/>
    <xf numFmtId="4" fontId="16" fillId="22" borderId="40">
      <alignment horizontal="right" vertical="center"/>
    </xf>
    <xf numFmtId="0" fontId="10" fillId="22" borderId="40">
      <alignment horizontal="right" vertical="center"/>
    </xf>
    <xf numFmtId="165" fontId="14" fillId="50" borderId="40" applyNumberFormat="0" applyFont="0" applyBorder="0" applyAlignment="0" applyProtection="0">
      <alignment horizontal="right" vertical="center"/>
    </xf>
    <xf numFmtId="0" fontId="30" fillId="0" borderId="38" applyNumberFormat="0" applyFill="0" applyAlignment="0" applyProtection="0"/>
    <xf numFmtId="49" fontId="14" fillId="0" borderId="40" applyNumberFormat="0" applyFont="0" applyFill="0" applyBorder="0" applyProtection="0">
      <alignment horizontal="left" vertical="center" indent="2"/>
    </xf>
    <xf numFmtId="49" fontId="14" fillId="0" borderId="41" applyNumberFormat="0" applyFont="0" applyFill="0" applyBorder="0" applyProtection="0">
      <alignment horizontal="left" vertical="center" indent="5"/>
    </xf>
    <xf numFmtId="49" fontId="14" fillId="0" borderId="40" applyNumberFormat="0" applyFont="0" applyFill="0" applyBorder="0" applyProtection="0">
      <alignment horizontal="left" vertical="center" indent="2"/>
    </xf>
    <xf numFmtId="4" fontId="14" fillId="0" borderId="40" applyFill="0" applyBorder="0" applyProtection="0">
      <alignment horizontal="right" vertical="center"/>
    </xf>
    <xf numFmtId="49" fontId="13" fillId="0" borderId="40" applyNumberFormat="0" applyFill="0" applyBorder="0" applyProtection="0">
      <alignment horizontal="left" vertical="center"/>
    </xf>
    <xf numFmtId="0" fontId="14" fillId="0" borderId="43">
      <alignment horizontal="left" vertical="center" wrapText="1" indent="2"/>
    </xf>
    <xf numFmtId="0" fontId="42" fillId="46" borderId="36" applyNumberFormat="0" applyAlignment="0" applyProtection="0"/>
    <xf numFmtId="0" fontId="10" fillId="24" borderId="42">
      <alignment horizontal="right" vertical="center"/>
    </xf>
    <xf numFmtId="0" fontId="29" fillId="33" borderId="37" applyNumberFormat="0" applyAlignment="0" applyProtection="0"/>
    <xf numFmtId="0" fontId="10" fillId="24" borderId="42">
      <alignment horizontal="right" vertical="center"/>
    </xf>
    <xf numFmtId="4" fontId="10" fillId="24" borderId="40">
      <alignment horizontal="right" vertical="center"/>
    </xf>
    <xf numFmtId="0" fontId="10" fillId="24" borderId="40">
      <alignment horizontal="right" vertical="center"/>
    </xf>
    <xf numFmtId="0" fontId="23" fillId="46" borderId="36" applyNumberFormat="0" applyAlignment="0" applyProtection="0"/>
    <xf numFmtId="0" fontId="25" fillId="46" borderId="37" applyNumberFormat="0" applyAlignment="0" applyProtection="0"/>
    <xf numFmtId="0" fontId="30" fillId="0" borderId="38" applyNumberFormat="0" applyFill="0" applyAlignment="0" applyProtection="0"/>
    <xf numFmtId="0" fontId="14" fillId="23" borderId="40"/>
    <xf numFmtId="4" fontId="14" fillId="23" borderId="40"/>
    <xf numFmtId="4" fontId="10" fillId="24" borderId="40">
      <alignment horizontal="right" vertical="center"/>
    </xf>
    <xf numFmtId="0" fontId="16" fillId="22" borderId="40">
      <alignment horizontal="right" vertical="center"/>
    </xf>
    <xf numFmtId="0" fontId="29" fillId="33" borderId="37" applyNumberFormat="0" applyAlignment="0" applyProtection="0"/>
    <xf numFmtId="0" fontId="26" fillId="46" borderId="37" applyNumberFormat="0" applyAlignment="0" applyProtection="0"/>
    <xf numFmtId="4" fontId="14" fillId="0" borderId="40">
      <alignment horizontal="right" vertical="center"/>
    </xf>
    <xf numFmtId="0" fontId="14" fillId="24" borderId="43">
      <alignment horizontal="left" vertical="center" wrapText="1" indent="2"/>
    </xf>
    <xf numFmtId="0" fontId="14" fillId="0" borderId="43">
      <alignment horizontal="left" vertical="center" wrapText="1" indent="2"/>
    </xf>
    <xf numFmtId="0" fontId="42" fillId="46" borderId="36" applyNumberFormat="0" applyAlignment="0" applyProtection="0"/>
    <xf numFmtId="0" fontId="38" fillId="33" borderId="37" applyNumberFormat="0" applyAlignment="0" applyProtection="0"/>
    <xf numFmtId="0" fontId="25" fillId="46" borderId="37" applyNumberFormat="0" applyAlignment="0" applyProtection="0"/>
    <xf numFmtId="0" fontId="23" fillId="46" borderId="36" applyNumberFormat="0" applyAlignment="0" applyProtection="0"/>
    <xf numFmtId="0" fontId="10" fillId="24" borderId="42">
      <alignment horizontal="right" vertical="center"/>
    </xf>
    <xf numFmtId="0" fontId="16" fillId="22" borderId="40">
      <alignment horizontal="right" vertical="center"/>
    </xf>
    <xf numFmtId="4" fontId="10" fillId="22" borderId="40">
      <alignment horizontal="right" vertical="center"/>
    </xf>
    <xf numFmtId="4" fontId="10" fillId="24" borderId="40">
      <alignment horizontal="right" vertical="center"/>
    </xf>
    <xf numFmtId="49" fontId="14" fillId="0" borderId="41" applyNumberFormat="0" applyFont="0" applyFill="0" applyBorder="0" applyProtection="0">
      <alignment horizontal="left" vertical="center" indent="5"/>
    </xf>
    <xf numFmtId="4" fontId="14" fillId="0" borderId="40" applyFill="0" applyBorder="0" applyProtection="0">
      <alignment horizontal="right" vertical="center"/>
    </xf>
    <xf numFmtId="4" fontId="10" fillId="22" borderId="40">
      <alignment horizontal="right" vertical="center"/>
    </xf>
    <xf numFmtId="0" fontId="38" fillId="33" borderId="37" applyNumberFormat="0" applyAlignment="0" applyProtection="0"/>
    <xf numFmtId="0" fontId="29" fillId="33" borderId="37" applyNumberFormat="0" applyAlignment="0" applyProtection="0"/>
    <xf numFmtId="0" fontId="25" fillId="46" borderId="37" applyNumberFormat="0" applyAlignment="0" applyProtection="0"/>
    <xf numFmtId="0" fontId="14" fillId="24" borderId="43">
      <alignment horizontal="left" vertical="center" wrapText="1" indent="2"/>
    </xf>
    <xf numFmtId="0" fontId="14" fillId="0" borderId="43">
      <alignment horizontal="left" vertical="center" wrapText="1" indent="2"/>
    </xf>
    <xf numFmtId="0" fontId="14" fillId="24" borderId="43">
      <alignment horizontal="left" vertical="center" wrapText="1" indent="2"/>
    </xf>
    <xf numFmtId="0" fontId="1" fillId="0" borderId="0"/>
    <xf numFmtId="0" fontId="3" fillId="3" borderId="2" applyNumberFormat="0" applyAlignment="0" applyProtection="0"/>
    <xf numFmtId="0" fontId="8" fillId="12" borderId="0" applyNumberFormat="0" applyBorder="0" applyAlignment="0" applyProtection="0"/>
    <xf numFmtId="0" fontId="14" fillId="24" borderId="51">
      <alignment horizontal="left" vertical="center" wrapText="1" indent="2"/>
    </xf>
    <xf numFmtId="0" fontId="14" fillId="0" borderId="51">
      <alignment horizontal="left" vertical="center" wrapText="1" indent="2"/>
    </xf>
    <xf numFmtId="0" fontId="23" fillId="46" borderId="68" applyNumberFormat="0" applyAlignment="0" applyProtection="0"/>
    <xf numFmtId="0" fontId="38" fillId="33" borderId="69" applyNumberFormat="0" applyAlignment="0" applyProtection="0"/>
    <xf numFmtId="0" fontId="6" fillId="0" borderId="0" applyNumberFormat="0" applyFill="0" applyBorder="0" applyAlignment="0" applyProtection="0"/>
    <xf numFmtId="0" fontId="11" fillId="49" borderId="55" applyNumberFormat="0" applyFont="0" applyAlignment="0" applyProtection="0"/>
    <xf numFmtId="0" fontId="42" fillId="46" borderId="52" applyNumberFormat="0" applyAlignment="0" applyProtection="0"/>
    <xf numFmtId="0" fontId="26" fillId="46" borderId="69" applyNumberFormat="0" applyAlignment="0" applyProtection="0"/>
    <xf numFmtId="4" fontId="14" fillId="0" borderId="72" applyFill="0" applyBorder="0" applyProtection="0">
      <alignment horizontal="right" vertical="center"/>
    </xf>
    <xf numFmtId="0" fontId="4" fillId="3" borderId="1" applyNumberFormat="0" applyAlignment="0" applyProtection="0"/>
    <xf numFmtId="0" fontId="30" fillId="0" borderId="70" applyNumberFormat="0" applyFill="0" applyAlignment="0" applyProtection="0"/>
    <xf numFmtId="0" fontId="14" fillId="0" borderId="64" applyNumberFormat="0" applyFill="0" applyAlignment="0" applyProtection="0"/>
    <xf numFmtId="0" fontId="42" fillId="46" borderId="68" applyNumberFormat="0" applyAlignment="0" applyProtection="0"/>
    <xf numFmtId="0" fontId="10" fillId="24" borderId="74">
      <alignment horizontal="right" vertical="center"/>
    </xf>
    <xf numFmtId="0" fontId="23" fillId="46" borderId="68" applyNumberFormat="0" applyAlignment="0" applyProtection="0"/>
    <xf numFmtId="0" fontId="10" fillId="24" borderId="65">
      <alignment horizontal="right" vertical="center"/>
    </xf>
    <xf numFmtId="0" fontId="16" fillId="22" borderId="64">
      <alignment horizontal="right" vertical="center"/>
    </xf>
    <xf numFmtId="4" fontId="10" fillId="24" borderId="64">
      <alignment horizontal="right" vertical="center"/>
    </xf>
    <xf numFmtId="0" fontId="14" fillId="22" borderId="65">
      <alignment horizontal="left" vertical="center"/>
    </xf>
    <xf numFmtId="0" fontId="26" fillId="46" borderId="61" applyNumberFormat="0" applyAlignment="0" applyProtection="0"/>
    <xf numFmtId="0" fontId="38" fillId="33" borderId="61" applyNumberFormat="0" applyAlignment="0" applyProtection="0"/>
    <xf numFmtId="4" fontId="14" fillId="0" borderId="64">
      <alignment horizontal="right" vertical="center"/>
    </xf>
    <xf numFmtId="4" fontId="14" fillId="23" borderId="72"/>
    <xf numFmtId="0" fontId="29" fillId="33" borderId="69" applyNumberFormat="0" applyAlignment="0" applyProtection="0"/>
    <xf numFmtId="0" fontId="10" fillId="22" borderId="72">
      <alignment horizontal="right" vertical="center"/>
    </xf>
    <xf numFmtId="0" fontId="14" fillId="22" borderId="73">
      <alignment horizontal="left" vertical="center"/>
    </xf>
    <xf numFmtId="0" fontId="8" fillId="6" borderId="0" applyNumberFormat="0" applyBorder="0" applyAlignment="0" applyProtection="0"/>
    <xf numFmtId="0" fontId="1" fillId="17" borderId="0" applyNumberFormat="0" applyBorder="0" applyAlignment="0" applyProtection="0"/>
    <xf numFmtId="49" fontId="14" fillId="0" borderId="64" applyNumberFormat="0" applyFont="0" applyFill="0" applyBorder="0" applyProtection="0">
      <alignment horizontal="left" vertical="center" indent="2"/>
    </xf>
    <xf numFmtId="49" fontId="13" fillId="0" borderId="64" applyNumberFormat="0" applyFill="0" applyBorder="0" applyProtection="0">
      <alignment horizontal="left" vertical="center"/>
    </xf>
    <xf numFmtId="4" fontId="10" fillId="24" borderId="74">
      <alignment horizontal="right" vertical="center"/>
    </xf>
    <xf numFmtId="0" fontId="26" fillId="46" borderId="69" applyNumberFormat="0" applyAlignment="0" applyProtection="0"/>
    <xf numFmtId="49" fontId="13" fillId="0" borderId="72" applyNumberFormat="0" applyFill="0" applyBorder="0" applyProtection="0">
      <alignment horizontal="left" vertical="center"/>
    </xf>
    <xf numFmtId="0" fontId="42" fillId="46" borderId="68" applyNumberFormat="0" applyAlignment="0" applyProtection="0"/>
    <xf numFmtId="0" fontId="20" fillId="49" borderId="71" applyNumberFormat="0" applyFont="0" applyAlignment="0" applyProtection="0"/>
    <xf numFmtId="0" fontId="10" fillId="22" borderId="72">
      <alignment horizontal="right" vertical="center"/>
    </xf>
    <xf numFmtId="0" fontId="1" fillId="8" borderId="0" applyNumberFormat="0" applyBorder="0" applyAlignment="0" applyProtection="0"/>
    <xf numFmtId="0" fontId="1" fillId="20" borderId="0" applyNumberFormat="0" applyBorder="0" applyAlignment="0" applyProtection="0"/>
    <xf numFmtId="0" fontId="14" fillId="23" borderId="48"/>
    <xf numFmtId="0" fontId="1" fillId="7" borderId="0" applyNumberFormat="0" applyBorder="0" applyAlignment="0" applyProtection="0"/>
    <xf numFmtId="0" fontId="10" fillId="22" borderId="48">
      <alignment horizontal="right" vertical="center"/>
    </xf>
    <xf numFmtId="0" fontId="25" fillId="46" borderId="69" applyNumberFormat="0" applyAlignment="0" applyProtection="0"/>
    <xf numFmtId="165" fontId="14" fillId="50" borderId="64" applyNumberFormat="0" applyFont="0" applyBorder="0" applyAlignment="0" applyProtection="0">
      <alignment horizontal="right" vertical="center"/>
    </xf>
    <xf numFmtId="0" fontId="10" fillId="24" borderId="48">
      <alignment horizontal="right" vertical="center"/>
    </xf>
    <xf numFmtId="0" fontId="8" fillId="21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8" fillId="15" borderId="0" applyNumberFormat="0" applyBorder="0" applyAlignment="0" applyProtection="0"/>
    <xf numFmtId="0" fontId="1" fillId="11" borderId="0" applyNumberFormat="0" applyBorder="0" applyAlignment="0" applyProtection="0"/>
    <xf numFmtId="0" fontId="8" fillId="12" borderId="0" applyNumberFormat="0" applyBorder="0" applyAlignment="0" applyProtection="0"/>
    <xf numFmtId="0" fontId="14" fillId="0" borderId="75">
      <alignment horizontal="left" vertical="center" wrapText="1" indent="2"/>
    </xf>
    <xf numFmtId="0" fontId="20" fillId="49" borderId="71" applyNumberFormat="0" applyFont="0" applyAlignment="0" applyProtection="0"/>
    <xf numFmtId="0" fontId="10" fillId="24" borderId="72">
      <alignment horizontal="right" vertical="center"/>
    </xf>
    <xf numFmtId="4" fontId="10" fillId="24" borderId="48">
      <alignment horizontal="right" vertical="center"/>
    </xf>
    <xf numFmtId="0" fontId="14" fillId="23" borderId="48"/>
    <xf numFmtId="0" fontId="25" fillId="46" borderId="45" applyNumberFormat="0" applyAlignment="0" applyProtection="0"/>
    <xf numFmtId="0" fontId="10" fillId="22" borderId="48">
      <alignment horizontal="right" vertical="center"/>
    </xf>
    <xf numFmtId="0" fontId="14" fillId="0" borderId="48">
      <alignment horizontal="right" vertical="center"/>
    </xf>
    <xf numFmtId="0" fontId="45" fillId="0" borderId="46" applyNumberFormat="0" applyFill="0" applyAlignment="0" applyProtection="0"/>
    <xf numFmtId="0" fontId="14" fillId="22" borderId="49">
      <alignment horizontal="left" vertical="center"/>
    </xf>
    <xf numFmtId="0" fontId="38" fillId="33" borderId="45" applyNumberFormat="0" applyAlignment="0" applyProtection="0"/>
    <xf numFmtId="165" fontId="14" fillId="50" borderId="48" applyNumberFormat="0" applyFont="0" applyBorder="0" applyAlignment="0" applyProtection="0">
      <alignment horizontal="right" vertical="center"/>
    </xf>
    <xf numFmtId="0" fontId="20" fillId="49" borderId="47" applyNumberFormat="0" applyFont="0" applyAlignment="0" applyProtection="0"/>
    <xf numFmtId="0" fontId="14" fillId="0" borderId="51">
      <alignment horizontal="left" vertical="center" wrapText="1" indent="2"/>
    </xf>
    <xf numFmtId="4" fontId="14" fillId="23" borderId="48"/>
    <xf numFmtId="49" fontId="13" fillId="0" borderId="48" applyNumberFormat="0" applyFill="0" applyBorder="0" applyProtection="0">
      <alignment horizontal="left" vertical="center"/>
    </xf>
    <xf numFmtId="0" fontId="14" fillId="0" borderId="48">
      <alignment horizontal="right" vertical="center"/>
    </xf>
    <xf numFmtId="4" fontId="10" fillId="24" borderId="50">
      <alignment horizontal="right" vertical="center"/>
    </xf>
    <xf numFmtId="4" fontId="10" fillId="24" borderId="48">
      <alignment horizontal="right" vertical="center"/>
    </xf>
    <xf numFmtId="4" fontId="10" fillId="24" borderId="48">
      <alignment horizontal="right" vertical="center"/>
    </xf>
    <xf numFmtId="0" fontId="16" fillId="22" borderId="48">
      <alignment horizontal="right" vertical="center"/>
    </xf>
    <xf numFmtId="0" fontId="10" fillId="22" borderId="48">
      <alignment horizontal="right" vertical="center"/>
    </xf>
    <xf numFmtId="49" fontId="14" fillId="0" borderId="48" applyNumberFormat="0" applyFont="0" applyFill="0" applyBorder="0" applyProtection="0">
      <alignment horizontal="left" vertical="center" indent="2"/>
    </xf>
    <xf numFmtId="0" fontId="38" fillId="33" borderId="45" applyNumberFormat="0" applyAlignment="0" applyProtection="0"/>
    <xf numFmtId="0" fontId="23" fillId="46" borderId="44" applyNumberFormat="0" applyAlignment="0" applyProtection="0"/>
    <xf numFmtId="49" fontId="14" fillId="0" borderId="48" applyNumberFormat="0" applyFont="0" applyFill="0" applyBorder="0" applyProtection="0">
      <alignment horizontal="left" vertical="center" indent="2"/>
    </xf>
    <xf numFmtId="0" fontId="29" fillId="33" borderId="45" applyNumberFormat="0" applyAlignment="0" applyProtection="0"/>
    <xf numFmtId="4" fontId="14" fillId="0" borderId="48" applyFill="0" applyBorder="0" applyProtection="0">
      <alignment horizontal="right" vertical="center"/>
    </xf>
    <xf numFmtId="0" fontId="26" fillId="46" borderId="45" applyNumberFormat="0" applyAlignment="0" applyProtection="0"/>
    <xf numFmtId="0" fontId="45" fillId="0" borderId="46" applyNumberFormat="0" applyFill="0" applyAlignment="0" applyProtection="0"/>
    <xf numFmtId="0" fontId="42" fillId="46" borderId="44" applyNumberFormat="0" applyAlignment="0" applyProtection="0"/>
    <xf numFmtId="0" fontId="14" fillId="0" borderId="48" applyNumberFormat="0" applyFill="0" applyAlignment="0" applyProtection="0"/>
    <xf numFmtId="4" fontId="14" fillId="0" borderId="48">
      <alignment horizontal="right" vertical="center"/>
    </xf>
    <xf numFmtId="0" fontId="14" fillId="0" borderId="48">
      <alignment horizontal="right" vertical="center"/>
    </xf>
    <xf numFmtId="0" fontId="38" fillId="33" borderId="45" applyNumberFormat="0" applyAlignment="0" applyProtection="0"/>
    <xf numFmtId="0" fontId="23" fillId="46" borderId="44" applyNumberFormat="0" applyAlignment="0" applyProtection="0"/>
    <xf numFmtId="0" fontId="25" fillId="46" borderId="45" applyNumberFormat="0" applyAlignment="0" applyProtection="0"/>
    <xf numFmtId="0" fontId="14" fillId="24" borderId="51">
      <alignment horizontal="left" vertical="center" wrapText="1" indent="2"/>
    </xf>
    <xf numFmtId="0" fontId="26" fillId="46" borderId="45" applyNumberFormat="0" applyAlignment="0" applyProtection="0"/>
    <xf numFmtId="0" fontId="26" fillId="46" borderId="45" applyNumberFormat="0" applyAlignment="0" applyProtection="0"/>
    <xf numFmtId="4" fontId="10" fillId="24" borderId="49">
      <alignment horizontal="right" vertical="center"/>
    </xf>
    <xf numFmtId="0" fontId="10" fillId="24" borderId="49">
      <alignment horizontal="right" vertical="center"/>
    </xf>
    <xf numFmtId="0" fontId="10" fillId="24" borderId="48">
      <alignment horizontal="right" vertical="center"/>
    </xf>
    <xf numFmtId="4" fontId="16" fillId="22" borderId="48">
      <alignment horizontal="right" vertical="center"/>
    </xf>
    <xf numFmtId="0" fontId="29" fillId="33" borderId="45" applyNumberFormat="0" applyAlignment="0" applyProtection="0"/>
    <xf numFmtId="0" fontId="30" fillId="0" borderId="46" applyNumberFormat="0" applyFill="0" applyAlignment="0" applyProtection="0"/>
    <xf numFmtId="0" fontId="45" fillId="0" borderId="46" applyNumberFormat="0" applyFill="0" applyAlignment="0" applyProtection="0"/>
    <xf numFmtId="0" fontId="20" fillId="49" borderId="47" applyNumberFormat="0" applyFont="0" applyAlignment="0" applyProtection="0"/>
    <xf numFmtId="0" fontId="38" fillId="33" borderId="45" applyNumberFormat="0" applyAlignment="0" applyProtection="0"/>
    <xf numFmtId="49" fontId="13" fillId="0" borderId="48" applyNumberFormat="0" applyFill="0" applyBorder="0" applyProtection="0">
      <alignment horizontal="left" vertical="center"/>
    </xf>
    <xf numFmtId="0" fontId="14" fillId="24" borderId="51">
      <alignment horizontal="left" vertical="center" wrapText="1" indent="2"/>
    </xf>
    <xf numFmtId="0" fontId="26" fillId="46" borderId="45" applyNumberFormat="0" applyAlignment="0" applyProtection="0"/>
    <xf numFmtId="0" fontId="14" fillId="0" borderId="51">
      <alignment horizontal="left" vertical="center" wrapText="1" indent="2"/>
    </xf>
    <xf numFmtId="0" fontId="20" fillId="49" borderId="47" applyNumberFormat="0" applyFont="0" applyAlignment="0" applyProtection="0"/>
    <xf numFmtId="0" fontId="11" fillId="49" borderId="47" applyNumberFormat="0" applyFont="0" applyAlignment="0" applyProtection="0"/>
    <xf numFmtId="0" fontId="42" fillId="46" borderId="44" applyNumberFormat="0" applyAlignment="0" applyProtection="0"/>
    <xf numFmtId="0" fontId="45" fillId="0" borderId="46" applyNumberFormat="0" applyFill="0" applyAlignment="0" applyProtection="0"/>
    <xf numFmtId="4" fontId="14" fillId="23" borderId="48"/>
    <xf numFmtId="0" fontId="10" fillId="24" borderId="48">
      <alignment horizontal="right" vertical="center"/>
    </xf>
    <xf numFmtId="0" fontId="45" fillId="0" borderId="46" applyNumberFormat="0" applyFill="0" applyAlignment="0" applyProtection="0"/>
    <xf numFmtId="4" fontId="10" fillId="24" borderId="50">
      <alignment horizontal="right" vertical="center"/>
    </xf>
    <xf numFmtId="0" fontId="25" fillId="46" borderId="45" applyNumberFormat="0" applyAlignment="0" applyProtection="0"/>
    <xf numFmtId="0" fontId="10" fillId="24" borderId="49">
      <alignment horizontal="right" vertical="center"/>
    </xf>
    <xf numFmtId="0" fontId="26" fillId="46" borderId="45" applyNumberFormat="0" applyAlignment="0" applyProtection="0"/>
    <xf numFmtId="0" fontId="30" fillId="0" borderId="46" applyNumberFormat="0" applyFill="0" applyAlignment="0" applyProtection="0"/>
    <xf numFmtId="0" fontId="20" fillId="49" borderId="47" applyNumberFormat="0" applyFont="0" applyAlignment="0" applyProtection="0"/>
    <xf numFmtId="4" fontId="10" fillId="24" borderId="49">
      <alignment horizontal="right" vertical="center"/>
    </xf>
    <xf numFmtId="0" fontId="14" fillId="24" borderId="51">
      <alignment horizontal="left" vertical="center" wrapText="1" indent="2"/>
    </xf>
    <xf numFmtId="0" fontId="14" fillId="23" borderId="48"/>
    <xf numFmtId="165" fontId="14" fillId="50" borderId="48" applyNumberFormat="0" applyFont="0" applyBorder="0" applyAlignment="0" applyProtection="0">
      <alignment horizontal="right" vertical="center"/>
    </xf>
    <xf numFmtId="0" fontId="14" fillId="0" borderId="48" applyNumberFormat="0" applyFill="0" applyAlignment="0" applyProtection="0"/>
    <xf numFmtId="4" fontId="14" fillId="0" borderId="48" applyFill="0" applyBorder="0" applyProtection="0">
      <alignment horizontal="right" vertical="center"/>
    </xf>
    <xf numFmtId="4" fontId="10" fillId="22" borderId="48">
      <alignment horizontal="right" vertical="center"/>
    </xf>
    <xf numFmtId="0" fontId="30" fillId="0" borderId="46" applyNumberFormat="0" applyFill="0" applyAlignment="0" applyProtection="0"/>
    <xf numFmtId="49" fontId="13" fillId="0" borderId="48" applyNumberFormat="0" applyFill="0" applyBorder="0" applyProtection="0">
      <alignment horizontal="left" vertical="center"/>
    </xf>
    <xf numFmtId="49" fontId="14" fillId="0" borderId="49" applyNumberFormat="0" applyFont="0" applyFill="0" applyBorder="0" applyProtection="0">
      <alignment horizontal="left" vertical="center" indent="5"/>
    </xf>
    <xf numFmtId="0" fontId="14" fillId="22" borderId="49">
      <alignment horizontal="left" vertical="center"/>
    </xf>
    <xf numFmtId="0" fontId="26" fillId="46" borderId="45" applyNumberFormat="0" applyAlignment="0" applyProtection="0"/>
    <xf numFmtId="4" fontId="10" fillId="24" borderId="50">
      <alignment horizontal="right" vertical="center"/>
    </xf>
    <xf numFmtId="0" fontId="38" fillId="33" borderId="45" applyNumberFormat="0" applyAlignment="0" applyProtection="0"/>
    <xf numFmtId="0" fontId="38" fillId="33" borderId="45" applyNumberFormat="0" applyAlignment="0" applyProtection="0"/>
    <xf numFmtId="0" fontId="20" fillId="49" borderId="47" applyNumberFormat="0" applyFont="0" applyAlignment="0" applyProtection="0"/>
    <xf numFmtId="0" fontId="42" fillId="46" borderId="44" applyNumberFormat="0" applyAlignment="0" applyProtection="0"/>
    <xf numFmtId="0" fontId="45" fillId="0" borderId="46" applyNumberFormat="0" applyFill="0" applyAlignment="0" applyProtection="0"/>
    <xf numFmtId="0" fontId="10" fillId="24" borderId="48">
      <alignment horizontal="right" vertical="center"/>
    </xf>
    <xf numFmtId="0" fontId="11" fillId="49" borderId="47" applyNumberFormat="0" applyFont="0" applyAlignment="0" applyProtection="0"/>
    <xf numFmtId="4" fontId="14" fillId="0" borderId="48">
      <alignment horizontal="right" vertical="center"/>
    </xf>
    <xf numFmtId="0" fontId="45" fillId="0" borderId="46" applyNumberFormat="0" applyFill="0" applyAlignment="0" applyProtection="0"/>
    <xf numFmtId="0" fontId="10" fillId="24" borderId="48">
      <alignment horizontal="right" vertical="center"/>
    </xf>
    <xf numFmtId="0" fontId="10" fillId="24" borderId="48">
      <alignment horizontal="right" vertical="center"/>
    </xf>
    <xf numFmtId="4" fontId="16" fillId="22" borderId="48">
      <alignment horizontal="right" vertical="center"/>
    </xf>
    <xf numFmtId="0" fontId="10" fillId="22" borderId="48">
      <alignment horizontal="right" vertical="center"/>
    </xf>
    <xf numFmtId="4" fontId="10" fillId="22" borderId="48">
      <alignment horizontal="right" vertical="center"/>
    </xf>
    <xf numFmtId="0" fontId="16" fillId="22" borderId="48">
      <alignment horizontal="right" vertical="center"/>
    </xf>
    <xf numFmtId="4" fontId="16" fillId="22" borderId="48">
      <alignment horizontal="right" vertical="center"/>
    </xf>
    <xf numFmtId="0" fontId="10" fillId="24" borderId="48">
      <alignment horizontal="right" vertical="center"/>
    </xf>
    <xf numFmtId="4" fontId="10" fillId="24" borderId="48">
      <alignment horizontal="right" vertical="center"/>
    </xf>
    <xf numFmtId="0" fontId="10" fillId="24" borderId="48">
      <alignment horizontal="right" vertical="center"/>
    </xf>
    <xf numFmtId="4" fontId="10" fillId="24" borderId="48">
      <alignment horizontal="right" vertical="center"/>
    </xf>
    <xf numFmtId="0" fontId="10" fillId="24" borderId="49">
      <alignment horizontal="right" vertical="center"/>
    </xf>
    <xf numFmtId="4" fontId="10" fillId="24" borderId="49">
      <alignment horizontal="right" vertical="center"/>
    </xf>
    <xf numFmtId="0" fontId="10" fillId="24" borderId="50">
      <alignment horizontal="right" vertical="center"/>
    </xf>
    <xf numFmtId="4" fontId="10" fillId="24" borderId="50">
      <alignment horizontal="right" vertical="center"/>
    </xf>
    <xf numFmtId="0" fontId="26" fillId="46" borderId="45" applyNumberFormat="0" applyAlignment="0" applyProtection="0"/>
    <xf numFmtId="0" fontId="14" fillId="24" borderId="51">
      <alignment horizontal="left" vertical="center" wrapText="1" indent="2"/>
    </xf>
    <xf numFmtId="0" fontId="14" fillId="0" borderId="51">
      <alignment horizontal="left" vertical="center" wrapText="1" indent="2"/>
    </xf>
    <xf numFmtId="0" fontId="14" fillId="22" borderId="49">
      <alignment horizontal="left" vertical="center"/>
    </xf>
    <xf numFmtId="0" fontId="38" fillId="33" borderId="45" applyNumberFormat="0" applyAlignment="0" applyProtection="0"/>
    <xf numFmtId="0" fontId="14" fillId="0" borderId="48">
      <alignment horizontal="right" vertical="center"/>
    </xf>
    <xf numFmtId="4" fontId="14" fillId="0" borderId="48">
      <alignment horizontal="right" vertical="center"/>
    </xf>
    <xf numFmtId="0" fontId="14" fillId="0" borderId="48" applyNumberFormat="0" applyFill="0" applyAlignment="0" applyProtection="0"/>
    <xf numFmtId="0" fontId="42" fillId="46" borderId="44" applyNumberFormat="0" applyAlignment="0" applyProtection="0"/>
    <xf numFmtId="165" fontId="14" fillId="50" borderId="48" applyNumberFormat="0" applyFont="0" applyBorder="0" applyAlignment="0" applyProtection="0">
      <alignment horizontal="right" vertical="center"/>
    </xf>
    <xf numFmtId="0" fontId="14" fillId="23" borderId="48"/>
    <xf numFmtId="4" fontId="14" fillId="23" borderId="48"/>
    <xf numFmtId="0" fontId="45" fillId="0" borderId="46" applyNumberFormat="0" applyFill="0" applyAlignment="0" applyProtection="0"/>
    <xf numFmtId="0" fontId="11" fillId="49" borderId="47" applyNumberFormat="0" applyFont="0" applyAlignment="0" applyProtection="0"/>
    <xf numFmtId="0" fontId="20" fillId="49" borderId="47" applyNumberFormat="0" applyFont="0" applyAlignment="0" applyProtection="0"/>
    <xf numFmtId="0" fontId="14" fillId="0" borderId="48" applyNumberFormat="0" applyFill="0" applyAlignment="0" applyProtection="0"/>
    <xf numFmtId="0" fontId="30" fillId="0" borderId="46" applyNumberFormat="0" applyFill="0" applyAlignment="0" applyProtection="0"/>
    <xf numFmtId="0" fontId="45" fillId="0" borderId="46" applyNumberFormat="0" applyFill="0" applyAlignment="0" applyProtection="0"/>
    <xf numFmtId="0" fontId="29" fillId="33" borderId="45" applyNumberFormat="0" applyAlignment="0" applyProtection="0"/>
    <xf numFmtId="0" fontId="26" fillId="46" borderId="45" applyNumberFormat="0" applyAlignment="0" applyProtection="0"/>
    <xf numFmtId="4" fontId="16" fillId="22" borderId="48">
      <alignment horizontal="right" vertical="center"/>
    </xf>
    <xf numFmtId="0" fontId="10" fillId="22" borderId="48">
      <alignment horizontal="right" vertical="center"/>
    </xf>
    <xf numFmtId="165" fontId="14" fillId="50" borderId="48" applyNumberFormat="0" applyFont="0" applyBorder="0" applyAlignment="0" applyProtection="0">
      <alignment horizontal="right" vertical="center"/>
    </xf>
    <xf numFmtId="0" fontId="30" fillId="0" borderId="46" applyNumberFormat="0" applyFill="0" applyAlignment="0" applyProtection="0"/>
    <xf numFmtId="49" fontId="14" fillId="0" borderId="48" applyNumberFormat="0" applyFont="0" applyFill="0" applyBorder="0" applyProtection="0">
      <alignment horizontal="left" vertical="center" indent="2"/>
    </xf>
    <xf numFmtId="49" fontId="14" fillId="0" borderId="49" applyNumberFormat="0" applyFont="0" applyFill="0" applyBorder="0" applyProtection="0">
      <alignment horizontal="left" vertical="center" indent="5"/>
    </xf>
    <xf numFmtId="49" fontId="14" fillId="0" borderId="48" applyNumberFormat="0" applyFont="0" applyFill="0" applyBorder="0" applyProtection="0">
      <alignment horizontal="left" vertical="center" indent="2"/>
    </xf>
    <xf numFmtId="4" fontId="14" fillId="0" borderId="48" applyFill="0" applyBorder="0" applyProtection="0">
      <alignment horizontal="right" vertical="center"/>
    </xf>
    <xf numFmtId="49" fontId="13" fillId="0" borderId="48" applyNumberFormat="0" applyFill="0" applyBorder="0" applyProtection="0">
      <alignment horizontal="left" vertical="center"/>
    </xf>
    <xf numFmtId="0" fontId="14" fillId="0" borderId="51">
      <alignment horizontal="left" vertical="center" wrapText="1" indent="2"/>
    </xf>
    <xf numFmtId="0" fontId="42" fillId="46" borderId="44" applyNumberFormat="0" applyAlignment="0" applyProtection="0"/>
    <xf numFmtId="0" fontId="10" fillId="24" borderId="50">
      <alignment horizontal="right" vertical="center"/>
    </xf>
    <xf numFmtId="0" fontId="29" fillId="33" borderId="45" applyNumberFormat="0" applyAlignment="0" applyProtection="0"/>
    <xf numFmtId="0" fontId="10" fillId="24" borderId="50">
      <alignment horizontal="right" vertical="center"/>
    </xf>
    <xf numFmtId="4" fontId="10" fillId="24" borderId="48">
      <alignment horizontal="right" vertical="center"/>
    </xf>
    <xf numFmtId="0" fontId="10" fillId="24" borderId="48">
      <alignment horizontal="right" vertical="center"/>
    </xf>
    <xf numFmtId="0" fontId="23" fillId="46" borderId="44" applyNumberFormat="0" applyAlignment="0" applyProtection="0"/>
    <xf numFmtId="0" fontId="25" fillId="46" borderId="45" applyNumberFormat="0" applyAlignment="0" applyProtection="0"/>
    <xf numFmtId="0" fontId="30" fillId="0" borderId="46" applyNumberFormat="0" applyFill="0" applyAlignment="0" applyProtection="0"/>
    <xf numFmtId="0" fontId="14" fillId="23" borderId="48"/>
    <xf numFmtId="4" fontId="14" fillId="23" borderId="48"/>
    <xf numFmtId="4" fontId="10" fillId="24" borderId="48">
      <alignment horizontal="right" vertical="center"/>
    </xf>
    <xf numFmtId="0" fontId="16" fillId="22" borderId="48">
      <alignment horizontal="right" vertical="center"/>
    </xf>
    <xf numFmtId="0" fontId="29" fillId="33" borderId="45" applyNumberFormat="0" applyAlignment="0" applyProtection="0"/>
    <xf numFmtId="0" fontId="26" fillId="46" borderId="45" applyNumberFormat="0" applyAlignment="0" applyProtection="0"/>
    <xf numFmtId="4" fontId="14" fillId="0" borderId="48">
      <alignment horizontal="right" vertical="center"/>
    </xf>
    <xf numFmtId="0" fontId="14" fillId="24" borderId="51">
      <alignment horizontal="left" vertical="center" wrapText="1" indent="2"/>
    </xf>
    <xf numFmtId="0" fontId="14" fillId="0" borderId="51">
      <alignment horizontal="left" vertical="center" wrapText="1" indent="2"/>
    </xf>
    <xf numFmtId="0" fontId="42" fillId="46" borderId="44" applyNumberFormat="0" applyAlignment="0" applyProtection="0"/>
    <xf numFmtId="0" fontId="38" fillId="33" borderId="45" applyNumberFormat="0" applyAlignment="0" applyProtection="0"/>
    <xf numFmtId="0" fontId="25" fillId="46" borderId="45" applyNumberFormat="0" applyAlignment="0" applyProtection="0"/>
    <xf numFmtId="0" fontId="23" fillId="46" borderId="44" applyNumberFormat="0" applyAlignment="0" applyProtection="0"/>
    <xf numFmtId="0" fontId="10" fillId="24" borderId="50">
      <alignment horizontal="right" vertical="center"/>
    </xf>
    <xf numFmtId="0" fontId="16" fillId="22" borderId="48">
      <alignment horizontal="right" vertical="center"/>
    </xf>
    <xf numFmtId="4" fontId="10" fillId="22" borderId="48">
      <alignment horizontal="right" vertical="center"/>
    </xf>
    <xf numFmtId="4" fontId="10" fillId="24" borderId="48">
      <alignment horizontal="right" vertical="center"/>
    </xf>
    <xf numFmtId="49" fontId="14" fillId="0" borderId="49" applyNumberFormat="0" applyFont="0" applyFill="0" applyBorder="0" applyProtection="0">
      <alignment horizontal="left" vertical="center" indent="5"/>
    </xf>
    <xf numFmtId="4" fontId="14" fillId="0" borderId="48" applyFill="0" applyBorder="0" applyProtection="0">
      <alignment horizontal="right" vertical="center"/>
    </xf>
    <xf numFmtId="4" fontId="10" fillId="22" borderId="48">
      <alignment horizontal="right" vertical="center"/>
    </xf>
    <xf numFmtId="0" fontId="26" fillId="46" borderId="69" applyNumberFormat="0" applyAlignment="0" applyProtection="0"/>
    <xf numFmtId="0" fontId="38" fillId="33" borderId="45" applyNumberFormat="0" applyAlignment="0" applyProtection="0"/>
    <xf numFmtId="0" fontId="29" fillId="33" borderId="45" applyNumberFormat="0" applyAlignment="0" applyProtection="0"/>
    <xf numFmtId="0" fontId="25" fillId="46" borderId="45" applyNumberFormat="0" applyAlignment="0" applyProtection="0"/>
    <xf numFmtId="0" fontId="14" fillId="24" borderId="51">
      <alignment horizontal="left" vertical="center" wrapText="1" indent="2"/>
    </xf>
    <xf numFmtId="0" fontId="14" fillId="0" borderId="51">
      <alignment horizontal="left" vertical="center" wrapText="1" indent="2"/>
    </xf>
    <xf numFmtId="0" fontId="14" fillId="24" borderId="51">
      <alignment horizontal="left" vertical="center" wrapText="1" indent="2"/>
    </xf>
    <xf numFmtId="0" fontId="14" fillId="0" borderId="51">
      <alignment horizontal="left" vertical="center" wrapText="1" indent="2"/>
    </xf>
    <xf numFmtId="0" fontId="23" fillId="46" borderId="44" applyNumberFormat="0" applyAlignment="0" applyProtection="0"/>
    <xf numFmtId="0" fontId="25" fillId="46" borderId="45" applyNumberFormat="0" applyAlignment="0" applyProtection="0"/>
    <xf numFmtId="0" fontId="26" fillId="46" borderId="45" applyNumberFormat="0" applyAlignment="0" applyProtection="0"/>
    <xf numFmtId="0" fontId="29" fillId="33" borderId="45" applyNumberFormat="0" applyAlignment="0" applyProtection="0"/>
    <xf numFmtId="0" fontId="30" fillId="0" borderId="46" applyNumberFormat="0" applyFill="0" applyAlignment="0" applyProtection="0"/>
    <xf numFmtId="0" fontId="38" fillId="33" borderId="45" applyNumberFormat="0" applyAlignment="0" applyProtection="0"/>
    <xf numFmtId="0" fontId="20" fillId="49" borderId="47" applyNumberFormat="0" applyFont="0" applyAlignment="0" applyProtection="0"/>
    <xf numFmtId="0" fontId="11" fillId="49" borderId="47" applyNumberFormat="0" applyFont="0" applyAlignment="0" applyProtection="0"/>
    <xf numFmtId="0" fontId="42" fillId="46" borderId="44" applyNumberFormat="0" applyAlignment="0" applyProtection="0"/>
    <xf numFmtId="0" fontId="45" fillId="0" borderId="46" applyNumberFormat="0" applyFill="0" applyAlignment="0" applyProtection="0"/>
    <xf numFmtId="0" fontId="26" fillId="46" borderId="45" applyNumberFormat="0" applyAlignment="0" applyProtection="0"/>
    <xf numFmtId="0" fontId="38" fillId="33" borderId="45" applyNumberFormat="0" applyAlignment="0" applyProtection="0"/>
    <xf numFmtId="0" fontId="20" fillId="49" borderId="47" applyNumberFormat="0" applyFont="0" applyAlignment="0" applyProtection="0"/>
    <xf numFmtId="0" fontId="42" fillId="46" borderId="44" applyNumberFormat="0" applyAlignment="0" applyProtection="0"/>
    <xf numFmtId="0" fontId="45" fillId="0" borderId="46" applyNumberFormat="0" applyFill="0" applyAlignment="0" applyProtection="0"/>
    <xf numFmtId="0" fontId="10" fillId="24" borderId="41">
      <alignment horizontal="right" vertical="center"/>
    </xf>
    <xf numFmtId="4" fontId="10" fillId="24" borderId="41">
      <alignment horizontal="right" vertical="center"/>
    </xf>
    <xf numFmtId="0" fontId="10" fillId="24" borderId="42">
      <alignment horizontal="right" vertical="center"/>
    </xf>
    <xf numFmtId="4" fontId="10" fillId="24" borderId="42">
      <alignment horizontal="right" vertical="center"/>
    </xf>
    <xf numFmtId="0" fontId="26" fillId="46" borderId="45" applyNumberFormat="0" applyAlignment="0" applyProtection="0"/>
    <xf numFmtId="0" fontId="14" fillId="24" borderId="43">
      <alignment horizontal="left" vertical="center" wrapText="1" indent="2"/>
    </xf>
    <xf numFmtId="0" fontId="14" fillId="0" borderId="43">
      <alignment horizontal="left" vertical="center" wrapText="1" indent="2"/>
    </xf>
    <xf numFmtId="0" fontId="14" fillId="22" borderId="41">
      <alignment horizontal="left" vertical="center"/>
    </xf>
    <xf numFmtId="0" fontId="38" fillId="33" borderId="45" applyNumberFormat="0" applyAlignment="0" applyProtection="0"/>
    <xf numFmtId="0" fontId="42" fillId="46" borderId="44" applyNumberFormat="0" applyAlignment="0" applyProtection="0"/>
    <xf numFmtId="0" fontId="45" fillId="0" borderId="46" applyNumberFormat="0" applyFill="0" applyAlignment="0" applyProtection="0"/>
    <xf numFmtId="49" fontId="14" fillId="0" borderId="41" applyNumberFormat="0" applyFont="0" applyFill="0" applyBorder="0" applyProtection="0">
      <alignment horizontal="left" vertical="center" indent="5"/>
    </xf>
    <xf numFmtId="0" fontId="23" fillId="46" borderId="44" applyNumberFormat="0" applyAlignment="0" applyProtection="0"/>
    <xf numFmtId="0" fontId="25" fillId="46" borderId="45" applyNumberFormat="0" applyAlignment="0" applyProtection="0"/>
    <xf numFmtId="0" fontId="30" fillId="0" borderId="46" applyNumberFormat="0" applyFill="0" applyAlignment="0" applyProtection="0"/>
    <xf numFmtId="49" fontId="14" fillId="0" borderId="48" applyNumberFormat="0" applyFont="0" applyFill="0" applyBorder="0" applyProtection="0">
      <alignment horizontal="left" vertical="center" indent="2"/>
    </xf>
    <xf numFmtId="0" fontId="10" fillId="22" borderId="48">
      <alignment horizontal="right" vertical="center"/>
    </xf>
    <xf numFmtId="4" fontId="10" fillId="22" borderId="48">
      <alignment horizontal="right" vertical="center"/>
    </xf>
    <xf numFmtId="0" fontId="16" fillId="22" borderId="48">
      <alignment horizontal="right" vertical="center"/>
    </xf>
    <xf numFmtId="4" fontId="16" fillId="22" borderId="48">
      <alignment horizontal="right" vertical="center"/>
    </xf>
    <xf numFmtId="0" fontId="10" fillId="24" borderId="48">
      <alignment horizontal="right" vertical="center"/>
    </xf>
    <xf numFmtId="4" fontId="10" fillId="24" borderId="48">
      <alignment horizontal="right" vertical="center"/>
    </xf>
    <xf numFmtId="0" fontId="10" fillId="24" borderId="48">
      <alignment horizontal="right" vertical="center"/>
    </xf>
    <xf numFmtId="4" fontId="10" fillId="24" borderId="48">
      <alignment horizontal="right" vertical="center"/>
    </xf>
    <xf numFmtId="0" fontId="29" fillId="33" borderId="45" applyNumberFormat="0" applyAlignment="0" applyProtection="0"/>
    <xf numFmtId="0" fontId="14" fillId="0" borderId="48">
      <alignment horizontal="right" vertical="center"/>
    </xf>
    <xf numFmtId="4" fontId="14" fillId="0" borderId="48">
      <alignment horizontal="right" vertical="center"/>
    </xf>
    <xf numFmtId="4" fontId="14" fillId="0" borderId="48" applyFill="0" applyBorder="0" applyProtection="0">
      <alignment horizontal="right" vertical="center"/>
    </xf>
    <xf numFmtId="49" fontId="13" fillId="0" borderId="48" applyNumberFormat="0" applyFill="0" applyBorder="0" applyProtection="0">
      <alignment horizontal="left" vertical="center"/>
    </xf>
    <xf numFmtId="0" fontId="14" fillId="0" borderId="48" applyNumberFormat="0" applyFill="0" applyAlignment="0" applyProtection="0"/>
    <xf numFmtId="165" fontId="14" fillId="50" borderId="48" applyNumberFormat="0" applyFont="0" applyBorder="0" applyAlignment="0" applyProtection="0">
      <alignment horizontal="right" vertical="center"/>
    </xf>
    <xf numFmtId="0" fontId="14" fillId="23" borderId="48"/>
    <xf numFmtId="4" fontId="14" fillId="23" borderId="48"/>
    <xf numFmtId="4" fontId="10" fillId="24" borderId="48">
      <alignment horizontal="right" vertical="center"/>
    </xf>
    <xf numFmtId="0" fontId="14" fillId="23" borderId="48"/>
    <xf numFmtId="0" fontId="25" fillId="46" borderId="45" applyNumberFormat="0" applyAlignment="0" applyProtection="0"/>
    <xf numFmtId="0" fontId="10" fillId="22" borderId="48">
      <alignment horizontal="right" vertical="center"/>
    </xf>
    <xf numFmtId="0" fontId="14" fillId="0" borderId="48">
      <alignment horizontal="right" vertical="center"/>
    </xf>
    <xf numFmtId="0" fontId="45" fillId="0" borderId="46" applyNumberFormat="0" applyFill="0" applyAlignment="0" applyProtection="0"/>
    <xf numFmtId="0" fontId="14" fillId="22" borderId="49">
      <alignment horizontal="left" vertical="center"/>
    </xf>
    <xf numFmtId="0" fontId="38" fillId="33" borderId="45" applyNumberFormat="0" applyAlignment="0" applyProtection="0"/>
    <xf numFmtId="165" fontId="14" fillId="50" borderId="48" applyNumberFormat="0" applyFont="0" applyBorder="0" applyAlignment="0" applyProtection="0">
      <alignment horizontal="right" vertical="center"/>
    </xf>
    <xf numFmtId="0" fontId="20" fillId="49" borderId="47" applyNumberFormat="0" applyFont="0" applyAlignment="0" applyProtection="0"/>
    <xf numFmtId="0" fontId="14" fillId="0" borderId="51">
      <alignment horizontal="left" vertical="center" wrapText="1" indent="2"/>
    </xf>
    <xf numFmtId="4" fontId="14" fillId="23" borderId="48"/>
    <xf numFmtId="49" fontId="13" fillId="0" borderId="48" applyNumberFormat="0" applyFill="0" applyBorder="0" applyProtection="0">
      <alignment horizontal="left" vertical="center"/>
    </xf>
    <xf numFmtId="0" fontId="14" fillId="0" borderId="48">
      <alignment horizontal="right" vertical="center"/>
    </xf>
    <xf numFmtId="4" fontId="10" fillId="24" borderId="50">
      <alignment horizontal="right" vertical="center"/>
    </xf>
    <xf numFmtId="4" fontId="10" fillId="24" borderId="48">
      <alignment horizontal="right" vertical="center"/>
    </xf>
    <xf numFmtId="4" fontId="10" fillId="24" borderId="48">
      <alignment horizontal="right" vertical="center"/>
    </xf>
    <xf numFmtId="0" fontId="16" fillId="22" borderId="48">
      <alignment horizontal="right" vertical="center"/>
    </xf>
    <xf numFmtId="0" fontId="10" fillId="22" borderId="48">
      <alignment horizontal="right" vertical="center"/>
    </xf>
    <xf numFmtId="49" fontId="14" fillId="0" borderId="48" applyNumberFormat="0" applyFont="0" applyFill="0" applyBorder="0" applyProtection="0">
      <alignment horizontal="left" vertical="center" indent="2"/>
    </xf>
    <xf numFmtId="0" fontId="38" fillId="33" borderId="45" applyNumberFormat="0" applyAlignment="0" applyProtection="0"/>
    <xf numFmtId="0" fontId="23" fillId="46" borderId="44" applyNumberFormat="0" applyAlignment="0" applyProtection="0"/>
    <xf numFmtId="49" fontId="14" fillId="0" borderId="48" applyNumberFormat="0" applyFont="0" applyFill="0" applyBorder="0" applyProtection="0">
      <alignment horizontal="left" vertical="center" indent="2"/>
    </xf>
    <xf numFmtId="0" fontId="29" fillId="33" borderId="45" applyNumberFormat="0" applyAlignment="0" applyProtection="0"/>
    <xf numFmtId="4" fontId="14" fillId="0" borderId="48" applyFill="0" applyBorder="0" applyProtection="0">
      <alignment horizontal="right" vertical="center"/>
    </xf>
    <xf numFmtId="0" fontId="26" fillId="46" borderId="45" applyNumberFormat="0" applyAlignment="0" applyProtection="0"/>
    <xf numFmtId="0" fontId="45" fillId="0" borderId="46" applyNumberFormat="0" applyFill="0" applyAlignment="0" applyProtection="0"/>
    <xf numFmtId="0" fontId="42" fillId="46" borderId="44" applyNumberFormat="0" applyAlignment="0" applyProtection="0"/>
    <xf numFmtId="0" fontId="14" fillId="0" borderId="48" applyNumberFormat="0" applyFill="0" applyAlignment="0" applyProtection="0"/>
    <xf numFmtId="4" fontId="14" fillId="0" borderId="48">
      <alignment horizontal="right" vertical="center"/>
    </xf>
    <xf numFmtId="0" fontId="14" fillId="0" borderId="48">
      <alignment horizontal="right" vertical="center"/>
    </xf>
    <xf numFmtId="0" fontId="38" fillId="33" borderId="45" applyNumberFormat="0" applyAlignment="0" applyProtection="0"/>
    <xf numFmtId="0" fontId="23" fillId="46" borderId="44" applyNumberFormat="0" applyAlignment="0" applyProtection="0"/>
    <xf numFmtId="0" fontId="25" fillId="46" borderId="45" applyNumberFormat="0" applyAlignment="0" applyProtection="0"/>
    <xf numFmtId="0" fontId="14" fillId="24" borderId="51">
      <alignment horizontal="left" vertical="center" wrapText="1" indent="2"/>
    </xf>
    <xf numFmtId="0" fontId="26" fillId="46" borderId="45" applyNumberFormat="0" applyAlignment="0" applyProtection="0"/>
    <xf numFmtId="0" fontId="26" fillId="46" borderId="45" applyNumberFormat="0" applyAlignment="0" applyProtection="0"/>
    <xf numFmtId="4" fontId="10" fillId="24" borderId="49">
      <alignment horizontal="right" vertical="center"/>
    </xf>
    <xf numFmtId="0" fontId="10" fillId="24" borderId="49">
      <alignment horizontal="right" vertical="center"/>
    </xf>
    <xf numFmtId="0" fontId="10" fillId="24" borderId="48">
      <alignment horizontal="right" vertical="center"/>
    </xf>
    <xf numFmtId="4" fontId="16" fillId="22" borderId="48">
      <alignment horizontal="right" vertical="center"/>
    </xf>
    <xf numFmtId="0" fontId="29" fillId="33" borderId="45" applyNumberFormat="0" applyAlignment="0" applyProtection="0"/>
    <xf numFmtId="0" fontId="30" fillId="0" borderId="46" applyNumberFormat="0" applyFill="0" applyAlignment="0" applyProtection="0"/>
    <xf numFmtId="0" fontId="45" fillId="0" borderId="46" applyNumberFormat="0" applyFill="0" applyAlignment="0" applyProtection="0"/>
    <xf numFmtId="0" fontId="20" fillId="49" borderId="47" applyNumberFormat="0" applyFont="0" applyAlignment="0" applyProtection="0"/>
    <xf numFmtId="0" fontId="38" fillId="33" borderId="45" applyNumberFormat="0" applyAlignment="0" applyProtection="0"/>
    <xf numFmtId="49" fontId="13" fillId="0" borderId="48" applyNumberFormat="0" applyFill="0" applyBorder="0" applyProtection="0">
      <alignment horizontal="left" vertical="center"/>
    </xf>
    <xf numFmtId="0" fontId="14" fillId="24" borderId="51">
      <alignment horizontal="left" vertical="center" wrapText="1" indent="2"/>
    </xf>
    <xf numFmtId="0" fontId="26" fillId="46" borderId="45" applyNumberFormat="0" applyAlignment="0" applyProtection="0"/>
    <xf numFmtId="0" fontId="14" fillId="0" borderId="51">
      <alignment horizontal="left" vertical="center" wrapText="1" indent="2"/>
    </xf>
    <xf numFmtId="0" fontId="20" fillId="49" borderId="47" applyNumberFormat="0" applyFont="0" applyAlignment="0" applyProtection="0"/>
    <xf numFmtId="0" fontId="11" fillId="49" borderId="47" applyNumberFormat="0" applyFont="0" applyAlignment="0" applyProtection="0"/>
    <xf numFmtId="0" fontId="42" fillId="46" borderId="44" applyNumberFormat="0" applyAlignment="0" applyProtection="0"/>
    <xf numFmtId="0" fontId="45" fillId="0" borderId="46" applyNumberFormat="0" applyFill="0" applyAlignment="0" applyProtection="0"/>
    <xf numFmtId="4" fontId="14" fillId="23" borderId="48"/>
    <xf numFmtId="0" fontId="10" fillId="24" borderId="48">
      <alignment horizontal="right" vertical="center"/>
    </xf>
    <xf numFmtId="0" fontId="45" fillId="0" borderId="46" applyNumberFormat="0" applyFill="0" applyAlignment="0" applyProtection="0"/>
    <xf numFmtId="4" fontId="10" fillId="24" borderId="50">
      <alignment horizontal="right" vertical="center"/>
    </xf>
    <xf numFmtId="0" fontId="25" fillId="46" borderId="45" applyNumberFormat="0" applyAlignment="0" applyProtection="0"/>
    <xf numFmtId="0" fontId="10" fillId="24" borderId="49">
      <alignment horizontal="right" vertical="center"/>
    </xf>
    <xf numFmtId="0" fontId="26" fillId="46" borderId="45" applyNumberFormat="0" applyAlignment="0" applyProtection="0"/>
    <xf numFmtId="0" fontId="30" fillId="0" borderId="46" applyNumberFormat="0" applyFill="0" applyAlignment="0" applyProtection="0"/>
    <xf numFmtId="0" fontId="20" fillId="49" borderId="47" applyNumberFormat="0" applyFont="0" applyAlignment="0" applyProtection="0"/>
    <xf numFmtId="4" fontId="10" fillId="24" borderId="49">
      <alignment horizontal="right" vertical="center"/>
    </xf>
    <xf numFmtId="0" fontId="14" fillId="24" borderId="51">
      <alignment horizontal="left" vertical="center" wrapText="1" indent="2"/>
    </xf>
    <xf numFmtId="0" fontId="14" fillId="23" borderId="48"/>
    <xf numFmtId="165" fontId="14" fillId="50" borderId="48" applyNumberFormat="0" applyFont="0" applyBorder="0" applyAlignment="0" applyProtection="0">
      <alignment horizontal="right" vertical="center"/>
    </xf>
    <xf numFmtId="0" fontId="14" fillId="0" borderId="48" applyNumberFormat="0" applyFill="0" applyAlignment="0" applyProtection="0"/>
    <xf numFmtId="4" fontId="14" fillId="0" borderId="48" applyFill="0" applyBorder="0" applyProtection="0">
      <alignment horizontal="right" vertical="center"/>
    </xf>
    <xf numFmtId="4" fontId="10" fillId="22" borderId="48">
      <alignment horizontal="right" vertical="center"/>
    </xf>
    <xf numFmtId="0" fontId="30" fillId="0" borderId="46" applyNumberFormat="0" applyFill="0" applyAlignment="0" applyProtection="0"/>
    <xf numFmtId="49" fontId="13" fillId="0" borderId="48" applyNumberFormat="0" applyFill="0" applyBorder="0" applyProtection="0">
      <alignment horizontal="left" vertical="center"/>
    </xf>
    <xf numFmtId="49" fontId="14" fillId="0" borderId="49" applyNumberFormat="0" applyFont="0" applyFill="0" applyBorder="0" applyProtection="0">
      <alignment horizontal="left" vertical="center" indent="5"/>
    </xf>
    <xf numFmtId="0" fontId="14" fillId="22" borderId="49">
      <alignment horizontal="left" vertical="center"/>
    </xf>
    <xf numFmtId="0" fontId="26" fillId="46" borderId="45" applyNumberFormat="0" applyAlignment="0" applyProtection="0"/>
    <xf numFmtId="4" fontId="10" fillId="24" borderId="50">
      <alignment horizontal="right" vertical="center"/>
    </xf>
    <xf numFmtId="0" fontId="38" fillId="33" borderId="45" applyNumberFormat="0" applyAlignment="0" applyProtection="0"/>
    <xf numFmtId="0" fontId="38" fillId="33" borderId="45" applyNumberFormat="0" applyAlignment="0" applyProtection="0"/>
    <xf numFmtId="0" fontId="20" fillId="49" borderId="47" applyNumberFormat="0" applyFont="0" applyAlignment="0" applyProtection="0"/>
    <xf numFmtId="0" fontId="42" fillId="46" borderId="44" applyNumberFormat="0" applyAlignment="0" applyProtection="0"/>
    <xf numFmtId="0" fontId="45" fillId="0" borderId="46" applyNumberFormat="0" applyFill="0" applyAlignment="0" applyProtection="0"/>
    <xf numFmtId="0" fontId="10" fillId="24" borderId="48">
      <alignment horizontal="right" vertical="center"/>
    </xf>
    <xf numFmtId="0" fontId="11" fillId="49" borderId="47" applyNumberFormat="0" applyFont="0" applyAlignment="0" applyProtection="0"/>
    <xf numFmtId="4" fontId="14" fillId="0" borderId="48">
      <alignment horizontal="right" vertical="center"/>
    </xf>
    <xf numFmtId="0" fontId="45" fillId="0" borderId="46" applyNumberFormat="0" applyFill="0" applyAlignment="0" applyProtection="0"/>
    <xf numFmtId="0" fontId="10" fillId="24" borderId="48">
      <alignment horizontal="right" vertical="center"/>
    </xf>
    <xf numFmtId="0" fontId="10" fillId="24" borderId="48">
      <alignment horizontal="right" vertical="center"/>
    </xf>
    <xf numFmtId="4" fontId="16" fillId="22" borderId="48">
      <alignment horizontal="right" vertical="center"/>
    </xf>
    <xf numFmtId="0" fontId="10" fillId="22" borderId="48">
      <alignment horizontal="right" vertical="center"/>
    </xf>
    <xf numFmtId="4" fontId="10" fillId="22" borderId="48">
      <alignment horizontal="right" vertical="center"/>
    </xf>
    <xf numFmtId="0" fontId="16" fillId="22" borderId="48">
      <alignment horizontal="right" vertical="center"/>
    </xf>
    <xf numFmtId="4" fontId="16" fillId="22" borderId="48">
      <alignment horizontal="right" vertical="center"/>
    </xf>
    <xf numFmtId="0" fontId="10" fillId="24" borderId="48">
      <alignment horizontal="right" vertical="center"/>
    </xf>
    <xf numFmtId="4" fontId="10" fillId="24" borderId="48">
      <alignment horizontal="right" vertical="center"/>
    </xf>
    <xf numFmtId="0" fontId="10" fillId="24" borderId="48">
      <alignment horizontal="right" vertical="center"/>
    </xf>
    <xf numFmtId="4" fontId="10" fillId="24" borderId="48">
      <alignment horizontal="right" vertical="center"/>
    </xf>
    <xf numFmtId="0" fontId="10" fillId="24" borderId="49">
      <alignment horizontal="right" vertical="center"/>
    </xf>
    <xf numFmtId="4" fontId="10" fillId="24" borderId="49">
      <alignment horizontal="right" vertical="center"/>
    </xf>
    <xf numFmtId="0" fontId="10" fillId="24" borderId="50">
      <alignment horizontal="right" vertical="center"/>
    </xf>
    <xf numFmtId="4" fontId="10" fillId="24" borderId="50">
      <alignment horizontal="right" vertical="center"/>
    </xf>
    <xf numFmtId="0" fontId="26" fillId="46" borderId="45" applyNumberFormat="0" applyAlignment="0" applyProtection="0"/>
    <xf numFmtId="0" fontId="14" fillId="24" borderId="51">
      <alignment horizontal="left" vertical="center" wrapText="1" indent="2"/>
    </xf>
    <xf numFmtId="0" fontId="14" fillId="0" borderId="51">
      <alignment horizontal="left" vertical="center" wrapText="1" indent="2"/>
    </xf>
    <xf numFmtId="0" fontId="14" fillId="22" borderId="49">
      <alignment horizontal="left" vertical="center"/>
    </xf>
    <xf numFmtId="0" fontId="38" fillId="33" borderId="45" applyNumberFormat="0" applyAlignment="0" applyProtection="0"/>
    <xf numFmtId="0" fontId="14" fillId="0" borderId="48">
      <alignment horizontal="right" vertical="center"/>
    </xf>
    <xf numFmtId="4" fontId="14" fillId="0" borderId="48">
      <alignment horizontal="right" vertical="center"/>
    </xf>
    <xf numFmtId="0" fontId="14" fillId="0" borderId="48" applyNumberFormat="0" applyFill="0" applyAlignment="0" applyProtection="0"/>
    <xf numFmtId="0" fontId="42" fillId="46" borderId="44" applyNumberFormat="0" applyAlignment="0" applyProtection="0"/>
    <xf numFmtId="165" fontId="14" fillId="50" borderId="48" applyNumberFormat="0" applyFont="0" applyBorder="0" applyAlignment="0" applyProtection="0">
      <alignment horizontal="right" vertical="center"/>
    </xf>
    <xf numFmtId="0" fontId="14" fillId="23" borderId="48"/>
    <xf numFmtId="4" fontId="14" fillId="23" borderId="48"/>
    <xf numFmtId="0" fontId="45" fillId="0" borderId="46" applyNumberFormat="0" applyFill="0" applyAlignment="0" applyProtection="0"/>
    <xf numFmtId="0" fontId="11" fillId="49" borderId="47" applyNumberFormat="0" applyFont="0" applyAlignment="0" applyProtection="0"/>
    <xf numFmtId="0" fontId="20" fillId="49" borderId="47" applyNumberFormat="0" applyFont="0" applyAlignment="0" applyProtection="0"/>
    <xf numFmtId="0" fontId="14" fillId="0" borderId="48" applyNumberFormat="0" applyFill="0" applyAlignment="0" applyProtection="0"/>
    <xf numFmtId="0" fontId="30" fillId="0" borderId="46" applyNumberFormat="0" applyFill="0" applyAlignment="0" applyProtection="0"/>
    <xf numFmtId="0" fontId="45" fillId="0" borderId="46" applyNumberFormat="0" applyFill="0" applyAlignment="0" applyProtection="0"/>
    <xf numFmtId="0" fontId="29" fillId="33" borderId="45" applyNumberFormat="0" applyAlignment="0" applyProtection="0"/>
    <xf numFmtId="0" fontId="26" fillId="46" borderId="45" applyNumberFormat="0" applyAlignment="0" applyProtection="0"/>
    <xf numFmtId="4" fontId="16" fillId="22" borderId="48">
      <alignment horizontal="right" vertical="center"/>
    </xf>
    <xf numFmtId="0" fontId="10" fillId="22" borderId="48">
      <alignment horizontal="right" vertical="center"/>
    </xf>
    <xf numFmtId="165" fontId="14" fillId="50" borderId="48" applyNumberFormat="0" applyFont="0" applyBorder="0" applyAlignment="0" applyProtection="0">
      <alignment horizontal="right" vertical="center"/>
    </xf>
    <xf numFmtId="0" fontId="30" fillId="0" borderId="46" applyNumberFormat="0" applyFill="0" applyAlignment="0" applyProtection="0"/>
    <xf numFmtId="49" fontId="14" fillId="0" borderId="48" applyNumberFormat="0" applyFont="0" applyFill="0" applyBorder="0" applyProtection="0">
      <alignment horizontal="left" vertical="center" indent="2"/>
    </xf>
    <xf numFmtId="49" fontId="14" fillId="0" borderId="49" applyNumberFormat="0" applyFont="0" applyFill="0" applyBorder="0" applyProtection="0">
      <alignment horizontal="left" vertical="center" indent="5"/>
    </xf>
    <xf numFmtId="49" fontId="14" fillId="0" borderId="48" applyNumberFormat="0" applyFont="0" applyFill="0" applyBorder="0" applyProtection="0">
      <alignment horizontal="left" vertical="center" indent="2"/>
    </xf>
    <xf numFmtId="4" fontId="14" fillId="0" borderId="48" applyFill="0" applyBorder="0" applyProtection="0">
      <alignment horizontal="right" vertical="center"/>
    </xf>
    <xf numFmtId="49" fontId="13" fillId="0" borderId="48" applyNumberFormat="0" applyFill="0" applyBorder="0" applyProtection="0">
      <alignment horizontal="left" vertical="center"/>
    </xf>
    <xf numFmtId="0" fontId="14" fillId="0" borderId="51">
      <alignment horizontal="left" vertical="center" wrapText="1" indent="2"/>
    </xf>
    <xf numFmtId="0" fontId="42" fillId="46" borderId="44" applyNumberFormat="0" applyAlignment="0" applyProtection="0"/>
    <xf numFmtId="0" fontId="10" fillId="24" borderId="50">
      <alignment horizontal="right" vertical="center"/>
    </xf>
    <xf numFmtId="0" fontId="29" fillId="33" borderId="45" applyNumberFormat="0" applyAlignment="0" applyProtection="0"/>
    <xf numFmtId="0" fontId="10" fillId="24" borderId="50">
      <alignment horizontal="right" vertical="center"/>
    </xf>
    <xf numFmtId="4" fontId="10" fillId="24" borderId="48">
      <alignment horizontal="right" vertical="center"/>
    </xf>
    <xf numFmtId="0" fontId="10" fillId="24" borderId="48">
      <alignment horizontal="right" vertical="center"/>
    </xf>
    <xf numFmtId="0" fontId="23" fillId="46" borderId="44" applyNumberFormat="0" applyAlignment="0" applyProtection="0"/>
    <xf numFmtId="0" fontId="25" fillId="46" borderId="45" applyNumberFormat="0" applyAlignment="0" applyProtection="0"/>
    <xf numFmtId="0" fontId="30" fillId="0" borderId="46" applyNumberFormat="0" applyFill="0" applyAlignment="0" applyProtection="0"/>
    <xf numFmtId="0" fontId="14" fillId="23" borderId="48"/>
    <xf numFmtId="4" fontId="14" fillId="23" borderId="48"/>
    <xf numFmtId="4" fontId="10" fillId="24" borderId="48">
      <alignment horizontal="right" vertical="center"/>
    </xf>
    <xf numFmtId="0" fontId="16" fillId="22" borderId="48">
      <alignment horizontal="right" vertical="center"/>
    </xf>
    <xf numFmtId="0" fontId="29" fillId="33" borderId="45" applyNumberFormat="0" applyAlignment="0" applyProtection="0"/>
    <xf numFmtId="0" fontId="26" fillId="46" borderId="45" applyNumberFormat="0" applyAlignment="0" applyProtection="0"/>
    <xf numFmtId="4" fontId="14" fillId="0" borderId="48">
      <alignment horizontal="right" vertical="center"/>
    </xf>
    <xf numFmtId="0" fontId="14" fillId="24" borderId="51">
      <alignment horizontal="left" vertical="center" wrapText="1" indent="2"/>
    </xf>
    <xf numFmtId="0" fontId="14" fillId="0" borderId="51">
      <alignment horizontal="left" vertical="center" wrapText="1" indent="2"/>
    </xf>
    <xf numFmtId="0" fontId="42" fillId="46" borderId="44" applyNumberFormat="0" applyAlignment="0" applyProtection="0"/>
    <xf numFmtId="0" fontId="38" fillId="33" borderId="45" applyNumberFormat="0" applyAlignment="0" applyProtection="0"/>
    <xf numFmtId="0" fontId="25" fillId="46" borderId="45" applyNumberFormat="0" applyAlignment="0" applyProtection="0"/>
    <xf numFmtId="0" fontId="23" fillId="46" borderId="44" applyNumberFormat="0" applyAlignment="0" applyProtection="0"/>
    <xf numFmtId="0" fontId="10" fillId="24" borderId="50">
      <alignment horizontal="right" vertical="center"/>
    </xf>
    <xf numFmtId="0" fontId="16" fillId="22" borderId="48">
      <alignment horizontal="right" vertical="center"/>
    </xf>
    <xf numFmtId="4" fontId="10" fillId="22" borderId="48">
      <alignment horizontal="right" vertical="center"/>
    </xf>
    <xf numFmtId="4" fontId="10" fillId="24" borderId="48">
      <alignment horizontal="right" vertical="center"/>
    </xf>
    <xf numFmtId="49" fontId="14" fillId="0" borderId="49" applyNumberFormat="0" applyFont="0" applyFill="0" applyBorder="0" applyProtection="0">
      <alignment horizontal="left" vertical="center" indent="5"/>
    </xf>
    <xf numFmtId="4" fontId="14" fillId="0" borderId="48" applyFill="0" applyBorder="0" applyProtection="0">
      <alignment horizontal="right" vertical="center"/>
    </xf>
    <xf numFmtId="4" fontId="10" fillId="22" borderId="48">
      <alignment horizontal="right" vertical="center"/>
    </xf>
    <xf numFmtId="0" fontId="38" fillId="33" borderId="45" applyNumberFormat="0" applyAlignment="0" applyProtection="0"/>
    <xf numFmtId="0" fontId="29" fillId="33" borderId="45" applyNumberFormat="0" applyAlignment="0" applyProtection="0"/>
    <xf numFmtId="0" fontId="25" fillId="46" borderId="45" applyNumberFormat="0" applyAlignment="0" applyProtection="0"/>
    <xf numFmtId="0" fontId="14" fillId="24" borderId="51">
      <alignment horizontal="left" vertical="center" wrapText="1" indent="2"/>
    </xf>
    <xf numFmtId="0" fontId="14" fillId="0" borderId="51">
      <alignment horizontal="left" vertical="center" wrapText="1" indent="2"/>
    </xf>
    <xf numFmtId="0" fontId="14" fillId="24" borderId="51">
      <alignment horizontal="left" vertical="center" wrapText="1" indent="2"/>
    </xf>
    <xf numFmtId="0" fontId="4" fillId="3" borderId="1" applyNumberFormat="0" applyAlignment="0" applyProtection="0"/>
    <xf numFmtId="0" fontId="45" fillId="0" borderId="70" applyNumberFormat="0" applyFill="0" applyAlignment="0" applyProtection="0"/>
    <xf numFmtId="0" fontId="8" fillId="21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42" fillId="46" borderId="68" applyNumberFormat="0" applyAlignment="0" applyProtection="0"/>
    <xf numFmtId="0" fontId="10" fillId="24" borderId="72">
      <alignment horizontal="right" vertical="center"/>
    </xf>
    <xf numFmtId="0" fontId="14" fillId="23" borderId="72"/>
    <xf numFmtId="4" fontId="10" fillId="24" borderId="73">
      <alignment horizontal="right" vertical="center"/>
    </xf>
    <xf numFmtId="0" fontId="1" fillId="17" borderId="0" applyNumberFormat="0" applyBorder="0" applyAlignment="0" applyProtection="0"/>
    <xf numFmtId="0" fontId="14" fillId="24" borderId="59">
      <alignment horizontal="left" vertical="center" wrapText="1" indent="2"/>
    </xf>
    <xf numFmtId="0" fontId="14" fillId="0" borderId="59">
      <alignment horizontal="left" vertical="center" wrapText="1" indent="2"/>
    </xf>
    <xf numFmtId="4" fontId="10" fillId="24" borderId="74">
      <alignment horizontal="right" vertical="center"/>
    </xf>
    <xf numFmtId="0" fontId="45" fillId="0" borderId="70" applyNumberFormat="0" applyFill="0" applyAlignment="0" applyProtection="0"/>
    <xf numFmtId="0" fontId="45" fillId="0" borderId="70" applyNumberFormat="0" applyFill="0" applyAlignment="0" applyProtection="0"/>
    <xf numFmtId="0" fontId="20" fillId="49" borderId="63" applyNumberFormat="0" applyFont="0" applyAlignment="0" applyProtection="0"/>
    <xf numFmtId="0" fontId="11" fillId="49" borderId="63" applyNumberFormat="0" applyFont="0" applyAlignment="0" applyProtection="0"/>
    <xf numFmtId="0" fontId="38" fillId="33" borderId="69" applyNumberFormat="0" applyAlignment="0" applyProtection="0"/>
    <xf numFmtId="4" fontId="10" fillId="24" borderId="72">
      <alignment horizontal="right" vertical="center"/>
    </xf>
    <xf numFmtId="0" fontId="38" fillId="33" borderId="69" applyNumberFormat="0" applyAlignment="0" applyProtection="0"/>
    <xf numFmtId="0" fontId="1" fillId="4" borderId="0" applyNumberFormat="0" applyBorder="0" applyAlignment="0" applyProtection="0"/>
    <xf numFmtId="0" fontId="25" fillId="46" borderId="69" applyNumberFormat="0" applyAlignment="0" applyProtection="0"/>
    <xf numFmtId="4" fontId="10" fillId="24" borderId="72">
      <alignment horizontal="right" vertical="center"/>
    </xf>
    <xf numFmtId="0" fontId="1" fillId="20" borderId="0" applyNumberFormat="0" applyBorder="0" applyAlignment="0" applyProtection="0"/>
    <xf numFmtId="0" fontId="20" fillId="49" borderId="71" applyNumberFormat="0" applyFont="0" applyAlignment="0" applyProtection="0"/>
    <xf numFmtId="0" fontId="26" fillId="46" borderId="69" applyNumberFormat="0" applyAlignment="0" applyProtection="0"/>
    <xf numFmtId="0" fontId="45" fillId="0" borderId="70" applyNumberFormat="0" applyFill="0" applyAlignment="0" applyProtection="0"/>
    <xf numFmtId="0" fontId="14" fillId="0" borderId="72" applyNumberFormat="0" applyFill="0" applyAlignment="0" applyProtection="0"/>
    <xf numFmtId="0" fontId="26" fillId="46" borderId="69" applyNumberFormat="0" applyAlignment="0" applyProtection="0"/>
    <xf numFmtId="0" fontId="1" fillId="13" borderId="0" applyNumberFormat="0" applyBorder="0" applyAlignment="0" applyProtection="0"/>
    <xf numFmtId="0" fontId="45" fillId="0" borderId="70" applyNumberFormat="0" applyFill="0" applyAlignment="0" applyProtection="0"/>
    <xf numFmtId="0" fontId="1" fillId="4" borderId="0" applyNumberFormat="0" applyBorder="0" applyAlignment="0" applyProtection="0"/>
    <xf numFmtId="0" fontId="42" fillId="46" borderId="68" applyNumberFormat="0" applyAlignment="0" applyProtection="0"/>
    <xf numFmtId="0" fontId="10" fillId="24" borderId="74">
      <alignment horizontal="right" vertical="center"/>
    </xf>
    <xf numFmtId="0" fontId="14" fillId="23" borderId="72"/>
    <xf numFmtId="0" fontId="29" fillId="33" borderId="69" applyNumberFormat="0" applyAlignment="0" applyProtection="0"/>
    <xf numFmtId="0" fontId="14" fillId="0" borderId="75">
      <alignment horizontal="left" vertical="center" wrapText="1" indent="2"/>
    </xf>
    <xf numFmtId="0" fontId="10" fillId="24" borderId="74">
      <alignment horizontal="right" vertical="center"/>
    </xf>
    <xf numFmtId="4" fontId="14" fillId="0" borderId="72" applyFill="0" applyBorder="0" applyProtection="0">
      <alignment horizontal="right" vertical="center"/>
    </xf>
    <xf numFmtId="4" fontId="10" fillId="24" borderId="72">
      <alignment horizontal="right" vertical="center"/>
    </xf>
    <xf numFmtId="0" fontId="14" fillId="24" borderId="75">
      <alignment horizontal="left" vertical="center" wrapText="1" indent="2"/>
    </xf>
    <xf numFmtId="0" fontId="1" fillId="7" borderId="0" applyNumberFormat="0" applyBorder="0" applyAlignment="0" applyProtection="0"/>
    <xf numFmtId="0" fontId="1" fillId="19" borderId="0" applyNumberFormat="0" applyBorder="0" applyAlignment="0" applyProtection="0"/>
    <xf numFmtId="0" fontId="26" fillId="46" borderId="69" applyNumberFormat="0" applyAlignment="0" applyProtection="0"/>
    <xf numFmtId="49" fontId="13" fillId="0" borderId="72" applyNumberFormat="0" applyFill="0" applyBorder="0" applyProtection="0">
      <alignment horizontal="left" vertical="center"/>
    </xf>
    <xf numFmtId="0" fontId="14" fillId="24" borderId="75">
      <alignment horizontal="left" vertical="center" wrapText="1" indent="2"/>
    </xf>
    <xf numFmtId="4" fontId="10" fillId="24" borderId="72">
      <alignment horizontal="right" vertical="center"/>
    </xf>
    <xf numFmtId="0" fontId="1" fillId="2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8" fillId="9" borderId="0" applyNumberFormat="0" applyBorder="0" applyAlignment="0" applyProtection="0"/>
    <xf numFmtId="0" fontId="7" fillId="0" borderId="3" applyNumberFormat="0" applyFill="0" applyAlignment="0" applyProtection="0"/>
    <xf numFmtId="0" fontId="11" fillId="49" borderId="71" applyNumberFormat="0" applyFont="0" applyAlignment="0" applyProtection="0"/>
    <xf numFmtId="0" fontId="10" fillId="22" borderId="64">
      <alignment horizontal="right" vertical="center"/>
    </xf>
    <xf numFmtId="0" fontId="42" fillId="46" borderId="68" applyNumberFormat="0" applyAlignment="0" applyProtection="0"/>
    <xf numFmtId="4" fontId="10" fillId="24" borderId="56">
      <alignment horizontal="right" vertical="center"/>
    </xf>
    <xf numFmtId="0" fontId="14" fillId="23" borderId="56"/>
    <xf numFmtId="0" fontId="25" fillId="46" borderId="53" applyNumberFormat="0" applyAlignment="0" applyProtection="0"/>
    <xf numFmtId="0" fontId="10" fillId="22" borderId="56">
      <alignment horizontal="right" vertical="center"/>
    </xf>
    <xf numFmtId="0" fontId="14" fillId="0" borderId="56">
      <alignment horizontal="right" vertical="center"/>
    </xf>
    <xf numFmtId="0" fontId="45" fillId="0" borderId="54" applyNumberFormat="0" applyFill="0" applyAlignment="0" applyProtection="0"/>
    <xf numFmtId="0" fontId="14" fillId="22" borderId="57">
      <alignment horizontal="left" vertical="center"/>
    </xf>
    <xf numFmtId="0" fontId="38" fillId="33" borderId="53" applyNumberFormat="0" applyAlignment="0" applyProtection="0"/>
    <xf numFmtId="165" fontId="14" fillId="50" borderId="56" applyNumberFormat="0" applyFont="0" applyBorder="0" applyAlignment="0" applyProtection="0">
      <alignment horizontal="right" vertical="center"/>
    </xf>
    <xf numFmtId="0" fontId="20" fillId="49" borderId="55" applyNumberFormat="0" applyFont="0" applyAlignment="0" applyProtection="0"/>
    <xf numFmtId="0" fontId="14" fillId="0" borderId="59">
      <alignment horizontal="left" vertical="center" wrapText="1" indent="2"/>
    </xf>
    <xf numFmtId="4" fontId="14" fillId="23" borderId="56"/>
    <xf numFmtId="49" fontId="13" fillId="0" borderId="56" applyNumberFormat="0" applyFill="0" applyBorder="0" applyProtection="0">
      <alignment horizontal="left" vertical="center"/>
    </xf>
    <xf numFmtId="0" fontId="14" fillId="0" borderId="56">
      <alignment horizontal="right" vertical="center"/>
    </xf>
    <xf numFmtId="4" fontId="10" fillId="24" borderId="58">
      <alignment horizontal="right" vertical="center"/>
    </xf>
    <xf numFmtId="4" fontId="10" fillId="24" borderId="56">
      <alignment horizontal="right" vertical="center"/>
    </xf>
    <xf numFmtId="4" fontId="10" fillId="24" borderId="56">
      <alignment horizontal="right" vertical="center"/>
    </xf>
    <xf numFmtId="0" fontId="16" fillId="22" borderId="56">
      <alignment horizontal="right" vertical="center"/>
    </xf>
    <xf numFmtId="0" fontId="10" fillId="22" borderId="56">
      <alignment horizontal="right" vertical="center"/>
    </xf>
    <xf numFmtId="49" fontId="14" fillId="0" borderId="56" applyNumberFormat="0" applyFont="0" applyFill="0" applyBorder="0" applyProtection="0">
      <alignment horizontal="left" vertical="center" indent="2"/>
    </xf>
    <xf numFmtId="0" fontId="38" fillId="33" borderId="53" applyNumberFormat="0" applyAlignment="0" applyProtection="0"/>
    <xf numFmtId="0" fontId="23" fillId="46" borderId="52" applyNumberFormat="0" applyAlignment="0" applyProtection="0"/>
    <xf numFmtId="49" fontId="14" fillId="0" borderId="56" applyNumberFormat="0" applyFont="0" applyFill="0" applyBorder="0" applyProtection="0">
      <alignment horizontal="left" vertical="center" indent="2"/>
    </xf>
    <xf numFmtId="0" fontId="29" fillId="33" borderId="53" applyNumberFormat="0" applyAlignment="0" applyProtection="0"/>
    <xf numFmtId="4" fontId="14" fillId="0" borderId="56" applyFill="0" applyBorder="0" applyProtection="0">
      <alignment horizontal="right" vertical="center"/>
    </xf>
    <xf numFmtId="0" fontId="26" fillId="46" borderId="53" applyNumberFormat="0" applyAlignment="0" applyProtection="0"/>
    <xf numFmtId="0" fontId="45" fillId="0" borderId="54" applyNumberFormat="0" applyFill="0" applyAlignment="0" applyProtection="0"/>
    <xf numFmtId="0" fontId="42" fillId="46" borderId="52" applyNumberFormat="0" applyAlignment="0" applyProtection="0"/>
    <xf numFmtId="0" fontId="14" fillId="0" borderId="56" applyNumberFormat="0" applyFill="0" applyAlignment="0" applyProtection="0"/>
    <xf numFmtId="4" fontId="14" fillId="0" borderId="56">
      <alignment horizontal="right" vertical="center"/>
    </xf>
    <xf numFmtId="0" fontId="14" fillId="0" borderId="56">
      <alignment horizontal="right" vertical="center"/>
    </xf>
    <xf numFmtId="0" fontId="38" fillId="33" borderId="53" applyNumberFormat="0" applyAlignment="0" applyProtection="0"/>
    <xf numFmtId="0" fontId="23" fillId="46" borderId="52" applyNumberFormat="0" applyAlignment="0" applyProtection="0"/>
    <xf numFmtId="0" fontId="25" fillId="46" borderId="53" applyNumberFormat="0" applyAlignment="0" applyProtection="0"/>
    <xf numFmtId="0" fontId="14" fillId="24" borderId="59">
      <alignment horizontal="left" vertical="center" wrapText="1" indent="2"/>
    </xf>
    <xf numFmtId="0" fontId="26" fillId="46" borderId="53" applyNumberFormat="0" applyAlignment="0" applyProtection="0"/>
    <xf numFmtId="0" fontId="26" fillId="46" borderId="53" applyNumberFormat="0" applyAlignment="0" applyProtection="0"/>
    <xf numFmtId="4" fontId="10" fillId="24" borderId="57">
      <alignment horizontal="right" vertical="center"/>
    </xf>
    <xf numFmtId="0" fontId="10" fillId="24" borderId="57">
      <alignment horizontal="right" vertical="center"/>
    </xf>
    <xf numFmtId="0" fontId="10" fillId="24" borderId="56">
      <alignment horizontal="right" vertical="center"/>
    </xf>
    <xf numFmtId="4" fontId="16" fillId="22" borderId="56">
      <alignment horizontal="right" vertical="center"/>
    </xf>
    <xf numFmtId="0" fontId="29" fillId="33" borderId="53" applyNumberFormat="0" applyAlignment="0" applyProtection="0"/>
    <xf numFmtId="0" fontId="30" fillId="0" borderId="54" applyNumberFormat="0" applyFill="0" applyAlignment="0" applyProtection="0"/>
    <xf numFmtId="0" fontId="45" fillId="0" borderId="54" applyNumberFormat="0" applyFill="0" applyAlignment="0" applyProtection="0"/>
    <xf numFmtId="0" fontId="20" fillId="49" borderId="55" applyNumberFormat="0" applyFont="0" applyAlignment="0" applyProtection="0"/>
    <xf numFmtId="0" fontId="38" fillId="33" borderId="53" applyNumberFormat="0" applyAlignment="0" applyProtection="0"/>
    <xf numFmtId="49" fontId="13" fillId="0" borderId="56" applyNumberFormat="0" applyFill="0" applyBorder="0" applyProtection="0">
      <alignment horizontal="left" vertical="center"/>
    </xf>
    <xf numFmtId="0" fontId="14" fillId="24" borderId="59">
      <alignment horizontal="left" vertical="center" wrapText="1" indent="2"/>
    </xf>
    <xf numFmtId="0" fontId="26" fillId="46" borderId="53" applyNumberFormat="0" applyAlignment="0" applyProtection="0"/>
    <xf numFmtId="0" fontId="14" fillId="0" borderId="59">
      <alignment horizontal="left" vertical="center" wrapText="1" indent="2"/>
    </xf>
    <xf numFmtId="0" fontId="20" fillId="49" borderId="55" applyNumberFormat="0" applyFont="0" applyAlignment="0" applyProtection="0"/>
    <xf numFmtId="0" fontId="11" fillId="49" borderId="55" applyNumberFormat="0" applyFont="0" applyAlignment="0" applyProtection="0"/>
    <xf numFmtId="0" fontId="42" fillId="46" borderId="52" applyNumberFormat="0" applyAlignment="0" applyProtection="0"/>
    <xf numFmtId="0" fontId="45" fillId="0" borderId="54" applyNumberFormat="0" applyFill="0" applyAlignment="0" applyProtection="0"/>
    <xf numFmtId="4" fontId="14" fillId="23" borderId="56"/>
    <xf numFmtId="0" fontId="10" fillId="24" borderId="56">
      <alignment horizontal="right" vertical="center"/>
    </xf>
    <xf numFmtId="0" fontId="45" fillId="0" borderId="54" applyNumberFormat="0" applyFill="0" applyAlignment="0" applyProtection="0"/>
    <xf numFmtId="4" fontId="10" fillId="24" borderId="58">
      <alignment horizontal="right" vertical="center"/>
    </xf>
    <xf numFmtId="0" fontId="25" fillId="46" borderId="53" applyNumberFormat="0" applyAlignment="0" applyProtection="0"/>
    <xf numFmtId="0" fontId="10" fillId="24" borderId="57">
      <alignment horizontal="right" vertical="center"/>
    </xf>
    <xf numFmtId="0" fontId="26" fillId="46" borderId="53" applyNumberFormat="0" applyAlignment="0" applyProtection="0"/>
    <xf numFmtId="0" fontId="30" fillId="0" borderId="54" applyNumberFormat="0" applyFill="0" applyAlignment="0" applyProtection="0"/>
    <xf numFmtId="0" fontId="20" fillId="49" borderId="55" applyNumberFormat="0" applyFont="0" applyAlignment="0" applyProtection="0"/>
    <xf numFmtId="4" fontId="10" fillId="24" borderId="57">
      <alignment horizontal="right" vertical="center"/>
    </xf>
    <xf numFmtId="0" fontId="14" fillId="24" borderId="59">
      <alignment horizontal="left" vertical="center" wrapText="1" indent="2"/>
    </xf>
    <xf numFmtId="0" fontId="14" fillId="23" borderId="56"/>
    <xf numFmtId="165" fontId="14" fillId="50" borderId="56" applyNumberFormat="0" applyFont="0" applyBorder="0" applyAlignment="0" applyProtection="0">
      <alignment horizontal="right" vertical="center"/>
    </xf>
    <xf numFmtId="0" fontId="14" fillId="0" borderId="56" applyNumberFormat="0" applyFill="0" applyAlignment="0" applyProtection="0"/>
    <xf numFmtId="4" fontId="14" fillId="0" borderId="56" applyFill="0" applyBorder="0" applyProtection="0">
      <alignment horizontal="right" vertical="center"/>
    </xf>
    <xf numFmtId="4" fontId="10" fillId="22" borderId="56">
      <alignment horizontal="right" vertical="center"/>
    </xf>
    <xf numFmtId="0" fontId="30" fillId="0" borderId="54" applyNumberFormat="0" applyFill="0" applyAlignment="0" applyProtection="0"/>
    <xf numFmtId="49" fontId="13" fillId="0" borderId="56" applyNumberFormat="0" applyFill="0" applyBorder="0" applyProtection="0">
      <alignment horizontal="left" vertical="center"/>
    </xf>
    <xf numFmtId="49" fontId="14" fillId="0" borderId="57" applyNumberFormat="0" applyFont="0" applyFill="0" applyBorder="0" applyProtection="0">
      <alignment horizontal="left" vertical="center" indent="5"/>
    </xf>
    <xf numFmtId="0" fontId="14" fillId="22" borderId="57">
      <alignment horizontal="left" vertical="center"/>
    </xf>
    <xf numFmtId="0" fontId="26" fillId="46" borderId="53" applyNumberFormat="0" applyAlignment="0" applyProtection="0"/>
    <xf numFmtId="4" fontId="10" fillId="24" borderId="58">
      <alignment horizontal="right" vertical="center"/>
    </xf>
    <xf numFmtId="0" fontId="38" fillId="33" borderId="53" applyNumberFormat="0" applyAlignment="0" applyProtection="0"/>
    <xf numFmtId="0" fontId="38" fillId="33" borderId="53" applyNumberFormat="0" applyAlignment="0" applyProtection="0"/>
    <xf numFmtId="0" fontId="20" fillId="49" borderId="55" applyNumberFormat="0" applyFont="0" applyAlignment="0" applyProtection="0"/>
    <xf numFmtId="0" fontId="42" fillId="46" borderId="52" applyNumberFormat="0" applyAlignment="0" applyProtection="0"/>
    <xf numFmtId="0" fontId="45" fillId="0" borderId="54" applyNumberFormat="0" applyFill="0" applyAlignment="0" applyProtection="0"/>
    <xf numFmtId="0" fontId="10" fillId="24" borderId="56">
      <alignment horizontal="right" vertical="center"/>
    </xf>
    <xf numFmtId="0" fontId="11" fillId="49" borderId="55" applyNumberFormat="0" applyFont="0" applyAlignment="0" applyProtection="0"/>
    <xf numFmtId="4" fontId="14" fillId="0" borderId="56">
      <alignment horizontal="right" vertical="center"/>
    </xf>
    <xf numFmtId="0" fontId="45" fillId="0" borderId="54" applyNumberFormat="0" applyFill="0" applyAlignment="0" applyProtection="0"/>
    <xf numFmtId="0" fontId="10" fillId="24" borderId="56">
      <alignment horizontal="right" vertical="center"/>
    </xf>
    <xf numFmtId="0" fontId="10" fillId="24" borderId="56">
      <alignment horizontal="right" vertical="center"/>
    </xf>
    <xf numFmtId="4" fontId="16" fillId="22" borderId="56">
      <alignment horizontal="right" vertical="center"/>
    </xf>
    <xf numFmtId="0" fontId="10" fillId="22" borderId="56">
      <alignment horizontal="right" vertical="center"/>
    </xf>
    <xf numFmtId="4" fontId="10" fillId="22" borderId="56">
      <alignment horizontal="right" vertical="center"/>
    </xf>
    <xf numFmtId="0" fontId="16" fillId="22" borderId="56">
      <alignment horizontal="right" vertical="center"/>
    </xf>
    <xf numFmtId="4" fontId="16" fillId="22" borderId="56">
      <alignment horizontal="right" vertical="center"/>
    </xf>
    <xf numFmtId="0" fontId="10" fillId="24" borderId="56">
      <alignment horizontal="right" vertical="center"/>
    </xf>
    <xf numFmtId="4" fontId="10" fillId="24" borderId="56">
      <alignment horizontal="right" vertical="center"/>
    </xf>
    <xf numFmtId="0" fontId="10" fillId="24" borderId="56">
      <alignment horizontal="right" vertical="center"/>
    </xf>
    <xf numFmtId="4" fontId="10" fillId="24" borderId="56">
      <alignment horizontal="right" vertical="center"/>
    </xf>
    <xf numFmtId="0" fontId="10" fillId="24" borderId="57">
      <alignment horizontal="right" vertical="center"/>
    </xf>
    <xf numFmtId="4" fontId="10" fillId="24" borderId="57">
      <alignment horizontal="right" vertical="center"/>
    </xf>
    <xf numFmtId="0" fontId="10" fillId="24" borderId="58">
      <alignment horizontal="right" vertical="center"/>
    </xf>
    <xf numFmtId="4" fontId="10" fillId="24" borderId="58">
      <alignment horizontal="right" vertical="center"/>
    </xf>
    <xf numFmtId="0" fontId="26" fillId="46" borderId="53" applyNumberFormat="0" applyAlignment="0" applyProtection="0"/>
    <xf numFmtId="0" fontId="14" fillId="24" borderId="59">
      <alignment horizontal="left" vertical="center" wrapText="1" indent="2"/>
    </xf>
    <xf numFmtId="0" fontId="14" fillId="0" borderId="59">
      <alignment horizontal="left" vertical="center" wrapText="1" indent="2"/>
    </xf>
    <xf numFmtId="0" fontId="14" fillId="22" borderId="57">
      <alignment horizontal="left" vertical="center"/>
    </xf>
    <xf numFmtId="0" fontId="38" fillId="33" borderId="53" applyNumberFormat="0" applyAlignment="0" applyProtection="0"/>
    <xf numFmtId="0" fontId="14" fillId="0" borderId="56">
      <alignment horizontal="right" vertical="center"/>
    </xf>
    <xf numFmtId="4" fontId="14" fillId="0" borderId="56">
      <alignment horizontal="right" vertical="center"/>
    </xf>
    <xf numFmtId="0" fontId="14" fillId="0" borderId="56" applyNumberFormat="0" applyFill="0" applyAlignment="0" applyProtection="0"/>
    <xf numFmtId="0" fontId="42" fillId="46" borderId="52" applyNumberFormat="0" applyAlignment="0" applyProtection="0"/>
    <xf numFmtId="165" fontId="14" fillId="50" borderId="56" applyNumberFormat="0" applyFont="0" applyBorder="0" applyAlignment="0" applyProtection="0">
      <alignment horizontal="right" vertical="center"/>
    </xf>
    <xf numFmtId="0" fontId="14" fillId="23" borderId="56"/>
    <xf numFmtId="4" fontId="14" fillId="23" borderId="56"/>
    <xf numFmtId="0" fontId="45" fillId="0" borderId="54" applyNumberFormat="0" applyFill="0" applyAlignment="0" applyProtection="0"/>
    <xf numFmtId="0" fontId="11" fillId="49" borderId="55" applyNumberFormat="0" applyFont="0" applyAlignment="0" applyProtection="0"/>
    <xf numFmtId="0" fontId="20" fillId="49" borderId="55" applyNumberFormat="0" applyFont="0" applyAlignment="0" applyProtection="0"/>
    <xf numFmtId="0" fontId="14" fillId="0" borderId="56" applyNumberFormat="0" applyFill="0" applyAlignment="0" applyProtection="0"/>
    <xf numFmtId="0" fontId="30" fillId="0" borderId="54" applyNumberFormat="0" applyFill="0" applyAlignment="0" applyProtection="0"/>
    <xf numFmtId="0" fontId="45" fillId="0" borderId="54" applyNumberFormat="0" applyFill="0" applyAlignment="0" applyProtection="0"/>
    <xf numFmtId="0" fontId="29" fillId="33" borderId="53" applyNumberFormat="0" applyAlignment="0" applyProtection="0"/>
    <xf numFmtId="0" fontId="26" fillId="46" borderId="53" applyNumberFormat="0" applyAlignment="0" applyProtection="0"/>
    <xf numFmtId="4" fontId="16" fillId="22" borderId="56">
      <alignment horizontal="right" vertical="center"/>
    </xf>
    <xf numFmtId="0" fontId="10" fillId="22" borderId="56">
      <alignment horizontal="right" vertical="center"/>
    </xf>
    <xf numFmtId="165" fontId="14" fillId="50" borderId="56" applyNumberFormat="0" applyFont="0" applyBorder="0" applyAlignment="0" applyProtection="0">
      <alignment horizontal="right" vertical="center"/>
    </xf>
    <xf numFmtId="0" fontId="30" fillId="0" borderId="54" applyNumberFormat="0" applyFill="0" applyAlignment="0" applyProtection="0"/>
    <xf numFmtId="49" fontId="14" fillId="0" borderId="56" applyNumberFormat="0" applyFont="0" applyFill="0" applyBorder="0" applyProtection="0">
      <alignment horizontal="left" vertical="center" indent="2"/>
    </xf>
    <xf numFmtId="49" fontId="14" fillId="0" borderId="57" applyNumberFormat="0" applyFont="0" applyFill="0" applyBorder="0" applyProtection="0">
      <alignment horizontal="left" vertical="center" indent="5"/>
    </xf>
    <xf numFmtId="49" fontId="14" fillId="0" borderId="56" applyNumberFormat="0" applyFont="0" applyFill="0" applyBorder="0" applyProtection="0">
      <alignment horizontal="left" vertical="center" indent="2"/>
    </xf>
    <xf numFmtId="4" fontId="14" fillId="0" borderId="56" applyFill="0" applyBorder="0" applyProtection="0">
      <alignment horizontal="right" vertical="center"/>
    </xf>
    <xf numFmtId="49" fontId="13" fillId="0" borderId="56" applyNumberFormat="0" applyFill="0" applyBorder="0" applyProtection="0">
      <alignment horizontal="left" vertical="center"/>
    </xf>
    <xf numFmtId="0" fontId="14" fillId="0" borderId="59">
      <alignment horizontal="left" vertical="center" wrapText="1" indent="2"/>
    </xf>
    <xf numFmtId="0" fontId="42" fillId="46" borderId="52" applyNumberFormat="0" applyAlignment="0" applyProtection="0"/>
    <xf numFmtId="0" fontId="10" fillId="24" borderId="58">
      <alignment horizontal="right" vertical="center"/>
    </xf>
    <xf numFmtId="0" fontId="29" fillId="33" borderId="53" applyNumberFormat="0" applyAlignment="0" applyProtection="0"/>
    <xf numFmtId="0" fontId="10" fillId="24" borderId="58">
      <alignment horizontal="right" vertical="center"/>
    </xf>
    <xf numFmtId="4" fontId="10" fillId="24" borderId="56">
      <alignment horizontal="right" vertical="center"/>
    </xf>
    <xf numFmtId="0" fontId="10" fillId="24" borderId="56">
      <alignment horizontal="right" vertical="center"/>
    </xf>
    <xf numFmtId="0" fontId="23" fillId="46" borderId="52" applyNumberFormat="0" applyAlignment="0" applyProtection="0"/>
    <xf numFmtId="0" fontId="25" fillId="46" borderId="53" applyNumberFormat="0" applyAlignment="0" applyProtection="0"/>
    <xf numFmtId="0" fontId="30" fillId="0" borderId="54" applyNumberFormat="0" applyFill="0" applyAlignment="0" applyProtection="0"/>
    <xf numFmtId="0" fontId="14" fillId="23" borderId="56"/>
    <xf numFmtId="4" fontId="14" fillId="23" borderId="56"/>
    <xf numFmtId="4" fontId="10" fillId="24" borderId="56">
      <alignment horizontal="right" vertical="center"/>
    </xf>
    <xf numFmtId="0" fontId="16" fillId="22" borderId="56">
      <alignment horizontal="right" vertical="center"/>
    </xf>
    <xf numFmtId="0" fontId="29" fillId="33" borderId="53" applyNumberFormat="0" applyAlignment="0" applyProtection="0"/>
    <xf numFmtId="0" fontId="26" fillId="46" borderId="53" applyNumberFormat="0" applyAlignment="0" applyProtection="0"/>
    <xf numFmtId="4" fontId="14" fillId="0" borderId="56">
      <alignment horizontal="right" vertical="center"/>
    </xf>
    <xf numFmtId="0" fontId="14" fillId="24" borderId="59">
      <alignment horizontal="left" vertical="center" wrapText="1" indent="2"/>
    </xf>
    <xf numFmtId="0" fontId="14" fillId="0" borderId="59">
      <alignment horizontal="left" vertical="center" wrapText="1" indent="2"/>
    </xf>
    <xf numFmtId="0" fontId="42" fillId="46" borderId="52" applyNumberFormat="0" applyAlignment="0" applyProtection="0"/>
    <xf numFmtId="0" fontId="38" fillId="33" borderId="53" applyNumberFormat="0" applyAlignment="0" applyProtection="0"/>
    <xf numFmtId="0" fontId="25" fillId="46" borderId="53" applyNumberFormat="0" applyAlignment="0" applyProtection="0"/>
    <xf numFmtId="0" fontId="23" fillId="46" borderId="52" applyNumberFormat="0" applyAlignment="0" applyProtection="0"/>
    <xf numFmtId="0" fontId="10" fillId="24" borderId="58">
      <alignment horizontal="right" vertical="center"/>
    </xf>
    <xf numFmtId="0" fontId="16" fillId="22" borderId="56">
      <alignment horizontal="right" vertical="center"/>
    </xf>
    <xf numFmtId="4" fontId="10" fillId="22" borderId="56">
      <alignment horizontal="right" vertical="center"/>
    </xf>
    <xf numFmtId="4" fontId="10" fillId="24" borderId="56">
      <alignment horizontal="right" vertical="center"/>
    </xf>
    <xf numFmtId="49" fontId="14" fillId="0" borderId="57" applyNumberFormat="0" applyFont="0" applyFill="0" applyBorder="0" applyProtection="0">
      <alignment horizontal="left" vertical="center" indent="5"/>
    </xf>
    <xf numFmtId="4" fontId="14" fillId="0" borderId="56" applyFill="0" applyBorder="0" applyProtection="0">
      <alignment horizontal="right" vertical="center"/>
    </xf>
    <xf numFmtId="4" fontId="10" fillId="22" borderId="56">
      <alignment horizontal="right" vertical="center"/>
    </xf>
    <xf numFmtId="0" fontId="23" fillId="46" borderId="68" applyNumberFormat="0" applyAlignment="0" applyProtection="0"/>
    <xf numFmtId="0" fontId="38" fillId="33" borderId="53" applyNumberFormat="0" applyAlignment="0" applyProtection="0"/>
    <xf numFmtId="0" fontId="29" fillId="33" borderId="53" applyNumberFormat="0" applyAlignment="0" applyProtection="0"/>
    <xf numFmtId="0" fontId="25" fillId="46" borderId="53" applyNumberFormat="0" applyAlignment="0" applyProtection="0"/>
    <xf numFmtId="0" fontId="14" fillId="24" borderId="59">
      <alignment horizontal="left" vertical="center" wrapText="1" indent="2"/>
    </xf>
    <xf numFmtId="0" fontId="14" fillId="0" borderId="59">
      <alignment horizontal="left" vertical="center" wrapText="1" indent="2"/>
    </xf>
    <xf numFmtId="0" fontId="14" fillId="24" borderId="59">
      <alignment horizontal="left" vertical="center" wrapText="1" indent="2"/>
    </xf>
    <xf numFmtId="0" fontId="14" fillId="0" borderId="59">
      <alignment horizontal="left" vertical="center" wrapText="1" indent="2"/>
    </xf>
    <xf numFmtId="0" fontId="23" fillId="46" borderId="52" applyNumberFormat="0" applyAlignment="0" applyProtection="0"/>
    <xf numFmtId="0" fontId="25" fillId="46" borderId="53" applyNumberFormat="0" applyAlignment="0" applyProtection="0"/>
    <xf numFmtId="0" fontId="26" fillId="46" borderId="53" applyNumberFormat="0" applyAlignment="0" applyProtection="0"/>
    <xf numFmtId="0" fontId="29" fillId="33" borderId="53" applyNumberFormat="0" applyAlignment="0" applyProtection="0"/>
    <xf numFmtId="0" fontId="30" fillId="0" borderId="54" applyNumberFormat="0" applyFill="0" applyAlignment="0" applyProtection="0"/>
    <xf numFmtId="0" fontId="38" fillId="33" borderId="53" applyNumberFormat="0" applyAlignment="0" applyProtection="0"/>
    <xf numFmtId="0" fontId="20" fillId="49" borderId="55" applyNumberFormat="0" applyFont="0" applyAlignment="0" applyProtection="0"/>
    <xf numFmtId="0" fontId="11" fillId="49" borderId="55" applyNumberFormat="0" applyFont="0" applyAlignment="0" applyProtection="0"/>
    <xf numFmtId="0" fontId="42" fillId="46" borderId="52" applyNumberFormat="0" applyAlignment="0" applyProtection="0"/>
    <xf numFmtId="0" fontId="45" fillId="0" borderId="54" applyNumberFormat="0" applyFill="0" applyAlignment="0" applyProtection="0"/>
    <xf numFmtId="0" fontId="26" fillId="46" borderId="53" applyNumberFormat="0" applyAlignment="0" applyProtection="0"/>
    <xf numFmtId="0" fontId="38" fillId="33" borderId="53" applyNumberFormat="0" applyAlignment="0" applyProtection="0"/>
    <xf numFmtId="0" fontId="20" fillId="49" borderId="55" applyNumberFormat="0" applyFont="0" applyAlignment="0" applyProtection="0"/>
    <xf numFmtId="0" fontId="42" fillId="46" borderId="52" applyNumberFormat="0" applyAlignment="0" applyProtection="0"/>
    <xf numFmtId="0" fontId="45" fillId="0" borderId="54" applyNumberFormat="0" applyFill="0" applyAlignment="0" applyProtection="0"/>
    <xf numFmtId="0" fontId="14" fillId="23" borderId="64"/>
    <xf numFmtId="0" fontId="25" fillId="46" borderId="69" applyNumberFormat="0" applyAlignment="0" applyProtection="0"/>
    <xf numFmtId="0" fontId="26" fillId="46" borderId="53" applyNumberFormat="0" applyAlignment="0" applyProtection="0"/>
    <xf numFmtId="4" fontId="10" fillId="24" borderId="73">
      <alignment horizontal="right" vertical="center"/>
    </xf>
    <xf numFmtId="4" fontId="10" fillId="24" borderId="72">
      <alignment horizontal="right" vertical="center"/>
    </xf>
    <xf numFmtId="0" fontId="38" fillId="33" borderId="53" applyNumberFormat="0" applyAlignment="0" applyProtection="0"/>
    <xf numFmtId="0" fontId="42" fillId="46" borderId="52" applyNumberFormat="0" applyAlignment="0" applyProtection="0"/>
    <xf numFmtId="0" fontId="45" fillId="0" borderId="54" applyNumberFormat="0" applyFill="0" applyAlignment="0" applyProtection="0"/>
    <xf numFmtId="0" fontId="42" fillId="46" borderId="68" applyNumberFormat="0" applyAlignment="0" applyProtection="0"/>
    <xf numFmtId="0" fontId="23" fillId="46" borderId="52" applyNumberFormat="0" applyAlignment="0" applyProtection="0"/>
    <xf numFmtId="0" fontId="25" fillId="46" borderId="53" applyNumberFormat="0" applyAlignment="0" applyProtection="0"/>
    <xf numFmtId="0" fontId="30" fillId="0" borderId="54" applyNumberFormat="0" applyFill="0" applyAlignment="0" applyProtection="0"/>
    <xf numFmtId="49" fontId="14" fillId="0" borderId="56" applyNumberFormat="0" applyFont="0" applyFill="0" applyBorder="0" applyProtection="0">
      <alignment horizontal="left" vertical="center" indent="2"/>
    </xf>
    <xf numFmtId="0" fontId="10" fillId="22" borderId="56">
      <alignment horizontal="right" vertical="center"/>
    </xf>
    <xf numFmtId="4" fontId="10" fillId="22" borderId="56">
      <alignment horizontal="right" vertical="center"/>
    </xf>
    <xf numFmtId="0" fontId="16" fillId="22" borderId="56">
      <alignment horizontal="right" vertical="center"/>
    </xf>
    <xf numFmtId="4" fontId="16" fillId="22" borderId="56">
      <alignment horizontal="right" vertical="center"/>
    </xf>
    <xf numFmtId="0" fontId="10" fillId="24" borderId="56">
      <alignment horizontal="right" vertical="center"/>
    </xf>
    <xf numFmtId="4" fontId="10" fillId="24" borderId="56">
      <alignment horizontal="right" vertical="center"/>
    </xf>
    <xf numFmtId="0" fontId="10" fillId="24" borderId="56">
      <alignment horizontal="right" vertical="center"/>
    </xf>
    <xf numFmtId="4" fontId="10" fillId="24" borderId="56">
      <alignment horizontal="right" vertical="center"/>
    </xf>
    <xf numFmtId="0" fontId="29" fillId="33" borderId="53" applyNumberFormat="0" applyAlignment="0" applyProtection="0"/>
    <xf numFmtId="0" fontId="14" fillId="0" borderId="56">
      <alignment horizontal="right" vertical="center"/>
    </xf>
    <xf numFmtId="4" fontId="14" fillId="0" borderId="56">
      <alignment horizontal="right" vertical="center"/>
    </xf>
    <xf numFmtId="4" fontId="14" fillId="0" borderId="56" applyFill="0" applyBorder="0" applyProtection="0">
      <alignment horizontal="right" vertical="center"/>
    </xf>
    <xf numFmtId="49" fontId="13" fillId="0" borderId="56" applyNumberFormat="0" applyFill="0" applyBorder="0" applyProtection="0">
      <alignment horizontal="left" vertical="center"/>
    </xf>
    <xf numFmtId="0" fontId="14" fillId="0" borderId="56" applyNumberFormat="0" applyFill="0" applyAlignment="0" applyProtection="0"/>
    <xf numFmtId="165" fontId="14" fillId="50" borderId="56" applyNumberFormat="0" applyFont="0" applyBorder="0" applyAlignment="0" applyProtection="0">
      <alignment horizontal="right" vertical="center"/>
    </xf>
    <xf numFmtId="0" fontId="14" fillId="23" borderId="56"/>
    <xf numFmtId="4" fontId="14" fillId="23" borderId="56"/>
    <xf numFmtId="4" fontId="10" fillId="24" borderId="56">
      <alignment horizontal="right" vertical="center"/>
    </xf>
    <xf numFmtId="0" fontId="14" fillId="23" borderId="56"/>
    <xf numFmtId="0" fontId="25" fillId="46" borderId="53" applyNumberFormat="0" applyAlignment="0" applyProtection="0"/>
    <xf numFmtId="0" fontId="10" fillId="22" borderId="56">
      <alignment horizontal="right" vertical="center"/>
    </xf>
    <xf numFmtId="0" fontId="14" fillId="0" borderId="56">
      <alignment horizontal="right" vertical="center"/>
    </xf>
    <xf numFmtId="0" fontId="45" fillId="0" borderId="54" applyNumberFormat="0" applyFill="0" applyAlignment="0" applyProtection="0"/>
    <xf numFmtId="0" fontId="14" fillId="22" borderId="57">
      <alignment horizontal="left" vertical="center"/>
    </xf>
    <xf numFmtId="0" fontId="38" fillId="33" borderId="53" applyNumberFormat="0" applyAlignment="0" applyProtection="0"/>
    <xf numFmtId="165" fontId="14" fillId="50" borderId="56" applyNumberFormat="0" applyFont="0" applyBorder="0" applyAlignment="0" applyProtection="0">
      <alignment horizontal="right" vertical="center"/>
    </xf>
    <xf numFmtId="0" fontId="20" fillId="49" borderId="55" applyNumberFormat="0" applyFont="0" applyAlignment="0" applyProtection="0"/>
    <xf numFmtId="0" fontId="14" fillId="0" borderId="59">
      <alignment horizontal="left" vertical="center" wrapText="1" indent="2"/>
    </xf>
    <xf numFmtId="4" fontId="14" fillId="23" borderId="56"/>
    <xf numFmtId="49" fontId="13" fillId="0" borderId="56" applyNumberFormat="0" applyFill="0" applyBorder="0" applyProtection="0">
      <alignment horizontal="left" vertical="center"/>
    </xf>
    <xf numFmtId="0" fontId="14" fillId="0" borderId="56">
      <alignment horizontal="right" vertical="center"/>
    </xf>
    <xf numFmtId="4" fontId="10" fillId="24" borderId="58">
      <alignment horizontal="right" vertical="center"/>
    </xf>
    <xf numFmtId="4" fontId="10" fillId="24" borderId="56">
      <alignment horizontal="right" vertical="center"/>
    </xf>
    <xf numFmtId="4" fontId="10" fillId="24" borderId="56">
      <alignment horizontal="right" vertical="center"/>
    </xf>
    <xf numFmtId="0" fontId="16" fillId="22" borderId="56">
      <alignment horizontal="right" vertical="center"/>
    </xf>
    <xf numFmtId="0" fontId="10" fillId="22" borderId="56">
      <alignment horizontal="right" vertical="center"/>
    </xf>
    <xf numFmtId="49" fontId="14" fillId="0" borderId="56" applyNumberFormat="0" applyFont="0" applyFill="0" applyBorder="0" applyProtection="0">
      <alignment horizontal="left" vertical="center" indent="2"/>
    </xf>
    <xf numFmtId="0" fontId="38" fillId="33" borderId="53" applyNumberFormat="0" applyAlignment="0" applyProtection="0"/>
    <xf numFmtId="0" fontId="23" fillId="46" borderId="52" applyNumberFormat="0" applyAlignment="0" applyProtection="0"/>
    <xf numFmtId="49" fontId="14" fillId="0" borderId="56" applyNumberFormat="0" applyFont="0" applyFill="0" applyBorder="0" applyProtection="0">
      <alignment horizontal="left" vertical="center" indent="2"/>
    </xf>
    <xf numFmtId="0" fontId="29" fillId="33" borderId="53" applyNumberFormat="0" applyAlignment="0" applyProtection="0"/>
    <xf numFmtId="4" fontId="14" fillId="0" borderId="56" applyFill="0" applyBorder="0" applyProtection="0">
      <alignment horizontal="right" vertical="center"/>
    </xf>
    <xf numFmtId="0" fontId="26" fillId="46" borderId="53" applyNumberFormat="0" applyAlignment="0" applyProtection="0"/>
    <xf numFmtId="0" fontId="45" fillId="0" borderId="54" applyNumberFormat="0" applyFill="0" applyAlignment="0" applyProtection="0"/>
    <xf numFmtId="0" fontId="42" fillId="46" borderId="52" applyNumberFormat="0" applyAlignment="0" applyProtection="0"/>
    <xf numFmtId="0" fontId="14" fillId="0" borderId="56" applyNumberFormat="0" applyFill="0" applyAlignment="0" applyProtection="0"/>
    <xf numFmtId="4" fontId="14" fillId="0" borderId="56">
      <alignment horizontal="right" vertical="center"/>
    </xf>
    <xf numFmtId="0" fontId="14" fillId="0" borderId="56">
      <alignment horizontal="right" vertical="center"/>
    </xf>
    <xf numFmtId="0" fontId="38" fillId="33" borderId="53" applyNumberFormat="0" applyAlignment="0" applyProtection="0"/>
    <xf numFmtId="0" fontId="23" fillId="46" borderId="52" applyNumberFormat="0" applyAlignment="0" applyProtection="0"/>
    <xf numFmtId="0" fontId="25" fillId="46" borderId="53" applyNumberFormat="0" applyAlignment="0" applyProtection="0"/>
    <xf numFmtId="0" fontId="14" fillId="24" borderId="59">
      <alignment horizontal="left" vertical="center" wrapText="1" indent="2"/>
    </xf>
    <xf numFmtId="0" fontId="26" fillId="46" borderId="53" applyNumberFormat="0" applyAlignment="0" applyProtection="0"/>
    <xf numFmtId="0" fontId="26" fillId="46" borderId="53" applyNumberFormat="0" applyAlignment="0" applyProtection="0"/>
    <xf numFmtId="4" fontId="10" fillId="24" borderId="57">
      <alignment horizontal="right" vertical="center"/>
    </xf>
    <xf numFmtId="0" fontId="10" fillId="24" borderId="57">
      <alignment horizontal="right" vertical="center"/>
    </xf>
    <xf numFmtId="0" fontId="10" fillId="24" borderId="56">
      <alignment horizontal="right" vertical="center"/>
    </xf>
    <xf numFmtId="4" fontId="16" fillId="22" borderId="56">
      <alignment horizontal="right" vertical="center"/>
    </xf>
    <xf numFmtId="0" fontId="29" fillId="33" borderId="53" applyNumberFormat="0" applyAlignment="0" applyProtection="0"/>
    <xf numFmtId="0" fontId="30" fillId="0" borderId="54" applyNumberFormat="0" applyFill="0" applyAlignment="0" applyProtection="0"/>
    <xf numFmtId="0" fontId="45" fillId="0" borderId="54" applyNumberFormat="0" applyFill="0" applyAlignment="0" applyProtection="0"/>
    <xf numFmtId="0" fontId="20" fillId="49" borderId="55" applyNumberFormat="0" applyFont="0" applyAlignment="0" applyProtection="0"/>
    <xf numFmtId="0" fontId="38" fillId="33" borderId="53" applyNumberFormat="0" applyAlignment="0" applyProtection="0"/>
    <xf numFmtId="49" fontId="13" fillId="0" borderId="56" applyNumberFormat="0" applyFill="0" applyBorder="0" applyProtection="0">
      <alignment horizontal="left" vertical="center"/>
    </xf>
    <xf numFmtId="0" fontId="14" fillId="24" borderId="59">
      <alignment horizontal="left" vertical="center" wrapText="1" indent="2"/>
    </xf>
    <xf numFmtId="0" fontId="26" fillId="46" borderId="53" applyNumberFormat="0" applyAlignment="0" applyProtection="0"/>
    <xf numFmtId="0" fontId="14" fillId="0" borderId="59">
      <alignment horizontal="left" vertical="center" wrapText="1" indent="2"/>
    </xf>
    <xf numFmtId="0" fontId="20" fillId="49" borderId="55" applyNumberFormat="0" applyFont="0" applyAlignment="0" applyProtection="0"/>
    <xf numFmtId="0" fontId="11" fillId="49" borderId="55" applyNumberFormat="0" applyFont="0" applyAlignment="0" applyProtection="0"/>
    <xf numFmtId="0" fontId="42" fillId="46" borderId="52" applyNumberFormat="0" applyAlignment="0" applyProtection="0"/>
    <xf numFmtId="0" fontId="45" fillId="0" borderId="54" applyNumberFormat="0" applyFill="0" applyAlignment="0" applyProtection="0"/>
    <xf numFmtId="4" fontId="14" fillId="23" borderId="56"/>
    <xf numFmtId="0" fontId="10" fillId="24" borderId="56">
      <alignment horizontal="right" vertical="center"/>
    </xf>
    <xf numFmtId="0" fontId="45" fillId="0" borderId="54" applyNumberFormat="0" applyFill="0" applyAlignment="0" applyProtection="0"/>
    <xf numFmtId="4" fontId="10" fillId="24" borderId="58">
      <alignment horizontal="right" vertical="center"/>
    </xf>
    <xf numFmtId="0" fontId="25" fillId="46" borderId="53" applyNumberFormat="0" applyAlignment="0" applyProtection="0"/>
    <xf numFmtId="0" fontId="10" fillId="24" borderId="57">
      <alignment horizontal="right" vertical="center"/>
    </xf>
    <xf numFmtId="0" fontId="26" fillId="46" borderId="53" applyNumberFormat="0" applyAlignment="0" applyProtection="0"/>
    <xf numFmtId="0" fontId="30" fillId="0" borderId="54" applyNumberFormat="0" applyFill="0" applyAlignment="0" applyProtection="0"/>
    <xf numFmtId="0" fontId="20" fillId="49" borderId="55" applyNumberFormat="0" applyFont="0" applyAlignment="0" applyProtection="0"/>
    <xf numFmtId="4" fontId="10" fillId="24" borderId="57">
      <alignment horizontal="right" vertical="center"/>
    </xf>
    <xf numFmtId="0" fontId="14" fillId="24" borderId="59">
      <alignment horizontal="left" vertical="center" wrapText="1" indent="2"/>
    </xf>
    <xf numFmtId="0" fontId="14" fillId="23" borderId="56"/>
    <xf numFmtId="165" fontId="14" fillId="50" borderId="56" applyNumberFormat="0" applyFont="0" applyBorder="0" applyAlignment="0" applyProtection="0">
      <alignment horizontal="right" vertical="center"/>
    </xf>
    <xf numFmtId="0" fontId="14" fillId="0" borderId="56" applyNumberFormat="0" applyFill="0" applyAlignment="0" applyProtection="0"/>
    <xf numFmtId="4" fontId="14" fillId="0" borderId="56" applyFill="0" applyBorder="0" applyProtection="0">
      <alignment horizontal="right" vertical="center"/>
    </xf>
    <xf numFmtId="4" fontId="10" fillId="22" borderId="56">
      <alignment horizontal="right" vertical="center"/>
    </xf>
    <xf numFmtId="0" fontId="30" fillId="0" borderId="54" applyNumberFormat="0" applyFill="0" applyAlignment="0" applyProtection="0"/>
    <xf numFmtId="49" fontId="13" fillId="0" borderId="56" applyNumberFormat="0" applyFill="0" applyBorder="0" applyProtection="0">
      <alignment horizontal="left" vertical="center"/>
    </xf>
    <xf numFmtId="49" fontId="14" fillId="0" borderId="57" applyNumberFormat="0" applyFont="0" applyFill="0" applyBorder="0" applyProtection="0">
      <alignment horizontal="left" vertical="center" indent="5"/>
    </xf>
    <xf numFmtId="0" fontId="14" fillId="22" borderId="57">
      <alignment horizontal="left" vertical="center"/>
    </xf>
    <xf numFmtId="0" fontId="26" fillId="46" borderId="53" applyNumberFormat="0" applyAlignment="0" applyProtection="0"/>
    <xf numFmtId="4" fontId="10" fillId="24" borderId="58">
      <alignment horizontal="right" vertical="center"/>
    </xf>
    <xf numFmtId="0" fontId="38" fillId="33" borderId="53" applyNumberFormat="0" applyAlignment="0" applyProtection="0"/>
    <xf numFmtId="0" fontId="38" fillId="33" borderId="53" applyNumberFormat="0" applyAlignment="0" applyProtection="0"/>
    <xf numFmtId="0" fontId="20" fillId="49" borderId="55" applyNumberFormat="0" applyFont="0" applyAlignment="0" applyProtection="0"/>
    <xf numFmtId="0" fontId="42" fillId="46" borderId="52" applyNumberFormat="0" applyAlignment="0" applyProtection="0"/>
    <xf numFmtId="0" fontId="45" fillId="0" borderId="54" applyNumberFormat="0" applyFill="0" applyAlignment="0" applyProtection="0"/>
    <xf numFmtId="0" fontId="10" fillId="24" borderId="56">
      <alignment horizontal="right" vertical="center"/>
    </xf>
    <xf numFmtId="0" fontId="11" fillId="49" borderId="55" applyNumberFormat="0" applyFont="0" applyAlignment="0" applyProtection="0"/>
    <xf numFmtId="4" fontId="14" fillId="0" borderId="56">
      <alignment horizontal="right" vertical="center"/>
    </xf>
    <xf numFmtId="0" fontId="45" fillId="0" borderId="54" applyNumberFormat="0" applyFill="0" applyAlignment="0" applyProtection="0"/>
    <xf numFmtId="0" fontId="10" fillId="24" borderId="56">
      <alignment horizontal="right" vertical="center"/>
    </xf>
    <xf numFmtId="0" fontId="10" fillId="24" borderId="56">
      <alignment horizontal="right" vertical="center"/>
    </xf>
    <xf numFmtId="4" fontId="16" fillId="22" borderId="56">
      <alignment horizontal="right" vertical="center"/>
    </xf>
    <xf numFmtId="0" fontId="10" fillId="22" borderId="56">
      <alignment horizontal="right" vertical="center"/>
    </xf>
    <xf numFmtId="4" fontId="10" fillId="22" borderId="56">
      <alignment horizontal="right" vertical="center"/>
    </xf>
    <xf numFmtId="0" fontId="16" fillId="22" borderId="56">
      <alignment horizontal="right" vertical="center"/>
    </xf>
    <xf numFmtId="4" fontId="16" fillId="22" borderId="56">
      <alignment horizontal="right" vertical="center"/>
    </xf>
    <xf numFmtId="0" fontId="10" fillId="24" borderId="56">
      <alignment horizontal="right" vertical="center"/>
    </xf>
    <xf numFmtId="4" fontId="10" fillId="24" borderId="56">
      <alignment horizontal="right" vertical="center"/>
    </xf>
    <xf numFmtId="0" fontId="10" fillId="24" borderId="56">
      <alignment horizontal="right" vertical="center"/>
    </xf>
    <xf numFmtId="4" fontId="10" fillId="24" borderId="56">
      <alignment horizontal="right" vertical="center"/>
    </xf>
    <xf numFmtId="0" fontId="10" fillId="24" borderId="57">
      <alignment horizontal="right" vertical="center"/>
    </xf>
    <xf numFmtId="4" fontId="10" fillId="24" borderId="57">
      <alignment horizontal="right" vertical="center"/>
    </xf>
    <xf numFmtId="0" fontId="10" fillId="24" borderId="58">
      <alignment horizontal="right" vertical="center"/>
    </xf>
    <xf numFmtId="4" fontId="10" fillId="24" borderId="58">
      <alignment horizontal="right" vertical="center"/>
    </xf>
    <xf numFmtId="0" fontId="26" fillId="46" borderId="53" applyNumberFormat="0" applyAlignment="0" applyProtection="0"/>
    <xf numFmtId="0" fontId="14" fillId="24" borderId="59">
      <alignment horizontal="left" vertical="center" wrapText="1" indent="2"/>
    </xf>
    <xf numFmtId="0" fontId="14" fillId="0" borderId="59">
      <alignment horizontal="left" vertical="center" wrapText="1" indent="2"/>
    </xf>
    <xf numFmtId="0" fontId="14" fillId="22" borderId="57">
      <alignment horizontal="left" vertical="center"/>
    </xf>
    <xf numFmtId="0" fontId="38" fillId="33" borderId="53" applyNumberFormat="0" applyAlignment="0" applyProtection="0"/>
    <xf numFmtId="0" fontId="14" fillId="0" borderId="56">
      <alignment horizontal="right" vertical="center"/>
    </xf>
    <xf numFmtId="4" fontId="14" fillId="0" borderId="56">
      <alignment horizontal="right" vertical="center"/>
    </xf>
    <xf numFmtId="0" fontId="14" fillId="0" borderId="56" applyNumberFormat="0" applyFill="0" applyAlignment="0" applyProtection="0"/>
    <xf numFmtId="0" fontId="42" fillId="46" borderId="52" applyNumberFormat="0" applyAlignment="0" applyProtection="0"/>
    <xf numFmtId="165" fontId="14" fillId="50" borderId="56" applyNumberFormat="0" applyFont="0" applyBorder="0" applyAlignment="0" applyProtection="0">
      <alignment horizontal="right" vertical="center"/>
    </xf>
    <xf numFmtId="0" fontId="14" fillId="23" borderId="56"/>
    <xf numFmtId="4" fontId="14" fillId="23" borderId="56"/>
    <xf numFmtId="0" fontId="45" fillId="0" borderId="54" applyNumberFormat="0" applyFill="0" applyAlignment="0" applyProtection="0"/>
    <xf numFmtId="0" fontId="11" fillId="49" borderId="55" applyNumberFormat="0" applyFont="0" applyAlignment="0" applyProtection="0"/>
    <xf numFmtId="0" fontId="20" fillId="49" borderId="55" applyNumberFormat="0" applyFont="0" applyAlignment="0" applyProtection="0"/>
    <xf numFmtId="0" fontId="14" fillId="0" borderId="56" applyNumberFormat="0" applyFill="0" applyAlignment="0" applyProtection="0"/>
    <xf numFmtId="0" fontId="30" fillId="0" borderId="54" applyNumberFormat="0" applyFill="0" applyAlignment="0" applyProtection="0"/>
    <xf numFmtId="0" fontId="45" fillId="0" borderId="54" applyNumberFormat="0" applyFill="0" applyAlignment="0" applyProtection="0"/>
    <xf numFmtId="0" fontId="29" fillId="33" borderId="53" applyNumberFormat="0" applyAlignment="0" applyProtection="0"/>
    <xf numFmtId="0" fontId="26" fillId="46" borderId="53" applyNumberFormat="0" applyAlignment="0" applyProtection="0"/>
    <xf numFmtId="4" fontId="16" fillId="22" borderId="56">
      <alignment horizontal="right" vertical="center"/>
    </xf>
    <xf numFmtId="0" fontId="10" fillId="22" borderId="56">
      <alignment horizontal="right" vertical="center"/>
    </xf>
    <xf numFmtId="165" fontId="14" fillId="50" borderId="56" applyNumberFormat="0" applyFont="0" applyBorder="0" applyAlignment="0" applyProtection="0">
      <alignment horizontal="right" vertical="center"/>
    </xf>
    <xf numFmtId="0" fontId="30" fillId="0" borderId="54" applyNumberFormat="0" applyFill="0" applyAlignment="0" applyProtection="0"/>
    <xf numFmtId="49" fontId="14" fillId="0" borderId="56" applyNumberFormat="0" applyFont="0" applyFill="0" applyBorder="0" applyProtection="0">
      <alignment horizontal="left" vertical="center" indent="2"/>
    </xf>
    <xf numFmtId="49" fontId="14" fillId="0" borderId="57" applyNumberFormat="0" applyFont="0" applyFill="0" applyBorder="0" applyProtection="0">
      <alignment horizontal="left" vertical="center" indent="5"/>
    </xf>
    <xf numFmtId="49" fontId="14" fillId="0" borderId="56" applyNumberFormat="0" applyFont="0" applyFill="0" applyBorder="0" applyProtection="0">
      <alignment horizontal="left" vertical="center" indent="2"/>
    </xf>
    <xf numFmtId="4" fontId="14" fillId="0" borderId="56" applyFill="0" applyBorder="0" applyProtection="0">
      <alignment horizontal="right" vertical="center"/>
    </xf>
    <xf numFmtId="49" fontId="13" fillId="0" borderId="56" applyNumberFormat="0" applyFill="0" applyBorder="0" applyProtection="0">
      <alignment horizontal="left" vertical="center"/>
    </xf>
    <xf numFmtId="0" fontId="14" fillId="0" borderId="59">
      <alignment horizontal="left" vertical="center" wrapText="1" indent="2"/>
    </xf>
    <xf numFmtId="0" fontId="42" fillId="46" borderId="52" applyNumberFormat="0" applyAlignment="0" applyProtection="0"/>
    <xf numFmtId="0" fontId="10" fillId="24" borderId="58">
      <alignment horizontal="right" vertical="center"/>
    </xf>
    <xf numFmtId="0" fontId="29" fillId="33" borderId="53" applyNumberFormat="0" applyAlignment="0" applyProtection="0"/>
    <xf numFmtId="0" fontId="10" fillId="24" borderId="58">
      <alignment horizontal="right" vertical="center"/>
    </xf>
    <xf numFmtId="4" fontId="10" fillId="24" borderId="56">
      <alignment horizontal="right" vertical="center"/>
    </xf>
    <xf numFmtId="0" fontId="10" fillId="24" borderId="56">
      <alignment horizontal="right" vertical="center"/>
    </xf>
    <xf numFmtId="0" fontId="23" fillId="46" borderId="52" applyNumberFormat="0" applyAlignment="0" applyProtection="0"/>
    <xf numFmtId="0" fontId="25" fillId="46" borderId="53" applyNumberFormat="0" applyAlignment="0" applyProtection="0"/>
    <xf numFmtId="0" fontId="30" fillId="0" borderId="54" applyNumberFormat="0" applyFill="0" applyAlignment="0" applyProtection="0"/>
    <xf numFmtId="0" fontId="14" fillId="23" borderId="56"/>
    <xf numFmtId="4" fontId="14" fillId="23" borderId="56"/>
    <xf numFmtId="4" fontId="10" fillId="24" borderId="56">
      <alignment horizontal="right" vertical="center"/>
    </xf>
    <xf numFmtId="0" fontId="16" fillId="22" borderId="56">
      <alignment horizontal="right" vertical="center"/>
    </xf>
    <xf numFmtId="0" fontId="29" fillId="33" borderId="53" applyNumberFormat="0" applyAlignment="0" applyProtection="0"/>
    <xf numFmtId="0" fontId="26" fillId="46" borderId="53" applyNumberFormat="0" applyAlignment="0" applyProtection="0"/>
    <xf numFmtId="4" fontId="14" fillId="0" borderId="56">
      <alignment horizontal="right" vertical="center"/>
    </xf>
    <xf numFmtId="0" fontId="14" fillId="24" borderId="59">
      <alignment horizontal="left" vertical="center" wrapText="1" indent="2"/>
    </xf>
    <xf numFmtId="0" fontId="14" fillId="0" borderId="59">
      <alignment horizontal="left" vertical="center" wrapText="1" indent="2"/>
    </xf>
    <xf numFmtId="0" fontId="42" fillId="46" borderId="52" applyNumberFormat="0" applyAlignment="0" applyProtection="0"/>
    <xf numFmtId="0" fontId="38" fillId="33" borderId="53" applyNumberFormat="0" applyAlignment="0" applyProtection="0"/>
    <xf numFmtId="0" fontId="25" fillId="46" borderId="53" applyNumberFormat="0" applyAlignment="0" applyProtection="0"/>
    <xf numFmtId="0" fontId="23" fillId="46" borderId="52" applyNumberFormat="0" applyAlignment="0" applyProtection="0"/>
    <xf numFmtId="0" fontId="10" fillId="24" borderId="58">
      <alignment horizontal="right" vertical="center"/>
    </xf>
    <xf numFmtId="0" fontId="16" fillId="22" borderId="56">
      <alignment horizontal="right" vertical="center"/>
    </xf>
    <xf numFmtId="4" fontId="10" fillId="22" borderId="56">
      <alignment horizontal="right" vertical="center"/>
    </xf>
    <xf numFmtId="4" fontId="10" fillId="24" borderId="56">
      <alignment horizontal="right" vertical="center"/>
    </xf>
    <xf numFmtId="49" fontId="14" fillId="0" borderId="57" applyNumberFormat="0" applyFont="0" applyFill="0" applyBorder="0" applyProtection="0">
      <alignment horizontal="left" vertical="center" indent="5"/>
    </xf>
    <xf numFmtId="4" fontId="14" fillId="0" borderId="56" applyFill="0" applyBorder="0" applyProtection="0">
      <alignment horizontal="right" vertical="center"/>
    </xf>
    <xf numFmtId="4" fontId="10" fillId="22" borderId="56">
      <alignment horizontal="right" vertical="center"/>
    </xf>
    <xf numFmtId="0" fontId="38" fillId="33" borderId="53" applyNumberFormat="0" applyAlignment="0" applyProtection="0"/>
    <xf numFmtId="0" fontId="29" fillId="33" borderId="53" applyNumberFormat="0" applyAlignment="0" applyProtection="0"/>
    <xf numFmtId="0" fontId="25" fillId="46" borderId="53" applyNumberFormat="0" applyAlignment="0" applyProtection="0"/>
    <xf numFmtId="0" fontId="14" fillId="24" borderId="59">
      <alignment horizontal="left" vertical="center" wrapText="1" indent="2"/>
    </xf>
    <xf numFmtId="0" fontId="14" fillId="0" borderId="59">
      <alignment horizontal="left" vertical="center" wrapText="1" indent="2"/>
    </xf>
    <xf numFmtId="0" fontId="14" fillId="24" borderId="59">
      <alignment horizontal="left" vertical="center" wrapText="1" indent="2"/>
    </xf>
    <xf numFmtId="0" fontId="14" fillId="0" borderId="59">
      <alignment horizontal="left" vertical="center" wrapText="1" indent="2"/>
    </xf>
    <xf numFmtId="0" fontId="20" fillId="49" borderId="71" applyNumberFormat="0" applyFont="0" applyAlignment="0" applyProtection="0"/>
    <xf numFmtId="0" fontId="1" fillId="17" borderId="0" applyNumberFormat="0" applyBorder="0" applyAlignment="0" applyProtection="0"/>
    <xf numFmtId="0" fontId="1" fillId="8" borderId="0" applyNumberFormat="0" applyBorder="0" applyAlignment="0" applyProtection="0"/>
    <xf numFmtId="0" fontId="30" fillId="0" borderId="70" applyNumberFormat="0" applyFill="0" applyAlignment="0" applyProtection="0"/>
    <xf numFmtId="4" fontId="10" fillId="24" borderId="74">
      <alignment horizontal="right" vertical="center"/>
    </xf>
    <xf numFmtId="49" fontId="14" fillId="0" borderId="72" applyNumberFormat="0" applyFont="0" applyFill="0" applyBorder="0" applyProtection="0">
      <alignment horizontal="left" vertical="center" indent="2"/>
    </xf>
    <xf numFmtId="0" fontId="45" fillId="0" borderId="70" applyNumberFormat="0" applyFill="0" applyAlignment="0" applyProtection="0"/>
    <xf numFmtId="4" fontId="14" fillId="23" borderId="72"/>
    <xf numFmtId="0" fontId="38" fillId="33" borderId="69" applyNumberFormat="0" applyAlignment="0" applyProtection="0"/>
    <xf numFmtId="0" fontId="10" fillId="24" borderId="73">
      <alignment horizontal="right" vertical="center"/>
    </xf>
    <xf numFmtId="0" fontId="14" fillId="0" borderId="75">
      <alignment horizontal="left" vertical="center" wrapText="1" indent="2"/>
    </xf>
    <xf numFmtId="0" fontId="25" fillId="46" borderId="69" applyNumberFormat="0" applyAlignment="0" applyProtection="0"/>
    <xf numFmtId="0" fontId="25" fillId="46" borderId="69" applyNumberFormat="0" applyAlignment="0" applyProtection="0"/>
    <xf numFmtId="4" fontId="10" fillId="24" borderId="73">
      <alignment horizontal="right" vertical="center"/>
    </xf>
    <xf numFmtId="0" fontId="1" fillId="16" borderId="0" applyNumberFormat="0" applyBorder="0" applyAlignment="0" applyProtection="0"/>
    <xf numFmtId="4" fontId="10" fillId="24" borderId="66">
      <alignment horizontal="right" vertical="center"/>
    </xf>
    <xf numFmtId="0" fontId="10" fillId="24" borderId="72">
      <alignment horizontal="right" vertical="center"/>
    </xf>
    <xf numFmtId="0" fontId="45" fillId="0" borderId="70" applyNumberFormat="0" applyFill="0" applyAlignment="0" applyProtection="0"/>
    <xf numFmtId="165" fontId="14" fillId="50" borderId="72" applyNumberFormat="0" applyFont="0" applyBorder="0" applyAlignment="0" applyProtection="0">
      <alignment horizontal="right" vertical="center"/>
    </xf>
    <xf numFmtId="0" fontId="45" fillId="0" borderId="70" applyNumberFormat="0" applyFill="0" applyAlignment="0" applyProtection="0"/>
    <xf numFmtId="4" fontId="14" fillId="23" borderId="72"/>
    <xf numFmtId="0" fontId="38" fillId="33" borderId="69" applyNumberFormat="0" applyAlignment="0" applyProtection="0"/>
    <xf numFmtId="0" fontId="29" fillId="33" borderId="69" applyNumberFormat="0" applyAlignment="0" applyProtection="0"/>
    <xf numFmtId="0" fontId="10" fillId="24" borderId="66">
      <alignment horizontal="right" vertical="center"/>
    </xf>
    <xf numFmtId="0" fontId="10" fillId="24" borderId="72">
      <alignment horizontal="right" vertical="center"/>
    </xf>
    <xf numFmtId="0" fontId="10" fillId="24" borderId="72">
      <alignment horizontal="right" vertical="center"/>
    </xf>
    <xf numFmtId="0" fontId="8" fillId="9" borderId="0" applyNumberFormat="0" applyBorder="0" applyAlignment="0" applyProtection="0"/>
    <xf numFmtId="0" fontId="25" fillId="46" borderId="69" applyNumberFormat="0" applyAlignment="0" applyProtection="0"/>
    <xf numFmtId="0" fontId="14" fillId="24" borderId="67">
      <alignment horizontal="left" vertical="center" wrapText="1" indent="2"/>
    </xf>
    <xf numFmtId="49" fontId="13" fillId="0" borderId="72" applyNumberFormat="0" applyFill="0" applyBorder="0" applyProtection="0">
      <alignment horizontal="left" vertical="center"/>
    </xf>
    <xf numFmtId="0" fontId="8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0" applyNumberFormat="0" applyBorder="0" applyAlignment="0" applyProtection="0"/>
    <xf numFmtId="0" fontId="1" fillId="5" borderId="0" applyNumberFormat="0" applyBorder="0" applyAlignment="0" applyProtection="0"/>
    <xf numFmtId="4" fontId="10" fillId="24" borderId="72">
      <alignment horizontal="right" vertical="center"/>
    </xf>
    <xf numFmtId="4" fontId="10" fillId="24" borderId="64">
      <alignment horizontal="right" vertical="center"/>
    </xf>
    <xf numFmtId="0" fontId="14" fillId="23" borderId="64"/>
    <xf numFmtId="0" fontId="25" fillId="46" borderId="61" applyNumberFormat="0" applyAlignment="0" applyProtection="0"/>
    <xf numFmtId="0" fontId="10" fillId="22" borderId="64">
      <alignment horizontal="right" vertical="center"/>
    </xf>
    <xf numFmtId="0" fontId="14" fillId="0" borderId="64">
      <alignment horizontal="right" vertical="center"/>
    </xf>
    <xf numFmtId="0" fontId="45" fillId="0" borderId="62" applyNumberFormat="0" applyFill="0" applyAlignment="0" applyProtection="0"/>
    <xf numFmtId="0" fontId="14" fillId="22" borderId="65">
      <alignment horizontal="left" vertical="center"/>
    </xf>
    <xf numFmtId="0" fontId="38" fillId="33" borderId="61" applyNumberFormat="0" applyAlignment="0" applyProtection="0"/>
    <xf numFmtId="165" fontId="14" fillId="50" borderId="64" applyNumberFormat="0" applyFont="0" applyBorder="0" applyAlignment="0" applyProtection="0">
      <alignment horizontal="right" vertical="center"/>
    </xf>
    <xf numFmtId="0" fontId="20" fillId="49" borderId="63" applyNumberFormat="0" applyFont="0" applyAlignment="0" applyProtection="0"/>
    <xf numFmtId="0" fontId="14" fillId="0" borderId="67">
      <alignment horizontal="left" vertical="center" wrapText="1" indent="2"/>
    </xf>
    <xf numFmtId="4" fontId="14" fillId="23" borderId="64"/>
    <xf numFmtId="49" fontId="13" fillId="0" borderId="64" applyNumberFormat="0" applyFill="0" applyBorder="0" applyProtection="0">
      <alignment horizontal="left" vertical="center"/>
    </xf>
    <xf numFmtId="0" fontId="14" fillId="0" borderId="64">
      <alignment horizontal="right" vertical="center"/>
    </xf>
    <xf numFmtId="4" fontId="10" fillId="24" borderId="66">
      <alignment horizontal="right" vertical="center"/>
    </xf>
    <xf numFmtId="4" fontId="10" fillId="24" borderId="64">
      <alignment horizontal="right" vertical="center"/>
    </xf>
    <xf numFmtId="4" fontId="10" fillId="24" borderId="64">
      <alignment horizontal="right" vertical="center"/>
    </xf>
    <xf numFmtId="0" fontId="16" fillId="22" borderId="64">
      <alignment horizontal="right" vertical="center"/>
    </xf>
    <xf numFmtId="0" fontId="10" fillId="22" borderId="64">
      <alignment horizontal="right" vertical="center"/>
    </xf>
    <xf numFmtId="49" fontId="14" fillId="0" borderId="64" applyNumberFormat="0" applyFont="0" applyFill="0" applyBorder="0" applyProtection="0">
      <alignment horizontal="left" vertical="center" indent="2"/>
    </xf>
    <xf numFmtId="0" fontId="38" fillId="33" borderId="61" applyNumberFormat="0" applyAlignment="0" applyProtection="0"/>
    <xf numFmtId="0" fontId="23" fillId="46" borderId="60" applyNumberFormat="0" applyAlignment="0" applyProtection="0"/>
    <xf numFmtId="49" fontId="14" fillId="0" borderId="64" applyNumberFormat="0" applyFont="0" applyFill="0" applyBorder="0" applyProtection="0">
      <alignment horizontal="left" vertical="center" indent="2"/>
    </xf>
    <xf numFmtId="0" fontId="29" fillId="33" borderId="61" applyNumberFormat="0" applyAlignment="0" applyProtection="0"/>
    <xf numFmtId="4" fontId="14" fillId="0" borderId="64" applyFill="0" applyBorder="0" applyProtection="0">
      <alignment horizontal="right" vertical="center"/>
    </xf>
    <xf numFmtId="0" fontId="26" fillId="46" borderId="61" applyNumberFormat="0" applyAlignment="0" applyProtection="0"/>
    <xf numFmtId="0" fontId="45" fillId="0" borderId="62" applyNumberFormat="0" applyFill="0" applyAlignment="0" applyProtection="0"/>
    <xf numFmtId="0" fontId="42" fillId="46" borderId="60" applyNumberFormat="0" applyAlignment="0" applyProtection="0"/>
    <xf numFmtId="0" fontId="14" fillId="0" borderId="64" applyNumberFormat="0" applyFill="0" applyAlignment="0" applyProtection="0"/>
    <xf numFmtId="4" fontId="14" fillId="0" borderId="64">
      <alignment horizontal="right" vertical="center"/>
    </xf>
    <xf numFmtId="0" fontId="14" fillId="0" borderId="64">
      <alignment horizontal="right" vertical="center"/>
    </xf>
    <xf numFmtId="0" fontId="38" fillId="33" borderId="61" applyNumberFormat="0" applyAlignment="0" applyProtection="0"/>
    <xf numFmtId="0" fontId="23" fillId="46" borderId="60" applyNumberFormat="0" applyAlignment="0" applyProtection="0"/>
    <xf numFmtId="0" fontId="25" fillId="46" borderId="61" applyNumberFormat="0" applyAlignment="0" applyProtection="0"/>
    <xf numFmtId="0" fontId="14" fillId="24" borderId="67">
      <alignment horizontal="left" vertical="center" wrapText="1" indent="2"/>
    </xf>
    <xf numFmtId="0" fontId="26" fillId="46" borderId="61" applyNumberFormat="0" applyAlignment="0" applyProtection="0"/>
    <xf numFmtId="0" fontId="26" fillId="46" borderId="61" applyNumberFormat="0" applyAlignment="0" applyProtection="0"/>
    <xf numFmtId="4" fontId="10" fillId="24" borderId="65">
      <alignment horizontal="right" vertical="center"/>
    </xf>
    <xf numFmtId="0" fontId="10" fillId="24" borderId="65">
      <alignment horizontal="right" vertical="center"/>
    </xf>
    <xf numFmtId="0" fontId="10" fillId="24" borderId="64">
      <alignment horizontal="right" vertical="center"/>
    </xf>
    <xf numFmtId="4" fontId="16" fillId="22" borderId="64">
      <alignment horizontal="right" vertical="center"/>
    </xf>
    <xf numFmtId="0" fontId="29" fillId="33" borderId="61" applyNumberFormat="0" applyAlignment="0" applyProtection="0"/>
    <xf numFmtId="0" fontId="30" fillId="0" borderId="62" applyNumberFormat="0" applyFill="0" applyAlignment="0" applyProtection="0"/>
    <xf numFmtId="0" fontId="45" fillId="0" borderId="62" applyNumberFormat="0" applyFill="0" applyAlignment="0" applyProtection="0"/>
    <xf numFmtId="0" fontId="20" fillId="49" borderId="63" applyNumberFormat="0" applyFont="0" applyAlignment="0" applyProtection="0"/>
    <xf numFmtId="0" fontId="38" fillId="33" borderId="61" applyNumberFormat="0" applyAlignment="0" applyProtection="0"/>
    <xf numFmtId="49" fontId="13" fillId="0" borderId="64" applyNumberFormat="0" applyFill="0" applyBorder="0" applyProtection="0">
      <alignment horizontal="left" vertical="center"/>
    </xf>
    <xf numFmtId="0" fontId="14" fillId="24" borderId="67">
      <alignment horizontal="left" vertical="center" wrapText="1" indent="2"/>
    </xf>
    <xf numFmtId="0" fontId="26" fillId="46" borderId="61" applyNumberFormat="0" applyAlignment="0" applyProtection="0"/>
    <xf numFmtId="0" fontId="14" fillId="0" borderId="67">
      <alignment horizontal="left" vertical="center" wrapText="1" indent="2"/>
    </xf>
    <xf numFmtId="0" fontId="20" fillId="49" borderId="63" applyNumberFormat="0" applyFont="0" applyAlignment="0" applyProtection="0"/>
    <xf numFmtId="0" fontId="11" fillId="49" borderId="63" applyNumberFormat="0" applyFont="0" applyAlignment="0" applyProtection="0"/>
    <xf numFmtId="0" fontId="42" fillId="46" borderId="60" applyNumberFormat="0" applyAlignment="0" applyProtection="0"/>
    <xf numFmtId="0" fontId="45" fillId="0" borderId="62" applyNumberFormat="0" applyFill="0" applyAlignment="0" applyProtection="0"/>
    <xf numFmtId="4" fontId="14" fillId="23" borderId="64"/>
    <xf numFmtId="0" fontId="10" fillId="24" borderId="64">
      <alignment horizontal="right" vertical="center"/>
    </xf>
    <xf numFmtId="0" fontId="45" fillId="0" borderId="62" applyNumberFormat="0" applyFill="0" applyAlignment="0" applyProtection="0"/>
    <xf numFmtId="4" fontId="10" fillId="24" borderId="66">
      <alignment horizontal="right" vertical="center"/>
    </xf>
    <xf numFmtId="0" fontId="25" fillId="46" borderId="61" applyNumberFormat="0" applyAlignment="0" applyProtection="0"/>
    <xf numFmtId="0" fontId="10" fillId="24" borderId="65">
      <alignment horizontal="right" vertical="center"/>
    </xf>
    <xf numFmtId="0" fontId="26" fillId="46" borderId="61" applyNumberFormat="0" applyAlignment="0" applyProtection="0"/>
    <xf numFmtId="0" fontId="30" fillId="0" borderId="62" applyNumberFormat="0" applyFill="0" applyAlignment="0" applyProtection="0"/>
    <xf numFmtId="0" fontId="20" fillId="49" borderId="63" applyNumberFormat="0" applyFont="0" applyAlignment="0" applyProtection="0"/>
    <xf numFmtId="4" fontId="10" fillId="24" borderId="65">
      <alignment horizontal="right" vertical="center"/>
    </xf>
    <xf numFmtId="0" fontId="14" fillId="24" borderId="67">
      <alignment horizontal="left" vertical="center" wrapText="1" indent="2"/>
    </xf>
    <xf numFmtId="0" fontId="14" fillId="23" borderId="64"/>
    <xf numFmtId="165" fontId="14" fillId="50" borderId="64" applyNumberFormat="0" applyFont="0" applyBorder="0" applyAlignment="0" applyProtection="0">
      <alignment horizontal="right" vertical="center"/>
    </xf>
    <xf numFmtId="0" fontId="14" fillId="0" borderId="64" applyNumberFormat="0" applyFill="0" applyAlignment="0" applyProtection="0"/>
    <xf numFmtId="4" fontId="14" fillId="0" borderId="64" applyFill="0" applyBorder="0" applyProtection="0">
      <alignment horizontal="right" vertical="center"/>
    </xf>
    <xf numFmtId="4" fontId="10" fillId="22" borderId="64">
      <alignment horizontal="right" vertical="center"/>
    </xf>
    <xf numFmtId="0" fontId="30" fillId="0" borderId="62" applyNumberFormat="0" applyFill="0" applyAlignment="0" applyProtection="0"/>
    <xf numFmtId="49" fontId="13" fillId="0" borderId="64" applyNumberFormat="0" applyFill="0" applyBorder="0" applyProtection="0">
      <alignment horizontal="left" vertical="center"/>
    </xf>
    <xf numFmtId="49" fontId="14" fillId="0" borderId="65" applyNumberFormat="0" applyFont="0" applyFill="0" applyBorder="0" applyProtection="0">
      <alignment horizontal="left" vertical="center" indent="5"/>
    </xf>
    <xf numFmtId="0" fontId="14" fillId="22" borderId="65">
      <alignment horizontal="left" vertical="center"/>
    </xf>
    <xf numFmtId="0" fontId="26" fillId="46" borderId="61" applyNumberFormat="0" applyAlignment="0" applyProtection="0"/>
    <xf numFmtId="4" fontId="10" fillId="24" borderId="66">
      <alignment horizontal="right" vertical="center"/>
    </xf>
    <xf numFmtId="0" fontId="38" fillId="33" borderId="61" applyNumberFormat="0" applyAlignment="0" applyProtection="0"/>
    <xf numFmtId="0" fontId="38" fillId="33" borderId="61" applyNumberFormat="0" applyAlignment="0" applyProtection="0"/>
    <xf numFmtId="0" fontId="20" fillId="49" borderId="63" applyNumberFormat="0" applyFont="0" applyAlignment="0" applyProtection="0"/>
    <xf numFmtId="0" fontId="42" fillId="46" borderId="60" applyNumberFormat="0" applyAlignment="0" applyProtection="0"/>
    <xf numFmtId="0" fontId="45" fillId="0" borderId="62" applyNumberFormat="0" applyFill="0" applyAlignment="0" applyProtection="0"/>
    <xf numFmtId="0" fontId="10" fillId="24" borderId="64">
      <alignment horizontal="right" vertical="center"/>
    </xf>
    <xf numFmtId="0" fontId="11" fillId="49" borderId="63" applyNumberFormat="0" applyFont="0" applyAlignment="0" applyProtection="0"/>
    <xf numFmtId="4" fontId="14" fillId="0" borderId="64">
      <alignment horizontal="right" vertical="center"/>
    </xf>
    <xf numFmtId="0" fontId="45" fillId="0" borderId="62" applyNumberFormat="0" applyFill="0" applyAlignment="0" applyProtection="0"/>
    <xf numFmtId="0" fontId="10" fillId="24" borderId="64">
      <alignment horizontal="right" vertical="center"/>
    </xf>
    <xf numFmtId="0" fontId="10" fillId="24" borderId="64">
      <alignment horizontal="right" vertical="center"/>
    </xf>
    <xf numFmtId="4" fontId="16" fillId="22" borderId="64">
      <alignment horizontal="right" vertical="center"/>
    </xf>
    <xf numFmtId="0" fontId="10" fillId="22" borderId="64">
      <alignment horizontal="right" vertical="center"/>
    </xf>
    <xf numFmtId="4" fontId="10" fillId="22" borderId="64">
      <alignment horizontal="right" vertical="center"/>
    </xf>
    <xf numFmtId="0" fontId="16" fillId="22" borderId="64">
      <alignment horizontal="right" vertical="center"/>
    </xf>
    <xf numFmtId="4" fontId="16" fillId="22" borderId="64">
      <alignment horizontal="right" vertical="center"/>
    </xf>
    <xf numFmtId="0" fontId="10" fillId="24" borderId="64">
      <alignment horizontal="right" vertical="center"/>
    </xf>
    <xf numFmtId="4" fontId="10" fillId="24" borderId="64">
      <alignment horizontal="right" vertical="center"/>
    </xf>
    <xf numFmtId="0" fontId="10" fillId="24" borderId="64">
      <alignment horizontal="right" vertical="center"/>
    </xf>
    <xf numFmtId="4" fontId="10" fillId="24" borderId="64">
      <alignment horizontal="right" vertical="center"/>
    </xf>
    <xf numFmtId="0" fontId="10" fillId="24" borderId="65">
      <alignment horizontal="right" vertical="center"/>
    </xf>
    <xf numFmtId="4" fontId="10" fillId="24" borderId="65">
      <alignment horizontal="right" vertical="center"/>
    </xf>
    <xf numFmtId="0" fontId="10" fillId="24" borderId="66">
      <alignment horizontal="right" vertical="center"/>
    </xf>
    <xf numFmtId="4" fontId="10" fillId="24" borderId="66">
      <alignment horizontal="right" vertical="center"/>
    </xf>
    <xf numFmtId="0" fontId="26" fillId="46" borderId="61" applyNumberFormat="0" applyAlignment="0" applyProtection="0"/>
    <xf numFmtId="0" fontId="14" fillId="24" borderId="67">
      <alignment horizontal="left" vertical="center" wrapText="1" indent="2"/>
    </xf>
    <xf numFmtId="0" fontId="14" fillId="0" borderId="67">
      <alignment horizontal="left" vertical="center" wrapText="1" indent="2"/>
    </xf>
    <xf numFmtId="0" fontId="14" fillId="22" borderId="65">
      <alignment horizontal="left" vertical="center"/>
    </xf>
    <xf numFmtId="0" fontId="38" fillId="33" borderId="61" applyNumberFormat="0" applyAlignment="0" applyProtection="0"/>
    <xf numFmtId="0" fontId="14" fillId="0" borderId="64">
      <alignment horizontal="right" vertical="center"/>
    </xf>
    <xf numFmtId="4" fontId="14" fillId="0" borderId="64">
      <alignment horizontal="right" vertical="center"/>
    </xf>
    <xf numFmtId="0" fontId="14" fillId="0" borderId="64" applyNumberFormat="0" applyFill="0" applyAlignment="0" applyProtection="0"/>
    <xf numFmtId="0" fontId="42" fillId="46" borderId="60" applyNumberFormat="0" applyAlignment="0" applyProtection="0"/>
    <xf numFmtId="165" fontId="14" fillId="50" borderId="64" applyNumberFormat="0" applyFont="0" applyBorder="0" applyAlignment="0" applyProtection="0">
      <alignment horizontal="right" vertical="center"/>
    </xf>
    <xf numFmtId="0" fontId="14" fillId="23" borderId="64"/>
    <xf numFmtId="4" fontId="14" fillId="23" borderId="64"/>
    <xf numFmtId="0" fontId="45" fillId="0" borderId="62" applyNumberFormat="0" applyFill="0" applyAlignment="0" applyProtection="0"/>
    <xf numFmtId="0" fontId="11" fillId="49" borderId="63" applyNumberFormat="0" applyFont="0" applyAlignment="0" applyProtection="0"/>
    <xf numFmtId="0" fontId="20" fillId="49" borderId="63" applyNumberFormat="0" applyFont="0" applyAlignment="0" applyProtection="0"/>
    <xf numFmtId="0" fontId="14" fillId="0" borderId="64" applyNumberFormat="0" applyFill="0" applyAlignment="0" applyProtection="0"/>
    <xf numFmtId="0" fontId="30" fillId="0" borderId="62" applyNumberFormat="0" applyFill="0" applyAlignment="0" applyProtection="0"/>
    <xf numFmtId="0" fontId="45" fillId="0" borderId="62" applyNumberFormat="0" applyFill="0" applyAlignment="0" applyProtection="0"/>
    <xf numFmtId="0" fontId="29" fillId="33" borderId="61" applyNumberFormat="0" applyAlignment="0" applyProtection="0"/>
    <xf numFmtId="0" fontId="26" fillId="46" borderId="61" applyNumberFormat="0" applyAlignment="0" applyProtection="0"/>
    <xf numFmtId="4" fontId="16" fillId="22" borderId="64">
      <alignment horizontal="right" vertical="center"/>
    </xf>
    <xf numFmtId="0" fontId="10" fillId="22" borderId="64">
      <alignment horizontal="right" vertical="center"/>
    </xf>
    <xf numFmtId="165" fontId="14" fillId="50" borderId="64" applyNumberFormat="0" applyFont="0" applyBorder="0" applyAlignment="0" applyProtection="0">
      <alignment horizontal="right" vertical="center"/>
    </xf>
    <xf numFmtId="0" fontId="30" fillId="0" borderId="62" applyNumberFormat="0" applyFill="0" applyAlignment="0" applyProtection="0"/>
    <xf numFmtId="49" fontId="14" fillId="0" borderId="64" applyNumberFormat="0" applyFont="0" applyFill="0" applyBorder="0" applyProtection="0">
      <alignment horizontal="left" vertical="center" indent="2"/>
    </xf>
    <xf numFmtId="49" fontId="14" fillId="0" borderId="65" applyNumberFormat="0" applyFont="0" applyFill="0" applyBorder="0" applyProtection="0">
      <alignment horizontal="left" vertical="center" indent="5"/>
    </xf>
    <xf numFmtId="49" fontId="14" fillId="0" borderId="64" applyNumberFormat="0" applyFont="0" applyFill="0" applyBorder="0" applyProtection="0">
      <alignment horizontal="left" vertical="center" indent="2"/>
    </xf>
    <xf numFmtId="4" fontId="14" fillId="0" borderId="64" applyFill="0" applyBorder="0" applyProtection="0">
      <alignment horizontal="right" vertical="center"/>
    </xf>
    <xf numFmtId="49" fontId="13" fillId="0" borderId="64" applyNumberFormat="0" applyFill="0" applyBorder="0" applyProtection="0">
      <alignment horizontal="left" vertical="center"/>
    </xf>
    <xf numFmtId="0" fontId="14" fillId="0" borderId="67">
      <alignment horizontal="left" vertical="center" wrapText="1" indent="2"/>
    </xf>
    <xf numFmtId="0" fontId="42" fillId="46" borderId="60" applyNumberFormat="0" applyAlignment="0" applyProtection="0"/>
    <xf numFmtId="0" fontId="10" fillId="24" borderId="66">
      <alignment horizontal="right" vertical="center"/>
    </xf>
    <xf numFmtId="0" fontId="29" fillId="33" borderId="61" applyNumberFormat="0" applyAlignment="0" applyProtection="0"/>
    <xf numFmtId="0" fontId="10" fillId="24" borderId="66">
      <alignment horizontal="right" vertical="center"/>
    </xf>
    <xf numFmtId="4" fontId="10" fillId="24" borderId="64">
      <alignment horizontal="right" vertical="center"/>
    </xf>
    <xf numFmtId="0" fontId="10" fillId="24" borderId="64">
      <alignment horizontal="right" vertical="center"/>
    </xf>
    <xf numFmtId="0" fontId="23" fillId="46" borderId="60" applyNumberFormat="0" applyAlignment="0" applyProtection="0"/>
    <xf numFmtId="0" fontId="25" fillId="46" borderId="61" applyNumberFormat="0" applyAlignment="0" applyProtection="0"/>
    <xf numFmtId="0" fontId="30" fillId="0" borderId="62" applyNumberFormat="0" applyFill="0" applyAlignment="0" applyProtection="0"/>
    <xf numFmtId="0" fontId="14" fillId="23" borderId="64"/>
    <xf numFmtId="4" fontId="14" fillId="23" borderId="64"/>
    <xf numFmtId="4" fontId="10" fillId="24" borderId="64">
      <alignment horizontal="right" vertical="center"/>
    </xf>
    <xf numFmtId="0" fontId="16" fillId="22" borderId="64">
      <alignment horizontal="right" vertical="center"/>
    </xf>
    <xf numFmtId="0" fontId="29" fillId="33" borderId="61" applyNumberFormat="0" applyAlignment="0" applyProtection="0"/>
    <xf numFmtId="0" fontId="26" fillId="46" borderId="61" applyNumberFormat="0" applyAlignment="0" applyProtection="0"/>
    <xf numFmtId="4" fontId="14" fillId="0" borderId="64">
      <alignment horizontal="right" vertical="center"/>
    </xf>
    <xf numFmtId="0" fontId="14" fillId="24" borderId="67">
      <alignment horizontal="left" vertical="center" wrapText="1" indent="2"/>
    </xf>
    <xf numFmtId="0" fontId="14" fillId="0" borderId="67">
      <alignment horizontal="left" vertical="center" wrapText="1" indent="2"/>
    </xf>
    <xf numFmtId="0" fontId="42" fillId="46" borderId="60" applyNumberFormat="0" applyAlignment="0" applyProtection="0"/>
    <xf numFmtId="0" fontId="38" fillId="33" borderId="61" applyNumberFormat="0" applyAlignment="0" applyProtection="0"/>
    <xf numFmtId="0" fontId="25" fillId="46" borderId="61" applyNumberFormat="0" applyAlignment="0" applyProtection="0"/>
    <xf numFmtId="0" fontId="23" fillId="46" borderId="60" applyNumberFormat="0" applyAlignment="0" applyProtection="0"/>
    <xf numFmtId="0" fontId="10" fillId="24" borderId="66">
      <alignment horizontal="right" vertical="center"/>
    </xf>
    <xf numFmtId="0" fontId="16" fillId="22" borderId="64">
      <alignment horizontal="right" vertical="center"/>
    </xf>
    <xf numFmtId="4" fontId="10" fillId="22" borderId="64">
      <alignment horizontal="right" vertical="center"/>
    </xf>
    <xf numFmtId="4" fontId="10" fillId="24" borderId="64">
      <alignment horizontal="right" vertical="center"/>
    </xf>
    <xf numFmtId="49" fontId="14" fillId="0" borderId="65" applyNumberFormat="0" applyFont="0" applyFill="0" applyBorder="0" applyProtection="0">
      <alignment horizontal="left" vertical="center" indent="5"/>
    </xf>
    <xf numFmtId="4" fontId="14" fillId="0" borderId="64" applyFill="0" applyBorder="0" applyProtection="0">
      <alignment horizontal="right" vertical="center"/>
    </xf>
    <xf numFmtId="4" fontId="10" fillId="22" borderId="64">
      <alignment horizontal="right" vertical="center"/>
    </xf>
    <xf numFmtId="0" fontId="38" fillId="33" borderId="61" applyNumberFormat="0" applyAlignment="0" applyProtection="0"/>
    <xf numFmtId="0" fontId="29" fillId="33" borderId="61" applyNumberFormat="0" applyAlignment="0" applyProtection="0"/>
    <xf numFmtId="0" fontId="25" fillId="46" borderId="61" applyNumberFormat="0" applyAlignment="0" applyProtection="0"/>
    <xf numFmtId="0" fontId="14" fillId="24" borderId="67">
      <alignment horizontal="left" vertical="center" wrapText="1" indent="2"/>
    </xf>
    <xf numFmtId="0" fontId="14" fillId="0" borderId="67">
      <alignment horizontal="left" vertical="center" wrapText="1" indent="2"/>
    </xf>
    <xf numFmtId="0" fontId="14" fillId="24" borderId="67">
      <alignment horizontal="left" vertical="center" wrapText="1" indent="2"/>
    </xf>
    <xf numFmtId="0" fontId="14" fillId="0" borderId="67">
      <alignment horizontal="left" vertical="center" wrapText="1" indent="2"/>
    </xf>
    <xf numFmtId="0" fontId="23" fillId="46" borderId="60" applyNumberFormat="0" applyAlignment="0" applyProtection="0"/>
    <xf numFmtId="0" fontId="25" fillId="46" borderId="61" applyNumberFormat="0" applyAlignment="0" applyProtection="0"/>
    <xf numFmtId="0" fontId="26" fillId="46" borderId="61" applyNumberFormat="0" applyAlignment="0" applyProtection="0"/>
    <xf numFmtId="0" fontId="29" fillId="33" borderId="61" applyNumberFormat="0" applyAlignment="0" applyProtection="0"/>
    <xf numFmtId="0" fontId="30" fillId="0" borderId="62" applyNumberFormat="0" applyFill="0" applyAlignment="0" applyProtection="0"/>
    <xf numFmtId="0" fontId="38" fillId="33" borderId="61" applyNumberFormat="0" applyAlignment="0" applyProtection="0"/>
    <xf numFmtId="0" fontId="20" fillId="49" borderId="63" applyNumberFormat="0" applyFont="0" applyAlignment="0" applyProtection="0"/>
    <xf numFmtId="0" fontId="11" fillId="49" borderId="63" applyNumberFormat="0" applyFont="0" applyAlignment="0" applyProtection="0"/>
    <xf numFmtId="0" fontId="42" fillId="46" borderId="60" applyNumberFormat="0" applyAlignment="0" applyProtection="0"/>
    <xf numFmtId="0" fontId="45" fillId="0" borderId="62" applyNumberFormat="0" applyFill="0" applyAlignment="0" applyProtection="0"/>
    <xf numFmtId="0" fontId="26" fillId="46" borderId="61" applyNumberFormat="0" applyAlignment="0" applyProtection="0"/>
    <xf numFmtId="0" fontId="38" fillId="33" borderId="61" applyNumberFormat="0" applyAlignment="0" applyProtection="0"/>
    <xf numFmtId="0" fontId="20" fillId="49" borderId="63" applyNumberFormat="0" applyFont="0" applyAlignment="0" applyProtection="0"/>
    <xf numFmtId="0" fontId="42" fillId="46" borderId="60" applyNumberFormat="0" applyAlignment="0" applyProtection="0"/>
    <xf numFmtId="0" fontId="45" fillId="0" borderId="62" applyNumberFormat="0" applyFill="0" applyAlignment="0" applyProtection="0"/>
    <xf numFmtId="4" fontId="10" fillId="24" borderId="72">
      <alignment horizontal="right" vertical="center"/>
    </xf>
    <xf numFmtId="4" fontId="10" fillId="24" borderId="72">
      <alignment horizontal="right" vertical="center"/>
    </xf>
    <xf numFmtId="0" fontId="26" fillId="46" borderId="61" applyNumberFormat="0" applyAlignment="0" applyProtection="0"/>
    <xf numFmtId="0" fontId="42" fillId="46" borderId="68" applyNumberFormat="0" applyAlignment="0" applyProtection="0"/>
    <xf numFmtId="0" fontId="26" fillId="46" borderId="69" applyNumberFormat="0" applyAlignment="0" applyProtection="0"/>
    <xf numFmtId="0" fontId="38" fillId="33" borderId="61" applyNumberFormat="0" applyAlignment="0" applyProtection="0"/>
    <xf numFmtId="0" fontId="42" fillId="46" borderId="60" applyNumberFormat="0" applyAlignment="0" applyProtection="0"/>
    <xf numFmtId="0" fontId="45" fillId="0" borderId="62" applyNumberFormat="0" applyFill="0" applyAlignment="0" applyProtection="0"/>
    <xf numFmtId="0" fontId="14" fillId="23" borderId="72"/>
    <xf numFmtId="0" fontId="23" fillId="46" borderId="60" applyNumberFormat="0" applyAlignment="0" applyProtection="0"/>
    <xf numFmtId="0" fontId="25" fillId="46" borderId="61" applyNumberFormat="0" applyAlignment="0" applyProtection="0"/>
    <xf numFmtId="0" fontId="30" fillId="0" borderId="62" applyNumberFormat="0" applyFill="0" applyAlignment="0" applyProtection="0"/>
    <xf numFmtId="49" fontId="14" fillId="0" borderId="64" applyNumberFormat="0" applyFont="0" applyFill="0" applyBorder="0" applyProtection="0">
      <alignment horizontal="left" vertical="center" indent="2"/>
    </xf>
    <xf numFmtId="0" fontId="10" fillId="22" borderId="64">
      <alignment horizontal="right" vertical="center"/>
    </xf>
    <xf numFmtId="4" fontId="10" fillId="22" borderId="64">
      <alignment horizontal="right" vertical="center"/>
    </xf>
    <xf numFmtId="0" fontId="16" fillId="22" borderId="64">
      <alignment horizontal="right" vertical="center"/>
    </xf>
    <xf numFmtId="4" fontId="16" fillId="22" borderId="64">
      <alignment horizontal="right" vertical="center"/>
    </xf>
    <xf numFmtId="0" fontId="10" fillId="24" borderId="64">
      <alignment horizontal="right" vertical="center"/>
    </xf>
    <xf numFmtId="4" fontId="10" fillId="24" borderId="64">
      <alignment horizontal="right" vertical="center"/>
    </xf>
    <xf numFmtId="0" fontId="10" fillId="24" borderId="64">
      <alignment horizontal="right" vertical="center"/>
    </xf>
    <xf numFmtId="4" fontId="10" fillId="24" borderId="64">
      <alignment horizontal="right" vertical="center"/>
    </xf>
    <xf numFmtId="0" fontId="29" fillId="33" borderId="61" applyNumberFormat="0" applyAlignment="0" applyProtection="0"/>
    <xf numFmtId="0" fontId="14" fillId="0" borderId="64">
      <alignment horizontal="right" vertical="center"/>
    </xf>
    <xf numFmtId="4" fontId="14" fillId="0" borderId="64">
      <alignment horizontal="right" vertical="center"/>
    </xf>
    <xf numFmtId="4" fontId="14" fillId="0" borderId="64" applyFill="0" applyBorder="0" applyProtection="0">
      <alignment horizontal="right" vertical="center"/>
    </xf>
    <xf numFmtId="49" fontId="13" fillId="0" borderId="64" applyNumberFormat="0" applyFill="0" applyBorder="0" applyProtection="0">
      <alignment horizontal="left" vertical="center"/>
    </xf>
    <xf numFmtId="0" fontId="14" fillId="0" borderId="64" applyNumberFormat="0" applyFill="0" applyAlignment="0" applyProtection="0"/>
    <xf numFmtId="165" fontId="14" fillId="50" borderId="64" applyNumberFormat="0" applyFont="0" applyBorder="0" applyAlignment="0" applyProtection="0">
      <alignment horizontal="right" vertical="center"/>
    </xf>
    <xf numFmtId="0" fontId="14" fillId="23" borderId="64"/>
    <xf numFmtId="4" fontId="14" fillId="23" borderId="64"/>
    <xf numFmtId="4" fontId="10" fillId="24" borderId="64">
      <alignment horizontal="right" vertical="center"/>
    </xf>
    <xf numFmtId="0" fontId="14" fillId="23" borderId="64"/>
    <xf numFmtId="0" fontId="25" fillId="46" borderId="61" applyNumberFormat="0" applyAlignment="0" applyProtection="0"/>
    <xf numFmtId="0" fontId="10" fillId="22" borderId="64">
      <alignment horizontal="right" vertical="center"/>
    </xf>
    <xf numFmtId="0" fontId="14" fillId="0" borderId="64">
      <alignment horizontal="right" vertical="center"/>
    </xf>
    <xf numFmtId="0" fontId="45" fillId="0" borderId="62" applyNumberFormat="0" applyFill="0" applyAlignment="0" applyProtection="0"/>
    <xf numFmtId="0" fontId="14" fillId="22" borderId="65">
      <alignment horizontal="left" vertical="center"/>
    </xf>
    <xf numFmtId="0" fontId="38" fillId="33" borderId="61" applyNumberFormat="0" applyAlignment="0" applyProtection="0"/>
    <xf numFmtId="165" fontId="14" fillId="50" borderId="64" applyNumberFormat="0" applyFont="0" applyBorder="0" applyAlignment="0" applyProtection="0">
      <alignment horizontal="right" vertical="center"/>
    </xf>
    <xf numFmtId="0" fontId="20" fillId="49" borderId="63" applyNumberFormat="0" applyFont="0" applyAlignment="0" applyProtection="0"/>
    <xf numFmtId="0" fontId="14" fillId="0" borderId="67">
      <alignment horizontal="left" vertical="center" wrapText="1" indent="2"/>
    </xf>
    <xf numFmtId="4" fontId="14" fillId="23" borderId="64"/>
    <xf numFmtId="49" fontId="13" fillId="0" borderId="64" applyNumberFormat="0" applyFill="0" applyBorder="0" applyProtection="0">
      <alignment horizontal="left" vertical="center"/>
    </xf>
    <xf numFmtId="0" fontId="14" fillId="0" borderId="64">
      <alignment horizontal="right" vertical="center"/>
    </xf>
    <xf numFmtId="4" fontId="10" fillId="24" borderId="66">
      <alignment horizontal="right" vertical="center"/>
    </xf>
    <xf numFmtId="4" fontId="10" fillId="24" borderId="64">
      <alignment horizontal="right" vertical="center"/>
    </xf>
    <xf numFmtId="4" fontId="10" fillId="24" borderId="64">
      <alignment horizontal="right" vertical="center"/>
    </xf>
    <xf numFmtId="0" fontId="16" fillId="22" borderId="64">
      <alignment horizontal="right" vertical="center"/>
    </xf>
    <xf numFmtId="0" fontId="10" fillId="22" borderId="64">
      <alignment horizontal="right" vertical="center"/>
    </xf>
    <xf numFmtId="49" fontId="14" fillId="0" borderId="64" applyNumberFormat="0" applyFont="0" applyFill="0" applyBorder="0" applyProtection="0">
      <alignment horizontal="left" vertical="center" indent="2"/>
    </xf>
    <xf numFmtId="0" fontId="38" fillId="33" borderId="61" applyNumberFormat="0" applyAlignment="0" applyProtection="0"/>
    <xf numFmtId="0" fontId="23" fillId="46" borderId="60" applyNumberFormat="0" applyAlignment="0" applyProtection="0"/>
    <xf numFmtId="49" fontId="14" fillId="0" borderId="64" applyNumberFormat="0" applyFont="0" applyFill="0" applyBorder="0" applyProtection="0">
      <alignment horizontal="left" vertical="center" indent="2"/>
    </xf>
    <xf numFmtId="0" fontId="29" fillId="33" borderId="61" applyNumberFormat="0" applyAlignment="0" applyProtection="0"/>
    <xf numFmtId="4" fontId="14" fillId="0" borderId="64" applyFill="0" applyBorder="0" applyProtection="0">
      <alignment horizontal="right" vertical="center"/>
    </xf>
    <xf numFmtId="0" fontId="26" fillId="46" borderId="61" applyNumberFormat="0" applyAlignment="0" applyProtection="0"/>
    <xf numFmtId="0" fontId="45" fillId="0" borderId="62" applyNumberFormat="0" applyFill="0" applyAlignment="0" applyProtection="0"/>
    <xf numFmtId="0" fontId="42" fillId="46" borderId="60" applyNumberFormat="0" applyAlignment="0" applyProtection="0"/>
    <xf numFmtId="0" fontId="14" fillId="0" borderId="64" applyNumberFormat="0" applyFill="0" applyAlignment="0" applyProtection="0"/>
    <xf numFmtId="4" fontId="14" fillId="0" borderId="64">
      <alignment horizontal="right" vertical="center"/>
    </xf>
    <xf numFmtId="0" fontId="14" fillId="0" borderId="64">
      <alignment horizontal="right" vertical="center"/>
    </xf>
    <xf numFmtId="0" fontId="38" fillId="33" borderId="61" applyNumberFormat="0" applyAlignment="0" applyProtection="0"/>
    <xf numFmtId="0" fontId="23" fillId="46" borderId="60" applyNumberFormat="0" applyAlignment="0" applyProtection="0"/>
    <xf numFmtId="0" fontId="25" fillId="46" borderId="61" applyNumberFormat="0" applyAlignment="0" applyProtection="0"/>
    <xf numFmtId="0" fontId="14" fillId="24" borderId="67">
      <alignment horizontal="left" vertical="center" wrapText="1" indent="2"/>
    </xf>
    <xf numFmtId="0" fontId="26" fillId="46" borderId="61" applyNumberFormat="0" applyAlignment="0" applyProtection="0"/>
    <xf numFmtId="0" fontId="26" fillId="46" borderId="61" applyNumberFormat="0" applyAlignment="0" applyProtection="0"/>
    <xf numFmtId="4" fontId="10" fillId="24" borderId="65">
      <alignment horizontal="right" vertical="center"/>
    </xf>
    <xf numFmtId="0" fontId="10" fillId="24" borderId="65">
      <alignment horizontal="right" vertical="center"/>
    </xf>
    <xf numFmtId="0" fontId="10" fillId="24" borderId="64">
      <alignment horizontal="right" vertical="center"/>
    </xf>
    <xf numFmtId="4" fontId="16" fillId="22" borderId="64">
      <alignment horizontal="right" vertical="center"/>
    </xf>
    <xf numFmtId="0" fontId="29" fillId="33" borderId="61" applyNumberFormat="0" applyAlignment="0" applyProtection="0"/>
    <xf numFmtId="0" fontId="30" fillId="0" borderId="62" applyNumberFormat="0" applyFill="0" applyAlignment="0" applyProtection="0"/>
    <xf numFmtId="0" fontId="45" fillId="0" borderId="62" applyNumberFormat="0" applyFill="0" applyAlignment="0" applyProtection="0"/>
    <xf numFmtId="0" fontId="20" fillId="49" borderId="63" applyNumberFormat="0" applyFont="0" applyAlignment="0" applyProtection="0"/>
    <xf numFmtId="0" fontId="38" fillId="33" borderId="61" applyNumberFormat="0" applyAlignment="0" applyProtection="0"/>
    <xf numFmtId="49" fontId="13" fillId="0" borderId="64" applyNumberFormat="0" applyFill="0" applyBorder="0" applyProtection="0">
      <alignment horizontal="left" vertical="center"/>
    </xf>
    <xf numFmtId="0" fontId="14" fillId="24" borderId="67">
      <alignment horizontal="left" vertical="center" wrapText="1" indent="2"/>
    </xf>
    <xf numFmtId="0" fontId="26" fillId="46" borderId="61" applyNumberFormat="0" applyAlignment="0" applyProtection="0"/>
    <xf numFmtId="0" fontId="14" fillId="0" borderId="67">
      <alignment horizontal="left" vertical="center" wrapText="1" indent="2"/>
    </xf>
    <xf numFmtId="0" fontId="20" fillId="49" borderId="63" applyNumberFormat="0" applyFont="0" applyAlignment="0" applyProtection="0"/>
    <xf numFmtId="0" fontId="11" fillId="49" borderId="63" applyNumberFormat="0" applyFont="0" applyAlignment="0" applyProtection="0"/>
    <xf numFmtId="0" fontId="42" fillId="46" borderId="60" applyNumberFormat="0" applyAlignment="0" applyProtection="0"/>
    <xf numFmtId="0" fontId="45" fillId="0" borderId="62" applyNumberFormat="0" applyFill="0" applyAlignment="0" applyProtection="0"/>
    <xf numFmtId="4" fontId="14" fillId="23" borderId="64"/>
    <xf numFmtId="0" fontId="10" fillId="24" borderId="64">
      <alignment horizontal="right" vertical="center"/>
    </xf>
    <xf numFmtId="0" fontId="45" fillId="0" borderId="62" applyNumberFormat="0" applyFill="0" applyAlignment="0" applyProtection="0"/>
    <xf numFmtId="4" fontId="10" fillId="24" borderId="66">
      <alignment horizontal="right" vertical="center"/>
    </xf>
    <xf numFmtId="0" fontId="25" fillId="46" borderId="61" applyNumberFormat="0" applyAlignment="0" applyProtection="0"/>
    <xf numFmtId="0" fontId="10" fillId="24" borderId="65">
      <alignment horizontal="right" vertical="center"/>
    </xf>
    <xf numFmtId="0" fontId="26" fillId="46" borderId="61" applyNumberFormat="0" applyAlignment="0" applyProtection="0"/>
    <xf numFmtId="0" fontId="30" fillId="0" borderId="62" applyNumberFormat="0" applyFill="0" applyAlignment="0" applyProtection="0"/>
    <xf numFmtId="0" fontId="20" fillId="49" borderId="63" applyNumberFormat="0" applyFont="0" applyAlignment="0" applyProtection="0"/>
    <xf numFmtId="4" fontId="10" fillId="24" borderId="65">
      <alignment horizontal="right" vertical="center"/>
    </xf>
    <xf numFmtId="0" fontId="14" fillId="24" borderId="67">
      <alignment horizontal="left" vertical="center" wrapText="1" indent="2"/>
    </xf>
    <xf numFmtId="0" fontId="14" fillId="23" borderId="64"/>
    <xf numFmtId="165" fontId="14" fillId="50" borderId="64" applyNumberFormat="0" applyFont="0" applyBorder="0" applyAlignment="0" applyProtection="0">
      <alignment horizontal="right" vertical="center"/>
    </xf>
    <xf numFmtId="0" fontId="14" fillId="0" borderId="64" applyNumberFormat="0" applyFill="0" applyAlignment="0" applyProtection="0"/>
    <xf numFmtId="4" fontId="14" fillId="0" borderId="64" applyFill="0" applyBorder="0" applyProtection="0">
      <alignment horizontal="right" vertical="center"/>
    </xf>
    <xf numFmtId="4" fontId="10" fillId="22" borderId="64">
      <alignment horizontal="right" vertical="center"/>
    </xf>
    <xf numFmtId="0" fontId="30" fillId="0" borderId="62" applyNumberFormat="0" applyFill="0" applyAlignment="0" applyProtection="0"/>
    <xf numFmtId="49" fontId="13" fillId="0" borderId="64" applyNumberFormat="0" applyFill="0" applyBorder="0" applyProtection="0">
      <alignment horizontal="left" vertical="center"/>
    </xf>
    <xf numFmtId="49" fontId="14" fillId="0" borderId="65" applyNumberFormat="0" applyFont="0" applyFill="0" applyBorder="0" applyProtection="0">
      <alignment horizontal="left" vertical="center" indent="5"/>
    </xf>
    <xf numFmtId="0" fontId="14" fillId="22" borderId="65">
      <alignment horizontal="left" vertical="center"/>
    </xf>
    <xf numFmtId="0" fontId="26" fillId="46" borderId="61" applyNumberFormat="0" applyAlignment="0" applyProtection="0"/>
    <xf numFmtId="4" fontId="10" fillId="24" borderId="66">
      <alignment horizontal="right" vertical="center"/>
    </xf>
    <xf numFmtId="0" fontId="38" fillId="33" borderId="61" applyNumberFormat="0" applyAlignment="0" applyProtection="0"/>
    <xf numFmtId="0" fontId="38" fillId="33" borderId="61" applyNumberFormat="0" applyAlignment="0" applyProtection="0"/>
    <xf numFmtId="0" fontId="20" fillId="49" borderId="63" applyNumberFormat="0" applyFont="0" applyAlignment="0" applyProtection="0"/>
    <xf numFmtId="0" fontId="42" fillId="46" borderId="60" applyNumberFormat="0" applyAlignment="0" applyProtection="0"/>
    <xf numFmtId="0" fontId="45" fillId="0" borderId="62" applyNumberFormat="0" applyFill="0" applyAlignment="0" applyProtection="0"/>
    <xf numFmtId="0" fontId="10" fillId="24" borderId="64">
      <alignment horizontal="right" vertical="center"/>
    </xf>
    <xf numFmtId="0" fontId="11" fillId="49" borderId="63" applyNumberFormat="0" applyFont="0" applyAlignment="0" applyProtection="0"/>
    <xf numFmtId="4" fontId="14" fillId="0" borderId="64">
      <alignment horizontal="right" vertical="center"/>
    </xf>
    <xf numFmtId="0" fontId="45" fillId="0" borderId="62" applyNumberFormat="0" applyFill="0" applyAlignment="0" applyProtection="0"/>
    <xf numFmtId="0" fontId="10" fillId="24" borderId="64">
      <alignment horizontal="right" vertical="center"/>
    </xf>
    <xf numFmtId="0" fontId="10" fillId="24" borderId="64">
      <alignment horizontal="right" vertical="center"/>
    </xf>
    <xf numFmtId="4" fontId="16" fillId="22" borderId="64">
      <alignment horizontal="right" vertical="center"/>
    </xf>
    <xf numFmtId="0" fontId="10" fillId="22" borderId="64">
      <alignment horizontal="right" vertical="center"/>
    </xf>
    <xf numFmtId="4" fontId="10" fillId="22" borderId="64">
      <alignment horizontal="right" vertical="center"/>
    </xf>
    <xf numFmtId="0" fontId="16" fillId="22" borderId="64">
      <alignment horizontal="right" vertical="center"/>
    </xf>
    <xf numFmtId="4" fontId="16" fillId="22" borderId="64">
      <alignment horizontal="right" vertical="center"/>
    </xf>
    <xf numFmtId="0" fontId="10" fillId="24" borderId="64">
      <alignment horizontal="right" vertical="center"/>
    </xf>
    <xf numFmtId="4" fontId="10" fillId="24" borderId="64">
      <alignment horizontal="right" vertical="center"/>
    </xf>
    <xf numFmtId="0" fontId="10" fillId="24" borderId="64">
      <alignment horizontal="right" vertical="center"/>
    </xf>
    <xf numFmtId="4" fontId="10" fillId="24" borderId="64">
      <alignment horizontal="right" vertical="center"/>
    </xf>
    <xf numFmtId="0" fontId="10" fillId="24" borderId="65">
      <alignment horizontal="right" vertical="center"/>
    </xf>
    <xf numFmtId="4" fontId="10" fillId="24" borderId="65">
      <alignment horizontal="right" vertical="center"/>
    </xf>
    <xf numFmtId="0" fontId="10" fillId="24" borderId="66">
      <alignment horizontal="right" vertical="center"/>
    </xf>
    <xf numFmtId="4" fontId="10" fillId="24" borderId="66">
      <alignment horizontal="right" vertical="center"/>
    </xf>
    <xf numFmtId="0" fontId="26" fillId="46" borderId="61" applyNumberFormat="0" applyAlignment="0" applyProtection="0"/>
    <xf numFmtId="0" fontId="14" fillId="24" borderId="67">
      <alignment horizontal="left" vertical="center" wrapText="1" indent="2"/>
    </xf>
    <xf numFmtId="0" fontId="14" fillId="0" borderId="67">
      <alignment horizontal="left" vertical="center" wrapText="1" indent="2"/>
    </xf>
    <xf numFmtId="0" fontId="14" fillId="22" borderId="65">
      <alignment horizontal="left" vertical="center"/>
    </xf>
    <xf numFmtId="0" fontId="38" fillId="33" borderId="61" applyNumberFormat="0" applyAlignment="0" applyProtection="0"/>
    <xf numFmtId="0" fontId="14" fillId="0" borderId="64">
      <alignment horizontal="right" vertical="center"/>
    </xf>
    <xf numFmtId="4" fontId="14" fillId="0" borderId="64">
      <alignment horizontal="right" vertical="center"/>
    </xf>
    <xf numFmtId="0" fontId="14" fillId="0" borderId="64" applyNumberFormat="0" applyFill="0" applyAlignment="0" applyProtection="0"/>
    <xf numFmtId="0" fontId="42" fillId="46" borderId="60" applyNumberFormat="0" applyAlignment="0" applyProtection="0"/>
    <xf numFmtId="165" fontId="14" fillId="50" borderId="64" applyNumberFormat="0" applyFont="0" applyBorder="0" applyAlignment="0" applyProtection="0">
      <alignment horizontal="right" vertical="center"/>
    </xf>
    <xf numFmtId="0" fontId="14" fillId="23" borderId="64"/>
    <xf numFmtId="4" fontId="14" fillId="23" borderId="64"/>
    <xf numFmtId="0" fontId="45" fillId="0" borderId="62" applyNumberFormat="0" applyFill="0" applyAlignment="0" applyProtection="0"/>
    <xf numFmtId="0" fontId="11" fillId="49" borderId="63" applyNumberFormat="0" applyFont="0" applyAlignment="0" applyProtection="0"/>
    <xf numFmtId="0" fontId="20" fillId="49" borderId="63" applyNumberFormat="0" applyFont="0" applyAlignment="0" applyProtection="0"/>
    <xf numFmtId="0" fontId="14" fillId="0" borderId="64" applyNumberFormat="0" applyFill="0" applyAlignment="0" applyProtection="0"/>
    <xf numFmtId="0" fontId="30" fillId="0" borderId="62" applyNumberFormat="0" applyFill="0" applyAlignment="0" applyProtection="0"/>
    <xf numFmtId="0" fontId="45" fillId="0" borderId="62" applyNumberFormat="0" applyFill="0" applyAlignment="0" applyProtection="0"/>
    <xf numFmtId="0" fontId="29" fillId="33" borderId="61" applyNumberFormat="0" applyAlignment="0" applyProtection="0"/>
    <xf numFmtId="0" fontId="26" fillId="46" borderId="61" applyNumberFormat="0" applyAlignment="0" applyProtection="0"/>
    <xf numFmtId="4" fontId="16" fillId="22" borderId="64">
      <alignment horizontal="right" vertical="center"/>
    </xf>
    <xf numFmtId="0" fontId="10" fillId="22" borderId="64">
      <alignment horizontal="right" vertical="center"/>
    </xf>
    <xf numFmtId="165" fontId="14" fillId="50" borderId="64" applyNumberFormat="0" applyFont="0" applyBorder="0" applyAlignment="0" applyProtection="0">
      <alignment horizontal="right" vertical="center"/>
    </xf>
    <xf numFmtId="0" fontId="30" fillId="0" borderId="62" applyNumberFormat="0" applyFill="0" applyAlignment="0" applyProtection="0"/>
    <xf numFmtId="49" fontId="14" fillId="0" borderId="64" applyNumberFormat="0" applyFont="0" applyFill="0" applyBorder="0" applyProtection="0">
      <alignment horizontal="left" vertical="center" indent="2"/>
    </xf>
    <xf numFmtId="49" fontId="14" fillId="0" borderId="65" applyNumberFormat="0" applyFont="0" applyFill="0" applyBorder="0" applyProtection="0">
      <alignment horizontal="left" vertical="center" indent="5"/>
    </xf>
    <xf numFmtId="49" fontId="14" fillId="0" borderId="64" applyNumberFormat="0" applyFont="0" applyFill="0" applyBorder="0" applyProtection="0">
      <alignment horizontal="left" vertical="center" indent="2"/>
    </xf>
    <xf numFmtId="4" fontId="14" fillId="0" borderId="64" applyFill="0" applyBorder="0" applyProtection="0">
      <alignment horizontal="right" vertical="center"/>
    </xf>
    <xf numFmtId="49" fontId="13" fillId="0" borderId="64" applyNumberFormat="0" applyFill="0" applyBorder="0" applyProtection="0">
      <alignment horizontal="left" vertical="center"/>
    </xf>
    <xf numFmtId="0" fontId="14" fillId="0" borderId="67">
      <alignment horizontal="left" vertical="center" wrapText="1" indent="2"/>
    </xf>
    <xf numFmtId="0" fontId="42" fillId="46" borderId="60" applyNumberFormat="0" applyAlignment="0" applyProtection="0"/>
    <xf numFmtId="0" fontId="10" fillId="24" borderId="66">
      <alignment horizontal="right" vertical="center"/>
    </xf>
    <xf numFmtId="0" fontId="29" fillId="33" borderId="61" applyNumberFormat="0" applyAlignment="0" applyProtection="0"/>
    <xf numFmtId="0" fontId="10" fillId="24" borderId="66">
      <alignment horizontal="right" vertical="center"/>
    </xf>
    <xf numFmtId="4" fontId="10" fillId="24" borderId="64">
      <alignment horizontal="right" vertical="center"/>
    </xf>
    <xf numFmtId="0" fontId="10" fillId="24" borderId="64">
      <alignment horizontal="right" vertical="center"/>
    </xf>
    <xf numFmtId="0" fontId="23" fillId="46" borderId="60" applyNumberFormat="0" applyAlignment="0" applyProtection="0"/>
    <xf numFmtId="0" fontId="25" fillId="46" borderId="61" applyNumberFormat="0" applyAlignment="0" applyProtection="0"/>
    <xf numFmtId="0" fontId="30" fillId="0" borderId="62" applyNumberFormat="0" applyFill="0" applyAlignment="0" applyProtection="0"/>
    <xf numFmtId="0" fontId="14" fillId="23" borderId="64"/>
    <xf numFmtId="4" fontId="14" fillId="23" borderId="64"/>
    <xf numFmtId="4" fontId="10" fillId="24" borderId="64">
      <alignment horizontal="right" vertical="center"/>
    </xf>
    <xf numFmtId="0" fontId="16" fillId="22" borderId="64">
      <alignment horizontal="right" vertical="center"/>
    </xf>
    <xf numFmtId="0" fontId="29" fillId="33" borderId="61" applyNumberFormat="0" applyAlignment="0" applyProtection="0"/>
    <xf numFmtId="0" fontId="26" fillId="46" borderId="61" applyNumberFormat="0" applyAlignment="0" applyProtection="0"/>
    <xf numFmtId="4" fontId="14" fillId="0" borderId="64">
      <alignment horizontal="right" vertical="center"/>
    </xf>
    <xf numFmtId="0" fontId="14" fillId="24" borderId="67">
      <alignment horizontal="left" vertical="center" wrapText="1" indent="2"/>
    </xf>
    <xf numFmtId="0" fontId="14" fillId="0" borderId="67">
      <alignment horizontal="left" vertical="center" wrapText="1" indent="2"/>
    </xf>
    <xf numFmtId="0" fontId="42" fillId="46" borderId="60" applyNumberFormat="0" applyAlignment="0" applyProtection="0"/>
    <xf numFmtId="0" fontId="38" fillId="33" borderId="61" applyNumberFormat="0" applyAlignment="0" applyProtection="0"/>
    <xf numFmtId="0" fontId="25" fillId="46" borderId="61" applyNumberFormat="0" applyAlignment="0" applyProtection="0"/>
    <xf numFmtId="0" fontId="23" fillId="46" borderId="60" applyNumberFormat="0" applyAlignment="0" applyProtection="0"/>
    <xf numFmtId="0" fontId="10" fillId="24" borderId="66">
      <alignment horizontal="right" vertical="center"/>
    </xf>
    <xf numFmtId="0" fontId="16" fillId="22" borderId="64">
      <alignment horizontal="right" vertical="center"/>
    </xf>
    <xf numFmtId="4" fontId="10" fillId="22" borderId="64">
      <alignment horizontal="right" vertical="center"/>
    </xf>
    <xf numFmtId="4" fontId="10" fillId="24" borderId="64">
      <alignment horizontal="right" vertical="center"/>
    </xf>
    <xf numFmtId="49" fontId="14" fillId="0" borderId="65" applyNumberFormat="0" applyFont="0" applyFill="0" applyBorder="0" applyProtection="0">
      <alignment horizontal="left" vertical="center" indent="5"/>
    </xf>
    <xf numFmtId="4" fontId="14" fillId="0" borderId="64" applyFill="0" applyBorder="0" applyProtection="0">
      <alignment horizontal="right" vertical="center"/>
    </xf>
    <xf numFmtId="4" fontId="10" fillId="22" borderId="64">
      <alignment horizontal="right" vertical="center"/>
    </xf>
    <xf numFmtId="0" fontId="38" fillId="33" borderId="61" applyNumberFormat="0" applyAlignment="0" applyProtection="0"/>
    <xf numFmtId="0" fontId="29" fillId="33" borderId="61" applyNumberFormat="0" applyAlignment="0" applyProtection="0"/>
    <xf numFmtId="0" fontId="25" fillId="46" borderId="61" applyNumberFormat="0" applyAlignment="0" applyProtection="0"/>
    <xf numFmtId="0" fontId="14" fillId="24" borderId="67">
      <alignment horizontal="left" vertical="center" wrapText="1" indent="2"/>
    </xf>
    <xf numFmtId="0" fontId="14" fillId="0" borderId="67">
      <alignment horizontal="left" vertical="center" wrapText="1" indent="2"/>
    </xf>
    <xf numFmtId="0" fontId="14" fillId="24" borderId="67">
      <alignment horizontal="left" vertical="center" wrapText="1" indent="2"/>
    </xf>
    <xf numFmtId="0" fontId="14" fillId="24" borderId="75">
      <alignment horizontal="left" vertical="center" wrapText="1" indent="2"/>
    </xf>
    <xf numFmtId="0" fontId="7" fillId="0" borderId="3" applyNumberFormat="0" applyFill="0" applyAlignment="0" applyProtection="0"/>
    <xf numFmtId="4" fontId="16" fillId="22" borderId="72">
      <alignment horizontal="right" vertical="center"/>
    </xf>
    <xf numFmtId="0" fontId="42" fillId="46" borderId="68" applyNumberFormat="0" applyAlignment="0" applyProtection="0"/>
    <xf numFmtId="0" fontId="14" fillId="22" borderId="73">
      <alignment horizontal="left" vertical="center"/>
    </xf>
    <xf numFmtId="0" fontId="10" fillId="24" borderId="74">
      <alignment horizontal="right" vertical="center"/>
    </xf>
    <xf numFmtId="0" fontId="26" fillId="46" borderId="69" applyNumberFormat="0" applyAlignment="0" applyProtection="0"/>
    <xf numFmtId="0" fontId="14" fillId="0" borderId="67">
      <alignment horizontal="left" vertical="center" wrapText="1" indent="2"/>
    </xf>
    <xf numFmtId="0" fontId="10" fillId="24" borderId="72">
      <alignment horizontal="right" vertical="center"/>
    </xf>
    <xf numFmtId="4" fontId="16" fillId="22" borderId="72">
      <alignment horizontal="right" vertical="center"/>
    </xf>
    <xf numFmtId="4" fontId="10" fillId="24" borderId="73">
      <alignment horizontal="right" vertical="center"/>
    </xf>
    <xf numFmtId="4" fontId="14" fillId="0" borderId="64" applyFill="0" applyBorder="0" applyProtection="0">
      <alignment horizontal="right" vertical="center"/>
    </xf>
    <xf numFmtId="0" fontId="23" fillId="46" borderId="68" applyNumberFormat="0" applyAlignment="0" applyProtection="0"/>
    <xf numFmtId="0" fontId="42" fillId="46" borderId="68" applyNumberFormat="0" applyAlignment="0" applyProtection="0"/>
    <xf numFmtId="0" fontId="14" fillId="24" borderId="75">
      <alignment horizontal="left" vertical="center" wrapText="1" indent="2"/>
    </xf>
    <xf numFmtId="4" fontId="10" fillId="24" borderId="72">
      <alignment horizontal="right" vertical="center"/>
    </xf>
    <xf numFmtId="0" fontId="1" fillId="11" borderId="0" applyNumberFormat="0" applyBorder="0" applyAlignment="0" applyProtection="0"/>
    <xf numFmtId="0" fontId="25" fillId="46" borderId="69" applyNumberFormat="0" applyAlignment="0" applyProtection="0"/>
    <xf numFmtId="0" fontId="30" fillId="0" borderId="70" applyNumberFormat="0" applyFill="0" applyAlignment="0" applyProtection="0"/>
    <xf numFmtId="0" fontId="23" fillId="46" borderId="68" applyNumberFormat="0" applyAlignment="0" applyProtection="0"/>
    <xf numFmtId="4" fontId="14" fillId="0" borderId="72" applyFill="0" applyBorder="0" applyProtection="0">
      <alignment horizontal="right" vertical="center"/>
    </xf>
    <xf numFmtId="0" fontId="10" fillId="24" borderId="72">
      <alignment horizontal="right" vertical="center"/>
    </xf>
    <xf numFmtId="0" fontId="14" fillId="0" borderId="72">
      <alignment horizontal="right" vertical="center"/>
    </xf>
    <xf numFmtId="0" fontId="11" fillId="49" borderId="71" applyNumberFormat="0" applyFont="0" applyAlignment="0" applyProtection="0"/>
    <xf numFmtId="0" fontId="38" fillId="33" borderId="69" applyNumberFormat="0" applyAlignment="0" applyProtection="0"/>
    <xf numFmtId="0" fontId="45" fillId="0" borderId="70" applyNumberFormat="0" applyFill="0" applyAlignment="0" applyProtection="0"/>
    <xf numFmtId="0" fontId="14" fillId="0" borderId="75">
      <alignment horizontal="left" vertical="center" wrapText="1" indent="2"/>
    </xf>
    <xf numFmtId="0" fontId="10" fillId="24" borderId="72">
      <alignment horizontal="right" vertical="center"/>
    </xf>
    <xf numFmtId="4" fontId="14" fillId="0" borderId="72">
      <alignment horizontal="right" vertical="center"/>
    </xf>
    <xf numFmtId="4" fontId="10" fillId="22" borderId="72">
      <alignment horizontal="right" vertical="center"/>
    </xf>
    <xf numFmtId="4" fontId="16" fillId="22" borderId="72">
      <alignment horizontal="right" vertical="center"/>
    </xf>
    <xf numFmtId="49" fontId="14" fillId="0" borderId="72" applyNumberFormat="0" applyFont="0" applyFill="0" applyBorder="0" applyProtection="0">
      <alignment horizontal="left" vertical="center" indent="2"/>
    </xf>
    <xf numFmtId="49" fontId="13" fillId="0" borderId="72" applyNumberFormat="0" applyFill="0" applyBorder="0" applyProtection="0">
      <alignment horizontal="left" vertical="center"/>
    </xf>
    <xf numFmtId="0" fontId="14" fillId="0" borderId="72">
      <alignment horizontal="right" vertical="center"/>
    </xf>
    <xf numFmtId="0" fontId="20" fillId="49" borderId="71" applyNumberFormat="0" applyFont="0" applyAlignment="0" applyProtection="0"/>
    <xf numFmtId="0" fontId="1" fillId="8" borderId="0" applyNumberFormat="0" applyBorder="0" applyAlignment="0" applyProtection="0"/>
    <xf numFmtId="0" fontId="8" fillId="6" borderId="0" applyNumberFormat="0" applyBorder="0" applyAlignment="0" applyProtection="0"/>
    <xf numFmtId="0" fontId="16" fillId="22" borderId="64">
      <alignment horizontal="right" vertical="center"/>
    </xf>
    <xf numFmtId="4" fontId="10" fillId="24" borderId="72">
      <alignment horizontal="right" vertical="center"/>
    </xf>
    <xf numFmtId="0" fontId="30" fillId="0" borderId="70" applyNumberFormat="0" applyFill="0" applyAlignment="0" applyProtection="0"/>
    <xf numFmtId="0" fontId="14" fillId="22" borderId="73">
      <alignment horizontal="left" vertical="center"/>
    </xf>
    <xf numFmtId="0" fontId="1" fillId="11" borderId="0" applyNumberFormat="0" applyBorder="0" applyAlignment="0" applyProtection="0"/>
    <xf numFmtId="0" fontId="45" fillId="0" borderId="70" applyNumberFormat="0" applyFill="0" applyAlignment="0" applyProtection="0"/>
    <xf numFmtId="0" fontId="7" fillId="0" borderId="3" applyNumberFormat="0" applyFill="0" applyAlignment="0" applyProtection="0"/>
    <xf numFmtId="0" fontId="42" fillId="46" borderId="68" applyNumberFormat="0" applyAlignment="0" applyProtection="0"/>
    <xf numFmtId="165" fontId="14" fillId="50" borderId="72" applyNumberFormat="0" applyFont="0" applyBorder="0" applyAlignment="0" applyProtection="0">
      <alignment horizontal="right" vertical="center"/>
    </xf>
    <xf numFmtId="0" fontId="8" fillId="18" borderId="0" applyNumberFormat="0" applyBorder="0" applyAlignment="0" applyProtection="0"/>
    <xf numFmtId="0" fontId="1" fillId="11" borderId="0" applyNumberFormat="0" applyBorder="0" applyAlignment="0" applyProtection="0"/>
    <xf numFmtId="49" fontId="14" fillId="0" borderId="72" applyNumberFormat="0" applyFont="0" applyFill="0" applyBorder="0" applyProtection="0">
      <alignment horizontal="left" vertical="center" indent="2"/>
    </xf>
    <xf numFmtId="4" fontId="14" fillId="0" borderId="72" applyFill="0" applyBorder="0" applyProtection="0">
      <alignment horizontal="right" vertical="center"/>
    </xf>
    <xf numFmtId="4" fontId="10" fillId="24" borderId="73">
      <alignment horizontal="right" vertical="center"/>
    </xf>
    <xf numFmtId="49" fontId="13" fillId="0" borderId="72" applyNumberFormat="0" applyFill="0" applyBorder="0" applyProtection="0">
      <alignment horizontal="left" vertical="center"/>
    </xf>
    <xf numFmtId="0" fontId="1" fillId="16" borderId="0" applyNumberFormat="0" applyBorder="0" applyAlignment="0" applyProtection="0"/>
    <xf numFmtId="4" fontId="14" fillId="23" borderId="72"/>
    <xf numFmtId="0" fontId="1" fillId="17" borderId="0" applyNumberFormat="0" applyBorder="0" applyAlignment="0" applyProtection="0"/>
    <xf numFmtId="0" fontId="10" fillId="24" borderId="74">
      <alignment horizontal="right" vertical="center"/>
    </xf>
    <xf numFmtId="0" fontId="20" fillId="49" borderId="71" applyNumberFormat="0" applyFont="0" applyAlignment="0" applyProtection="0"/>
    <xf numFmtId="0" fontId="14" fillId="0" borderId="72">
      <alignment horizontal="right" vertical="center"/>
    </xf>
    <xf numFmtId="4" fontId="14" fillId="23" borderId="72"/>
    <xf numFmtId="0" fontId="20" fillId="49" borderId="71" applyNumberFormat="0" applyFont="0" applyAlignment="0" applyProtection="0"/>
    <xf numFmtId="0" fontId="14" fillId="23" borderId="72"/>
    <xf numFmtId="0" fontId="3" fillId="3" borderId="2" applyNumberFormat="0" applyAlignment="0" applyProtection="0"/>
    <xf numFmtId="0" fontId="42" fillId="46" borderId="68" applyNumberFormat="0" applyAlignment="0" applyProtection="0"/>
    <xf numFmtId="49" fontId="14" fillId="0" borderId="73" applyNumberFormat="0" applyFont="0" applyFill="0" applyBorder="0" applyProtection="0">
      <alignment horizontal="left" vertical="center" indent="5"/>
    </xf>
    <xf numFmtId="49" fontId="14" fillId="0" borderId="73" applyNumberFormat="0" applyFont="0" applyFill="0" applyBorder="0" applyProtection="0">
      <alignment horizontal="left" vertical="center" indent="5"/>
    </xf>
    <xf numFmtId="0" fontId="10" fillId="22" borderId="72">
      <alignment horizontal="right" vertical="center"/>
    </xf>
    <xf numFmtId="0" fontId="38" fillId="33" borderId="69" applyNumberFormat="0" applyAlignment="0" applyProtection="0"/>
    <xf numFmtId="0" fontId="26" fillId="46" borderId="69" applyNumberFormat="0" applyAlignment="0" applyProtection="0"/>
    <xf numFmtId="0" fontId="14" fillId="24" borderId="75">
      <alignment horizontal="left" vertical="center" wrapText="1" indent="2"/>
    </xf>
    <xf numFmtId="0" fontId="8" fillId="6" borderId="0" applyNumberFormat="0" applyBorder="0" applyAlignment="0" applyProtection="0"/>
    <xf numFmtId="0" fontId="30" fillId="0" borderId="70" applyNumberFormat="0" applyFill="0" applyAlignment="0" applyProtection="0"/>
    <xf numFmtId="4" fontId="16" fillId="22" borderId="72">
      <alignment horizontal="right" vertical="center"/>
    </xf>
    <xf numFmtId="0" fontId="16" fillId="22" borderId="72">
      <alignment horizontal="right" vertical="center"/>
    </xf>
    <xf numFmtId="0" fontId="1" fillId="5" borderId="0" applyNumberFormat="0" applyBorder="0" applyAlignment="0" applyProtection="0"/>
    <xf numFmtId="4" fontId="10" fillId="24" borderId="73">
      <alignment horizontal="right" vertical="center"/>
    </xf>
    <xf numFmtId="0" fontId="10" fillId="22" borderId="72">
      <alignment horizontal="right" vertical="center"/>
    </xf>
    <xf numFmtId="0" fontId="8" fillId="21" borderId="0" applyNumberFormat="0" applyBorder="0" applyAlignment="0" applyProtection="0"/>
    <xf numFmtId="0" fontId="14" fillId="23" borderId="72"/>
    <xf numFmtId="4" fontId="16" fillId="22" borderId="72">
      <alignment horizontal="right" vertical="center"/>
    </xf>
    <xf numFmtId="0" fontId="10" fillId="24" borderId="73">
      <alignment horizontal="right" vertical="center"/>
    </xf>
    <xf numFmtId="0" fontId="45" fillId="0" borderId="70" applyNumberFormat="0" applyFill="0" applyAlignment="0" applyProtection="0"/>
    <xf numFmtId="49" fontId="13" fillId="0" borderId="72" applyNumberFormat="0" applyFill="0" applyBorder="0" applyProtection="0">
      <alignment horizontal="left" vertical="center"/>
    </xf>
    <xf numFmtId="0" fontId="14" fillId="0" borderId="75">
      <alignment horizontal="left" vertical="center" wrapText="1" indent="2"/>
    </xf>
    <xf numFmtId="0" fontId="45" fillId="0" borderId="70" applyNumberFormat="0" applyFill="0" applyAlignment="0" applyProtection="0"/>
    <xf numFmtId="0" fontId="16" fillId="22" borderId="72">
      <alignment horizontal="right" vertical="center"/>
    </xf>
    <xf numFmtId="0" fontId="14" fillId="0" borderId="75">
      <alignment horizontal="left" vertical="center" wrapText="1" indent="2"/>
    </xf>
    <xf numFmtId="0" fontId="1" fillId="19" borderId="0" applyNumberFormat="0" applyBorder="0" applyAlignment="0" applyProtection="0"/>
    <xf numFmtId="49" fontId="14" fillId="0" borderId="73" applyNumberFormat="0" applyFont="0" applyFill="0" applyBorder="0" applyProtection="0">
      <alignment horizontal="left" vertical="center" indent="5"/>
    </xf>
    <xf numFmtId="0" fontId="30" fillId="0" borderId="70" applyNumberFormat="0" applyFill="0" applyAlignment="0" applyProtection="0"/>
    <xf numFmtId="4" fontId="10" fillId="24" borderId="72">
      <alignment horizontal="right" vertical="center"/>
    </xf>
    <xf numFmtId="0" fontId="30" fillId="0" borderId="70" applyNumberFormat="0" applyFill="0" applyAlignment="0" applyProtection="0"/>
    <xf numFmtId="0" fontId="38" fillId="33" borderId="69" applyNumberFormat="0" applyAlignment="0" applyProtection="0"/>
    <xf numFmtId="0" fontId="26" fillId="46" borderId="69" applyNumberFormat="0" applyAlignment="0" applyProtection="0"/>
    <xf numFmtId="0" fontId="14" fillId="0" borderId="75">
      <alignment horizontal="left" vertical="center" wrapText="1" indent="2"/>
    </xf>
    <xf numFmtId="0" fontId="38" fillId="33" borderId="69" applyNumberFormat="0" applyAlignment="0" applyProtection="0"/>
    <xf numFmtId="0" fontId="14" fillId="23" borderId="72"/>
    <xf numFmtId="0" fontId="26" fillId="46" borderId="69" applyNumberFormat="0" applyAlignment="0" applyProtection="0"/>
    <xf numFmtId="0" fontId="14" fillId="24" borderId="75">
      <alignment horizontal="left" vertical="center" wrapText="1" indent="2"/>
    </xf>
    <xf numFmtId="0" fontId="14" fillId="24" borderId="75">
      <alignment horizontal="left" vertical="center" wrapText="1" indent="2"/>
    </xf>
    <xf numFmtId="0" fontId="14" fillId="23" borderId="72"/>
    <xf numFmtId="0" fontId="14" fillId="0" borderId="75">
      <alignment horizontal="left" vertical="center" wrapText="1" indent="2"/>
    </xf>
    <xf numFmtId="4" fontId="10" fillId="22" borderId="72">
      <alignment horizontal="right" vertical="center"/>
    </xf>
    <xf numFmtId="0" fontId="1" fillId="19" borderId="0" applyNumberFormat="0" applyBorder="0" applyAlignment="0" applyProtection="0"/>
    <xf numFmtId="0" fontId="11" fillId="49" borderId="71" applyNumberFormat="0" applyFont="0" applyAlignment="0" applyProtection="0"/>
    <xf numFmtId="4" fontId="10" fillId="24" borderId="72">
      <alignment horizontal="right" vertical="center"/>
    </xf>
    <xf numFmtId="49" fontId="14" fillId="0" borderId="72" applyNumberFormat="0" applyFont="0" applyFill="0" applyBorder="0" applyProtection="0">
      <alignment horizontal="left" vertical="center" indent="2"/>
    </xf>
    <xf numFmtId="0" fontId="45" fillId="0" borderId="70" applyNumberFormat="0" applyFill="0" applyAlignment="0" applyProtection="0"/>
    <xf numFmtId="0" fontId="4" fillId="3" borderId="1" applyNumberFormat="0" applyAlignment="0" applyProtection="0"/>
    <xf numFmtId="0" fontId="14" fillId="23" borderId="64"/>
    <xf numFmtId="165" fontId="14" fillId="50" borderId="72" applyNumberFormat="0" applyFont="0" applyBorder="0" applyAlignment="0" applyProtection="0">
      <alignment horizontal="right" vertical="center"/>
    </xf>
    <xf numFmtId="0" fontId="38" fillId="33" borderId="69" applyNumberFormat="0" applyAlignment="0" applyProtection="0"/>
    <xf numFmtId="0" fontId="45" fillId="0" borderId="70" applyNumberFormat="0" applyFill="0" applyAlignment="0" applyProtection="0"/>
    <xf numFmtId="4" fontId="14" fillId="0" borderId="72">
      <alignment horizontal="right" vertical="center"/>
    </xf>
    <xf numFmtId="0" fontId="1" fillId="14" borderId="0" applyNumberFormat="0" applyBorder="0" applyAlignment="0" applyProtection="0"/>
    <xf numFmtId="0" fontId="20" fillId="49" borderId="71" applyNumberFormat="0" applyFont="0" applyAlignment="0" applyProtection="0"/>
    <xf numFmtId="0" fontId="42" fillId="46" borderId="68" applyNumberFormat="0" applyAlignment="0" applyProtection="0"/>
    <xf numFmtId="0" fontId="45" fillId="0" borderId="70" applyNumberFormat="0" applyFill="0" applyAlignment="0" applyProtection="0"/>
    <xf numFmtId="0" fontId="20" fillId="49" borderId="71" applyNumberFormat="0" applyFont="0" applyAlignment="0" applyProtection="0"/>
    <xf numFmtId="4" fontId="10" fillId="22" borderId="72">
      <alignment horizontal="right" vertical="center"/>
    </xf>
    <xf numFmtId="0" fontId="45" fillId="0" borderId="70" applyNumberFormat="0" applyFill="0" applyAlignment="0" applyProtection="0"/>
    <xf numFmtId="0" fontId="11" fillId="49" borderId="71" applyNumberFormat="0" applyFont="0" applyAlignment="0" applyProtection="0"/>
    <xf numFmtId="0" fontId="10" fillId="22" borderId="72">
      <alignment horizontal="right" vertical="center"/>
    </xf>
    <xf numFmtId="0" fontId="8" fillId="18" borderId="0" applyNumberFormat="0" applyBorder="0" applyAlignment="0" applyProtection="0"/>
    <xf numFmtId="0" fontId="23" fillId="46" borderId="68" applyNumberFormat="0" applyAlignment="0" applyProtection="0"/>
    <xf numFmtId="0" fontId="38" fillId="33" borderId="69" applyNumberFormat="0" applyAlignment="0" applyProtection="0"/>
    <xf numFmtId="0" fontId="45" fillId="0" borderId="70" applyNumberFormat="0" applyFill="0" applyAlignment="0" applyProtection="0"/>
    <xf numFmtId="0" fontId="8" fillId="15" borderId="0" applyNumberFormat="0" applyBorder="0" applyAlignment="0" applyProtection="0"/>
    <xf numFmtId="0" fontId="14" fillId="0" borderId="64">
      <alignment horizontal="right" vertical="center"/>
    </xf>
    <xf numFmtId="0" fontId="38" fillId="33" borderId="69" applyNumberFormat="0" applyAlignment="0" applyProtection="0"/>
    <xf numFmtId="0" fontId="29" fillId="33" borderId="69" applyNumberFormat="0" applyAlignment="0" applyProtection="0"/>
    <xf numFmtId="4" fontId="14" fillId="0" borderId="72" applyFill="0" applyBorder="0" applyProtection="0">
      <alignment horizontal="right" vertical="center"/>
    </xf>
    <xf numFmtId="0" fontId="38" fillId="33" borderId="69" applyNumberFormat="0" applyAlignment="0" applyProtection="0"/>
    <xf numFmtId="4" fontId="10" fillId="22" borderId="72">
      <alignment horizontal="right" vertical="center"/>
    </xf>
    <xf numFmtId="0" fontId="8" fillId="15" borderId="0" applyNumberFormat="0" applyBorder="0" applyAlignment="0" applyProtection="0"/>
    <xf numFmtId="165" fontId="14" fillId="50" borderId="72" applyNumberFormat="0" applyFont="0" applyBorder="0" applyAlignment="0" applyProtection="0">
      <alignment horizontal="right" vertical="center"/>
    </xf>
    <xf numFmtId="0" fontId="25" fillId="46" borderId="69" applyNumberFormat="0" applyAlignment="0" applyProtection="0"/>
    <xf numFmtId="0" fontId="10" fillId="24" borderId="73">
      <alignment horizontal="right" vertical="center"/>
    </xf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23" fillId="46" borderId="68" applyNumberFormat="0" applyAlignment="0" applyProtection="0"/>
    <xf numFmtId="0" fontId="38" fillId="33" borderId="69" applyNumberFormat="0" applyAlignment="0" applyProtection="0"/>
    <xf numFmtId="0" fontId="26" fillId="46" borderId="69" applyNumberFormat="0" applyAlignment="0" applyProtection="0"/>
    <xf numFmtId="0" fontId="16" fillId="22" borderId="72">
      <alignment horizontal="right" vertical="center"/>
    </xf>
    <xf numFmtId="0" fontId="38" fillId="33" borderId="69" applyNumberFormat="0" applyAlignment="0" applyProtection="0"/>
    <xf numFmtId="0" fontId="1" fillId="10" borderId="0" applyNumberFormat="0" applyBorder="0" applyAlignment="0" applyProtection="0"/>
    <xf numFmtId="0" fontId="11" fillId="49" borderId="71" applyNumberFormat="0" applyFont="0" applyAlignment="0" applyProtection="0"/>
    <xf numFmtId="0" fontId="6" fillId="0" borderId="0" applyNumberFormat="0" applyFill="0" applyBorder="0" applyAlignment="0" applyProtection="0"/>
    <xf numFmtId="0" fontId="30" fillId="0" borderId="70" applyNumberFormat="0" applyFill="0" applyAlignment="0" applyProtection="0"/>
    <xf numFmtId="0" fontId="1" fillId="14" borderId="0" applyNumberFormat="0" applyBorder="0" applyAlignment="0" applyProtection="0"/>
    <xf numFmtId="0" fontId="14" fillId="24" borderId="75">
      <alignment horizontal="left" vertical="center" wrapText="1" indent="2"/>
    </xf>
    <xf numFmtId="0" fontId="23" fillId="46" borderId="68" applyNumberFormat="0" applyAlignment="0" applyProtection="0"/>
    <xf numFmtId="4" fontId="10" fillId="22" borderId="72">
      <alignment horizontal="right" vertical="center"/>
    </xf>
    <xf numFmtId="0" fontId="7" fillId="0" borderId="3" applyNumberFormat="0" applyFill="0" applyAlignment="0" applyProtection="0"/>
    <xf numFmtId="165" fontId="14" fillId="50" borderId="72" applyNumberFormat="0" applyFont="0" applyBorder="0" applyAlignment="0" applyProtection="0">
      <alignment horizontal="right" vertical="center"/>
    </xf>
    <xf numFmtId="0" fontId="42" fillId="46" borderId="68" applyNumberFormat="0" applyAlignment="0" applyProtection="0"/>
    <xf numFmtId="165" fontId="14" fillId="50" borderId="72" applyNumberFormat="0" applyFont="0" applyBorder="0" applyAlignment="0" applyProtection="0">
      <alignment horizontal="right" vertical="center"/>
    </xf>
    <xf numFmtId="4" fontId="14" fillId="0" borderId="72">
      <alignment horizontal="right" vertical="center"/>
    </xf>
    <xf numFmtId="0" fontId="26" fillId="46" borderId="69" applyNumberFormat="0" applyAlignment="0" applyProtection="0"/>
    <xf numFmtId="0" fontId="14" fillId="0" borderId="72" applyNumberFormat="0" applyFill="0" applyAlignment="0" applyProtection="0"/>
    <xf numFmtId="4" fontId="10" fillId="24" borderId="72">
      <alignment horizontal="right" vertical="center"/>
    </xf>
    <xf numFmtId="0" fontId="5" fillId="0" borderId="0" applyNumberFormat="0" applyFill="0" applyBorder="0" applyAlignment="0" applyProtection="0"/>
    <xf numFmtId="4" fontId="10" fillId="24" borderId="74">
      <alignment horizontal="right" vertical="center"/>
    </xf>
    <xf numFmtId="4" fontId="14" fillId="0" borderId="72" applyFill="0" applyBorder="0" applyProtection="0">
      <alignment horizontal="right" vertical="center"/>
    </xf>
    <xf numFmtId="0" fontId="14" fillId="23" borderId="72"/>
    <xf numFmtId="0" fontId="45" fillId="0" borderId="70" applyNumberFormat="0" applyFill="0" applyAlignment="0" applyProtection="0"/>
    <xf numFmtId="0" fontId="8" fillId="21" borderId="0" applyNumberFormat="0" applyBorder="0" applyAlignment="0" applyProtection="0"/>
    <xf numFmtId="0" fontId="25" fillId="46" borderId="69" applyNumberFormat="0" applyAlignment="0" applyProtection="0"/>
    <xf numFmtId="0" fontId="10" fillId="22" borderId="72">
      <alignment horizontal="right" vertical="center"/>
    </xf>
    <xf numFmtId="0" fontId="26" fillId="46" borderId="69" applyNumberFormat="0" applyAlignment="0" applyProtection="0"/>
    <xf numFmtId="0" fontId="8" fillId="15" borderId="0" applyNumberFormat="0" applyBorder="0" applyAlignment="0" applyProtection="0"/>
    <xf numFmtId="0" fontId="25" fillId="46" borderId="69" applyNumberFormat="0" applyAlignment="0" applyProtection="0"/>
    <xf numFmtId="0" fontId="25" fillId="46" borderId="69" applyNumberFormat="0" applyAlignment="0" applyProtection="0"/>
    <xf numFmtId="0" fontId="1" fillId="8" borderId="0" applyNumberFormat="0" applyBorder="0" applyAlignment="0" applyProtection="0"/>
    <xf numFmtId="0" fontId="25" fillId="46" borderId="69" applyNumberFormat="0" applyAlignment="0" applyProtection="0"/>
    <xf numFmtId="0" fontId="10" fillId="24" borderId="72">
      <alignment horizontal="right" vertical="center"/>
    </xf>
    <xf numFmtId="4" fontId="16" fillId="22" borderId="72">
      <alignment horizontal="right" vertical="center"/>
    </xf>
    <xf numFmtId="0" fontId="38" fillId="33" borderId="69" applyNumberFormat="0" applyAlignment="0" applyProtection="0"/>
    <xf numFmtId="0" fontId="10" fillId="24" borderId="73">
      <alignment horizontal="right" vertical="center"/>
    </xf>
    <xf numFmtId="0" fontId="16" fillId="22" borderId="72">
      <alignment horizontal="right" vertical="center"/>
    </xf>
    <xf numFmtId="0" fontId="1" fillId="20" borderId="0" applyNumberFormat="0" applyBorder="0" applyAlignment="0" applyProtection="0"/>
    <xf numFmtId="0" fontId="14" fillId="0" borderId="67">
      <alignment horizontal="left" vertical="center" wrapText="1" indent="2"/>
    </xf>
    <xf numFmtId="49" fontId="14" fillId="0" borderId="72" applyNumberFormat="0" applyFont="0" applyFill="0" applyBorder="0" applyProtection="0">
      <alignment horizontal="left" vertical="center" indent="2"/>
    </xf>
    <xf numFmtId="0" fontId="14" fillId="22" borderId="73">
      <alignment horizontal="left" vertical="center"/>
    </xf>
    <xf numFmtId="0" fontId="16" fillId="22" borderId="72">
      <alignment horizontal="right" vertical="center"/>
    </xf>
    <xf numFmtId="0" fontId="10" fillId="24" borderId="64">
      <alignment horizontal="right" vertical="center"/>
    </xf>
    <xf numFmtId="49" fontId="14" fillId="0" borderId="72" applyNumberFormat="0" applyFont="0" applyFill="0" applyBorder="0" applyProtection="0">
      <alignment horizontal="left" vertical="center" indent="2"/>
    </xf>
    <xf numFmtId="49" fontId="14" fillId="0" borderId="72" applyNumberFormat="0" applyFont="0" applyFill="0" applyBorder="0" applyProtection="0">
      <alignment horizontal="left" vertical="center" indent="2"/>
    </xf>
    <xf numFmtId="0" fontId="14" fillId="0" borderId="72" applyNumberFormat="0" applyFill="0" applyAlignment="0" applyProtection="0"/>
    <xf numFmtId="0" fontId="26" fillId="46" borderId="69" applyNumberFormat="0" applyAlignment="0" applyProtection="0"/>
    <xf numFmtId="0" fontId="10" fillId="24" borderId="74">
      <alignment horizontal="right" vertical="center"/>
    </xf>
    <xf numFmtId="0" fontId="1" fillId="7" borderId="0" applyNumberFormat="0" applyBorder="0" applyAlignment="0" applyProtection="0"/>
    <xf numFmtId="165" fontId="14" fillId="50" borderId="72" applyNumberFormat="0" applyFont="0" applyBorder="0" applyAlignment="0" applyProtection="0">
      <alignment horizontal="right" vertical="center"/>
    </xf>
    <xf numFmtId="0" fontId="20" fillId="49" borderId="71" applyNumberFormat="0" applyFont="0" applyAlignment="0" applyProtection="0"/>
    <xf numFmtId="0" fontId="8" fillId="12" borderId="0" applyNumberFormat="0" applyBorder="0" applyAlignment="0" applyProtection="0"/>
    <xf numFmtId="0" fontId="10" fillId="24" borderId="72">
      <alignment horizontal="right" vertical="center"/>
    </xf>
    <xf numFmtId="0" fontId="38" fillId="33" borderId="69" applyNumberFormat="0" applyAlignment="0" applyProtection="0"/>
    <xf numFmtId="0" fontId="23" fillId="46" borderId="68" applyNumberFormat="0" applyAlignment="0" applyProtection="0"/>
    <xf numFmtId="0" fontId="11" fillId="49" borderId="71" applyNumberFormat="0" applyFont="0" applyAlignment="0" applyProtection="0"/>
    <xf numFmtId="0" fontId="42" fillId="46" borderId="68" applyNumberFormat="0" applyAlignment="0" applyProtection="0"/>
    <xf numFmtId="0" fontId="10" fillId="24" borderId="72">
      <alignment horizontal="right" vertical="center"/>
    </xf>
    <xf numFmtId="4" fontId="10" fillId="24" borderId="72">
      <alignment horizontal="right" vertical="center"/>
    </xf>
    <xf numFmtId="0" fontId="8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0" fillId="22" borderId="72">
      <alignment horizontal="right" vertical="center"/>
    </xf>
    <xf numFmtId="0" fontId="14" fillId="0" borderId="72">
      <alignment horizontal="right" vertical="center"/>
    </xf>
    <xf numFmtId="4" fontId="10" fillId="24" borderId="74">
      <alignment horizontal="right" vertical="center"/>
    </xf>
    <xf numFmtId="49" fontId="13" fillId="0" borderId="72" applyNumberFormat="0" applyFill="0" applyBorder="0" applyProtection="0">
      <alignment horizontal="left" vertical="center"/>
    </xf>
    <xf numFmtId="0" fontId="14" fillId="0" borderId="75">
      <alignment horizontal="left" vertical="center" wrapText="1" indent="2"/>
    </xf>
    <xf numFmtId="49" fontId="13" fillId="0" borderId="72" applyNumberFormat="0" applyFill="0" applyBorder="0" applyProtection="0">
      <alignment horizontal="left" vertical="center"/>
    </xf>
    <xf numFmtId="0" fontId="3" fillId="3" borderId="2" applyNumberFormat="0" applyAlignment="0" applyProtection="0"/>
    <xf numFmtId="0" fontId="14" fillId="0" borderId="75">
      <alignment horizontal="left" vertical="center" wrapText="1" indent="2"/>
    </xf>
    <xf numFmtId="0" fontId="1" fillId="20" borderId="0" applyNumberFormat="0" applyBorder="0" applyAlignment="0" applyProtection="0"/>
    <xf numFmtId="4" fontId="14" fillId="0" borderId="72">
      <alignment horizontal="right" vertical="center"/>
    </xf>
    <xf numFmtId="0" fontId="14" fillId="0" borderId="72">
      <alignment horizontal="right" vertical="center"/>
    </xf>
    <xf numFmtId="49" fontId="14" fillId="0" borderId="73" applyNumberFormat="0" applyFont="0" applyFill="0" applyBorder="0" applyProtection="0">
      <alignment horizontal="left" vertical="center" indent="5"/>
    </xf>
    <xf numFmtId="0" fontId="14" fillId="0" borderId="75">
      <alignment horizontal="left" vertical="center" wrapText="1" indent="2"/>
    </xf>
    <xf numFmtId="0" fontId="10" fillId="24" borderId="64">
      <alignment horizontal="right" vertical="center"/>
    </xf>
    <xf numFmtId="0" fontId="10" fillId="22" borderId="72">
      <alignment horizontal="right" vertical="center"/>
    </xf>
    <xf numFmtId="0" fontId="30" fillId="0" borderId="70" applyNumberFormat="0" applyFill="0" applyAlignment="0" applyProtection="0"/>
    <xf numFmtId="0" fontId="14" fillId="0" borderId="72" applyNumberFormat="0" applyFill="0" applyAlignment="0" applyProtection="0"/>
    <xf numFmtId="0" fontId="30" fillId="0" borderId="70" applyNumberFormat="0" applyFill="0" applyAlignment="0" applyProtection="0"/>
    <xf numFmtId="4" fontId="14" fillId="0" borderId="72" applyFill="0" applyBorder="0" applyProtection="0">
      <alignment horizontal="right" vertical="center"/>
    </xf>
    <xf numFmtId="49" fontId="14" fillId="0" borderId="73" applyNumberFormat="0" applyFont="0" applyFill="0" applyBorder="0" applyProtection="0">
      <alignment horizontal="left" vertical="center" indent="5"/>
    </xf>
    <xf numFmtId="0" fontId="14" fillId="0" borderId="72" applyNumberFormat="0" applyFill="0" applyAlignment="0" applyProtection="0"/>
    <xf numFmtId="0" fontId="14" fillId="0" borderId="72" applyNumberFormat="0" applyFill="0" applyAlignment="0" applyProtection="0"/>
    <xf numFmtId="4" fontId="10" fillId="24" borderId="72">
      <alignment horizontal="right" vertical="center"/>
    </xf>
    <xf numFmtId="0" fontId="8" fillId="18" borderId="0" applyNumberFormat="0" applyBorder="0" applyAlignment="0" applyProtection="0"/>
    <xf numFmtId="0" fontId="6" fillId="0" borderId="0" applyNumberFormat="0" applyFill="0" applyBorder="0" applyAlignment="0" applyProtection="0"/>
    <xf numFmtId="0" fontId="29" fillId="33" borderId="69" applyNumberFormat="0" applyAlignment="0" applyProtection="0"/>
    <xf numFmtId="0" fontId="26" fillId="46" borderId="69" applyNumberFormat="0" applyAlignment="0" applyProtection="0"/>
    <xf numFmtId="4" fontId="14" fillId="0" borderId="72">
      <alignment horizontal="right" vertical="center"/>
    </xf>
    <xf numFmtId="0" fontId="14" fillId="24" borderId="75">
      <alignment horizontal="left" vertical="center" wrapText="1" indent="2"/>
    </xf>
    <xf numFmtId="0" fontId="14" fillId="0" borderId="75">
      <alignment horizontal="left" vertical="center" wrapText="1" indent="2"/>
    </xf>
    <xf numFmtId="0" fontId="42" fillId="46" borderId="68" applyNumberFormat="0" applyAlignment="0" applyProtection="0"/>
    <xf numFmtId="0" fontId="38" fillId="33" borderId="69" applyNumberFormat="0" applyAlignment="0" applyProtection="0"/>
    <xf numFmtId="0" fontId="25" fillId="46" borderId="69" applyNumberFormat="0" applyAlignment="0" applyProtection="0"/>
    <xf numFmtId="0" fontId="23" fillId="46" borderId="68" applyNumberFormat="0" applyAlignment="0" applyProtection="0"/>
    <xf numFmtId="0" fontId="10" fillId="24" borderId="74">
      <alignment horizontal="right" vertical="center"/>
    </xf>
    <xf numFmtId="0" fontId="16" fillId="22" borderId="72">
      <alignment horizontal="right" vertical="center"/>
    </xf>
    <xf numFmtId="4" fontId="10" fillId="22" borderId="72">
      <alignment horizontal="right" vertical="center"/>
    </xf>
    <xf numFmtId="4" fontId="10" fillId="24" borderId="72">
      <alignment horizontal="right" vertical="center"/>
    </xf>
    <xf numFmtId="49" fontId="14" fillId="0" borderId="73" applyNumberFormat="0" applyFont="0" applyFill="0" applyBorder="0" applyProtection="0">
      <alignment horizontal="left" vertical="center" indent="5"/>
    </xf>
    <xf numFmtId="4" fontId="14" fillId="0" borderId="72" applyFill="0" applyBorder="0" applyProtection="0">
      <alignment horizontal="right" vertical="center"/>
    </xf>
    <xf numFmtId="4" fontId="10" fillId="22" borderId="72">
      <alignment horizontal="right" vertical="center"/>
    </xf>
    <xf numFmtId="0" fontId="38" fillId="33" borderId="69" applyNumberFormat="0" applyAlignment="0" applyProtection="0"/>
    <xf numFmtId="0" fontId="29" fillId="33" borderId="69" applyNumberFormat="0" applyAlignment="0" applyProtection="0"/>
    <xf numFmtId="0" fontId="25" fillId="46" borderId="69" applyNumberFormat="0" applyAlignment="0" applyProtection="0"/>
    <xf numFmtId="0" fontId="14" fillId="24" borderId="75">
      <alignment horizontal="left" vertical="center" wrapText="1" indent="2"/>
    </xf>
    <xf numFmtId="0" fontId="14" fillId="0" borderId="75">
      <alignment horizontal="left" vertical="center" wrapText="1" indent="2"/>
    </xf>
    <xf numFmtId="0" fontId="14" fillId="24" borderId="75">
      <alignment horizontal="left" vertical="center" wrapText="1" indent="2"/>
    </xf>
  </cellStyleXfs>
  <cellXfs count="4"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</cellXfs>
  <cellStyles count="3737">
    <cellStyle name="???????????" xfId="39"/>
    <cellStyle name="20 % - Akzent1 2" xfId="383"/>
    <cellStyle name="20 % - Akzent1 3" xfId="252"/>
    <cellStyle name="20 % - Akzent1 4" xfId="58" hidden="1"/>
    <cellStyle name="20 % - Akzent1 4" xfId="934" hidden="1"/>
    <cellStyle name="20 % - Akzent1 4" xfId="1019" hidden="1"/>
    <cellStyle name="20 % - Akzent1 4" xfId="1161" hidden="1"/>
    <cellStyle name="20 % - Akzent1 4" xfId="1013" hidden="1"/>
    <cellStyle name="20 % - Akzent1 4" xfId="1464" hidden="1"/>
    <cellStyle name="20 % - Akzent1 4" xfId="1689" hidden="1"/>
    <cellStyle name="20 % - Akzent1 4" xfId="1511" hidden="1"/>
    <cellStyle name="20 % - Akzent1 4" xfId="2641" hidden="1"/>
    <cellStyle name="20 % - Akzent1 4" xfId="2658" hidden="1"/>
    <cellStyle name="20 % - Akzent1 4" xfId="1654" hidden="1"/>
    <cellStyle name="20 % - Akzent1 4" xfId="2669" hidden="1"/>
    <cellStyle name="20 % - Akzent1 4" xfId="3688" hidden="1"/>
    <cellStyle name="20 % - Akzent2 2" xfId="384"/>
    <cellStyle name="20 % - Akzent2 3" xfId="253"/>
    <cellStyle name="20 % - Akzent2 4" xfId="61" hidden="1"/>
    <cellStyle name="20 % - Akzent2 4" xfId="937" hidden="1"/>
    <cellStyle name="20 % - Akzent2 4" xfId="1163" hidden="1"/>
    <cellStyle name="20 % - Akzent2 4" xfId="1213" hidden="1"/>
    <cellStyle name="20 % - Akzent2 4" xfId="1329" hidden="1"/>
    <cellStyle name="20 % - Akzent2 4" xfId="1467" hidden="1"/>
    <cellStyle name="20 % - Akzent2 4" xfId="1670" hidden="1"/>
    <cellStyle name="20 % - Akzent2 4" xfId="1139" hidden="1"/>
    <cellStyle name="20 % - Akzent2 4" xfId="2679" hidden="1"/>
    <cellStyle name="20 % - Akzent2 4" xfId="2243" hidden="1"/>
    <cellStyle name="20 % - Akzent2 4" xfId="1496" hidden="1"/>
    <cellStyle name="20 % - Akzent2 4" xfId="3676" hidden="1"/>
    <cellStyle name="20 % - Akzent2 4" xfId="3624" hidden="1"/>
    <cellStyle name="20 % - Akzent3 2" xfId="385"/>
    <cellStyle name="20 % - Akzent3 3" xfId="254"/>
    <cellStyle name="20 % - Akzent3 4" xfId="65" hidden="1"/>
    <cellStyle name="20 % - Akzent3 4" xfId="940" hidden="1"/>
    <cellStyle name="20 % - Akzent3 4" xfId="1307" hidden="1"/>
    <cellStyle name="20 % - Akzent3 4" xfId="1085" hidden="1"/>
    <cellStyle name="20 % - Akzent3 4" xfId="1445" hidden="1"/>
    <cellStyle name="20 % - Akzent3 4" xfId="1471" hidden="1"/>
    <cellStyle name="20 % - Akzent3 4" xfId="1814" hidden="1"/>
    <cellStyle name="20 % - Akzent3 4" xfId="1704" hidden="1"/>
    <cellStyle name="20 % - Akzent3 4" xfId="2689" hidden="1"/>
    <cellStyle name="20 % - Akzent3 4" xfId="1444" hidden="1"/>
    <cellStyle name="20 % - Akzent3 4" xfId="3630" hidden="1"/>
    <cellStyle name="20 % - Akzent3 4" xfId="1557" hidden="1"/>
    <cellStyle name="20 % - Akzent3 4" xfId="3689" hidden="1"/>
    <cellStyle name="20 % - Akzent4 2" xfId="386"/>
    <cellStyle name="20 % - Akzent4 3" xfId="255"/>
    <cellStyle name="20 % - Akzent4 4" xfId="68" hidden="1"/>
    <cellStyle name="20 % - Akzent4 4" xfId="943" hidden="1"/>
    <cellStyle name="20 % - Akzent4 4" xfId="1087" hidden="1"/>
    <cellStyle name="20 % - Akzent4 4" xfId="1156" hidden="1"/>
    <cellStyle name="20 % - Akzent4 4" xfId="1246" hidden="1"/>
    <cellStyle name="20 % - Akzent4 4" xfId="1475" hidden="1"/>
    <cellStyle name="20 % - Akzent4 4" xfId="1660" hidden="1"/>
    <cellStyle name="20 % - Akzent4 4" xfId="1743" hidden="1"/>
    <cellStyle name="20 % - Akzent4 4" xfId="2686" hidden="1"/>
    <cellStyle name="20 % - Akzent4 4" xfId="3106" hidden="1"/>
    <cellStyle name="20 % - Akzent4 4" xfId="2667" hidden="1"/>
    <cellStyle name="20 % - Akzent4 4" xfId="1183" hidden="1"/>
    <cellStyle name="20 % - Akzent4 4" xfId="1564" hidden="1"/>
    <cellStyle name="20 % - Akzent5 2" xfId="387"/>
    <cellStyle name="20 % - Akzent5 3" xfId="256"/>
    <cellStyle name="20 % - Akzent5 4" xfId="71" hidden="1"/>
    <cellStyle name="20 % - Akzent5 4" xfId="946" hidden="1"/>
    <cellStyle name="20 % - Akzent5 4" xfId="1162" hidden="1"/>
    <cellStyle name="20 % - Akzent5 4" xfId="64" hidden="1"/>
    <cellStyle name="20 % - Akzent5 4" xfId="1140" hidden="1"/>
    <cellStyle name="20 % - Akzent5 4" xfId="1479" hidden="1"/>
    <cellStyle name="20 % - Akzent5 4" xfId="1811" hidden="1"/>
    <cellStyle name="20 % - Akzent5 4" xfId="2250" hidden="1"/>
    <cellStyle name="20 % - Akzent5 4" xfId="2687" hidden="1"/>
    <cellStyle name="20 % - Akzent5 4" xfId="3105" hidden="1"/>
    <cellStyle name="20 % - Akzent5 4" xfId="1822" hidden="1"/>
    <cellStyle name="20 % - Akzent5 4" xfId="3538" hidden="1"/>
    <cellStyle name="20 % - Akzent5 4" xfId="3088" hidden="1"/>
    <cellStyle name="20 % - Akzent6 2" xfId="388"/>
    <cellStyle name="20 % - Akzent6 3" xfId="257"/>
    <cellStyle name="20 % - Akzent6 4" xfId="75" hidden="1"/>
    <cellStyle name="20 % - Akzent6 4" xfId="949" hidden="1"/>
    <cellStyle name="20 % - Akzent6 4" xfId="1254" hidden="1"/>
    <cellStyle name="20 % - Akzent6 4" xfId="1158" hidden="1"/>
    <cellStyle name="20 % - Akzent6 4" xfId="1435" hidden="1"/>
    <cellStyle name="20 % - Akzent6 4" xfId="1482" hidden="1"/>
    <cellStyle name="20 % - Akzent6 4" xfId="1693" hidden="1"/>
    <cellStyle name="20 % - Akzent6 4" xfId="1417" hidden="1"/>
    <cellStyle name="20 % - Akzent6 4" xfId="2680" hidden="1"/>
    <cellStyle name="20 % - Akzent6 4" xfId="1623" hidden="1"/>
    <cellStyle name="20 % - Akzent6 4" xfId="3588" hidden="1"/>
    <cellStyle name="20 % - Akzent6 4" xfId="3572" hidden="1"/>
    <cellStyle name="20 % - Akzent6 4" xfId="1577" hidden="1"/>
    <cellStyle name="20% - Accent1 2" xfId="89"/>
    <cellStyle name="20% - Accent1 3" xfId="209"/>
    <cellStyle name="20% - Accent2 2" xfId="90"/>
    <cellStyle name="20% - Accent2 3" xfId="210"/>
    <cellStyle name="20% - Accent3 2" xfId="91"/>
    <cellStyle name="20% - Accent3 3" xfId="211"/>
    <cellStyle name="20% - Accent4 2" xfId="92"/>
    <cellStyle name="20% - Accent4 3" xfId="212"/>
    <cellStyle name="20% - Accent5 2" xfId="93"/>
    <cellStyle name="20% - Accent5 3" xfId="213"/>
    <cellStyle name="20% - Accent6 2" xfId="94"/>
    <cellStyle name="20% - Accent6 3" xfId="214"/>
    <cellStyle name="2x indented GHG Textfiels" xfId="8"/>
    <cellStyle name="2x indented GHG Textfiels 2" xfId="95"/>
    <cellStyle name="2x indented GHG Textfiels 2 2" xfId="96"/>
    <cellStyle name="2x indented GHG Textfiels 3" xfId="97"/>
    <cellStyle name="2x indented GHG Textfiels 3 2" xfId="410"/>
    <cellStyle name="2x indented GHG Textfiels 3 2 2" xfId="540"/>
    <cellStyle name="2x indented GHG Textfiels 3 2 2 2" xfId="755"/>
    <cellStyle name="2x indented GHG Textfiels 3 2 2 2 2" xfId="990"/>
    <cellStyle name="2x indented GHG Textfiels 3 2 2 2 3" xfId="2055"/>
    <cellStyle name="2x indented GHG Textfiels 3 2 2 2 4" xfId="2492"/>
    <cellStyle name="2x indented GHG Textfiels 3 2 2 2 5" xfId="2927"/>
    <cellStyle name="2x indented GHG Textfiels 3 2 2 2 6" xfId="3340"/>
    <cellStyle name="2x indented GHG Textfiels 3 2 2 2 7" xfId="1738"/>
    <cellStyle name="2x indented GHG Textfiels 3 2 2 3" xfId="1268"/>
    <cellStyle name="2x indented GHG Textfiels 3 2 2 4" xfId="1842"/>
    <cellStyle name="2x indented GHG Textfiels 3 2 2 5" xfId="2277"/>
    <cellStyle name="2x indented GHG Textfiels 3 2 2 6" xfId="2715"/>
    <cellStyle name="2x indented GHG Textfiels 3 2 2 7" xfId="3129"/>
    <cellStyle name="2x indented GHG Textfiels 3 2 2 8" xfId="3672"/>
    <cellStyle name="2x indented GHG Textfiels 3 2 3" xfId="718"/>
    <cellStyle name="2x indented GHG Textfiels 3 2 3 2" xfId="956"/>
    <cellStyle name="2x indented GHG Textfiels 3 2 3 3" xfId="2018"/>
    <cellStyle name="2x indented GHG Textfiels 3 2 3 4" xfId="2455"/>
    <cellStyle name="2x indented GHG Textfiels 3 2 3 5" xfId="2890"/>
    <cellStyle name="2x indented GHG Textfiels 3 2 3 6" xfId="3303"/>
    <cellStyle name="2x indented GHG Textfiels 3 2 3 7" xfId="3667"/>
    <cellStyle name="2x indented GHG Textfiels 3 3" xfId="358"/>
    <cellStyle name="2x indented GHG Textfiels 3 3 10" xfId="1584"/>
    <cellStyle name="2x indented GHG Textfiels 3 3 2" xfId="645"/>
    <cellStyle name="2x indented GHG Textfiels 3 3 2 2" xfId="860"/>
    <cellStyle name="2x indented GHG Textfiels 3 3 2 2 2" xfId="1027"/>
    <cellStyle name="2x indented GHG Textfiels 3 3 2 2 3" xfId="2160"/>
    <cellStyle name="2x indented GHG Textfiels 3 3 2 2 4" xfId="2597"/>
    <cellStyle name="2x indented GHG Textfiels 3 3 2 2 5" xfId="3032"/>
    <cellStyle name="2x indented GHG Textfiels 3 3 2 2 6" xfId="3445"/>
    <cellStyle name="2x indented GHG Textfiels 3 3 2 2 7" xfId="3517"/>
    <cellStyle name="2x indented GHG Textfiels 3 3 2 3" xfId="1150"/>
    <cellStyle name="2x indented GHG Textfiels 3 3 2 4" xfId="1947"/>
    <cellStyle name="2x indented GHG Textfiels 3 3 2 5" xfId="2382"/>
    <cellStyle name="2x indented GHG Textfiels 3 3 2 6" xfId="2820"/>
    <cellStyle name="2x indented GHG Textfiels 3 3 2 7" xfId="3234"/>
    <cellStyle name="2x indented GHG Textfiels 3 3 2 8" xfId="3534"/>
    <cellStyle name="2x indented GHG Textfiels 3 3 3" xfId="647"/>
    <cellStyle name="2x indented GHG Textfiels 3 3 3 2" xfId="862"/>
    <cellStyle name="2x indented GHG Textfiels 3 3 3 2 2" xfId="1026"/>
    <cellStyle name="2x indented GHG Textfiels 3 3 3 2 3" xfId="2162"/>
    <cellStyle name="2x indented GHG Textfiels 3 3 3 2 4" xfId="2599"/>
    <cellStyle name="2x indented GHG Textfiels 3 3 3 2 5" xfId="3034"/>
    <cellStyle name="2x indented GHG Textfiels 3 3 3 2 6" xfId="3447"/>
    <cellStyle name="2x indented GHG Textfiels 3 3 3 2 7" xfId="1506"/>
    <cellStyle name="2x indented GHG Textfiels 3 3 3 3" xfId="1273"/>
    <cellStyle name="2x indented GHG Textfiels 3 3 3 4" xfId="1949"/>
    <cellStyle name="2x indented GHG Textfiels 3 3 3 5" xfId="2384"/>
    <cellStyle name="2x indented GHG Textfiels 3 3 3 6" xfId="2822"/>
    <cellStyle name="2x indented GHG Textfiels 3 3 3 7" xfId="3236"/>
    <cellStyle name="2x indented GHG Textfiels 3 3 3 8" xfId="3591"/>
    <cellStyle name="2x indented GHG Textfiels 3 3 4" xfId="543"/>
    <cellStyle name="2x indented GHG Textfiels 3 3 4 2" xfId="758"/>
    <cellStyle name="2x indented GHG Textfiels 3 3 4 2 2" xfId="988"/>
    <cellStyle name="2x indented GHG Textfiels 3 3 4 2 3" xfId="2058"/>
    <cellStyle name="2x indented GHG Textfiels 3 3 4 2 4" xfId="2495"/>
    <cellStyle name="2x indented GHG Textfiels 3 3 4 2 5" xfId="2930"/>
    <cellStyle name="2x indented GHG Textfiels 3 3 4 2 6" xfId="3343"/>
    <cellStyle name="2x indented GHG Textfiels 3 3 4 2 7" xfId="3079"/>
    <cellStyle name="2x indented GHG Textfiels 3 3 4 3" xfId="1287"/>
    <cellStyle name="2x indented GHG Textfiels 3 3 4 4" xfId="1845"/>
    <cellStyle name="2x indented GHG Textfiels 3 3 4 5" xfId="2280"/>
    <cellStyle name="2x indented GHG Textfiels 3 3 4 6" xfId="2718"/>
    <cellStyle name="2x indented GHG Textfiels 3 3 4 7" xfId="3132"/>
    <cellStyle name="2x indented GHG Textfiels 3 3 4 8" xfId="3671"/>
    <cellStyle name="2x indented GHG Textfiels 3 3 5" xfId="1302"/>
    <cellStyle name="2x indented GHG Textfiels 3 3 6" xfId="1700"/>
    <cellStyle name="2x indented GHG Textfiels 3 3 7" xfId="1592"/>
    <cellStyle name="2x indented GHG Textfiels 3 3 8" xfId="1544"/>
    <cellStyle name="2x indented GHG Textfiels 3 3 9" xfId="2232"/>
    <cellStyle name="40 % - Akzent1 2" xfId="389"/>
    <cellStyle name="40 % - Akzent1 3" xfId="258"/>
    <cellStyle name="40 % - Akzent1 4" xfId="59" hidden="1"/>
    <cellStyle name="40 % - Akzent1 4" xfId="935" hidden="1"/>
    <cellStyle name="40 % - Akzent1 4" xfId="907" hidden="1"/>
    <cellStyle name="40 % - Akzent1 4" xfId="1007" hidden="1"/>
    <cellStyle name="40 % - Akzent1 4" xfId="1180" hidden="1"/>
    <cellStyle name="40 % - Akzent1 4" xfId="1465" hidden="1"/>
    <cellStyle name="40 % - Akzent1 4" xfId="1817" hidden="1"/>
    <cellStyle name="40 % - Akzent1 4" xfId="1614" hidden="1"/>
    <cellStyle name="40 % - Akzent1 4" xfId="2642" hidden="1"/>
    <cellStyle name="40 % - Akzent1 4" xfId="3108" hidden="1"/>
    <cellStyle name="40 % - Akzent1 4" xfId="1519" hidden="1"/>
    <cellStyle name="40 % - Akzent1 4" xfId="1593" hidden="1"/>
    <cellStyle name="40 % - Akzent1 4" xfId="3559" hidden="1"/>
    <cellStyle name="40 % - Akzent2 2" xfId="390"/>
    <cellStyle name="40 % - Akzent2 3" xfId="259"/>
    <cellStyle name="40 % - Akzent2 4" xfId="62" hidden="1"/>
    <cellStyle name="40 % - Akzent2 4" xfId="938" hidden="1"/>
    <cellStyle name="40 % - Akzent2 4" xfId="1017" hidden="1"/>
    <cellStyle name="40 % - Akzent2 4" xfId="1178" hidden="1"/>
    <cellStyle name="40 % - Akzent2 4" xfId="1118" hidden="1"/>
    <cellStyle name="40 % - Akzent2 4" xfId="1468" hidden="1"/>
    <cellStyle name="40 % - Akzent2 4" xfId="1813" hidden="1"/>
    <cellStyle name="40 % - Akzent2 4" xfId="2240" hidden="1"/>
    <cellStyle name="40 % - Akzent2 4" xfId="1684" hidden="1"/>
    <cellStyle name="40 % - Akzent2 4" xfId="1781" hidden="1"/>
    <cellStyle name="40 % - Akzent2 4" xfId="3076" hidden="1"/>
    <cellStyle name="40 % - Akzent2 4" xfId="3521" hidden="1"/>
    <cellStyle name="40 % - Akzent2 4" xfId="3658" hidden="1"/>
    <cellStyle name="40 % - Akzent3 2" xfId="391"/>
    <cellStyle name="40 % - Akzent3 3" xfId="260"/>
    <cellStyle name="40 % - Akzent3 4" xfId="66" hidden="1"/>
    <cellStyle name="40 % - Akzent3 4" xfId="941" hidden="1"/>
    <cellStyle name="40 % - Akzent3 4" xfId="1190" hidden="1"/>
    <cellStyle name="40 % - Akzent3 4" xfId="1008" hidden="1"/>
    <cellStyle name="40 % - Akzent3 4" xfId="1421" hidden="1"/>
    <cellStyle name="40 % - Akzent3 4" xfId="1472" hidden="1"/>
    <cellStyle name="40 % - Akzent3 4" xfId="1815" hidden="1"/>
    <cellStyle name="40 % - Akzent3 4" xfId="2253" hidden="1"/>
    <cellStyle name="40 % - Akzent3 4" xfId="2690" hidden="1"/>
    <cellStyle name="40 % - Akzent3 4" xfId="3107" hidden="1"/>
    <cellStyle name="40 % - Akzent3 4" xfId="3527" hidden="1"/>
    <cellStyle name="40 % - Akzent3 4" xfId="3533" hidden="1"/>
    <cellStyle name="40 % - Akzent3 4" xfId="3502" hidden="1"/>
    <cellStyle name="40 % - Akzent4 2" xfId="392"/>
    <cellStyle name="40 % - Akzent4 3" xfId="261"/>
    <cellStyle name="40 % - Akzent4 4" xfId="69" hidden="1"/>
    <cellStyle name="40 % - Akzent4 4" xfId="944" hidden="1"/>
    <cellStyle name="40 % - Akzent4 4" xfId="1303" hidden="1"/>
    <cellStyle name="40 % - Akzent4 4" xfId="1381" hidden="1"/>
    <cellStyle name="40 % - Akzent4 4" xfId="1443" hidden="1"/>
    <cellStyle name="40 % - Akzent4 4" xfId="1476" hidden="1"/>
    <cellStyle name="40 % - Akzent4 4" xfId="1804" hidden="1"/>
    <cellStyle name="40 % - Akzent4 4" xfId="2249" hidden="1"/>
    <cellStyle name="40 % - Akzent4 4" xfId="2688" hidden="1"/>
    <cellStyle name="40 % - Akzent4 4" xfId="1474" hidden="1"/>
    <cellStyle name="40 % - Akzent4 4" xfId="3623" hidden="1"/>
    <cellStyle name="40 % - Akzent4 4" xfId="3599" hidden="1"/>
    <cellStyle name="40 % - Akzent4 4" xfId="3634" hidden="1"/>
    <cellStyle name="40 % - Akzent5 2" xfId="393"/>
    <cellStyle name="40 % - Akzent5 3" xfId="262"/>
    <cellStyle name="40 % - Akzent5 4" xfId="72" hidden="1"/>
    <cellStyle name="40 % - Akzent5 4" xfId="947" hidden="1"/>
    <cellStyle name="40 % - Akzent5 4" xfId="1016" hidden="1"/>
    <cellStyle name="40 % - Akzent5 4" xfId="1193" hidden="1"/>
    <cellStyle name="40 % - Akzent5 4" xfId="1157" hidden="1"/>
    <cellStyle name="40 % - Akzent5 4" xfId="1480" hidden="1"/>
    <cellStyle name="40 % - Akzent5 4" xfId="1690" hidden="1"/>
    <cellStyle name="40 % - Akzent5 4" xfId="2251" hidden="1"/>
    <cellStyle name="40 % - Akzent5 4" xfId="1715" hidden="1"/>
    <cellStyle name="40 % - Akzent5 4" xfId="2231" hidden="1"/>
    <cellStyle name="40 % - Akzent5 4" xfId="3075" hidden="1"/>
    <cellStyle name="40 % - Akzent5 4" xfId="2647" hidden="1"/>
    <cellStyle name="40 % - Akzent5 4" xfId="3540" hidden="1"/>
    <cellStyle name="40 % - Akzent6 2" xfId="394"/>
    <cellStyle name="40 % - Akzent6 3" xfId="263"/>
    <cellStyle name="40 % - Akzent6 4" xfId="76" hidden="1"/>
    <cellStyle name="40 % - Akzent6 4" xfId="950" hidden="1"/>
    <cellStyle name="40 % - Akzent6 4" xfId="1343" hidden="1"/>
    <cellStyle name="40 % - Akzent6 4" xfId="1141" hidden="1"/>
    <cellStyle name="40 % - Akzent6 4" xfId="1452" hidden="1"/>
    <cellStyle name="40 % - Akzent6 4" xfId="1483" hidden="1"/>
    <cellStyle name="40 % - Akzent6 4" xfId="1671" hidden="1"/>
    <cellStyle name="40 % - Akzent6 4" xfId="2241" hidden="1"/>
    <cellStyle name="40 % - Akzent6 4" xfId="2685" hidden="1"/>
    <cellStyle name="40 % - Akzent6 4" xfId="1571" hidden="1"/>
    <cellStyle name="40 % - Akzent6 4" xfId="3665" hidden="1"/>
    <cellStyle name="40 % - Akzent6 4" xfId="2661" hidden="1"/>
    <cellStyle name="40 % - Akzent6 4" xfId="3698" hidden="1"/>
    <cellStyle name="40% - Accent1 2" xfId="98"/>
    <cellStyle name="40% - Accent1 3" xfId="215"/>
    <cellStyle name="40% - Accent2 2" xfId="99"/>
    <cellStyle name="40% - Accent2 3" xfId="216"/>
    <cellStyle name="40% - Accent3 2" xfId="100"/>
    <cellStyle name="40% - Accent3 3" xfId="217"/>
    <cellStyle name="40% - Accent4 2" xfId="101"/>
    <cellStyle name="40% - Accent4 3" xfId="218"/>
    <cellStyle name="40% - Accent5 2" xfId="102"/>
    <cellStyle name="40% - Accent5 3" xfId="219"/>
    <cellStyle name="40% - Accent6 2" xfId="103"/>
    <cellStyle name="40% - Accent6 3" xfId="220"/>
    <cellStyle name="5x indented GHG Textfiels" xfId="12"/>
    <cellStyle name="5x indented GHG Textfiels 2" xfId="104"/>
    <cellStyle name="5x indented GHG Textfiels 2 2" xfId="105"/>
    <cellStyle name="5x indented GHG Textfiels 3" xfId="106"/>
    <cellStyle name="5x indented GHG Textfiels 3 2" xfId="411"/>
    <cellStyle name="5x indented GHG Textfiels 3 2 2" xfId="1742"/>
    <cellStyle name="5x indented GHG Textfiels 3 3" xfId="359"/>
    <cellStyle name="5x indented GHG Textfiels 3 3 10" xfId="1534"/>
    <cellStyle name="5x indented GHG Textfiels 3 3 11" xfId="1569"/>
    <cellStyle name="5x indented GHG Textfiels 3 3 2" xfId="646"/>
    <cellStyle name="5x indented GHG Textfiels 3 3 2 2" xfId="861"/>
    <cellStyle name="5x indented GHG Textfiels 3 3 2 2 2" xfId="960"/>
    <cellStyle name="5x indented GHG Textfiels 3 3 2 2 3" xfId="2161"/>
    <cellStyle name="5x indented GHG Textfiels 3 3 2 2 4" xfId="2598"/>
    <cellStyle name="5x indented GHG Textfiels 3 3 2 2 5" xfId="3033"/>
    <cellStyle name="5x indented GHG Textfiels 3 3 2 2 6" xfId="3446"/>
    <cellStyle name="5x indented GHG Textfiels 3 3 2 2 7" xfId="3549"/>
    <cellStyle name="5x indented GHG Textfiels 3 3 2 3" xfId="1387"/>
    <cellStyle name="5x indented GHG Textfiels 3 3 2 4" xfId="1948"/>
    <cellStyle name="5x indented GHG Textfiels 3 3 2 5" xfId="2383"/>
    <cellStyle name="5x indented GHG Textfiels 3 3 2 6" xfId="2821"/>
    <cellStyle name="5x indented GHG Textfiels 3 3 2 7" xfId="3235"/>
    <cellStyle name="5x indented GHG Textfiels 3 3 2 8" xfId="3709"/>
    <cellStyle name="5x indented GHG Textfiels 3 3 3" xfId="593"/>
    <cellStyle name="5x indented GHG Textfiels 3 3 3 2" xfId="808"/>
    <cellStyle name="5x indented GHG Textfiels 3 3 3 2 2" xfId="1252"/>
    <cellStyle name="5x indented GHG Textfiels 3 3 3 2 3" xfId="2108"/>
    <cellStyle name="5x indented GHG Textfiels 3 3 3 2 4" xfId="2545"/>
    <cellStyle name="5x indented GHG Textfiels 3 3 3 2 5" xfId="2980"/>
    <cellStyle name="5x indented GHG Textfiels 3 3 3 2 6" xfId="3393"/>
    <cellStyle name="5x indented GHG Textfiels 3 3 3 2 7" xfId="3701"/>
    <cellStyle name="5x indented GHG Textfiels 3 3 3 3" xfId="1242"/>
    <cellStyle name="5x indented GHG Textfiels 3 3 3 4" xfId="1895"/>
    <cellStyle name="5x indented GHG Textfiels 3 3 3 5" xfId="2330"/>
    <cellStyle name="5x indented GHG Textfiels 3 3 3 6" xfId="2768"/>
    <cellStyle name="5x indented GHG Textfiels 3 3 3 7" xfId="3182"/>
    <cellStyle name="5x indented GHG Textfiels 3 3 3 8" xfId="3573"/>
    <cellStyle name="5x indented GHG Textfiels 3 3 4" xfId="677"/>
    <cellStyle name="5x indented GHG Textfiels 3 3 4 2" xfId="892"/>
    <cellStyle name="5x indented GHG Textfiels 3 3 4 2 2" xfId="1404"/>
    <cellStyle name="5x indented GHG Textfiels 3 3 4 2 3" xfId="2192"/>
    <cellStyle name="5x indented GHG Textfiels 3 3 4 2 4" xfId="2629"/>
    <cellStyle name="5x indented GHG Textfiels 3 3 4 2 5" xfId="3064"/>
    <cellStyle name="5x indented GHG Textfiels 3 3 4 2 6" xfId="3477"/>
    <cellStyle name="5x indented GHG Textfiels 3 3 4 2 7" xfId="3728"/>
    <cellStyle name="5x indented GHG Textfiels 3 3 4 3" xfId="1148"/>
    <cellStyle name="5x indented GHG Textfiels 3 3 4 4" xfId="1979"/>
    <cellStyle name="5x indented GHG Textfiels 3 3 4 5" xfId="2414"/>
    <cellStyle name="5x indented GHG Textfiels 3 3 4 6" xfId="2852"/>
    <cellStyle name="5x indented GHG Textfiels 3 3 4 7" xfId="3266"/>
    <cellStyle name="5x indented GHG Textfiels 3 3 4 8" xfId="3550"/>
    <cellStyle name="5x indented GHG Textfiels 3 3 5" xfId="714"/>
    <cellStyle name="5x indented GHG Textfiels 3 3 5 2" xfId="2451"/>
    <cellStyle name="5x indented GHG Textfiels 3 3 6" xfId="1345"/>
    <cellStyle name="5x indented GHG Textfiels 3 3 7" xfId="1701"/>
    <cellStyle name="5x indented GHG Textfiels 3 3 8" xfId="1508"/>
    <cellStyle name="5x indented GHG Textfiels 3 3 9" xfId="1796"/>
    <cellStyle name="5x indented GHG Textfiels_Table 4(II)" xfId="201"/>
    <cellStyle name="60 % - Akzent1 2" xfId="395"/>
    <cellStyle name="60 % - Akzent1 3" xfId="264"/>
    <cellStyle name="60 % - Akzent1 4" xfId="60" hidden="1"/>
    <cellStyle name="60 % - Akzent1 4" xfId="936" hidden="1"/>
    <cellStyle name="60 % - Akzent1 4" xfId="1018" hidden="1"/>
    <cellStyle name="60 % - Akzent1 4" xfId="1266" hidden="1"/>
    <cellStyle name="60 % - Akzent1 4" xfId="1012" hidden="1"/>
    <cellStyle name="60 % - Akzent1 4" xfId="1466" hidden="1"/>
    <cellStyle name="60 % - Akzent1 4" xfId="1818" hidden="1"/>
    <cellStyle name="60 % - Akzent1 4" xfId="1719" hidden="1"/>
    <cellStyle name="60 % - Akzent1 4" xfId="1707" hidden="1"/>
    <cellStyle name="60 % - Akzent1 4" xfId="2230" hidden="1"/>
    <cellStyle name="60 % - Akzent1 4" xfId="1982" hidden="1"/>
    <cellStyle name="60 % - Akzent1 4" xfId="3522" hidden="1"/>
    <cellStyle name="60 % - Akzent1 4" xfId="3555" hidden="1"/>
    <cellStyle name="60 % - Akzent2 2" xfId="396"/>
    <cellStyle name="60 % - Akzent2 3" xfId="265"/>
    <cellStyle name="60 % - Akzent2 4" xfId="63" hidden="1"/>
    <cellStyle name="60 % - Akzent2 4" xfId="939" hidden="1"/>
    <cellStyle name="60 % - Akzent2 4" xfId="1368" hidden="1"/>
    <cellStyle name="60 % - Akzent2 4" xfId="1099" hidden="1"/>
    <cellStyle name="60 % - Akzent2 4" xfId="1457" hidden="1"/>
    <cellStyle name="60 % - Akzent2 4" xfId="1469" hidden="1"/>
    <cellStyle name="60 % - Akzent2 4" xfId="1816" hidden="1"/>
    <cellStyle name="60 % - Akzent2 4" xfId="1509" hidden="1"/>
    <cellStyle name="60 % - Akzent2 4" xfId="2691" hidden="1"/>
    <cellStyle name="60 % - Akzent2 4" xfId="1588" hidden="1"/>
    <cellStyle name="60 % - Akzent2 4" xfId="3687" hidden="1"/>
    <cellStyle name="60 % - Akzent2 4" xfId="1726" hidden="1"/>
    <cellStyle name="60 % - Akzent2 4" xfId="3100" hidden="1"/>
    <cellStyle name="60 % - Akzent3 2" xfId="397"/>
    <cellStyle name="60 % - Akzent3 3" xfId="266"/>
    <cellStyle name="60 % - Akzent3 4" xfId="67" hidden="1"/>
    <cellStyle name="60 % - Akzent3 4" xfId="942" hidden="1"/>
    <cellStyle name="60 % - Akzent3 4" xfId="1365" hidden="1"/>
    <cellStyle name="60 % - Akzent3 4" xfId="1363" hidden="1"/>
    <cellStyle name="60 % - Akzent3 4" xfId="1455" hidden="1"/>
    <cellStyle name="60 % - Akzent3 4" xfId="1473" hidden="1"/>
    <cellStyle name="60 % - Akzent3 4" xfId="1694" hidden="1"/>
    <cellStyle name="60 % - Akzent3 4" xfId="2254" hidden="1"/>
    <cellStyle name="60 % - Akzent3 4" xfId="1686" hidden="1"/>
    <cellStyle name="60 % - Akzent3 4" xfId="2203" hidden="1"/>
    <cellStyle name="60 % - Akzent3 4" xfId="3679" hidden="1"/>
    <cellStyle name="60 % - Akzent3 4" xfId="1523" hidden="1"/>
    <cellStyle name="60 % - Akzent3 4" xfId="1558" hidden="1"/>
    <cellStyle name="60 % - Akzent4 2" xfId="398"/>
    <cellStyle name="60 % - Akzent4 3" xfId="267"/>
    <cellStyle name="60 % - Akzent4 4" xfId="70" hidden="1"/>
    <cellStyle name="60 % - Akzent4 4" xfId="945" hidden="1"/>
    <cellStyle name="60 % - Akzent4 4" xfId="1338" hidden="1"/>
    <cellStyle name="60 % - Akzent4 4" xfId="1276" hidden="1"/>
    <cellStyle name="60 % - Akzent4 4" xfId="1451" hidden="1"/>
    <cellStyle name="60 % - Akzent4 4" xfId="1477" hidden="1"/>
    <cellStyle name="60 % - Akzent4 4" xfId="1812" hidden="1"/>
    <cellStyle name="60 % - Akzent4 4" xfId="2252" hidden="1"/>
    <cellStyle name="60 % - Akzent4 4" xfId="1668" hidden="1"/>
    <cellStyle name="60 % - Akzent4 4" xfId="1547" hidden="1"/>
    <cellStyle name="60 % - Akzent4 4" xfId="3655" hidden="1"/>
    <cellStyle name="60 % - Akzent4 4" xfId="3612" hidden="1"/>
    <cellStyle name="60 % - Akzent4 4" xfId="3619" hidden="1"/>
    <cellStyle name="60 % - Akzent5 2" xfId="399"/>
    <cellStyle name="60 % - Akzent5 3" xfId="268"/>
    <cellStyle name="60 % - Akzent5 4" xfId="73" hidden="1"/>
    <cellStyle name="60 % - Akzent5 4" xfId="948" hidden="1"/>
    <cellStyle name="60 % - Akzent5 4" xfId="1282" hidden="1"/>
    <cellStyle name="60 % - Akzent5 4" xfId="1009" hidden="1"/>
    <cellStyle name="60 % - Akzent5 4" xfId="1439" hidden="1"/>
    <cellStyle name="60 % - Akzent5 4" xfId="1481" hidden="1"/>
    <cellStyle name="60 % - Akzent5 4" xfId="1809" hidden="1"/>
    <cellStyle name="60 % - Akzent5 4" xfId="1702" hidden="1"/>
    <cellStyle name="60 % - Akzent5 4" xfId="1769" hidden="1"/>
    <cellStyle name="60 % - Akzent5 4" xfId="3104" hidden="1"/>
    <cellStyle name="60 % - Akzent5 4" xfId="3608" hidden="1"/>
    <cellStyle name="60 % - Akzent5 4" xfId="3532" hidden="1"/>
    <cellStyle name="60 % - Akzent5 4" xfId="3713" hidden="1"/>
    <cellStyle name="60 % - Akzent6 2" xfId="400"/>
    <cellStyle name="60 % - Akzent6 3" xfId="269"/>
    <cellStyle name="60 % - Akzent6 4" xfId="77" hidden="1"/>
    <cellStyle name="60 % - Akzent6 4" xfId="951" hidden="1"/>
    <cellStyle name="60 % - Akzent6 4" xfId="1228" hidden="1"/>
    <cellStyle name="60 % - Akzent6 4" xfId="1159" hidden="1"/>
    <cellStyle name="60 % - Akzent6 4" xfId="1430" hidden="1"/>
    <cellStyle name="60 % - Akzent6 4" xfId="1484" hidden="1"/>
    <cellStyle name="60 % - Akzent6 4" xfId="1805" hidden="1"/>
    <cellStyle name="60 % - Akzent6 4" xfId="2248" hidden="1"/>
    <cellStyle name="60 % - Akzent6 4" xfId="2640" hidden="1"/>
    <cellStyle name="60 % - Akzent6 4" xfId="1503" hidden="1"/>
    <cellStyle name="60 % - Akzent6 4" xfId="3562" hidden="1"/>
    <cellStyle name="60 % - Akzent6 4" xfId="3651" hidden="1"/>
    <cellStyle name="60 % - Akzent6 4" xfId="1744" hidden="1"/>
    <cellStyle name="60% - Accent1 2" xfId="107"/>
    <cellStyle name="60% - Accent1 3" xfId="221"/>
    <cellStyle name="60% - Accent2 2" xfId="108"/>
    <cellStyle name="60% - Accent2 3" xfId="222"/>
    <cellStyle name="60% - Accent3 2" xfId="109"/>
    <cellStyle name="60% - Accent3 3" xfId="223"/>
    <cellStyle name="60% - Accent4 2" xfId="110"/>
    <cellStyle name="60% - Accent4 3" xfId="224"/>
    <cellStyle name="60% - Accent5 2" xfId="111"/>
    <cellStyle name="60% - Accent5 3" xfId="225"/>
    <cellStyle name="60% - Accent6 2" xfId="112"/>
    <cellStyle name="60% - Accent6 3" xfId="226"/>
    <cellStyle name="Accent1 2" xfId="113"/>
    <cellStyle name="Accent1 3" xfId="227"/>
    <cellStyle name="Accent1 4" xfId="360"/>
    <cellStyle name="Accent2 2" xfId="114"/>
    <cellStyle name="Accent2 3" xfId="228"/>
    <cellStyle name="Accent2 4" xfId="361"/>
    <cellStyle name="Accent3 2" xfId="115"/>
    <cellStyle name="Accent3 3" xfId="229"/>
    <cellStyle name="Accent3 4" xfId="362"/>
    <cellStyle name="Accent4 2" xfId="116"/>
    <cellStyle name="Accent4 3" xfId="230"/>
    <cellStyle name="Accent4 4" xfId="363"/>
    <cellStyle name="Accent5 2" xfId="117"/>
    <cellStyle name="Accent5 3" xfId="231"/>
    <cellStyle name="Accent5 4" xfId="364"/>
    <cellStyle name="Accent6 2" xfId="118"/>
    <cellStyle name="Accent6 3" xfId="232"/>
    <cellStyle name="Accent6 4" xfId="365"/>
    <cellStyle name="AggblueBoldCels" xfId="119"/>
    <cellStyle name="AggblueBoldCels 2" xfId="120"/>
    <cellStyle name="AggblueCels" xfId="34"/>
    <cellStyle name="AggblueCels 2" xfId="121"/>
    <cellStyle name="AggblueCels_1x" xfId="33"/>
    <cellStyle name="AggBoldCells" xfId="6"/>
    <cellStyle name="AggBoldCells 2" xfId="122"/>
    <cellStyle name="AggBoldCells 3" xfId="202"/>
    <cellStyle name="AggBoldCells 4" xfId="354"/>
    <cellStyle name="AggCels" xfId="9"/>
    <cellStyle name="AggCels 2" xfId="123"/>
    <cellStyle name="AggCels 3" xfId="203"/>
    <cellStyle name="AggCels 4" xfId="355"/>
    <cellStyle name="AggCels_T(2)" xfId="7"/>
    <cellStyle name="AggGreen" xfId="23"/>
    <cellStyle name="AggGreen 2" xfId="124"/>
    <cellStyle name="AggGreen 2 2" xfId="413"/>
    <cellStyle name="AggGreen 2 2 2" xfId="590"/>
    <cellStyle name="AggGreen 2 2 2 2" xfId="805"/>
    <cellStyle name="AggGreen 2 2 2 2 2" xfId="1340"/>
    <cellStyle name="AggGreen 2 2 2 2 3" xfId="2105"/>
    <cellStyle name="AggGreen 2 2 2 2 4" xfId="2542"/>
    <cellStyle name="AggGreen 2 2 2 2 5" xfId="2977"/>
    <cellStyle name="AggGreen 2 2 2 2 6" xfId="3390"/>
    <cellStyle name="AggGreen 2 2 2 2 7" xfId="3587"/>
    <cellStyle name="AggGreen 2 2 2 3" xfId="1372"/>
    <cellStyle name="AggGreen 2 2 2 4" xfId="1892"/>
    <cellStyle name="AggGreen 2 2 2 5" xfId="2327"/>
    <cellStyle name="AggGreen 2 2 2 6" xfId="2765"/>
    <cellStyle name="AggGreen 2 2 2 7" xfId="3179"/>
    <cellStyle name="AggGreen 2 2 2 8" xfId="1536"/>
    <cellStyle name="AggGreen 2 2 3" xfId="720"/>
    <cellStyle name="AggGreen 2 2 3 2" xfId="1250"/>
    <cellStyle name="AggGreen 2 2 3 3" xfId="2020"/>
    <cellStyle name="AggGreen 2 2 3 4" xfId="2457"/>
    <cellStyle name="AggGreen 2 2 3 5" xfId="2892"/>
    <cellStyle name="AggGreen 2 2 3 6" xfId="3305"/>
    <cellStyle name="AggGreen 2 2 3 7" xfId="3618"/>
    <cellStyle name="AggGreen 2 3" xfId="271"/>
    <cellStyle name="AggGreen 2 3 10" xfId="1688"/>
    <cellStyle name="AggGreen 2 3 2" xfId="610"/>
    <cellStyle name="AggGreen 2 3 2 2" xfId="825"/>
    <cellStyle name="AggGreen 2 3 2 2 2" xfId="1031"/>
    <cellStyle name="AggGreen 2 3 2 2 3" xfId="2125"/>
    <cellStyle name="AggGreen 2 3 2 2 4" xfId="2562"/>
    <cellStyle name="AggGreen 2 3 2 2 5" xfId="2997"/>
    <cellStyle name="AggGreen 2 3 2 2 6" xfId="3410"/>
    <cellStyle name="AggGreen 2 3 2 2 7" xfId="3515"/>
    <cellStyle name="AggGreen 2 3 2 3" xfId="997"/>
    <cellStyle name="AggGreen 2 3 2 4" xfId="1912"/>
    <cellStyle name="AggGreen 2 3 2 5" xfId="2347"/>
    <cellStyle name="AggGreen 2 3 2 6" xfId="2785"/>
    <cellStyle name="AggGreen 2 3 2 7" xfId="3199"/>
    <cellStyle name="AggGreen 2 3 2 8" xfId="3637"/>
    <cellStyle name="AggGreen 2 3 3" xfId="679"/>
    <cellStyle name="AggGreen 2 3 3 2" xfId="894"/>
    <cellStyle name="AggGreen 2 3 3 2 2" xfId="1406"/>
    <cellStyle name="AggGreen 2 3 3 2 3" xfId="2194"/>
    <cellStyle name="AggGreen 2 3 3 2 4" xfId="2631"/>
    <cellStyle name="AggGreen 2 3 3 2 5" xfId="3066"/>
    <cellStyle name="AggGreen 2 3 3 2 6" xfId="3479"/>
    <cellStyle name="AggGreen 2 3 3 2 7" xfId="3730"/>
    <cellStyle name="AggGreen 2 3 3 3" xfId="1195"/>
    <cellStyle name="AggGreen 2 3 3 4" xfId="1981"/>
    <cellStyle name="AggGreen 2 3 3 5" xfId="2416"/>
    <cellStyle name="AggGreen 2 3 3 6" xfId="2854"/>
    <cellStyle name="AggGreen 2 3 3 7" xfId="3268"/>
    <cellStyle name="AggGreen 2 3 3 8" xfId="3604"/>
    <cellStyle name="AggGreen 2 3 4" xfId="675"/>
    <cellStyle name="AggGreen 2 3 4 2" xfId="890"/>
    <cellStyle name="AggGreen 2 3 4 2 2" xfId="1402"/>
    <cellStyle name="AggGreen 2 3 4 2 3" xfId="2190"/>
    <cellStyle name="AggGreen 2 3 4 2 4" xfId="2627"/>
    <cellStyle name="AggGreen 2 3 4 2 5" xfId="3062"/>
    <cellStyle name="AggGreen 2 3 4 2 6" xfId="3475"/>
    <cellStyle name="AggGreen 2 3 4 2 7" xfId="3726"/>
    <cellStyle name="AggGreen 2 3 4 3" xfId="1375"/>
    <cellStyle name="AggGreen 2 3 4 4" xfId="1977"/>
    <cellStyle name="AggGreen 2 3 4 5" xfId="2412"/>
    <cellStyle name="AggGreen 2 3 4 6" xfId="2850"/>
    <cellStyle name="AggGreen 2 3 4 7" xfId="3264"/>
    <cellStyle name="AggGreen 2 3 4 8" xfId="1434"/>
    <cellStyle name="AggGreen 2 3 5" xfId="1096"/>
    <cellStyle name="AggGreen 2 3 6" xfId="1628"/>
    <cellStyle name="AggGreen 2 3 7" xfId="1600"/>
    <cellStyle name="AggGreen 2 3 8" xfId="1783"/>
    <cellStyle name="AggGreen 2 3 9" xfId="1362"/>
    <cellStyle name="AggGreen 3" xfId="412"/>
    <cellStyle name="AggGreen 3 2" xfId="539"/>
    <cellStyle name="AggGreen 3 2 2" xfId="754"/>
    <cellStyle name="AggGreen 3 2 2 2" xfId="920"/>
    <cellStyle name="AggGreen 3 2 2 3" xfId="2054"/>
    <cellStyle name="AggGreen 3 2 2 4" xfId="2491"/>
    <cellStyle name="AggGreen 3 2 2 5" xfId="2926"/>
    <cellStyle name="AggGreen 3 2 2 6" xfId="3339"/>
    <cellStyle name="AggGreen 3 2 2 7" xfId="3551"/>
    <cellStyle name="AggGreen 3 2 3" xfId="1382"/>
    <cellStyle name="AggGreen 3 2 4" xfId="1841"/>
    <cellStyle name="AggGreen 3 2 5" xfId="2276"/>
    <cellStyle name="AggGreen 3 2 6" xfId="2714"/>
    <cellStyle name="AggGreen 3 2 7" xfId="3128"/>
    <cellStyle name="AggGreen 3 2 8" xfId="3704"/>
    <cellStyle name="AggGreen 3 3" xfId="719"/>
    <cellStyle name="AggGreen 3 3 2" xfId="1367"/>
    <cellStyle name="AggGreen 3 3 3" xfId="2019"/>
    <cellStyle name="AggGreen 3 3 4" xfId="2456"/>
    <cellStyle name="AggGreen 3 3 5" xfId="2891"/>
    <cellStyle name="AggGreen 3 3 6" xfId="3304"/>
    <cellStyle name="AggGreen 3 3 7" xfId="2228"/>
    <cellStyle name="AggGreen 4" xfId="270"/>
    <cellStyle name="AggGreen 4 10" xfId="1695"/>
    <cellStyle name="AggGreen 4 2" xfId="609"/>
    <cellStyle name="AggGreen 4 2 2" xfId="824"/>
    <cellStyle name="AggGreen 4 2 2 2" xfId="968"/>
    <cellStyle name="AggGreen 4 2 2 3" xfId="2124"/>
    <cellStyle name="AggGreen 4 2 2 4" xfId="2561"/>
    <cellStyle name="AggGreen 4 2 2 5" xfId="2996"/>
    <cellStyle name="AggGreen 4 2 2 6" xfId="3409"/>
    <cellStyle name="AggGreen 4 2 2 7" xfId="3561"/>
    <cellStyle name="AggGreen 4 2 3" xfId="1155"/>
    <cellStyle name="AggGreen 4 2 4" xfId="1911"/>
    <cellStyle name="AggGreen 4 2 5" xfId="2346"/>
    <cellStyle name="AggGreen 4 2 6" xfId="2784"/>
    <cellStyle name="AggGreen 4 2 7" xfId="3198"/>
    <cellStyle name="AggGreen 4 2 8" xfId="3653"/>
    <cellStyle name="AggGreen 4 3" xfId="524"/>
    <cellStyle name="AggGreen 4 3 2" xfId="739"/>
    <cellStyle name="AggGreen 4 3 2 2" xfId="1224"/>
    <cellStyle name="AggGreen 4 3 2 3" xfId="2039"/>
    <cellStyle name="AggGreen 4 3 2 4" xfId="2476"/>
    <cellStyle name="AggGreen 4 3 2 5" xfId="2911"/>
    <cellStyle name="AggGreen 4 3 2 6" xfId="3324"/>
    <cellStyle name="AggGreen 4 3 2 7" xfId="3690"/>
    <cellStyle name="AggGreen 4 3 3" xfId="1341"/>
    <cellStyle name="AggGreen 4 3 4" xfId="1826"/>
    <cellStyle name="AggGreen 4 3 5" xfId="2261"/>
    <cellStyle name="AggGreen 4 3 6" xfId="2699"/>
    <cellStyle name="AggGreen 4 3 7" xfId="3113"/>
    <cellStyle name="AggGreen 4 3 8" xfId="1539"/>
    <cellStyle name="AggGreen 4 4" xfId="642"/>
    <cellStyle name="AggGreen 4 4 2" xfId="857"/>
    <cellStyle name="AggGreen 4 4 2 2" xfId="962"/>
    <cellStyle name="AggGreen 4 4 2 3" xfId="2157"/>
    <cellStyle name="AggGreen 4 4 2 4" xfId="2594"/>
    <cellStyle name="AggGreen 4 4 2 5" xfId="3029"/>
    <cellStyle name="AggGreen 4 4 2 6" xfId="3442"/>
    <cellStyle name="AggGreen 4 4 2 7" xfId="3607"/>
    <cellStyle name="AggGreen 4 4 3" xfId="1299"/>
    <cellStyle name="AggGreen 4 4 4" xfId="1944"/>
    <cellStyle name="AggGreen 4 4 5" xfId="2379"/>
    <cellStyle name="AggGreen 4 4 6" xfId="2817"/>
    <cellStyle name="AggGreen 4 4 7" xfId="3231"/>
    <cellStyle name="AggGreen 4 4 8" xfId="2239"/>
    <cellStyle name="AggGreen 4 5" xfId="1177"/>
    <cellStyle name="AggGreen 4 6" xfId="1627"/>
    <cellStyle name="AggGreen 4 7" xfId="1716"/>
    <cellStyle name="AggGreen 4 8" xfId="1580"/>
    <cellStyle name="AggGreen 4 9" xfId="2694"/>
    <cellStyle name="AggGreen 5" xfId="86"/>
    <cellStyle name="AggGreen 5 2" xfId="1493"/>
    <cellStyle name="AggGreen 5 3" xfId="1441"/>
    <cellStyle name="AggGreen 5 4" xfId="2244"/>
    <cellStyle name="AggGreen 5 5" xfId="1596"/>
    <cellStyle name="AggGreen_Bbdr" xfId="24"/>
    <cellStyle name="AggGreen12" xfId="21"/>
    <cellStyle name="AggGreen12 2" xfId="125"/>
    <cellStyle name="AggGreen12 2 2" xfId="415"/>
    <cellStyle name="AggGreen12 2 2 2" xfId="608"/>
    <cellStyle name="AggGreen12 2 2 2 2" xfId="823"/>
    <cellStyle name="AggGreen12 2 2 2 2 2" xfId="1032"/>
    <cellStyle name="AggGreen12 2 2 2 2 3" xfId="2123"/>
    <cellStyle name="AggGreen12 2 2 2 2 4" xfId="2560"/>
    <cellStyle name="AggGreen12 2 2 2 2 5" xfId="2995"/>
    <cellStyle name="AggGreen12 2 2 2 2 6" xfId="3408"/>
    <cellStyle name="AggGreen12 2 2 2 2 7" xfId="1761"/>
    <cellStyle name="AggGreen12 2 2 2 3" xfId="1194"/>
    <cellStyle name="AggGreen12 2 2 2 4" xfId="1910"/>
    <cellStyle name="AggGreen12 2 2 2 5" xfId="2345"/>
    <cellStyle name="AggGreen12 2 2 2 6" xfId="2783"/>
    <cellStyle name="AggGreen12 2 2 2 7" xfId="3197"/>
    <cellStyle name="AggGreen12 2 2 2 8" xfId="1551"/>
    <cellStyle name="AggGreen12 2 2 3" xfId="722"/>
    <cellStyle name="AggGreen12 2 2 3 2" xfId="1189"/>
    <cellStyle name="AggGreen12 2 2 3 3" xfId="2022"/>
    <cellStyle name="AggGreen12 2 2 3 4" xfId="2459"/>
    <cellStyle name="AggGreen12 2 2 3 5" xfId="2894"/>
    <cellStyle name="AggGreen12 2 2 3 6" xfId="3307"/>
    <cellStyle name="AggGreen12 2 2 3 7" xfId="3661"/>
    <cellStyle name="AggGreen12 2 3" xfId="273"/>
    <cellStyle name="AggGreen12 2 3 10" xfId="1620"/>
    <cellStyle name="AggGreen12 2 3 2" xfId="612"/>
    <cellStyle name="AggGreen12 2 3 2 2" xfId="827"/>
    <cellStyle name="AggGreen12 2 3 2 2 2" xfId="1066"/>
    <cellStyle name="AggGreen12 2 3 2 2 3" xfId="2127"/>
    <cellStyle name="AggGreen12 2 3 2 2 4" xfId="2564"/>
    <cellStyle name="AggGreen12 2 3 2 2 5" xfId="2999"/>
    <cellStyle name="AggGreen12 2 3 2 2 6" xfId="3412"/>
    <cellStyle name="AggGreen12 2 3 2 2 7" xfId="3495"/>
    <cellStyle name="AggGreen12 2 3 2 3" xfId="957"/>
    <cellStyle name="AggGreen12 2 3 2 4" xfId="1914"/>
    <cellStyle name="AggGreen12 2 3 2 5" xfId="2349"/>
    <cellStyle name="AggGreen12 2 3 2 6" xfId="2787"/>
    <cellStyle name="AggGreen12 2 3 2 7" xfId="3201"/>
    <cellStyle name="AggGreen12 2 3 2 8" xfId="3564"/>
    <cellStyle name="AggGreen12 2 3 3" xfId="561"/>
    <cellStyle name="AggGreen12 2 3 3 2" xfId="776"/>
    <cellStyle name="AggGreen12 2 3 3 2 2" xfId="982"/>
    <cellStyle name="AggGreen12 2 3 3 2 3" xfId="2076"/>
    <cellStyle name="AggGreen12 2 3 3 2 4" xfId="2513"/>
    <cellStyle name="AggGreen12 2 3 3 2 5" xfId="2948"/>
    <cellStyle name="AggGreen12 2 3 3 2 6" xfId="3361"/>
    <cellStyle name="AggGreen12 2 3 3 2 7" xfId="1545"/>
    <cellStyle name="AggGreen12 2 3 3 3" xfId="1004"/>
    <cellStyle name="AggGreen12 2 3 3 4" xfId="1863"/>
    <cellStyle name="AggGreen12 2 3 3 5" xfId="2298"/>
    <cellStyle name="AggGreen12 2 3 3 6" xfId="2736"/>
    <cellStyle name="AggGreen12 2 3 3 7" xfId="3150"/>
    <cellStyle name="AggGreen12 2 3 3 8" xfId="3557"/>
    <cellStyle name="AggGreen12 2 3 4" xfId="641"/>
    <cellStyle name="AggGreen12 2 3 4 2" xfId="856"/>
    <cellStyle name="AggGreen12 2 3 4 2 2" xfId="1029"/>
    <cellStyle name="AggGreen12 2 3 4 2 3" xfId="2156"/>
    <cellStyle name="AggGreen12 2 3 4 2 4" xfId="2593"/>
    <cellStyle name="AggGreen12 2 3 4 2 5" xfId="3028"/>
    <cellStyle name="AggGreen12 2 3 4 2 6" xfId="3441"/>
    <cellStyle name="AggGreen12 2 3 4 2 7" xfId="3516"/>
    <cellStyle name="AggGreen12 2 3 4 3" xfId="1078"/>
    <cellStyle name="AggGreen12 2 3 4 4" xfId="1943"/>
    <cellStyle name="AggGreen12 2 3 4 5" xfId="2378"/>
    <cellStyle name="AggGreen12 2 3 4 6" xfId="2816"/>
    <cellStyle name="AggGreen12 2 3 4 7" xfId="3230"/>
    <cellStyle name="AggGreen12 2 3 4 8" xfId="3488"/>
    <cellStyle name="AggGreen12 2 3 5" xfId="1176"/>
    <cellStyle name="AggGreen12 2 3 6" xfId="1630"/>
    <cellStyle name="AggGreen12 2 3 7" xfId="1531"/>
    <cellStyle name="AggGreen12 2 3 8" xfId="1729"/>
    <cellStyle name="AggGreen12 2 3 9" xfId="1429"/>
    <cellStyle name="AggGreen12 3" xfId="414"/>
    <cellStyle name="AggGreen12 3 2" xfId="538"/>
    <cellStyle name="AggGreen12 3 2 2" xfId="753"/>
    <cellStyle name="AggGreen12 3 2 2 2" xfId="922"/>
    <cellStyle name="AggGreen12 3 2 2 3" xfId="2053"/>
    <cellStyle name="AggGreen12 3 2 2 4" xfId="2490"/>
    <cellStyle name="AggGreen12 3 2 2 5" xfId="2925"/>
    <cellStyle name="AggGreen12 3 2 2 6" xfId="3338"/>
    <cellStyle name="AggGreen12 3 2 2 7" xfId="1414"/>
    <cellStyle name="AggGreen12 3 2 3" xfId="1277"/>
    <cellStyle name="AggGreen12 3 2 4" xfId="1840"/>
    <cellStyle name="AggGreen12 3 2 5" xfId="2275"/>
    <cellStyle name="AggGreen12 3 2 6" xfId="2713"/>
    <cellStyle name="AggGreen12 3 2 7" xfId="3127"/>
    <cellStyle name="AggGreen12 3 2 8" xfId="3570"/>
    <cellStyle name="AggGreen12 3 3" xfId="721"/>
    <cellStyle name="AggGreen12 3 3 2" xfId="1305"/>
    <cellStyle name="AggGreen12 3 3 3" xfId="2021"/>
    <cellStyle name="AggGreen12 3 3 4" xfId="2458"/>
    <cellStyle name="AggGreen12 3 3 5" xfId="2893"/>
    <cellStyle name="AggGreen12 3 3 6" xfId="3306"/>
    <cellStyle name="AggGreen12 3 3 7" xfId="3558"/>
    <cellStyle name="AggGreen12 4" xfId="272"/>
    <cellStyle name="AggGreen12 4 10" xfId="1542"/>
    <cellStyle name="AggGreen12 4 2" xfId="611"/>
    <cellStyle name="AggGreen12 4 2 2" xfId="826"/>
    <cellStyle name="AggGreen12 4 2 2 2" xfId="967"/>
    <cellStyle name="AggGreen12 4 2 2 3" xfId="2126"/>
    <cellStyle name="AggGreen12 4 2 2 4" xfId="2563"/>
    <cellStyle name="AggGreen12 4 2 2 5" xfId="2998"/>
    <cellStyle name="AggGreen12 4 2 2 6" xfId="3411"/>
    <cellStyle name="AggGreen12 4 2 2 7" xfId="3664"/>
    <cellStyle name="AggGreen12 4 2 3" xfId="904"/>
    <cellStyle name="AggGreen12 4 2 4" xfId="1913"/>
    <cellStyle name="AggGreen12 4 2 5" xfId="2348"/>
    <cellStyle name="AggGreen12 4 2 6" xfId="2786"/>
    <cellStyle name="AggGreen12 4 2 7" xfId="3200"/>
    <cellStyle name="AggGreen12 4 2 8" xfId="1647"/>
    <cellStyle name="AggGreen12 4 3" xfId="663"/>
    <cellStyle name="AggGreen12 4 3 2" xfId="878"/>
    <cellStyle name="AggGreen12 4 3 2 2" xfId="924"/>
    <cellStyle name="AggGreen12 4 3 2 3" xfId="2178"/>
    <cellStyle name="AggGreen12 4 3 2 4" xfId="2615"/>
    <cellStyle name="AggGreen12 4 3 2 5" xfId="3050"/>
    <cellStyle name="AggGreen12 4 3 2 6" xfId="3463"/>
    <cellStyle name="AggGreen12 4 3 2 7" xfId="1117"/>
    <cellStyle name="AggGreen12 4 3 3" xfId="917"/>
    <cellStyle name="AggGreen12 4 3 4" xfId="1965"/>
    <cellStyle name="AggGreen12 4 3 5" xfId="2400"/>
    <cellStyle name="AggGreen12 4 3 6" xfId="2838"/>
    <cellStyle name="AggGreen12 4 3 7" xfId="3252"/>
    <cellStyle name="AggGreen12 4 3 8" xfId="3628"/>
    <cellStyle name="AggGreen12 4 4" xfId="674"/>
    <cellStyle name="AggGreen12 4 4 2" xfId="889"/>
    <cellStyle name="AggGreen12 4 4 2 2" xfId="1401"/>
    <cellStyle name="AggGreen12 4 4 2 3" xfId="2189"/>
    <cellStyle name="AggGreen12 4 4 2 4" xfId="2626"/>
    <cellStyle name="AggGreen12 4 4 2 5" xfId="3061"/>
    <cellStyle name="AggGreen12 4 4 2 6" xfId="3474"/>
    <cellStyle name="AggGreen12 4 4 2 7" xfId="3725"/>
    <cellStyle name="AggGreen12 4 4 3" xfId="1297"/>
    <cellStyle name="AggGreen12 4 4 4" xfId="1976"/>
    <cellStyle name="AggGreen12 4 4 5" xfId="2411"/>
    <cellStyle name="AggGreen12 4 4 6" xfId="2849"/>
    <cellStyle name="AggGreen12 4 4 7" xfId="3263"/>
    <cellStyle name="AggGreen12 4 4 8" xfId="3669"/>
    <cellStyle name="AggGreen12 4 5" xfId="1175"/>
    <cellStyle name="AggGreen12 4 6" xfId="1629"/>
    <cellStyle name="AggGreen12 4 7" xfId="1533"/>
    <cellStyle name="AggGreen12 4 8" xfId="1656"/>
    <cellStyle name="AggGreen12 4 9" xfId="2220"/>
    <cellStyle name="AggGreen12 5" xfId="84"/>
    <cellStyle name="AggGreen12 5 2" xfId="1491"/>
    <cellStyle name="AggGreen12 5 3" xfId="1663"/>
    <cellStyle name="AggGreen12 5 4" xfId="1518"/>
    <cellStyle name="AggGreen12 5 5" xfId="3523"/>
    <cellStyle name="AggOrange" xfId="16"/>
    <cellStyle name="AggOrange 2" xfId="126"/>
    <cellStyle name="AggOrange 2 2" xfId="417"/>
    <cellStyle name="AggOrange 2 2 2" xfId="537"/>
    <cellStyle name="AggOrange 2 2 2 2" xfId="752"/>
    <cellStyle name="AggOrange 2 2 2 2 2" xfId="923"/>
    <cellStyle name="AggOrange 2 2 2 2 3" xfId="2052"/>
    <cellStyle name="AggOrange 2 2 2 2 4" xfId="2489"/>
    <cellStyle name="AggOrange 2 2 2 2 5" xfId="2924"/>
    <cellStyle name="AggOrange 2 2 2 2 6" xfId="3337"/>
    <cellStyle name="AggOrange 2 2 2 2 7" xfId="3524"/>
    <cellStyle name="AggOrange 2 2 2 3" xfId="1390"/>
    <cellStyle name="AggOrange 2 2 2 4" xfId="1839"/>
    <cellStyle name="AggOrange 2 2 2 5" xfId="2274"/>
    <cellStyle name="AggOrange 2 2 2 6" xfId="2712"/>
    <cellStyle name="AggOrange 2 2 2 7" xfId="3126"/>
    <cellStyle name="AggOrange 2 2 2 8" xfId="3712"/>
    <cellStyle name="AggOrange 2 2 3" xfId="724"/>
    <cellStyle name="AggOrange 2 2 3 2" xfId="1233"/>
    <cellStyle name="AggOrange 2 2 3 3" xfId="2024"/>
    <cellStyle name="AggOrange 2 2 3 4" xfId="2461"/>
    <cellStyle name="AggOrange 2 2 3 5" xfId="2896"/>
    <cellStyle name="AggOrange 2 2 3 6" xfId="3309"/>
    <cellStyle name="AggOrange 2 2 3 7" xfId="1810"/>
    <cellStyle name="AggOrange 2 3" xfId="275"/>
    <cellStyle name="AggOrange 2 3 10" xfId="2660"/>
    <cellStyle name="AggOrange 2 3 2" xfId="614"/>
    <cellStyle name="AggOrange 2 3 2 2" xfId="829"/>
    <cellStyle name="AggOrange 2 3 2 2 2" xfId="1065"/>
    <cellStyle name="AggOrange 2 3 2 2 3" xfId="2129"/>
    <cellStyle name="AggOrange 2 3 2 2 4" xfId="2566"/>
    <cellStyle name="AggOrange 2 3 2 2 5" xfId="3001"/>
    <cellStyle name="AggOrange 2 3 2 2 6" xfId="3414"/>
    <cellStyle name="AggOrange 2 3 2 2 7" xfId="3292"/>
    <cellStyle name="AggOrange 2 3 2 3" xfId="1334"/>
    <cellStyle name="AggOrange 2 3 2 4" xfId="1916"/>
    <cellStyle name="AggOrange 2 3 2 5" xfId="2351"/>
    <cellStyle name="AggOrange 2 3 2 6" xfId="2789"/>
    <cellStyle name="AggOrange 2 3 2 7" xfId="3203"/>
    <cellStyle name="AggOrange 2 3 2 8" xfId="2684"/>
    <cellStyle name="AggOrange 2 3 3" xfId="521"/>
    <cellStyle name="AggOrange 2 3 3 2" xfId="736"/>
    <cellStyle name="AggOrange 2 3 3 2 2" xfId="1074"/>
    <cellStyle name="AggOrange 2 3 3 2 3" xfId="2036"/>
    <cellStyle name="AggOrange 2 3 3 2 4" xfId="2473"/>
    <cellStyle name="AggOrange 2 3 3 2 5" xfId="2908"/>
    <cellStyle name="AggOrange 2 3 3 2 6" xfId="3321"/>
    <cellStyle name="AggOrange 2 3 3 2 7" xfId="1502"/>
    <cellStyle name="AggOrange 2 3 3 3" xfId="1265"/>
    <cellStyle name="AggOrange 2 3 3 4" xfId="1823"/>
    <cellStyle name="AggOrange 2 3 3 5" xfId="2258"/>
    <cellStyle name="AggOrange 2 3 3 6" xfId="2696"/>
    <cellStyle name="AggOrange 2 3 3 7" xfId="3110"/>
    <cellStyle name="AggOrange 2 3 3 8" xfId="3109"/>
    <cellStyle name="AggOrange 2 3 4" xfId="536"/>
    <cellStyle name="AggOrange 2 3 4 2" xfId="751"/>
    <cellStyle name="AggOrange 2 3 4 2 2" xfId="54"/>
    <cellStyle name="AggOrange 2 3 4 2 3" xfId="2051"/>
    <cellStyle name="AggOrange 2 3 4 2 4" xfId="2488"/>
    <cellStyle name="AggOrange 2 3 4 2 5" xfId="2923"/>
    <cellStyle name="AggOrange 2 3 4 2 6" xfId="3336"/>
    <cellStyle name="AggOrange 2 3 4 2 7" xfId="2656"/>
    <cellStyle name="AggOrange 2 3 4 3" xfId="1279"/>
    <cellStyle name="AggOrange 2 3 4 4" xfId="1838"/>
    <cellStyle name="AggOrange 2 3 4 5" xfId="2273"/>
    <cellStyle name="AggOrange 2 3 4 6" xfId="2711"/>
    <cellStyle name="AggOrange 2 3 4 7" xfId="3125"/>
    <cellStyle name="AggOrange 2 3 4 8" xfId="1655"/>
    <cellStyle name="AggOrange 2 3 5" xfId="1090"/>
    <cellStyle name="AggOrange 2 3 6" xfId="1632"/>
    <cellStyle name="AggOrange 2 3 7" xfId="1598"/>
    <cellStyle name="AggOrange 2 3 8" xfId="1662"/>
    <cellStyle name="AggOrange 2 3 9" xfId="1515"/>
    <cellStyle name="AggOrange 3" xfId="416"/>
    <cellStyle name="AggOrange 3 2" xfId="656"/>
    <cellStyle name="AggOrange 3 2 2" xfId="871"/>
    <cellStyle name="AggOrange 3 2 2 2" xfId="1122"/>
    <cellStyle name="AggOrange 3 2 2 3" xfId="2171"/>
    <cellStyle name="AggOrange 3 2 2 4" xfId="2608"/>
    <cellStyle name="AggOrange 3 2 2 5" xfId="3043"/>
    <cellStyle name="AggOrange 3 2 2 6" xfId="3456"/>
    <cellStyle name="AggOrange 3 2 2 7" xfId="2644"/>
    <cellStyle name="AggOrange 3 2 3" xfId="1151"/>
    <cellStyle name="AggOrange 3 2 4" xfId="1958"/>
    <cellStyle name="AggOrange 3 2 5" xfId="2393"/>
    <cellStyle name="AggOrange 3 2 6" xfId="2831"/>
    <cellStyle name="AggOrange 3 2 7" xfId="3245"/>
    <cellStyle name="AggOrange 3 2 8" xfId="3680"/>
    <cellStyle name="AggOrange 3 3" xfId="723"/>
    <cellStyle name="AggOrange 3 3 2" xfId="1349"/>
    <cellStyle name="AggOrange 3 3 3" xfId="2023"/>
    <cellStyle name="AggOrange 3 3 4" xfId="2460"/>
    <cellStyle name="AggOrange 3 3 5" xfId="2895"/>
    <cellStyle name="AggOrange 3 3 6" xfId="3308"/>
    <cellStyle name="AggOrange 3 3 7" xfId="3099"/>
    <cellStyle name="AggOrange 4" xfId="274"/>
    <cellStyle name="AggOrange 4 10" xfId="1705"/>
    <cellStyle name="AggOrange 4 2" xfId="613"/>
    <cellStyle name="AggOrange 4 2 2" xfId="828"/>
    <cellStyle name="AggOrange 4 2 2 2" xfId="1130"/>
    <cellStyle name="AggOrange 4 2 2 3" xfId="2128"/>
    <cellStyle name="AggOrange 4 2 2 4" xfId="2565"/>
    <cellStyle name="AggOrange 4 2 2 5" xfId="3000"/>
    <cellStyle name="AggOrange 4 2 2 6" xfId="3413"/>
    <cellStyle name="AggOrange 4 2 2 7" xfId="1179"/>
    <cellStyle name="AggOrange 4 2 3" xfId="1283"/>
    <cellStyle name="AggOrange 4 2 4" xfId="1915"/>
    <cellStyle name="AggOrange 4 2 5" xfId="2350"/>
    <cellStyle name="AggOrange 4 2 6" xfId="2788"/>
    <cellStyle name="AggOrange 4 2 7" xfId="3202"/>
    <cellStyle name="AggOrange 4 2 8" xfId="3685"/>
    <cellStyle name="AggOrange 4 3" xfId="602"/>
    <cellStyle name="AggOrange 4 3 2" xfId="817"/>
    <cellStyle name="AggOrange 4 3 2 2" xfId="1035"/>
    <cellStyle name="AggOrange 4 3 2 3" xfId="2117"/>
    <cellStyle name="AggOrange 4 3 2 4" xfId="2554"/>
    <cellStyle name="AggOrange 4 3 2 5" xfId="2989"/>
    <cellStyle name="AggOrange 4 3 2 6" xfId="3402"/>
    <cellStyle name="AggOrange 4 3 2 7" xfId="1548"/>
    <cellStyle name="AggOrange 4 3 3" xfId="1342"/>
    <cellStyle name="AggOrange 4 3 4" xfId="1904"/>
    <cellStyle name="AggOrange 4 3 5" xfId="2339"/>
    <cellStyle name="AggOrange 4 3 6" xfId="2777"/>
    <cellStyle name="AggOrange 4 3 7" xfId="3191"/>
    <cellStyle name="AggOrange 4 3 8" xfId="3098"/>
    <cellStyle name="AggOrange 4 4" xfId="576"/>
    <cellStyle name="AggOrange 4 4 2" xfId="791"/>
    <cellStyle name="AggOrange 4 4 2 2" xfId="1071"/>
    <cellStyle name="AggOrange 4 4 2 3" xfId="2091"/>
    <cellStyle name="AggOrange 4 4 2 4" xfId="2528"/>
    <cellStyle name="AggOrange 4 4 2 5" xfId="2963"/>
    <cellStyle name="AggOrange 4 4 2 6" xfId="3376"/>
    <cellStyle name="AggOrange 4 4 2 7" xfId="1053"/>
    <cellStyle name="AggOrange 4 4 3" xfId="1376"/>
    <cellStyle name="AggOrange 4 4 4" xfId="1878"/>
    <cellStyle name="AggOrange 4 4 5" xfId="2313"/>
    <cellStyle name="AggOrange 4 4 6" xfId="2751"/>
    <cellStyle name="AggOrange 4 4 7" xfId="3165"/>
    <cellStyle name="AggOrange 4 4 8" xfId="1570"/>
    <cellStyle name="AggOrange 4 5" xfId="1103"/>
    <cellStyle name="AggOrange 4 6" xfId="1631"/>
    <cellStyle name="AggOrange 4 7" xfId="1711"/>
    <cellStyle name="AggOrange 4 8" xfId="1712"/>
    <cellStyle name="AggOrange 4 9" xfId="1764"/>
    <cellStyle name="AggOrange 5" xfId="80"/>
    <cellStyle name="AggOrange 5 2" xfId="1487"/>
    <cellStyle name="AggOrange 5 3" xfId="1806"/>
    <cellStyle name="AggOrange 5 4" xfId="1595"/>
    <cellStyle name="AggOrange 5 5" xfId="3703"/>
    <cellStyle name="AggOrange_B_border" xfId="28"/>
    <cellStyle name="AggOrange9" xfId="15"/>
    <cellStyle name="AggOrange9 2" xfId="127"/>
    <cellStyle name="AggOrange9 2 2" xfId="419"/>
    <cellStyle name="AggOrange9 2 2 2" xfId="655"/>
    <cellStyle name="AggOrange9 2 2 2 2" xfId="870"/>
    <cellStyle name="AggOrange9 2 2 2 2 2" xfId="1058"/>
    <cellStyle name="AggOrange9 2 2 2 2 3" xfId="2170"/>
    <cellStyle name="AggOrange9 2 2 2 2 4" xfId="2607"/>
    <cellStyle name="AggOrange9 2 2 2 2 5" xfId="3042"/>
    <cellStyle name="AggOrange9 2 2 2 2 6" xfId="3455"/>
    <cellStyle name="AggOrange9 2 2 2 2 7" xfId="3501"/>
    <cellStyle name="AggOrange9 2 2 2 3" xfId="1257"/>
    <cellStyle name="AggOrange9 2 2 2 4" xfId="1957"/>
    <cellStyle name="AggOrange9 2 2 2 5" xfId="2392"/>
    <cellStyle name="AggOrange9 2 2 2 6" xfId="2830"/>
    <cellStyle name="AggOrange9 2 2 2 7" xfId="3244"/>
    <cellStyle name="AggOrange9 2 2 2 8" xfId="3590"/>
    <cellStyle name="AggOrange9 2 2 3" xfId="726"/>
    <cellStyle name="AggOrange9 2 2 3 2" xfId="1294"/>
    <cellStyle name="AggOrange9 2 2 3 3" xfId="2026"/>
    <cellStyle name="AggOrange9 2 2 3 4" xfId="2463"/>
    <cellStyle name="AggOrange9 2 2 3 5" xfId="2898"/>
    <cellStyle name="AggOrange9 2 2 3 6" xfId="3311"/>
    <cellStyle name="AggOrange9 2 2 3 7" xfId="3686"/>
    <cellStyle name="AggOrange9 2 3" xfId="277"/>
    <cellStyle name="AggOrange9 2 3 10" xfId="3575"/>
    <cellStyle name="AggOrange9 2 3 2" xfId="616"/>
    <cellStyle name="AggOrange9 2 3 2 2" xfId="831"/>
    <cellStyle name="AggOrange9 2 3 2 2 2" xfId="1064"/>
    <cellStyle name="AggOrange9 2 3 2 2 3" xfId="2131"/>
    <cellStyle name="AggOrange9 2 3 2 2 4" xfId="2568"/>
    <cellStyle name="AggOrange9 2 3 2 2 5" xfId="3003"/>
    <cellStyle name="AggOrange9 2 3 2 2 6" xfId="3416"/>
    <cellStyle name="AggOrange9 2 3 2 2 7" xfId="3291"/>
    <cellStyle name="AggOrange9 2 3 2 3" xfId="1326"/>
    <cellStyle name="AggOrange9 2 3 2 4" xfId="1918"/>
    <cellStyle name="AggOrange9 2 3 2 5" xfId="2353"/>
    <cellStyle name="AggOrange9 2 3 2 6" xfId="2791"/>
    <cellStyle name="AggOrange9 2 3 2 7" xfId="3205"/>
    <cellStyle name="AggOrange9 2 3 2 8" xfId="1549"/>
    <cellStyle name="AggOrange9 2 3 3" xfId="662"/>
    <cellStyle name="AggOrange9 2 3 3 2" xfId="877"/>
    <cellStyle name="AggOrange9 2 3 3 2 2" xfId="1119"/>
    <cellStyle name="AggOrange9 2 3 3 2 3" xfId="2177"/>
    <cellStyle name="AggOrange9 2 3 3 2 4" xfId="2614"/>
    <cellStyle name="AggOrange9 2 3 3 2 5" xfId="3049"/>
    <cellStyle name="AggOrange9 2 3 3 2 6" xfId="3462"/>
    <cellStyle name="AggOrange9 2 3 3 2 7" xfId="3645"/>
    <cellStyle name="AggOrange9 2 3 3 3" xfId="908"/>
    <cellStyle name="AggOrange9 2 3 3 4" xfId="1964"/>
    <cellStyle name="AggOrange9 2 3 3 5" xfId="2399"/>
    <cellStyle name="AggOrange9 2 3 3 6" xfId="2837"/>
    <cellStyle name="AggOrange9 2 3 3 7" xfId="3251"/>
    <cellStyle name="AggOrange9 2 3 3 8" xfId="2677"/>
    <cellStyle name="AggOrange9 2 3 4" xfId="676"/>
    <cellStyle name="AggOrange9 2 3 4 2" xfId="891"/>
    <cellStyle name="AggOrange9 2 3 4 2 2" xfId="1403"/>
    <cellStyle name="AggOrange9 2 3 4 2 3" xfId="2191"/>
    <cellStyle name="AggOrange9 2 3 4 2 4" xfId="2628"/>
    <cellStyle name="AggOrange9 2 3 4 2 5" xfId="3063"/>
    <cellStyle name="AggOrange9 2 3 4 2 6" xfId="3476"/>
    <cellStyle name="AggOrange9 2 3 4 2 7" xfId="3727"/>
    <cellStyle name="AggOrange9 2 3 4 3" xfId="1258"/>
    <cellStyle name="AggOrange9 2 3 4 4" xfId="1978"/>
    <cellStyle name="AggOrange9 2 3 4 5" xfId="2413"/>
    <cellStyle name="AggOrange9 2 3 4 6" xfId="2851"/>
    <cellStyle name="AggOrange9 2 3 4 7" xfId="3265"/>
    <cellStyle name="AggOrange9 2 3 4 8" xfId="2882"/>
    <cellStyle name="AggOrange9 2 3 5" xfId="1174"/>
    <cellStyle name="AggOrange9 2 3 6" xfId="1634"/>
    <cellStyle name="AggOrange9 2 3 7" xfId="1529"/>
    <cellStyle name="AggOrange9 2 3 8" xfId="1732"/>
    <cellStyle name="AggOrange9 2 3 9" xfId="2221"/>
    <cellStyle name="AggOrange9 3" xfId="418"/>
    <cellStyle name="AggOrange9 3 2" xfId="607"/>
    <cellStyle name="AggOrange9 3 2 2" xfId="822"/>
    <cellStyle name="AggOrange9 3 2 2 2" xfId="969"/>
    <cellStyle name="AggOrange9 3 2 2 3" xfId="2122"/>
    <cellStyle name="AggOrange9 3 2 2 4" xfId="2559"/>
    <cellStyle name="AggOrange9 3 2 2 5" xfId="2994"/>
    <cellStyle name="AggOrange9 3 2 2 6" xfId="3407"/>
    <cellStyle name="AggOrange9 3 2 2 7" xfId="1617"/>
    <cellStyle name="AggOrange9 3 2 3" xfId="1309"/>
    <cellStyle name="AggOrange9 3 2 4" xfId="1909"/>
    <cellStyle name="AggOrange9 3 2 5" xfId="2344"/>
    <cellStyle name="AggOrange9 3 2 6" xfId="2782"/>
    <cellStyle name="AggOrange9 3 2 7" xfId="3196"/>
    <cellStyle name="AggOrange9 3 2 8" xfId="1777"/>
    <cellStyle name="AggOrange9 3 3" xfId="725"/>
    <cellStyle name="AggOrange9 3 3 2" xfId="1073"/>
    <cellStyle name="AggOrange9 3 3 3" xfId="2025"/>
    <cellStyle name="AggOrange9 3 3 4" xfId="2462"/>
    <cellStyle name="AggOrange9 3 3 5" xfId="2897"/>
    <cellStyle name="AggOrange9 3 3 6" xfId="3310"/>
    <cellStyle name="AggOrange9 3 3 7" xfId="3494"/>
    <cellStyle name="AggOrange9 4" xfId="276"/>
    <cellStyle name="AggOrange9 4 10" xfId="3660"/>
    <cellStyle name="AggOrange9 4 2" xfId="615"/>
    <cellStyle name="AggOrange9 4 2 2" xfId="830"/>
    <cellStyle name="AggOrange9 4 2 2 2" xfId="1129"/>
    <cellStyle name="AggOrange9 4 2 2 3" xfId="2130"/>
    <cellStyle name="AggOrange9 4 2 2 4" xfId="2567"/>
    <cellStyle name="AggOrange9 4 2 2 5" xfId="3002"/>
    <cellStyle name="AggOrange9 4 2 2 6" xfId="3415"/>
    <cellStyle name="AggOrange9 4 2 2 7" xfId="1714"/>
    <cellStyle name="AggOrange9 4 2 3" xfId="1219"/>
    <cellStyle name="AggOrange9 4 2 4" xfId="1917"/>
    <cellStyle name="AggOrange9 4 2 5" xfId="2352"/>
    <cellStyle name="AggOrange9 4 2 6" xfId="2790"/>
    <cellStyle name="AggOrange9 4 2 7" xfId="3204"/>
    <cellStyle name="AggOrange9 4 2 8" xfId="3090"/>
    <cellStyle name="AggOrange9 4 3" xfId="560"/>
    <cellStyle name="AggOrange9 4 3 2" xfId="775"/>
    <cellStyle name="AggOrange9 4 3 2 2" xfId="1043"/>
    <cellStyle name="AggOrange9 4 3 2 3" xfId="2075"/>
    <cellStyle name="AggOrange9 4 3 2 4" xfId="2512"/>
    <cellStyle name="AggOrange9 4 3 2 5" xfId="2947"/>
    <cellStyle name="AggOrange9 4 3 2 6" xfId="3360"/>
    <cellStyle name="AggOrange9 4 3 2 7" xfId="1776"/>
    <cellStyle name="AggOrange9 4 3 3" xfId="1049"/>
    <cellStyle name="AggOrange9 4 3 4" xfId="1862"/>
    <cellStyle name="AggOrange9 4 3 5" xfId="2297"/>
    <cellStyle name="AggOrange9 4 3 6" xfId="2735"/>
    <cellStyle name="AggOrange9 4 3 7" xfId="3149"/>
    <cellStyle name="AggOrange9 4 3 8" xfId="3507"/>
    <cellStyle name="AggOrange9 4 4" xfId="606"/>
    <cellStyle name="AggOrange9 4 4 2" xfId="821"/>
    <cellStyle name="AggOrange9 4 4 2 2" xfId="1033"/>
    <cellStyle name="AggOrange9 4 4 2 3" xfId="2121"/>
    <cellStyle name="AggOrange9 4 4 2 4" xfId="2558"/>
    <cellStyle name="AggOrange9 4 4 2 5" xfId="2993"/>
    <cellStyle name="AggOrange9 4 4 2 6" xfId="3406"/>
    <cellStyle name="AggOrange9 4 4 2 7" xfId="3513"/>
    <cellStyle name="AggOrange9 4 4 3" xfId="1083"/>
    <cellStyle name="AggOrange9 4 4 4" xfId="1908"/>
    <cellStyle name="AggOrange9 4 4 5" xfId="2343"/>
    <cellStyle name="AggOrange9 4 4 6" xfId="2781"/>
    <cellStyle name="AggOrange9 4 4 7" xfId="3195"/>
    <cellStyle name="AggOrange9 4 4 8" xfId="2257"/>
    <cellStyle name="AggOrange9 4 5" xfId="1171"/>
    <cellStyle name="AggOrange9 4 6" xfId="1633"/>
    <cellStyle name="AggOrange9 4 7" xfId="1530"/>
    <cellStyle name="AggOrange9 4 8" xfId="1682"/>
    <cellStyle name="AggOrange9 4 9" xfId="1488"/>
    <cellStyle name="AggOrange9 5" xfId="79"/>
    <cellStyle name="AggOrange9 5 2" xfId="1486"/>
    <cellStyle name="AggOrange9 5 3" xfId="1691"/>
    <cellStyle name="AggOrange9 5 4" xfId="2247"/>
    <cellStyle name="AggOrange9 5 5" xfId="3670"/>
    <cellStyle name="AggOrangeLB_2x" xfId="27"/>
    <cellStyle name="AggOrangeLBorder" xfId="29"/>
    <cellStyle name="AggOrangeLBorder 2" xfId="128"/>
    <cellStyle name="AggOrangeLBorder 2 2" xfId="421"/>
    <cellStyle name="AggOrangeLBorder 2 2 2" xfId="1498"/>
    <cellStyle name="AggOrangeLBorder 2 3" xfId="279"/>
    <cellStyle name="AggOrangeLBorder 2 3 10" xfId="1698"/>
    <cellStyle name="AggOrangeLBorder 2 3 11" xfId="3560"/>
    <cellStyle name="AggOrangeLBorder 2 3 2" xfId="618"/>
    <cellStyle name="AggOrangeLBorder 2 3 2 2" xfId="833"/>
    <cellStyle name="AggOrangeLBorder 2 3 2 2 2" xfId="1063"/>
    <cellStyle name="AggOrangeLBorder 2 3 2 2 3" xfId="2133"/>
    <cellStyle name="AggOrangeLBorder 2 3 2 2 4" xfId="2570"/>
    <cellStyle name="AggOrangeLBorder 2 3 2 2 5" xfId="3005"/>
    <cellStyle name="AggOrangeLBorder 2 3 2 2 6" xfId="3418"/>
    <cellStyle name="AggOrangeLBorder 2 3 2 2 7" xfId="1522"/>
    <cellStyle name="AggOrangeLBorder 2 3 2 3" xfId="1357"/>
    <cellStyle name="AggOrangeLBorder 2 3 2 4" xfId="1920"/>
    <cellStyle name="AggOrangeLBorder 2 3 2 5" xfId="2355"/>
    <cellStyle name="AggOrangeLBorder 2 3 2 6" xfId="2793"/>
    <cellStyle name="AggOrangeLBorder 2 3 2 7" xfId="3207"/>
    <cellStyle name="AggOrangeLBorder 2 3 2 8" xfId="2881"/>
    <cellStyle name="AggOrangeLBorder 2 3 3" xfId="558"/>
    <cellStyle name="AggOrangeLBorder 2 3 3 2" xfId="773"/>
    <cellStyle name="AggOrangeLBorder 2 3 3 2 2" xfId="983"/>
    <cellStyle name="AggOrangeLBorder 2 3 3 2 3" xfId="2073"/>
    <cellStyle name="AggOrangeLBorder 2 3 3 2 4" xfId="2510"/>
    <cellStyle name="AggOrangeLBorder 2 3 3 2 5" xfId="2945"/>
    <cellStyle name="AggOrangeLBorder 2 3 3 2 6" xfId="3358"/>
    <cellStyle name="AggOrangeLBorder 2 3 3 2 7" xfId="2646"/>
    <cellStyle name="AggOrangeLBorder 2 3 3 3" xfId="1138"/>
    <cellStyle name="AggOrangeLBorder 2 3 3 4" xfId="1860"/>
    <cellStyle name="AggOrangeLBorder 2 3 3 5" xfId="2295"/>
    <cellStyle name="AggOrangeLBorder 2 3 3 6" xfId="2733"/>
    <cellStyle name="AggOrangeLBorder 2 3 3 7" xfId="3147"/>
    <cellStyle name="AggOrangeLBorder 2 3 3 8" xfId="3087"/>
    <cellStyle name="AggOrangeLBorder 2 3 4" xfId="584"/>
    <cellStyle name="AggOrangeLBorder 2 3 4 2" xfId="799"/>
    <cellStyle name="AggOrangeLBorder 2 3 4 2 2" xfId="1067"/>
    <cellStyle name="AggOrangeLBorder 2 3 4 2 3" xfId="2099"/>
    <cellStyle name="AggOrangeLBorder 2 3 4 2 4" xfId="2536"/>
    <cellStyle name="AggOrangeLBorder 2 3 4 2 5" xfId="2971"/>
    <cellStyle name="AggOrangeLBorder 2 3 4 2 6" xfId="3384"/>
    <cellStyle name="AggOrangeLBorder 2 3 4 2 7" xfId="3496"/>
    <cellStyle name="AggOrangeLBorder 2 3 4 3" xfId="998"/>
    <cellStyle name="AggOrangeLBorder 2 3 4 4" xfId="1886"/>
    <cellStyle name="AggOrangeLBorder 2 3 4 5" xfId="2321"/>
    <cellStyle name="AggOrangeLBorder 2 3 4 6" xfId="2759"/>
    <cellStyle name="AggOrangeLBorder 2 3 4 7" xfId="3173"/>
    <cellStyle name="AggOrangeLBorder 2 3 4 8" xfId="3536"/>
    <cellStyle name="AggOrangeLBorder 2 3 5" xfId="704"/>
    <cellStyle name="AggOrangeLBorder 2 3 5 2" xfId="2441"/>
    <cellStyle name="AggOrangeLBorder 2 3 6" xfId="1172"/>
    <cellStyle name="AggOrangeLBorder 2 3 7" xfId="1636"/>
    <cellStyle name="AggOrangeLBorder 2 3 8" xfId="1527"/>
    <cellStyle name="AggOrangeLBorder 2 3 9" xfId="1786"/>
    <cellStyle name="AggOrangeLBorder 3" xfId="420"/>
    <cellStyle name="AggOrangeLBorder 3 2" xfId="1582"/>
    <cellStyle name="AggOrangeLBorder 4" xfId="278"/>
    <cellStyle name="AggOrangeLBorder 4 10" xfId="2219"/>
    <cellStyle name="AggOrangeLBorder 4 11" xfId="3083"/>
    <cellStyle name="AggOrangeLBorder 4 2" xfId="617"/>
    <cellStyle name="AggOrangeLBorder 4 2 2" xfId="832"/>
    <cellStyle name="AggOrangeLBorder 4 2 2 2" xfId="1128"/>
    <cellStyle name="AggOrangeLBorder 4 2 2 3" xfId="2132"/>
    <cellStyle name="AggOrangeLBorder 4 2 2 4" xfId="2569"/>
    <cellStyle name="AggOrangeLBorder 4 2 2 5" xfId="3004"/>
    <cellStyle name="AggOrangeLBorder 4 2 2 6" xfId="3417"/>
    <cellStyle name="AggOrangeLBorder 4 2 2 7" xfId="1563"/>
    <cellStyle name="AggOrangeLBorder 4 2 3" xfId="1211"/>
    <cellStyle name="AggOrangeLBorder 4 2 4" xfId="1919"/>
    <cellStyle name="AggOrangeLBorder 4 2 5" xfId="2354"/>
    <cellStyle name="AggOrangeLBorder 4 2 6" xfId="2792"/>
    <cellStyle name="AggOrangeLBorder 4 2 7" xfId="3206"/>
    <cellStyle name="AggOrangeLBorder 4 2 8" xfId="1717"/>
    <cellStyle name="AggOrangeLBorder 4 3" xfId="559"/>
    <cellStyle name="AggOrangeLBorder 4 3 2" xfId="774"/>
    <cellStyle name="AggOrangeLBorder 4 3 2 2" xfId="1110"/>
    <cellStyle name="AggOrangeLBorder 4 3 2 3" xfId="2074"/>
    <cellStyle name="AggOrangeLBorder 4 3 2 4" xfId="2511"/>
    <cellStyle name="AggOrangeLBorder 4 3 2 5" xfId="2946"/>
    <cellStyle name="AggOrangeLBorder 4 3 2 6" xfId="3359"/>
    <cellStyle name="AggOrangeLBorder 4 3 2 7" xfId="3565"/>
    <cellStyle name="AggOrangeLBorder 4 3 3" xfId="1116"/>
    <cellStyle name="AggOrangeLBorder 4 3 4" xfId="1861"/>
    <cellStyle name="AggOrangeLBorder 4 3 5" xfId="2296"/>
    <cellStyle name="AggOrangeLBorder 4 3 6" xfId="2734"/>
    <cellStyle name="AggOrangeLBorder 4 3 7" xfId="3148"/>
    <cellStyle name="AggOrangeLBorder 4 3 8" xfId="3663"/>
    <cellStyle name="AggOrangeLBorder 4 4" xfId="580"/>
    <cellStyle name="AggOrangeLBorder 4 4 2" xfId="795"/>
    <cellStyle name="AggOrangeLBorder 4 4 2 2" xfId="1069"/>
    <cellStyle name="AggOrangeLBorder 4 4 2 3" xfId="2095"/>
    <cellStyle name="AggOrangeLBorder 4 4 2 4" xfId="2532"/>
    <cellStyle name="AggOrangeLBorder 4 4 2 5" xfId="2967"/>
    <cellStyle name="AggOrangeLBorder 4 4 2 6" xfId="3380"/>
    <cellStyle name="AggOrangeLBorder 4 4 2 7" xfId="1546"/>
    <cellStyle name="AggOrangeLBorder 4 4 3" xfId="1002"/>
    <cellStyle name="AggOrangeLBorder 4 4 4" xfId="1882"/>
    <cellStyle name="AggOrangeLBorder 4 4 5" xfId="2317"/>
    <cellStyle name="AggOrangeLBorder 4 4 6" xfId="2755"/>
    <cellStyle name="AggOrangeLBorder 4 4 7" xfId="3169"/>
    <cellStyle name="AggOrangeLBorder 4 4 8" xfId="3622"/>
    <cellStyle name="AggOrangeLBorder 4 5" xfId="703"/>
    <cellStyle name="AggOrangeLBorder 4 5 2" xfId="2440"/>
    <cellStyle name="AggOrangeLBorder 4 6" xfId="1101"/>
    <cellStyle name="AggOrangeLBorder 4 7" xfId="1635"/>
    <cellStyle name="AggOrangeLBorder 4 8" xfId="1528"/>
    <cellStyle name="AggOrangeLBorder 4 9" xfId="1604"/>
    <cellStyle name="AggOrangeLBorder 5" xfId="87"/>
    <cellStyle name="AggOrangeLBorder 5 2" xfId="1802"/>
    <cellStyle name="AggOrangeRBorder" xfId="18"/>
    <cellStyle name="AggOrangeRBorder 2" xfId="129"/>
    <cellStyle name="AggOrangeRBorder 2 2" xfId="423"/>
    <cellStyle name="AggOrangeRBorder 2 2 2" xfId="535"/>
    <cellStyle name="AggOrangeRBorder 2 2 2 2" xfId="750"/>
    <cellStyle name="AggOrangeRBorder 2 2 2 2 2" xfId="991"/>
    <cellStyle name="AggOrangeRBorder 2 2 2 2 3" xfId="2050"/>
    <cellStyle name="AggOrangeRBorder 2 2 2 2 4" xfId="2487"/>
    <cellStyle name="AggOrangeRBorder 2 2 2 2 5" xfId="2922"/>
    <cellStyle name="AggOrangeRBorder 2 2 2 2 6" xfId="3335"/>
    <cellStyle name="AggOrangeRBorder 2 2 2 2 7" xfId="3078"/>
    <cellStyle name="AggOrangeRBorder 2 2 2 3" xfId="1005"/>
    <cellStyle name="AggOrangeRBorder 2 2 2 4" xfId="1837"/>
    <cellStyle name="AggOrangeRBorder 2 2 2 5" xfId="2272"/>
    <cellStyle name="AggOrangeRBorder 2 2 2 6" xfId="2710"/>
    <cellStyle name="AggOrangeRBorder 2 2 2 7" xfId="3124"/>
    <cellStyle name="AggOrangeRBorder 2 2 2 8" xfId="2650"/>
    <cellStyle name="AggOrangeRBorder 2 3" xfId="281"/>
    <cellStyle name="AggOrangeRBorder 2 3 10" xfId="1745"/>
    <cellStyle name="AggOrangeRBorder 2 3 11" xfId="1758"/>
    <cellStyle name="AggOrangeRBorder 2 3 2" xfId="620"/>
    <cellStyle name="AggOrangeRBorder 2 3 2 2" xfId="835"/>
    <cellStyle name="AggOrangeRBorder 2 3 2 2 2" xfId="1062"/>
    <cellStyle name="AggOrangeRBorder 2 3 2 2 3" xfId="2135"/>
    <cellStyle name="AggOrangeRBorder 2 3 2 2 4" xfId="2572"/>
    <cellStyle name="AggOrangeRBorder 2 3 2 2 5" xfId="3007"/>
    <cellStyle name="AggOrangeRBorder 2 3 2 2 6" xfId="3420"/>
    <cellStyle name="AggOrangeRBorder 2 3 2 2 7" xfId="1586"/>
    <cellStyle name="AggOrangeRBorder 2 3 2 3" xfId="1080"/>
    <cellStyle name="AggOrangeRBorder 2 3 2 4" xfId="1922"/>
    <cellStyle name="AggOrangeRBorder 2 3 2 5" xfId="2357"/>
    <cellStyle name="AggOrangeRBorder 2 3 2 6" xfId="2795"/>
    <cellStyle name="AggOrangeRBorder 2 3 2 7" xfId="3209"/>
    <cellStyle name="AggOrangeRBorder 2 3 2 8" xfId="1753"/>
    <cellStyle name="AggOrangeRBorder 2 3 3" xfId="596"/>
    <cellStyle name="AggOrangeRBorder 2 3 3 2" xfId="811"/>
    <cellStyle name="AggOrangeRBorder 2 3 3 2 2" xfId="975"/>
    <cellStyle name="AggOrangeRBorder 2 3 3 2 3" xfId="2111"/>
    <cellStyle name="AggOrangeRBorder 2 3 3 2 4" xfId="2548"/>
    <cellStyle name="AggOrangeRBorder 2 3 3 2 5" xfId="2983"/>
    <cellStyle name="AggOrangeRBorder 2 3 3 2 6" xfId="3396"/>
    <cellStyle name="AggOrangeRBorder 2 3 3 2 7" xfId="3647"/>
    <cellStyle name="AggOrangeRBorder 2 3 3 3" xfId="1256"/>
    <cellStyle name="AggOrangeRBorder 2 3 3 4" xfId="1898"/>
    <cellStyle name="AggOrangeRBorder 2 3 3 5" xfId="2333"/>
    <cellStyle name="AggOrangeRBorder 2 3 3 6" xfId="2771"/>
    <cellStyle name="AggOrangeRBorder 2 3 3 7" xfId="3185"/>
    <cellStyle name="AggOrangeRBorder 2 3 3 8" xfId="3692"/>
    <cellStyle name="AggOrangeRBorder 2 3 4" xfId="578"/>
    <cellStyle name="AggOrangeRBorder 2 3 4 2" xfId="793"/>
    <cellStyle name="AggOrangeRBorder 2 3 4 2 2" xfId="1070"/>
    <cellStyle name="AggOrangeRBorder 2 3 4 2 3" xfId="2093"/>
    <cellStyle name="AggOrangeRBorder 2 3 4 2 4" xfId="2530"/>
    <cellStyle name="AggOrangeRBorder 2 3 4 2 5" xfId="2965"/>
    <cellStyle name="AggOrangeRBorder 2 3 4 2 6" xfId="3378"/>
    <cellStyle name="AggOrangeRBorder 2 3 4 2 7" xfId="1713"/>
    <cellStyle name="AggOrangeRBorder 2 3 4 3" xfId="1137"/>
    <cellStyle name="AggOrangeRBorder 2 3 4 4" xfId="1880"/>
    <cellStyle name="AggOrangeRBorder 2 3 4 5" xfId="2315"/>
    <cellStyle name="AggOrangeRBorder 2 3 4 6" xfId="2753"/>
    <cellStyle name="AggOrangeRBorder 2 3 4 7" xfId="3167"/>
    <cellStyle name="AggOrangeRBorder 2 3 4 8" xfId="2234"/>
    <cellStyle name="AggOrangeRBorder 2 3 5" xfId="706"/>
    <cellStyle name="AggOrangeRBorder 2 3 5 2" xfId="2443"/>
    <cellStyle name="AggOrangeRBorder 2 3 5 3" xfId="3089"/>
    <cellStyle name="AggOrangeRBorder 2 3 6" xfId="1102"/>
    <cellStyle name="AggOrangeRBorder 2 3 7" xfId="1638"/>
    <cellStyle name="AggOrangeRBorder 2 3 8" xfId="1525"/>
    <cellStyle name="AggOrangeRBorder 2 3 9" xfId="1681"/>
    <cellStyle name="AggOrangeRBorder 3" xfId="422"/>
    <cellStyle name="AggOrangeRBorder 3 2" xfId="45"/>
    <cellStyle name="AggOrangeRBorder 3 2 2" xfId="654"/>
    <cellStyle name="AggOrangeRBorder 3 2 2 2" xfId="1374"/>
    <cellStyle name="AggOrangeRBorder 3 2 2 3" xfId="1956"/>
    <cellStyle name="AggOrangeRBorder 3 2 2 4" xfId="2391"/>
    <cellStyle name="AggOrangeRBorder 3 2 2 5" xfId="2829"/>
    <cellStyle name="AggOrangeRBorder 3 2 2 6" xfId="3243"/>
    <cellStyle name="AggOrangeRBorder 3 2 2 7" xfId="1248"/>
    <cellStyle name="AggOrangeRBorder 3 2 3" xfId="869"/>
    <cellStyle name="AggOrangeRBorder 3 2 3 2" xfId="1123"/>
    <cellStyle name="AggOrangeRBorder 3 2 3 3" xfId="2169"/>
    <cellStyle name="AggOrangeRBorder 3 2 3 4" xfId="2606"/>
    <cellStyle name="AggOrangeRBorder 3 2 3 5" xfId="3041"/>
    <cellStyle name="AggOrangeRBorder 3 2 3 6" xfId="3454"/>
    <cellStyle name="AggOrangeRBorder 3 2 3 7" xfId="2675"/>
    <cellStyle name="AggOrangeRBorder 4" xfId="280"/>
    <cellStyle name="AggOrangeRBorder 4 10" xfId="1782"/>
    <cellStyle name="AggOrangeRBorder 4 11" xfId="3675"/>
    <cellStyle name="AggOrangeRBorder 4 2" xfId="619"/>
    <cellStyle name="AggOrangeRBorder 4 2 2" xfId="834"/>
    <cellStyle name="AggOrangeRBorder 4 2 2 2" xfId="1127"/>
    <cellStyle name="AggOrangeRBorder 4 2 2 3" xfId="2134"/>
    <cellStyle name="AggOrangeRBorder 4 2 2 4" xfId="2571"/>
    <cellStyle name="AggOrangeRBorder 4 2 2 5" xfId="3006"/>
    <cellStyle name="AggOrangeRBorder 4 2 2 6" xfId="3419"/>
    <cellStyle name="AggOrangeRBorder 4 2 2 7" xfId="1722"/>
    <cellStyle name="AggOrangeRBorder 4 2 3" xfId="1240"/>
    <cellStyle name="AggOrangeRBorder 4 2 4" xfId="1921"/>
    <cellStyle name="AggOrangeRBorder 4 2 5" xfId="2356"/>
    <cellStyle name="AggOrangeRBorder 4 2 6" xfId="2794"/>
    <cellStyle name="AggOrangeRBorder 4 2 7" xfId="3208"/>
    <cellStyle name="AggOrangeRBorder 4 2 8" xfId="3541"/>
    <cellStyle name="AggOrangeRBorder 4 3" xfId="652"/>
    <cellStyle name="AggOrangeRBorder 4 3 2" xfId="867"/>
    <cellStyle name="AggOrangeRBorder 4 3 2 2" xfId="1124"/>
    <cellStyle name="AggOrangeRBorder 4 3 2 3" xfId="2167"/>
    <cellStyle name="AggOrangeRBorder 4 3 2 4" xfId="2604"/>
    <cellStyle name="AggOrangeRBorder 4 3 2 5" xfId="3039"/>
    <cellStyle name="AggOrangeRBorder 4 3 2 6" xfId="3452"/>
    <cellStyle name="AggOrangeRBorder 4 3 2 7" xfId="2217"/>
    <cellStyle name="AggOrangeRBorder 4 3 3" xfId="1079"/>
    <cellStyle name="AggOrangeRBorder 4 3 4" xfId="1954"/>
    <cellStyle name="AggOrangeRBorder 4 3 5" xfId="2389"/>
    <cellStyle name="AggOrangeRBorder 4 3 6" xfId="2827"/>
    <cellStyle name="AggOrangeRBorder 4 3 7" xfId="3241"/>
    <cellStyle name="AggOrangeRBorder 4 3 8" xfId="3491"/>
    <cellStyle name="AggOrangeRBorder 4 4" xfId="673"/>
    <cellStyle name="AggOrangeRBorder 4 4 2" xfId="888"/>
    <cellStyle name="AggOrangeRBorder 4 4 2 2" xfId="1400"/>
    <cellStyle name="AggOrangeRBorder 4 4 2 3" xfId="2188"/>
    <cellStyle name="AggOrangeRBorder 4 4 2 4" xfId="2625"/>
    <cellStyle name="AggOrangeRBorder 4 4 2 5" xfId="3060"/>
    <cellStyle name="AggOrangeRBorder 4 4 2 6" xfId="3473"/>
    <cellStyle name="AggOrangeRBorder 4 4 2 7" xfId="3724"/>
    <cellStyle name="AggOrangeRBorder 4 4 3" xfId="1076"/>
    <cellStyle name="AggOrangeRBorder 4 4 4" xfId="1975"/>
    <cellStyle name="AggOrangeRBorder 4 4 5" xfId="2410"/>
    <cellStyle name="AggOrangeRBorder 4 4 6" xfId="2848"/>
    <cellStyle name="AggOrangeRBorder 4 4 7" xfId="3262"/>
    <cellStyle name="AggOrangeRBorder 4 4 8" xfId="2671"/>
    <cellStyle name="AggOrangeRBorder 4 5" xfId="705"/>
    <cellStyle name="AggOrangeRBorder 4 5 2" xfId="2442"/>
    <cellStyle name="AggOrangeRBorder 4 5 3" xfId="3097"/>
    <cellStyle name="AggOrangeRBorder 4 6" xfId="1173"/>
    <cellStyle name="AggOrangeRBorder 4 7" xfId="1637"/>
    <cellStyle name="AggOrangeRBorder 4 8" xfId="1526"/>
    <cellStyle name="AggOrangeRBorder 4 9" xfId="1785"/>
    <cellStyle name="AggOrangeRBorder 5" xfId="82"/>
    <cellStyle name="AggOrangeRBorder 5 2" xfId="1692"/>
    <cellStyle name="AggOrangeRBorder 5 3" xfId="1554"/>
    <cellStyle name="AggOrangeRBorder_CRFReport-template" xfId="31"/>
    <cellStyle name="Akzent1 2" xfId="130"/>
    <cellStyle name="Akzent2 2" xfId="131"/>
    <cellStyle name="Akzent3 2" xfId="132"/>
    <cellStyle name="Akzent4 2" xfId="133"/>
    <cellStyle name="Akzent5 2" xfId="134"/>
    <cellStyle name="Akzent6 2" xfId="135"/>
    <cellStyle name="Ausgabe 2" xfId="401"/>
    <cellStyle name="Ausgabe 2 10" xfId="3505"/>
    <cellStyle name="Ausgabe 2 2" xfId="657"/>
    <cellStyle name="Ausgabe 2 2 2" xfId="872"/>
    <cellStyle name="Ausgabe 2 2 2 2" xfId="1057"/>
    <cellStyle name="Ausgabe 2 2 2 3" xfId="2172"/>
    <cellStyle name="Ausgabe 2 2 2 4" xfId="2609"/>
    <cellStyle name="Ausgabe 2 2 2 5" xfId="3044"/>
    <cellStyle name="Ausgabe 2 2 2 6" xfId="3457"/>
    <cellStyle name="Ausgabe 2 2 2 7" xfId="3498"/>
    <cellStyle name="Ausgabe 2 2 3" xfId="995"/>
    <cellStyle name="Ausgabe 2 2 4" xfId="1959"/>
    <cellStyle name="Ausgabe 2 2 5" xfId="2394"/>
    <cellStyle name="Ausgabe 2 2 6" xfId="2832"/>
    <cellStyle name="Ausgabe 2 2 7" xfId="3246"/>
    <cellStyle name="Ausgabe 2 2 8" xfId="3682"/>
    <cellStyle name="Ausgabe 2 3" xfId="542"/>
    <cellStyle name="Ausgabe 2 3 2" xfId="757"/>
    <cellStyle name="Ausgabe 2 3 2 2" xfId="989"/>
    <cellStyle name="Ausgabe 2 3 2 3" xfId="2057"/>
    <cellStyle name="Ausgabe 2 3 2 4" xfId="2494"/>
    <cellStyle name="Ausgabe 2 3 2 5" xfId="2929"/>
    <cellStyle name="Ausgabe 2 3 2 6" xfId="3342"/>
    <cellStyle name="Ausgabe 2 3 2 7" xfId="1626"/>
    <cellStyle name="Ausgabe 2 3 3" xfId="1207"/>
    <cellStyle name="Ausgabe 2 3 4" xfId="1844"/>
    <cellStyle name="Ausgabe 2 3 5" xfId="2279"/>
    <cellStyle name="Ausgabe 2 3 6" xfId="2717"/>
    <cellStyle name="Ausgabe 2 3 7" xfId="3131"/>
    <cellStyle name="Ausgabe 2 3 8" xfId="3625"/>
    <cellStyle name="Ausgabe 2 4" xfId="715"/>
    <cellStyle name="Ausgabe 2 4 2" xfId="906"/>
    <cellStyle name="Ausgabe 2 4 3" xfId="2015"/>
    <cellStyle name="Ausgabe 2 4 4" xfId="2452"/>
    <cellStyle name="Ausgabe 2 4 5" xfId="2887"/>
    <cellStyle name="Ausgabe 2 4 6" xfId="3300"/>
    <cellStyle name="Ausgabe 2 4 7" xfId="2855"/>
    <cellStyle name="Ausgabe 2 5" xfId="1052"/>
    <cellStyle name="Ausgabe 2 6" xfId="1735"/>
    <cellStyle name="Ausgabe 2 7" xfId="1622"/>
    <cellStyle name="Ausgabe 2 8" xfId="1754"/>
    <cellStyle name="Ausgabe 2 9" xfId="1432"/>
    <cellStyle name="Ausgabe 3" xfId="292"/>
    <cellStyle name="Ausgabe 3 10" xfId="1428"/>
    <cellStyle name="Ausgabe 3 2" xfId="629"/>
    <cellStyle name="Ausgabe 3 2 2" xfId="844"/>
    <cellStyle name="Ausgabe 3 2 2 2" xfId="1251"/>
    <cellStyle name="Ausgabe 3 2 2 3" xfId="2144"/>
    <cellStyle name="Ausgabe 3 2 2 4" xfId="2581"/>
    <cellStyle name="Ausgabe 3 2 2 5" xfId="3016"/>
    <cellStyle name="Ausgabe 3 2 2 6" xfId="3429"/>
    <cellStyle name="Ausgabe 3 2 2 7" xfId="2886"/>
    <cellStyle name="Ausgabe 3 2 3" xfId="1081"/>
    <cellStyle name="Ausgabe 3 2 4" xfId="1931"/>
    <cellStyle name="Ausgabe 3 2 5" xfId="2366"/>
    <cellStyle name="Ausgabe 3 2 6" xfId="2804"/>
    <cellStyle name="Ausgabe 3 2 7" xfId="3218"/>
    <cellStyle name="Ausgabe 3 2 8" xfId="3489"/>
    <cellStyle name="Ausgabe 3 3" xfId="548"/>
    <cellStyle name="Ausgabe 3 3 2" xfId="763"/>
    <cellStyle name="Ausgabe 3 3 2 2" xfId="1047"/>
    <cellStyle name="Ausgabe 3 3 2 3" xfId="2063"/>
    <cellStyle name="Ausgabe 3 3 2 4" xfId="2500"/>
    <cellStyle name="Ausgabe 3 3 2 5" xfId="2935"/>
    <cellStyle name="Ausgabe 3 3 2 6" xfId="3348"/>
    <cellStyle name="Ausgabe 3 3 2 7" xfId="2670"/>
    <cellStyle name="Ausgabe 3 3 3" xfId="1361"/>
    <cellStyle name="Ausgabe 3 3 4" xfId="1850"/>
    <cellStyle name="Ausgabe 3 3 5" xfId="2285"/>
    <cellStyle name="Ausgabe 3 3 6" xfId="2723"/>
    <cellStyle name="Ausgabe 3 3 7" xfId="3137"/>
    <cellStyle name="Ausgabe 3 3 8" xfId="2695"/>
    <cellStyle name="Ausgabe 3 4" xfId="712"/>
    <cellStyle name="Ausgabe 3 4 2" xfId="1232"/>
    <cellStyle name="Ausgabe 3 4 3" xfId="2013"/>
    <cellStyle name="Ausgabe 3 4 4" xfId="2449"/>
    <cellStyle name="Ausgabe 3 4 5" xfId="2884"/>
    <cellStyle name="Ausgabe 3 4 6" xfId="3297"/>
    <cellStyle name="Ausgabe 3 4 7" xfId="3530"/>
    <cellStyle name="Ausgabe 3 5" xfId="1091"/>
    <cellStyle name="Ausgabe 3 6" xfId="1649"/>
    <cellStyle name="Ausgabe 3 7" xfId="1494"/>
    <cellStyle name="Ausgabe 3 8" xfId="1740"/>
    <cellStyle name="Ausgabe 3 9" xfId="1613"/>
    <cellStyle name="Ausgabe 4" xfId="553"/>
    <cellStyle name="Ausgabe 4 2" xfId="768"/>
    <cellStyle name="Ausgabe 4 2 2" xfId="1112"/>
    <cellStyle name="Ausgabe 4 2 3" xfId="2068"/>
    <cellStyle name="Ausgabe 4 2 4" xfId="2505"/>
    <cellStyle name="Ausgabe 4 2 5" xfId="2940"/>
    <cellStyle name="Ausgabe 4 2 6" xfId="3353"/>
    <cellStyle name="Ausgabe 4 2 7" xfId="2218"/>
    <cellStyle name="Ausgabe 4 3" xfId="1218"/>
    <cellStyle name="Ausgabe 4 4" xfId="1855"/>
    <cellStyle name="Ausgabe 4 5" xfId="2290"/>
    <cellStyle name="Ausgabe 4 6" xfId="2728"/>
    <cellStyle name="Ausgabe 4 7" xfId="3142"/>
    <cellStyle name="Ausgabe 4 8" xfId="2206"/>
    <cellStyle name="Ausgabe 5" xfId="672"/>
    <cellStyle name="Ausgabe 5 2" xfId="887"/>
    <cellStyle name="Ausgabe 5 2 2" xfId="1399"/>
    <cellStyle name="Ausgabe 5 2 3" xfId="2187"/>
    <cellStyle name="Ausgabe 5 2 4" xfId="2624"/>
    <cellStyle name="Ausgabe 5 2 5" xfId="3059"/>
    <cellStyle name="Ausgabe 5 2 6" xfId="3472"/>
    <cellStyle name="Ausgabe 5 2 7" xfId="3723"/>
    <cellStyle name="Ausgabe 5 3" xfId="1236"/>
    <cellStyle name="Ausgabe 5 4" xfId="1974"/>
    <cellStyle name="Ausgabe 5 5" xfId="2409"/>
    <cellStyle name="Ausgabe 5 6" xfId="2847"/>
    <cellStyle name="Ausgabe 5 7" xfId="3261"/>
    <cellStyle name="Ausgabe 5 8" xfId="3609"/>
    <cellStyle name="Ausgabe 6" xfId="688"/>
    <cellStyle name="Ausgabe 6 2" xfId="1149"/>
    <cellStyle name="Ausgabe 6 3" xfId="1990"/>
    <cellStyle name="Ausgabe 6 4" xfId="2425"/>
    <cellStyle name="Ausgabe 6 5" xfId="2863"/>
    <cellStyle name="Ausgabe 6 6" xfId="3276"/>
    <cellStyle name="Ausgabe 6 7" xfId="3636"/>
    <cellStyle name="Ausgabe 7" xfId="50" hidden="1"/>
    <cellStyle name="Ausgabe 7" xfId="927" hidden="1"/>
    <cellStyle name="Ausgabe 7" xfId="1378" hidden="1"/>
    <cellStyle name="Ausgabe 7" xfId="926" hidden="1"/>
    <cellStyle name="Ausgabe 7" xfId="1458" hidden="1"/>
    <cellStyle name="Ausgabe 7" xfId="1449" hidden="1"/>
    <cellStyle name="Ausgabe 7" xfId="1819" hidden="1"/>
    <cellStyle name="Ausgabe 7" xfId="2202" hidden="1"/>
    <cellStyle name="Ausgabe 7" xfId="1575" hidden="1"/>
    <cellStyle name="Ausgabe 7" xfId="1014" hidden="1"/>
    <cellStyle name="Ausgabe 7" xfId="3696" hidden="1"/>
    <cellStyle name="Ausgabe 7" xfId="1431" hidden="1"/>
    <cellStyle name="Ausgabe 7" xfId="3547" hidden="1"/>
    <cellStyle name="Bad 2" xfId="136"/>
    <cellStyle name="Bad 3" xfId="233"/>
    <cellStyle name="Bad 4" xfId="373"/>
    <cellStyle name="Berechnung 2" xfId="402"/>
    <cellStyle name="Berechnung 2 10" xfId="1245"/>
    <cellStyle name="Berechnung 2 11" xfId="3621"/>
    <cellStyle name="Berechnung 2 2" xfId="658"/>
    <cellStyle name="Berechnung 2 2 2" xfId="873"/>
    <cellStyle name="Berechnung 2 2 2 2" xfId="1121"/>
    <cellStyle name="Berechnung 2 2 2 3" xfId="2173"/>
    <cellStyle name="Berechnung 2 2 2 4" xfId="2610"/>
    <cellStyle name="Berechnung 2 2 2 5" xfId="3045"/>
    <cellStyle name="Berechnung 2 2 2 6" xfId="3458"/>
    <cellStyle name="Berechnung 2 2 2 7" xfId="3085"/>
    <cellStyle name="Berechnung 2 2 3" xfId="902"/>
    <cellStyle name="Berechnung 2 2 4" xfId="1960"/>
    <cellStyle name="Berechnung 2 2 5" xfId="2395"/>
    <cellStyle name="Berechnung 2 2 6" xfId="2833"/>
    <cellStyle name="Berechnung 2 2 7" xfId="3247"/>
    <cellStyle name="Berechnung 2 2 8" xfId="2879"/>
    <cellStyle name="Berechnung 2 3" xfId="523"/>
    <cellStyle name="Berechnung 2 3 2" xfId="738"/>
    <cellStyle name="Berechnung 2 3 2 2" xfId="1339"/>
    <cellStyle name="Berechnung 2 3 2 3" xfId="2038"/>
    <cellStyle name="Berechnung 2 3 2 4" xfId="2475"/>
    <cellStyle name="Berechnung 2 3 2 5" xfId="2910"/>
    <cellStyle name="Berechnung 2 3 2 6" xfId="3323"/>
    <cellStyle name="Berechnung 2 3 2 7" xfId="3659"/>
    <cellStyle name="Berechnung 2 3 3" xfId="1220"/>
    <cellStyle name="Berechnung 2 3 4" xfId="1825"/>
    <cellStyle name="Berechnung 2 3 5" xfId="2260"/>
    <cellStyle name="Berechnung 2 3 6" xfId="2698"/>
    <cellStyle name="Berechnung 2 3 7" xfId="3112"/>
    <cellStyle name="Berechnung 2 3 8" xfId="3086"/>
    <cellStyle name="Berechnung 2 4" xfId="579"/>
    <cellStyle name="Berechnung 2 4 2" xfId="794"/>
    <cellStyle name="Berechnung 2 4 2 2" xfId="1134"/>
    <cellStyle name="Berechnung 2 4 2 3" xfId="2094"/>
    <cellStyle name="Berechnung 2 4 2 4" xfId="2531"/>
    <cellStyle name="Berechnung 2 4 2 5" xfId="2966"/>
    <cellStyle name="Berechnung 2 4 2 6" xfId="3379"/>
    <cellStyle name="Berechnung 2 4 2 7" xfId="1725"/>
    <cellStyle name="Berechnung 2 4 3" xfId="1003"/>
    <cellStyle name="Berechnung 2 4 4" xfId="1881"/>
    <cellStyle name="Berechnung 2 4 5" xfId="2316"/>
    <cellStyle name="Berechnung 2 4 6" xfId="2754"/>
    <cellStyle name="Berechnung 2 4 7" xfId="3168"/>
    <cellStyle name="Berechnung 2 4 8" xfId="3656"/>
    <cellStyle name="Berechnung 2 5" xfId="716"/>
    <cellStyle name="Berechnung 2 5 2" xfId="909"/>
    <cellStyle name="Berechnung 2 5 3" xfId="2016"/>
    <cellStyle name="Berechnung 2 5 4" xfId="2453"/>
    <cellStyle name="Berechnung 2 5 5" xfId="2888"/>
    <cellStyle name="Berechnung 2 5 6" xfId="3301"/>
    <cellStyle name="Berechnung 2 5 7" xfId="2659"/>
    <cellStyle name="Berechnung 2 6" xfId="1010"/>
    <cellStyle name="Berechnung 2 7" xfId="1736"/>
    <cellStyle name="Berechnung 2 8" xfId="1727"/>
    <cellStyle name="Berechnung 2 9" xfId="1587"/>
    <cellStyle name="Berechnung 3" xfId="282"/>
    <cellStyle name="Berechnung 3 10" xfId="2223"/>
    <cellStyle name="Berechnung 3 11" xfId="2211"/>
    <cellStyle name="Berechnung 3 2" xfId="621"/>
    <cellStyle name="Berechnung 3 2 2" xfId="836"/>
    <cellStyle name="Berechnung 3 2 2 2" xfId="1126"/>
    <cellStyle name="Berechnung 3 2 2 3" xfId="2136"/>
    <cellStyle name="Berechnung 3 2 2 4" xfId="2573"/>
    <cellStyle name="Berechnung 3 2 2 5" xfId="3008"/>
    <cellStyle name="Berechnung 3 2 2 6" xfId="3421"/>
    <cellStyle name="Berechnung 3 2 2 7" xfId="1505"/>
    <cellStyle name="Berechnung 3 2 3" xfId="1152"/>
    <cellStyle name="Berechnung 3 2 4" xfId="1923"/>
    <cellStyle name="Berechnung 3 2 5" xfId="2358"/>
    <cellStyle name="Berechnung 3 2 6" xfId="2796"/>
    <cellStyle name="Berechnung 3 2 7" xfId="3210"/>
    <cellStyle name="Berechnung 3 2 8" xfId="3578"/>
    <cellStyle name="Berechnung 3 3" xfId="557"/>
    <cellStyle name="Berechnung 3 3 2" xfId="772"/>
    <cellStyle name="Berechnung 3 3 2 2" xfId="1044"/>
    <cellStyle name="Berechnung 3 3 2 3" xfId="2072"/>
    <cellStyle name="Berechnung 3 3 2 4" xfId="2509"/>
    <cellStyle name="Berechnung 3 3 2 5" xfId="2944"/>
    <cellStyle name="Berechnung 3 3 2 6" xfId="3357"/>
    <cellStyle name="Berechnung 3 3 2 7" xfId="2681"/>
    <cellStyle name="Berechnung 3 3 3" xfId="1260"/>
    <cellStyle name="Berechnung 3 3 4" xfId="1859"/>
    <cellStyle name="Berechnung 3 3 5" xfId="2294"/>
    <cellStyle name="Berechnung 3 3 6" xfId="2732"/>
    <cellStyle name="Berechnung 3 3 7" xfId="3146"/>
    <cellStyle name="Berechnung 3 3 8" xfId="1336"/>
    <cellStyle name="Berechnung 3 4" xfId="569"/>
    <cellStyle name="Berechnung 3 4 2" xfId="784"/>
    <cellStyle name="Berechnung 3 4 2 2" xfId="978"/>
    <cellStyle name="Berechnung 3 4 2 3" xfId="2084"/>
    <cellStyle name="Berechnung 3 4 2 4" xfId="2521"/>
    <cellStyle name="Berechnung 3 4 2 5" xfId="2956"/>
    <cellStyle name="Berechnung 3 4 2 6" xfId="3369"/>
    <cellStyle name="Berechnung 3 4 2 7" xfId="2417"/>
    <cellStyle name="Berechnung 3 4 3" xfId="1204"/>
    <cellStyle name="Berechnung 3 4 4" xfId="1871"/>
    <cellStyle name="Berechnung 3 4 5" xfId="2306"/>
    <cellStyle name="Berechnung 3 4 6" xfId="2744"/>
    <cellStyle name="Berechnung 3 4 7" xfId="3158"/>
    <cellStyle name="Berechnung 3 4 8" xfId="3674"/>
    <cellStyle name="Berechnung 3 5" xfId="707"/>
    <cellStyle name="Berechnung 3 5 2" xfId="1352"/>
    <cellStyle name="Berechnung 3 5 3" xfId="2009"/>
    <cellStyle name="Berechnung 3 5 4" xfId="2444"/>
    <cellStyle name="Berechnung 3 5 5" xfId="2880"/>
    <cellStyle name="Berechnung 3 5 6" xfId="3293"/>
    <cellStyle name="Berechnung 3 5 7" xfId="3295"/>
    <cellStyle name="Berechnung 3 6" xfId="1092"/>
    <cellStyle name="Berechnung 3 7" xfId="1639"/>
    <cellStyle name="Berechnung 3 8" xfId="1524"/>
    <cellStyle name="Berechnung 3 9" xfId="1787"/>
    <cellStyle name="Berechnung 4" xfId="554"/>
    <cellStyle name="Berechnung 4 2" xfId="769"/>
    <cellStyle name="Berechnung 4 2 2" xfId="1045"/>
    <cellStyle name="Berechnung 4 2 3" xfId="2069"/>
    <cellStyle name="Berechnung 4 2 4" xfId="2506"/>
    <cellStyle name="Berechnung 4 2 5" xfId="2941"/>
    <cellStyle name="Berechnung 4 2 6" xfId="3354"/>
    <cellStyle name="Berechnung 4 2 7" xfId="3503"/>
    <cellStyle name="Berechnung 4 3" xfId="1304"/>
    <cellStyle name="Berechnung 4 4" xfId="1856"/>
    <cellStyle name="Berechnung 4 5" xfId="2291"/>
    <cellStyle name="Berechnung 4 6" xfId="2729"/>
    <cellStyle name="Berechnung 4 7" xfId="3143"/>
    <cellStyle name="Berechnung 4 8" xfId="3657"/>
    <cellStyle name="Berechnung 5" xfId="671"/>
    <cellStyle name="Berechnung 5 2" xfId="886"/>
    <cellStyle name="Berechnung 5 2 2" xfId="1398"/>
    <cellStyle name="Berechnung 5 2 3" xfId="2186"/>
    <cellStyle name="Berechnung 5 2 4" xfId="2623"/>
    <cellStyle name="Berechnung 5 2 5" xfId="3058"/>
    <cellStyle name="Berechnung 5 2 6" xfId="3471"/>
    <cellStyle name="Berechnung 5 2 7" xfId="3722"/>
    <cellStyle name="Berechnung 5 3" xfId="1353"/>
    <cellStyle name="Berechnung 5 4" xfId="1973"/>
    <cellStyle name="Berechnung 5 5" xfId="2408"/>
    <cellStyle name="Berechnung 5 6" xfId="2846"/>
    <cellStyle name="Berechnung 5 7" xfId="3260"/>
    <cellStyle name="Berechnung 5 8" xfId="2245"/>
    <cellStyle name="Berechnung 6" xfId="683"/>
    <cellStyle name="Berechnung 6 2" xfId="897"/>
    <cellStyle name="Berechnung 6 2 2" xfId="1409"/>
    <cellStyle name="Berechnung 6 2 3" xfId="2197"/>
    <cellStyle name="Berechnung 6 2 4" xfId="2634"/>
    <cellStyle name="Berechnung 6 2 5" xfId="3069"/>
    <cellStyle name="Berechnung 6 2 6" xfId="3482"/>
    <cellStyle name="Berechnung 6 2 7" xfId="3733"/>
    <cellStyle name="Berechnung 6 3" xfId="1237"/>
    <cellStyle name="Berechnung 6 4" xfId="1985"/>
    <cellStyle name="Berechnung 6 5" xfId="2420"/>
    <cellStyle name="Berechnung 6 6" xfId="2858"/>
    <cellStyle name="Berechnung 6 7" xfId="3271"/>
    <cellStyle name="Berechnung 6 8" xfId="3652"/>
    <cellStyle name="Berechnung 7" xfId="689"/>
    <cellStyle name="Berechnung 7 2" xfId="994"/>
    <cellStyle name="Berechnung 7 3" xfId="1991"/>
    <cellStyle name="Berechnung 7 4" xfId="2426"/>
    <cellStyle name="Berechnung 7 5" xfId="2864"/>
    <cellStyle name="Berechnung 7 6" xfId="3277"/>
    <cellStyle name="Berechnung 7 7" xfId="3101"/>
    <cellStyle name="Berechnung 8" xfId="51" hidden="1"/>
    <cellStyle name="Berechnung 8" xfId="928" hidden="1"/>
    <cellStyle name="Berechnung 8" xfId="1262" hidden="1"/>
    <cellStyle name="Berechnung 8" xfId="1306" hidden="1"/>
    <cellStyle name="Berechnung 8" xfId="1436" hidden="1"/>
    <cellStyle name="Berechnung 8" xfId="1450" hidden="1"/>
    <cellStyle name="Berechnung 8" xfId="1696" hidden="1"/>
    <cellStyle name="Berechnung 8" xfId="1772" hidden="1"/>
    <cellStyle name="Berechnung 8" xfId="2213" hidden="1"/>
    <cellStyle name="Berechnung 8" xfId="1797" hidden="1"/>
    <cellStyle name="Berechnung 8" xfId="3593" hidden="1"/>
    <cellStyle name="Berechnung 8" xfId="2638" hidden="1"/>
    <cellStyle name="Berechnung 8" xfId="1703" hidden="1"/>
    <cellStyle name="Bold GHG Numbers (0.00)" xfId="137"/>
    <cellStyle name="Calculation 2" xfId="138"/>
    <cellStyle name="Calculation 2 10" xfId="1791"/>
    <cellStyle name="Calculation 2 11" xfId="1427"/>
    <cellStyle name="Calculation 2 2" xfId="556"/>
    <cellStyle name="Calculation 2 2 2" xfId="771"/>
    <cellStyle name="Calculation 2 2 2 2" xfId="1111"/>
    <cellStyle name="Calculation 2 2 2 3" xfId="2071"/>
    <cellStyle name="Calculation 2 2 2 4" xfId="2508"/>
    <cellStyle name="Calculation 2 2 2 5" xfId="2943"/>
    <cellStyle name="Calculation 2 2 2 6" xfId="3356"/>
    <cellStyle name="Calculation 2 2 2 7" xfId="1419"/>
    <cellStyle name="Calculation 2 2 3" xfId="1377"/>
    <cellStyle name="Calculation 2 2 4" xfId="1858"/>
    <cellStyle name="Calculation 2 2 5" xfId="2293"/>
    <cellStyle name="Calculation 2 2 6" xfId="2731"/>
    <cellStyle name="Calculation 2 2 7" xfId="3145"/>
    <cellStyle name="Calculation 2 2 8" xfId="2235"/>
    <cellStyle name="Calculation 2 3" xfId="640"/>
    <cellStyle name="Calculation 2 3 2" xfId="855"/>
    <cellStyle name="Calculation 2 3 2 2" xfId="963"/>
    <cellStyle name="Calculation 2 3 2 3" xfId="2155"/>
    <cellStyle name="Calculation 2 3 2 4" xfId="2592"/>
    <cellStyle name="Calculation 2 3 2 5" xfId="3027"/>
    <cellStyle name="Calculation 2 3 2 6" xfId="3440"/>
    <cellStyle name="Calculation 2 3 2 7" xfId="3654"/>
    <cellStyle name="Calculation 2 3 3" xfId="1238"/>
    <cellStyle name="Calculation 2 3 4" xfId="1942"/>
    <cellStyle name="Calculation 2 3 5" xfId="2377"/>
    <cellStyle name="Calculation 2 3 6" xfId="2815"/>
    <cellStyle name="Calculation 2 3 7" xfId="3229"/>
    <cellStyle name="Calculation 2 3 8" xfId="3553"/>
    <cellStyle name="Calculation 2 4" xfId="546"/>
    <cellStyle name="Calculation 2 4 2" xfId="761"/>
    <cellStyle name="Calculation 2 4 2 2" xfId="987"/>
    <cellStyle name="Calculation 2 4 2 3" xfId="2061"/>
    <cellStyle name="Calculation 2 4 2 4" xfId="2498"/>
    <cellStyle name="Calculation 2 4 2 5" xfId="2933"/>
    <cellStyle name="Calculation 2 4 2 6" xfId="3346"/>
    <cellStyle name="Calculation 2 4 2 7" xfId="1550"/>
    <cellStyle name="Calculation 2 4 3" xfId="1324"/>
    <cellStyle name="Calculation 2 4 4" xfId="1848"/>
    <cellStyle name="Calculation 2 4 5" xfId="2283"/>
    <cellStyle name="Calculation 2 4 6" xfId="2721"/>
    <cellStyle name="Calculation 2 4 7" xfId="3135"/>
    <cellStyle name="Calculation 2 4 8" xfId="2663"/>
    <cellStyle name="Calculation 2 5" xfId="690"/>
    <cellStyle name="Calculation 2 5 2" xfId="903"/>
    <cellStyle name="Calculation 2 5 3" xfId="1992"/>
    <cellStyle name="Calculation 2 5 4" xfId="2427"/>
    <cellStyle name="Calculation 2 5 5" xfId="2865"/>
    <cellStyle name="Calculation 2 5 6" xfId="3278"/>
    <cellStyle name="Calculation 2 5 7" xfId="1574"/>
    <cellStyle name="Calculation 2 6" xfId="46"/>
    <cellStyle name="Calculation 2 7" xfId="1532"/>
    <cellStyle name="Calculation 2 8" xfId="1667"/>
    <cellStyle name="Calculation 2 9" xfId="1514"/>
    <cellStyle name="Calculation 3" xfId="234"/>
    <cellStyle name="Calculation 3 10" xfId="1765"/>
    <cellStyle name="Calculation 3 11" xfId="3627"/>
    <cellStyle name="Calculation 3 2" xfId="595"/>
    <cellStyle name="Calculation 3 2 2" xfId="810"/>
    <cellStyle name="Calculation 3 2 2 2" xfId="1143"/>
    <cellStyle name="Calculation 3 2 2 3" xfId="2110"/>
    <cellStyle name="Calculation 3 2 2 4" xfId="2547"/>
    <cellStyle name="Calculation 3 2 2 5" xfId="2982"/>
    <cellStyle name="Calculation 3 2 2 6" xfId="3395"/>
    <cellStyle name="Calculation 3 2 2 7" xfId="3582"/>
    <cellStyle name="Calculation 3 2 3" xfId="1373"/>
    <cellStyle name="Calculation 3 2 4" xfId="1897"/>
    <cellStyle name="Calculation 3 2 5" xfId="2332"/>
    <cellStyle name="Calculation 3 2 6" xfId="2770"/>
    <cellStyle name="Calculation 3 2 7" xfId="3184"/>
    <cellStyle name="Calculation 3 2 8" xfId="1676"/>
    <cellStyle name="Calculation 3 3" xfId="581"/>
    <cellStyle name="Calculation 3 3 2" xfId="796"/>
    <cellStyle name="Calculation 3 3 2 2" xfId="1133"/>
    <cellStyle name="Calculation 3 3 2 3" xfId="2096"/>
    <cellStyle name="Calculation 3 3 2 4" xfId="2533"/>
    <cellStyle name="Calculation 3 3 2 5" xfId="2968"/>
    <cellStyle name="Calculation 3 3 2 6" xfId="3381"/>
    <cellStyle name="Calculation 3 3 2 7" xfId="1659"/>
    <cellStyle name="Calculation 3 3 3" xfId="1001"/>
    <cellStyle name="Calculation 3 3 4" xfId="1883"/>
    <cellStyle name="Calculation 3 3 5" xfId="2318"/>
    <cellStyle name="Calculation 3 3 6" xfId="2756"/>
    <cellStyle name="Calculation 3 3 7" xfId="3170"/>
    <cellStyle name="Calculation 3 3 8" xfId="2666"/>
    <cellStyle name="Calculation 3 4" xfId="665"/>
    <cellStyle name="Calculation 3 4 2" xfId="880"/>
    <cellStyle name="Calculation 3 4 2 2" xfId="1392"/>
    <cellStyle name="Calculation 3 4 2 3" xfId="2180"/>
    <cellStyle name="Calculation 3 4 2 4" xfId="2617"/>
    <cellStyle name="Calculation 3 4 2 5" xfId="3052"/>
    <cellStyle name="Calculation 3 4 2 6" xfId="3465"/>
    <cellStyle name="Calculation 3 4 2 7" xfId="3716"/>
    <cellStyle name="Calculation 3 4 3" xfId="913"/>
    <cellStyle name="Calculation 3 4 4" xfId="1967"/>
    <cellStyle name="Calculation 3 4 5" xfId="2402"/>
    <cellStyle name="Calculation 3 4 6" xfId="2840"/>
    <cellStyle name="Calculation 3 4 7" xfId="3254"/>
    <cellStyle name="Calculation 3 4 8" xfId="3643"/>
    <cellStyle name="Calculation 3 5" xfId="698"/>
    <cellStyle name="Calculation 3 5 2" xfId="1075"/>
    <cellStyle name="Calculation 3 5 3" xfId="2000"/>
    <cellStyle name="Calculation 3 5 4" xfId="2435"/>
    <cellStyle name="Calculation 3 5 5" xfId="2873"/>
    <cellStyle name="Calculation 3 5 6" xfId="3286"/>
    <cellStyle name="Calculation 3 5 7" xfId="3492"/>
    <cellStyle name="Calculation 3 6" xfId="1105"/>
    <cellStyle name="Calculation 3 7" xfId="1599"/>
    <cellStyle name="Calculation 3 8" xfId="1541"/>
    <cellStyle name="Calculation 3 9" xfId="1538"/>
    <cellStyle name="Check Cell 2" xfId="139"/>
    <cellStyle name="Check Cell 3" xfId="235"/>
    <cellStyle name="Check Cell 4" xfId="379"/>
    <cellStyle name="Comma 2" xfId="140"/>
    <cellStyle name="Comma 2 2" xfId="141"/>
    <cellStyle name="Comma 2 2 2" xfId="424"/>
    <cellStyle name="Comma 3" xfId="142"/>
    <cellStyle name="Constants" xfId="3"/>
    <cellStyle name="ContentsHyperlink" xfId="251"/>
    <cellStyle name="CustomCellsOrange" xfId="143"/>
    <cellStyle name="CustomCellsOrange 2" xfId="425"/>
    <cellStyle name="CustomCellsOrange 2 2" xfId="448"/>
    <cellStyle name="CustomCellsOrange 2 2 10" xfId="1433"/>
    <cellStyle name="CustomCellsOrange 2 2 11" xfId="3635"/>
    <cellStyle name="CustomCellsOrange 2 2 2" xfId="518"/>
    <cellStyle name="CustomCellsOrange 2 2 2 2" xfId="684"/>
    <cellStyle name="CustomCellsOrange 2 2 2 2 2" xfId="898"/>
    <cellStyle name="CustomCellsOrange 2 2 2 2 2 2" xfId="1410"/>
    <cellStyle name="CustomCellsOrange 2 2 2 2 2 3" xfId="2198"/>
    <cellStyle name="CustomCellsOrange 2 2 2 2 2 4" xfId="2635"/>
    <cellStyle name="CustomCellsOrange 2 2 2 2 2 5" xfId="3070"/>
    <cellStyle name="CustomCellsOrange 2 2 2 2 2 6" xfId="3483"/>
    <cellStyle name="CustomCellsOrange 2 2 2 2 2 7" xfId="3734"/>
    <cellStyle name="CustomCellsOrange 2 2 2 2 3" xfId="1077"/>
    <cellStyle name="CustomCellsOrange 2 2 2 2 4" xfId="1986"/>
    <cellStyle name="CustomCellsOrange 2 2 2 2 5" xfId="2421"/>
    <cellStyle name="CustomCellsOrange 2 2 2 2 6" xfId="2859"/>
    <cellStyle name="CustomCellsOrange 2 2 2 2 7" xfId="3272"/>
    <cellStyle name="CustomCellsOrange 2 2 2 2 8" xfId="1447"/>
    <cellStyle name="CustomCellsOrange 2 2 3" xfId="667"/>
    <cellStyle name="CustomCellsOrange 2 2 3 2" xfId="882"/>
    <cellStyle name="CustomCellsOrange 2 2 3 2 2" xfId="1394"/>
    <cellStyle name="CustomCellsOrange 2 2 3 2 3" xfId="2182"/>
    <cellStyle name="CustomCellsOrange 2 2 3 2 4" xfId="2619"/>
    <cellStyle name="CustomCellsOrange 2 2 3 2 5" xfId="3054"/>
    <cellStyle name="CustomCellsOrange 2 2 3 2 6" xfId="3467"/>
    <cellStyle name="CustomCellsOrange 2 2 3 2 7" xfId="3718"/>
    <cellStyle name="CustomCellsOrange 2 2 3 3" xfId="1331"/>
    <cellStyle name="CustomCellsOrange 2 2 3 4" xfId="1969"/>
    <cellStyle name="CustomCellsOrange 2 2 3 5" xfId="2404"/>
    <cellStyle name="CustomCellsOrange 2 2 3 6" xfId="2842"/>
    <cellStyle name="CustomCellsOrange 2 2 3 7" xfId="3256"/>
    <cellStyle name="CustomCellsOrange 2 2 3 8" xfId="3486"/>
    <cellStyle name="CustomCellsOrange 2 2 4" xfId="585"/>
    <cellStyle name="CustomCellsOrange 2 2 4 2" xfId="800"/>
    <cellStyle name="CustomCellsOrange 2 2 4 2 2" xfId="1131"/>
    <cellStyle name="CustomCellsOrange 2 2 4 2 3" xfId="2100"/>
    <cellStyle name="CustomCellsOrange 2 2 4 2 4" xfId="2537"/>
    <cellStyle name="CustomCellsOrange 2 2 4 2 5" xfId="2972"/>
    <cellStyle name="CustomCellsOrange 2 2 4 2 6" xfId="3385"/>
    <cellStyle name="CustomCellsOrange 2 2 4 2 7" xfId="1619"/>
    <cellStyle name="CustomCellsOrange 2 2 4 3" xfId="919"/>
    <cellStyle name="CustomCellsOrange 2 2 4 4" xfId="1887"/>
    <cellStyle name="CustomCellsOrange 2 2 4 5" xfId="2322"/>
    <cellStyle name="CustomCellsOrange 2 2 4 6" xfId="2760"/>
    <cellStyle name="CustomCellsOrange 2 2 4 7" xfId="3174"/>
    <cellStyle name="CustomCellsOrange 2 2 4 8" xfId="3583"/>
    <cellStyle name="CustomCellsOrange 2 2 5" xfId="686"/>
    <cellStyle name="CustomCellsOrange 2 2 5 2" xfId="900"/>
    <cellStyle name="CustomCellsOrange 2 2 5 2 2" xfId="1412"/>
    <cellStyle name="CustomCellsOrange 2 2 5 2 3" xfId="2200"/>
    <cellStyle name="CustomCellsOrange 2 2 5 2 4" xfId="2637"/>
    <cellStyle name="CustomCellsOrange 2 2 5 2 5" xfId="3072"/>
    <cellStyle name="CustomCellsOrange 2 2 5 2 6" xfId="3485"/>
    <cellStyle name="CustomCellsOrange 2 2 5 2 7" xfId="3736"/>
    <cellStyle name="CustomCellsOrange 2 2 5 3" xfId="1311"/>
    <cellStyle name="CustomCellsOrange 2 2 5 4" xfId="1988"/>
    <cellStyle name="CustomCellsOrange 2 2 5 5" xfId="2423"/>
    <cellStyle name="CustomCellsOrange 2 2 5 6" xfId="2861"/>
    <cellStyle name="CustomCellsOrange 2 2 5 7" xfId="3274"/>
    <cellStyle name="CustomCellsOrange 2 2 5 8" xfId="1572"/>
    <cellStyle name="CustomCellsOrange 2 2 6" xfId="1301"/>
    <cellStyle name="CustomCellsOrange 2 2 7" xfId="1767"/>
    <cellStyle name="CustomCellsOrange 2 2 8" xfId="2204"/>
    <cellStyle name="CustomCellsOrange 2 2 9" xfId="2648"/>
    <cellStyle name="CustomCellsOrange 3" xfId="283"/>
    <cellStyle name="CustomCellsOrange 3 10" xfId="1585"/>
    <cellStyle name="CustomCellsOrange 3 11" xfId="2678"/>
    <cellStyle name="CustomCellsOrange 3 2" xfId="622"/>
    <cellStyle name="CustomCellsOrange 3 2 2" xfId="837"/>
    <cellStyle name="CustomCellsOrange 3 2 2 2" xfId="1061"/>
    <cellStyle name="CustomCellsOrange 3 2 2 3" xfId="2137"/>
    <cellStyle name="CustomCellsOrange 3 2 2 4" xfId="2574"/>
    <cellStyle name="CustomCellsOrange 3 2 2 5" xfId="3009"/>
    <cellStyle name="CustomCellsOrange 3 2 2 6" xfId="3422"/>
    <cellStyle name="CustomCellsOrange 3 2 2 7" xfId="3500"/>
    <cellStyle name="CustomCellsOrange 3 2 3" xfId="1284"/>
    <cellStyle name="CustomCellsOrange 3 2 4" xfId="1924"/>
    <cellStyle name="CustomCellsOrange 3 2 5" xfId="2359"/>
    <cellStyle name="CustomCellsOrange 3 2 6" xfId="2797"/>
    <cellStyle name="CustomCellsOrange 3 2 7" xfId="3211"/>
    <cellStyle name="CustomCellsOrange 3 2 8" xfId="3584"/>
    <cellStyle name="CustomCellsOrange 3 3" xfId="555"/>
    <cellStyle name="CustomCellsOrange 3 3 2" xfId="770"/>
    <cellStyle name="CustomCellsOrange 3 3 2 2" xfId="984"/>
    <cellStyle name="CustomCellsOrange 3 3 2 3" xfId="2070"/>
    <cellStyle name="CustomCellsOrange 3 3 2 4" xfId="2507"/>
    <cellStyle name="CustomCellsOrange 3 3 2 5" xfId="2942"/>
    <cellStyle name="CustomCellsOrange 3 3 2 6" xfId="3355"/>
    <cellStyle name="CustomCellsOrange 3 3 2 7" xfId="2683"/>
    <cellStyle name="CustomCellsOrange 3 3 3" xfId="1188"/>
    <cellStyle name="CustomCellsOrange 3 3 4" xfId="1857"/>
    <cellStyle name="CustomCellsOrange 3 3 5" xfId="2292"/>
    <cellStyle name="CustomCellsOrange 3 3 6" xfId="2730"/>
    <cellStyle name="CustomCellsOrange 3 3 7" xfId="3144"/>
    <cellStyle name="CustomCellsOrange 3 3 8" xfId="3554"/>
    <cellStyle name="CustomCellsOrange 3 4" xfId="568"/>
    <cellStyle name="CustomCellsOrange 3 4 2" xfId="783"/>
    <cellStyle name="CustomCellsOrange 3 4 2 2" xfId="1039"/>
    <cellStyle name="CustomCellsOrange 3 4 2 3" xfId="2083"/>
    <cellStyle name="CustomCellsOrange 3 4 2 4" xfId="2520"/>
    <cellStyle name="CustomCellsOrange 3 4 2 5" xfId="2955"/>
    <cellStyle name="CustomCellsOrange 3 4 2 6" xfId="3368"/>
    <cellStyle name="CustomCellsOrange 3 4 2 7" xfId="1746"/>
    <cellStyle name="CustomCellsOrange 3 4 3" xfId="1320"/>
    <cellStyle name="CustomCellsOrange 3 4 4" xfId="1870"/>
    <cellStyle name="CustomCellsOrange 3 4 5" xfId="2305"/>
    <cellStyle name="CustomCellsOrange 3 4 6" xfId="2743"/>
    <cellStyle name="CustomCellsOrange 3 4 7" xfId="3157"/>
    <cellStyle name="CustomCellsOrange 3 4 8" xfId="1728"/>
    <cellStyle name="CustomCellsOrange 3 5" xfId="708"/>
    <cellStyle name="CustomCellsOrange 3 5 2" xfId="2445"/>
    <cellStyle name="CustomCellsOrange 3 5 3" xfId="3102"/>
    <cellStyle name="CustomCellsOrange 3 6" xfId="1089"/>
    <cellStyle name="CustomCellsOrange 3 7" xfId="1640"/>
    <cellStyle name="CustomCellsOrange 3 8" xfId="1011"/>
    <cellStyle name="CustomCellsOrange 3 9" xfId="1784"/>
    <cellStyle name="CustomizationCells" xfId="17"/>
    <cellStyle name="CustomizationCells 2" xfId="426"/>
    <cellStyle name="CustomizationCells 2 2" xfId="449"/>
    <cellStyle name="CustomizationCells 2 2 10" xfId="1687"/>
    <cellStyle name="CustomizationCells 2 2 11" xfId="2674"/>
    <cellStyle name="CustomizationCells 2 2 2" xfId="519"/>
    <cellStyle name="CustomizationCells 2 2 2 2" xfId="685"/>
    <cellStyle name="CustomizationCells 2 2 2 2 2" xfId="899"/>
    <cellStyle name="CustomizationCells 2 2 2 2 2 2" xfId="1411"/>
    <cellStyle name="CustomizationCells 2 2 2 2 2 3" xfId="2199"/>
    <cellStyle name="CustomizationCells 2 2 2 2 2 4" xfId="2636"/>
    <cellStyle name="CustomizationCells 2 2 2 2 2 5" xfId="3071"/>
    <cellStyle name="CustomizationCells 2 2 2 2 2 6" xfId="3484"/>
    <cellStyle name="CustomizationCells 2 2 2 2 2 7" xfId="3735"/>
    <cellStyle name="CustomizationCells 2 2 2 2 3" xfId="1298"/>
    <cellStyle name="CustomizationCells 2 2 2 2 4" xfId="1987"/>
    <cellStyle name="CustomizationCells 2 2 2 2 5" xfId="2422"/>
    <cellStyle name="CustomizationCells 2 2 2 2 6" xfId="2860"/>
    <cellStyle name="CustomizationCells 2 2 2 2 7" xfId="3273"/>
    <cellStyle name="CustomizationCells 2 2 2 2 8" xfId="3568"/>
    <cellStyle name="CustomizationCells 2 2 3" xfId="668"/>
    <cellStyle name="CustomizationCells 2 2 3 2" xfId="883"/>
    <cellStyle name="CustomizationCells 2 2 3 2 2" xfId="1395"/>
    <cellStyle name="CustomizationCells 2 2 3 2 3" xfId="2183"/>
    <cellStyle name="CustomizationCells 2 2 3 2 4" xfId="2620"/>
    <cellStyle name="CustomizationCells 2 2 3 2 5" xfId="3055"/>
    <cellStyle name="CustomizationCells 2 2 3 2 6" xfId="3468"/>
    <cellStyle name="CustomizationCells 2 2 3 2 7" xfId="3719"/>
    <cellStyle name="CustomizationCells 2 2 3 3" xfId="1216"/>
    <cellStyle name="CustomizationCells 2 2 3 4" xfId="1970"/>
    <cellStyle name="CustomizationCells 2 2 3 5" xfId="2405"/>
    <cellStyle name="CustomizationCells 2 2 3 6" xfId="2843"/>
    <cellStyle name="CustomizationCells 2 2 3 7" xfId="3257"/>
    <cellStyle name="CustomizationCells 2 2 3 8" xfId="3694"/>
    <cellStyle name="CustomizationCells 2 2 4" xfId="531"/>
    <cellStyle name="CustomizationCells 2 2 4 2" xfId="746"/>
    <cellStyle name="CustomizationCells 2 2 4 2 2" xfId="992"/>
    <cellStyle name="CustomizationCells 2 2 4 2 3" xfId="2046"/>
    <cellStyle name="CustomizationCells 2 2 4 2 4" xfId="2483"/>
    <cellStyle name="CustomizationCells 2 2 4 2 5" xfId="2918"/>
    <cellStyle name="CustomizationCells 2 2 4 2 6" xfId="3331"/>
    <cellStyle name="CustomizationCells 2 2 4 2 7" xfId="1801"/>
    <cellStyle name="CustomizationCells 2 2 4 3" xfId="1249"/>
    <cellStyle name="CustomizationCells 2 2 4 4" xfId="1833"/>
    <cellStyle name="CustomizationCells 2 2 4 5" xfId="2268"/>
    <cellStyle name="CustomizationCells 2 2 4 6" xfId="2706"/>
    <cellStyle name="CustomizationCells 2 2 4 7" xfId="3120"/>
    <cellStyle name="CustomizationCells 2 2 4 8" xfId="3571"/>
    <cellStyle name="CustomizationCells 2 2 5" xfId="687"/>
    <cellStyle name="CustomizationCells 2 2 5 2" xfId="901"/>
    <cellStyle name="CustomizationCells 2 2 5 2 2" xfId="1413"/>
    <cellStyle name="CustomizationCells 2 2 5 2 3" xfId="2201"/>
    <cellStyle name="CustomizationCells 2 2 5 2 4" xfId="3073"/>
    <cellStyle name="CustomizationCells 2 2 5 3" xfId="1196"/>
    <cellStyle name="CustomizationCells 2 2 5 4" xfId="1989"/>
    <cellStyle name="CustomizationCells 2 2 5 5" xfId="2424"/>
    <cellStyle name="CustomizationCells 2 2 5 6" xfId="2862"/>
    <cellStyle name="CustomizationCells 2 2 5 7" xfId="3275"/>
    <cellStyle name="CustomizationCells 2 2 5 8" xfId="3702"/>
    <cellStyle name="CustomizationCells 2 2 6" xfId="1318"/>
    <cellStyle name="CustomizationCells 2 2 7" xfId="1768"/>
    <cellStyle name="CustomizationCells 2 2 8" xfId="2205"/>
    <cellStyle name="CustomizationCells 2 2 9" xfId="2649"/>
    <cellStyle name="CustomizationCells 3" xfId="284"/>
    <cellStyle name="CustomizationCells 3 10" xfId="1730"/>
    <cellStyle name="CustomizationCells 3 11" xfId="3697"/>
    <cellStyle name="CustomizationCells 3 2" xfId="623"/>
    <cellStyle name="CustomizationCells 3 2 2" xfId="838"/>
    <cellStyle name="CustomizationCells 3 2 2 2" xfId="1125"/>
    <cellStyle name="CustomizationCells 3 2 2 3" xfId="2138"/>
    <cellStyle name="CustomizationCells 3 2 2 4" xfId="2575"/>
    <cellStyle name="CustomizationCells 3 2 2 5" xfId="3010"/>
    <cellStyle name="CustomizationCells 3 2 2 6" xfId="3423"/>
    <cellStyle name="CustomizationCells 3 2 2 7" xfId="3084"/>
    <cellStyle name="CustomizationCells 3 2 3" xfId="1337"/>
    <cellStyle name="CustomizationCells 3 2 4" xfId="1925"/>
    <cellStyle name="CustomizationCells 3 2 5" xfId="2360"/>
    <cellStyle name="CustomizationCells 3 2 6" xfId="2798"/>
    <cellStyle name="CustomizationCells 3 2 7" xfId="3212"/>
    <cellStyle name="CustomizationCells 3 2 8" xfId="1673"/>
    <cellStyle name="CustomizationCells 3 3" xfId="650"/>
    <cellStyle name="CustomizationCells 3 3 2" xfId="865"/>
    <cellStyle name="CustomizationCells 3 3 2 2" xfId="958"/>
    <cellStyle name="CustomizationCells 3 3 2 3" xfId="2165"/>
    <cellStyle name="CustomizationCells 3 3 2 4" xfId="2602"/>
    <cellStyle name="CustomizationCells 3 3 2 5" xfId="3037"/>
    <cellStyle name="CustomizationCells 3 3 2 6" xfId="3450"/>
    <cellStyle name="CustomizationCells 3 3 2 7" xfId="3579"/>
    <cellStyle name="CustomizationCells 3 3 3" xfId="1356"/>
    <cellStyle name="CustomizationCells 3 3 4" xfId="1952"/>
    <cellStyle name="CustomizationCells 3 3 5" xfId="2387"/>
    <cellStyle name="CustomizationCells 3 3 6" xfId="2825"/>
    <cellStyle name="CustomizationCells 3 3 7" xfId="3239"/>
    <cellStyle name="CustomizationCells 3 3 8" xfId="2255"/>
    <cellStyle name="CustomizationCells 3 4" xfId="570"/>
    <cellStyle name="CustomizationCells 3 4 2" xfId="785"/>
    <cellStyle name="CustomizationCells 3 4 2 2" xfId="1038"/>
    <cellStyle name="CustomizationCells 3 4 2 3" xfId="2085"/>
    <cellStyle name="CustomizationCells 3 4 2 4" xfId="2522"/>
    <cellStyle name="CustomizationCells 3 4 2 5" xfId="2957"/>
    <cellStyle name="CustomizationCells 3 4 2 6" xfId="3370"/>
    <cellStyle name="CustomizationCells 3 4 2 7" xfId="3512"/>
    <cellStyle name="CustomizationCells 3 4 3" xfId="1364"/>
    <cellStyle name="CustomizationCells 3 4 4" xfId="1872"/>
    <cellStyle name="CustomizationCells 3 4 5" xfId="2307"/>
    <cellStyle name="CustomizationCells 3 4 6" xfId="2745"/>
    <cellStyle name="CustomizationCells 3 4 7" xfId="3159"/>
    <cellStyle name="CustomizationCells 3 4 8" xfId="3586"/>
    <cellStyle name="CustomizationCells 3 5" xfId="709"/>
    <cellStyle name="CustomizationCells 3 5 2" xfId="2446"/>
    <cellStyle name="CustomizationCells 3 5 3" xfId="3493"/>
    <cellStyle name="CustomizationCells 3 6" xfId="1164"/>
    <cellStyle name="CustomizationCells 3 7" xfId="1641"/>
    <cellStyle name="CustomizationCells 3 8" xfId="1489"/>
    <cellStyle name="CustomizationCells 3 9" xfId="1666"/>
    <cellStyle name="CustomizationCells 4" xfId="81"/>
    <cellStyle name="CustomizationCells 4 2" xfId="1807"/>
    <cellStyle name="CustomizationCells 4 3" xfId="3666"/>
    <cellStyle name="CustomizationGreenCells" xfId="144"/>
    <cellStyle name="CustomizationGreenCells 2" xfId="427"/>
    <cellStyle name="CustomizationGreenCells 2 2" xfId="1495"/>
    <cellStyle name="CustomizationGreenCells 3" xfId="285"/>
    <cellStyle name="CustomizationGreenCells 3 10" xfId="2222"/>
    <cellStyle name="CustomizationGreenCells 3 11" xfId="3526"/>
    <cellStyle name="CustomizationGreenCells 3 2" xfId="624"/>
    <cellStyle name="CustomizationGreenCells 3 2 2" xfId="839"/>
    <cellStyle name="CustomizationGreenCells 3 2 2 2" xfId="1317"/>
    <cellStyle name="CustomizationGreenCells 3 2 2 3" xfId="2139"/>
    <cellStyle name="CustomizationGreenCells 3 2 2 4" xfId="2576"/>
    <cellStyle name="CustomizationGreenCells 3 2 2 5" xfId="3011"/>
    <cellStyle name="CustomizationGreenCells 3 2 2 6" xfId="3424"/>
    <cellStyle name="CustomizationGreenCells 3 2 2 7" xfId="2229"/>
    <cellStyle name="CustomizationGreenCells 3 2 3" xfId="1221"/>
    <cellStyle name="CustomizationGreenCells 3 2 4" xfId="1926"/>
    <cellStyle name="CustomizationGreenCells 3 2 5" xfId="2361"/>
    <cellStyle name="CustomizationGreenCells 3 2 6" xfId="2799"/>
    <cellStyle name="CustomizationGreenCells 3 2 7" xfId="3213"/>
    <cellStyle name="CustomizationGreenCells 3 2 8" xfId="1573"/>
    <cellStyle name="CustomizationGreenCells 3 3" xfId="594"/>
    <cellStyle name="CustomizationGreenCells 3 3 2" xfId="809"/>
    <cellStyle name="CustomizationGreenCells 3 3 2 2" xfId="1109"/>
    <cellStyle name="CustomizationGreenCells 3 3 2 3" xfId="2109"/>
    <cellStyle name="CustomizationGreenCells 3 3 2 4" xfId="2546"/>
    <cellStyle name="CustomizationGreenCells 3 3 2 5" xfId="2981"/>
    <cellStyle name="CustomizationGreenCells 3 3 2 6" xfId="3394"/>
    <cellStyle name="CustomizationGreenCells 3 3 2 7" xfId="3668"/>
    <cellStyle name="CustomizationGreenCells 3 3 3" xfId="1082"/>
    <cellStyle name="CustomizationGreenCells 3 3 4" xfId="1896"/>
    <cellStyle name="CustomizationGreenCells 3 3 5" xfId="2331"/>
    <cellStyle name="CustomizationGreenCells 3 3 6" xfId="2769"/>
    <cellStyle name="CustomizationGreenCells 3 3 7" xfId="3183"/>
    <cellStyle name="CustomizationGreenCells 3 3 8" xfId="3490"/>
    <cellStyle name="CustomizationGreenCells 3 4" xfId="527"/>
    <cellStyle name="CustomizationGreenCells 3 4 2" xfId="742"/>
    <cellStyle name="CustomizationGreenCells 3 4 2 2" xfId="910"/>
    <cellStyle name="CustomizationGreenCells 3 4 2 3" xfId="2042"/>
    <cellStyle name="CustomizationGreenCells 3 4 2 4" xfId="2479"/>
    <cellStyle name="CustomizationGreenCells 3 4 2 5" xfId="2914"/>
    <cellStyle name="CustomizationGreenCells 3 4 2 6" xfId="3327"/>
    <cellStyle name="CustomizationGreenCells 3 4 2 7" xfId="1669"/>
    <cellStyle name="CustomizationGreenCells 3 4 3" xfId="1280"/>
    <cellStyle name="CustomizationGreenCells 3 4 4" xfId="1829"/>
    <cellStyle name="CustomizationGreenCells 3 4 5" xfId="2264"/>
    <cellStyle name="CustomizationGreenCells 3 4 6" xfId="2702"/>
    <cellStyle name="CustomizationGreenCells 3 4 7" xfId="3116"/>
    <cellStyle name="CustomizationGreenCells 3 4 8" xfId="1710"/>
    <cellStyle name="CustomizationGreenCells 3 5" xfId="710"/>
    <cellStyle name="CustomizationGreenCells 3 5 2" xfId="2447"/>
    <cellStyle name="CustomizationGreenCells 3 6" xfId="1170"/>
    <cellStyle name="CustomizationGreenCells 3 7" xfId="1642"/>
    <cellStyle name="CustomizationGreenCells 3 8" xfId="2007"/>
    <cellStyle name="CustomizationGreenCells 3 9" xfId="1683"/>
    <cellStyle name="DocBox_EmptyRow" xfId="14"/>
    <cellStyle name="Eingabe 2" xfId="382"/>
    <cellStyle name="Eingabe 3" xfId="428"/>
    <cellStyle name="Eingabe 3 10" xfId="1643"/>
    <cellStyle name="Eingabe 3 11" xfId="1459"/>
    <cellStyle name="Eingabe 3 2" xfId="664"/>
    <cellStyle name="Eingabe 3 2 2" xfId="879"/>
    <cellStyle name="Eingabe 3 2 2 2" xfId="1391"/>
    <cellStyle name="Eingabe 3 2 2 3" xfId="2179"/>
    <cellStyle name="Eingabe 3 2 2 4" xfId="2616"/>
    <cellStyle name="Eingabe 3 2 2 5" xfId="3051"/>
    <cellStyle name="Eingabe 3 2 2 6" xfId="3464"/>
    <cellStyle name="Eingabe 3 2 2 7" xfId="3715"/>
    <cellStyle name="Eingabe 3 2 3" xfId="905"/>
    <cellStyle name="Eingabe 3 2 4" xfId="1966"/>
    <cellStyle name="Eingabe 3 2 5" xfId="2401"/>
    <cellStyle name="Eingabe 3 2 6" xfId="2839"/>
    <cellStyle name="Eingabe 3 2 7" xfId="3253"/>
    <cellStyle name="Eingabe 3 2 8" xfId="1770"/>
    <cellStyle name="Eingabe 3 3" xfId="653"/>
    <cellStyle name="Eingabe 3 3 2" xfId="868"/>
    <cellStyle name="Eingabe 3 3 2 2" xfId="1059"/>
    <cellStyle name="Eingabe 3 3 2 3" xfId="2168"/>
    <cellStyle name="Eingabe 3 3 2 4" xfId="2605"/>
    <cellStyle name="Eingabe 3 3 2 5" xfId="3040"/>
    <cellStyle name="Eingabe 3 3 2 6" xfId="3453"/>
    <cellStyle name="Eingabe 3 3 2 7" xfId="1792"/>
    <cellStyle name="Eingabe 3 3 3" xfId="1300"/>
    <cellStyle name="Eingabe 3 3 4" xfId="1955"/>
    <cellStyle name="Eingabe 3 3 5" xfId="2390"/>
    <cellStyle name="Eingabe 3 3 6" xfId="2828"/>
    <cellStyle name="Eingabe 3 3 7" xfId="3242"/>
    <cellStyle name="Eingabe 3 3 8" xfId="3615"/>
    <cellStyle name="Eingabe 3 4" xfId="544"/>
    <cellStyle name="Eingabe 3 4 2" xfId="759"/>
    <cellStyle name="Eingabe 3 4 2 2" xfId="1115"/>
    <cellStyle name="Eingabe 3 4 2 3" xfId="2059"/>
    <cellStyle name="Eingabe 3 4 2 4" xfId="2496"/>
    <cellStyle name="Eingabe 3 4 2 5" xfId="2931"/>
    <cellStyle name="Eingabe 3 4 2 6" xfId="3344"/>
    <cellStyle name="Eingabe 3 4 2 7" xfId="2673"/>
    <cellStyle name="Eingabe 3 4 3" xfId="1328"/>
    <cellStyle name="Eingabe 3 4 4" xfId="1846"/>
    <cellStyle name="Eingabe 3 4 5" xfId="2281"/>
    <cellStyle name="Eingabe 3 4 6" xfId="2719"/>
    <cellStyle name="Eingabe 3 4 7" xfId="3133"/>
    <cellStyle name="Eingabe 3 4 8" xfId="3096"/>
    <cellStyle name="Eingabe 3 5" xfId="727"/>
    <cellStyle name="Eingabe 3 5 2" xfId="1313"/>
    <cellStyle name="Eingabe 3 5 3" xfId="2027"/>
    <cellStyle name="Eingabe 3 5 4" xfId="2464"/>
    <cellStyle name="Eingabe 3 5 5" xfId="2899"/>
    <cellStyle name="Eingabe 3 5 6" xfId="3312"/>
    <cellStyle name="Eingabe 3 5 7" xfId="1095"/>
    <cellStyle name="Eingabe 3 6" xfId="1261"/>
    <cellStyle name="Eingabe 3 7" xfId="1756"/>
    <cellStyle name="Eingabe 3 8" xfId="1618"/>
    <cellStyle name="Eingabe 3 9" xfId="1755"/>
    <cellStyle name="Eingabe 4" xfId="287"/>
    <cellStyle name="Eingabe 4 10" xfId="2224"/>
    <cellStyle name="Eingabe 4 11" xfId="3629"/>
    <cellStyle name="Eingabe 4 2" xfId="625"/>
    <cellStyle name="Eingabe 4 2 2" xfId="840"/>
    <cellStyle name="Eingabe 4 2 2 2" xfId="1201"/>
    <cellStyle name="Eingabe 4 2 2 3" xfId="2140"/>
    <cellStyle name="Eingabe 4 2 2 4" xfId="2577"/>
    <cellStyle name="Eingabe 4 2 2 5" xfId="3012"/>
    <cellStyle name="Eingabe 4 2 2 6" xfId="3425"/>
    <cellStyle name="Eingabe 4 2 2 7" xfId="3610"/>
    <cellStyle name="Eingabe 4 2 3" xfId="1325"/>
    <cellStyle name="Eingabe 4 2 4" xfId="1927"/>
    <cellStyle name="Eingabe 4 2 5" xfId="2362"/>
    <cellStyle name="Eingabe 4 2 6" xfId="2800"/>
    <cellStyle name="Eingabe 4 2 7" xfId="3214"/>
    <cellStyle name="Eingabe 4 2 8" xfId="1762"/>
    <cellStyle name="Eingabe 4 3" xfId="552"/>
    <cellStyle name="Eingabe 4 3 2" xfId="767"/>
    <cellStyle name="Eingabe 4 3 2 2" xfId="985"/>
    <cellStyle name="Eingabe 4 3 2 3" xfId="2067"/>
    <cellStyle name="Eingabe 4 3 2 4" xfId="2504"/>
    <cellStyle name="Eingabe 4 3 2 5" xfId="2939"/>
    <cellStyle name="Eingabe 4 3 2 6" xfId="3352"/>
    <cellStyle name="Eingabe 4 3 2 7" xfId="1591"/>
    <cellStyle name="Eingabe 4 3 3" xfId="1333"/>
    <cellStyle name="Eingabe 4 3 4" xfId="1854"/>
    <cellStyle name="Eingabe 4 3 5" xfId="2289"/>
    <cellStyle name="Eingabe 4 3 6" xfId="2727"/>
    <cellStyle name="Eingabe 4 3 7" xfId="3141"/>
    <cellStyle name="Eingabe 4 3 8" xfId="1182"/>
    <cellStyle name="Eingabe 4 4" xfId="528"/>
    <cellStyle name="Eingabe 4 4 2" xfId="743"/>
    <cellStyle name="Eingabe 4 4 2 2" xfId="52"/>
    <cellStyle name="Eingabe 4 4 2 3" xfId="2043"/>
    <cellStyle name="Eingabe 4 4 2 4" xfId="2480"/>
    <cellStyle name="Eingabe 4 4 2 5" xfId="2915"/>
    <cellStyle name="Eingabe 4 4 2 6" xfId="3328"/>
    <cellStyle name="Eingabe 4 4 2 7" xfId="2655"/>
    <cellStyle name="Eingabe 4 4 3" xfId="1319"/>
    <cellStyle name="Eingabe 4 4 4" xfId="1830"/>
    <cellStyle name="Eingabe 4 4 5" xfId="2265"/>
    <cellStyle name="Eingabe 4 4 6" xfId="2703"/>
    <cellStyle name="Eingabe 4 4 7" xfId="3117"/>
    <cellStyle name="Eingabe 4 4 8" xfId="3095"/>
    <cellStyle name="Eingabe 4 5" xfId="711"/>
    <cellStyle name="Eingabe 4 5 2" xfId="1348"/>
    <cellStyle name="Eingabe 4 5 3" xfId="2012"/>
    <cellStyle name="Eingabe 4 5 4" xfId="2448"/>
    <cellStyle name="Eingabe 4 5 5" xfId="2883"/>
    <cellStyle name="Eingabe 4 5 6" xfId="3296"/>
    <cellStyle name="Eingabe 4 5 7" xfId="1741"/>
    <cellStyle name="Eingabe 4 6" xfId="1169"/>
    <cellStyle name="Eingabe 4 7" xfId="1644"/>
    <cellStyle name="Eingabe 4 8" xfId="1751"/>
    <cellStyle name="Eingabe 4 9" xfId="1581"/>
    <cellStyle name="Eingabe 5" xfId="562"/>
    <cellStyle name="Eingabe 5 2" xfId="777"/>
    <cellStyle name="Eingabe 5 2 2" xfId="1042"/>
    <cellStyle name="Eingabe 5 2 3" xfId="2077"/>
    <cellStyle name="Eingabe 5 2 4" xfId="2514"/>
    <cellStyle name="Eingabe 5 2 5" xfId="2949"/>
    <cellStyle name="Eingabe 5 2 6" xfId="3362"/>
    <cellStyle name="Eingabe 5 2 7" xfId="1507"/>
    <cellStyle name="Eingabe 5 3" xfId="1278"/>
    <cellStyle name="Eingabe 5 4" xfId="1864"/>
    <cellStyle name="Eingabe 5 5" xfId="2299"/>
    <cellStyle name="Eingabe 5 6" xfId="2737"/>
    <cellStyle name="Eingabe 5 7" xfId="3151"/>
    <cellStyle name="Eingabe 5 8" xfId="1504"/>
    <cellStyle name="Eingabe 6" xfId="639"/>
    <cellStyle name="Eingabe 6 2" xfId="854"/>
    <cellStyle name="Eingabe 6 2 2" xfId="1030"/>
    <cellStyle name="Eingabe 6 2 3" xfId="2154"/>
    <cellStyle name="Eingabe 6 2 4" xfId="2591"/>
    <cellStyle name="Eingabe 6 2 5" xfId="3026"/>
    <cellStyle name="Eingabe 6 2 6" xfId="3439"/>
    <cellStyle name="Eingabe 6 2 7" xfId="1664"/>
    <cellStyle name="Eingabe 6 3" xfId="1355"/>
    <cellStyle name="Eingabe 6 4" xfId="1941"/>
    <cellStyle name="Eingabe 6 5" xfId="2376"/>
    <cellStyle name="Eingabe 6 6" xfId="2814"/>
    <cellStyle name="Eingabe 6 7" xfId="3228"/>
    <cellStyle name="Eingabe 6 8" xfId="1512"/>
    <cellStyle name="Eingabe 7" xfId="682"/>
    <cellStyle name="Eingabe 7 2" xfId="896"/>
    <cellStyle name="Eingabe 7 2 2" xfId="1408"/>
    <cellStyle name="Eingabe 7 2 3" xfId="2196"/>
    <cellStyle name="Eingabe 7 2 4" xfId="2633"/>
    <cellStyle name="Eingabe 7 2 5" xfId="3068"/>
    <cellStyle name="Eingabe 7 2 6" xfId="3481"/>
    <cellStyle name="Eingabe 7 2 7" xfId="3732"/>
    <cellStyle name="Eingabe 7 3" xfId="1354"/>
    <cellStyle name="Eingabe 7 4" xfId="1984"/>
    <cellStyle name="Eingabe 7 5" xfId="2419"/>
    <cellStyle name="Eingabe 7 6" xfId="2857"/>
    <cellStyle name="Eingabe 7 7" xfId="3270"/>
    <cellStyle name="Eingabe 7 8" xfId="1553"/>
    <cellStyle name="Eingabe 8" xfId="691"/>
    <cellStyle name="Eingabe 8 2" xfId="955"/>
    <cellStyle name="Eingabe 8 3" xfId="1993"/>
    <cellStyle name="Eingabe 8 4" xfId="2428"/>
    <cellStyle name="Eingabe 8 5" xfId="2866"/>
    <cellStyle name="Eingabe 8 6" xfId="3279"/>
    <cellStyle name="Eingabe 8 7" xfId="2227"/>
    <cellStyle name="Eingabe 9" xfId="1"/>
    <cellStyle name="Empty_B_border" xfId="20"/>
    <cellStyle name="Ergebnis 2" xfId="403"/>
    <cellStyle name="Ergebnis 2 10" xfId="1778"/>
    <cellStyle name="Ergebnis 2 11" xfId="3504"/>
    <cellStyle name="Ergebnis 2 2" xfId="659"/>
    <cellStyle name="Ergebnis 2 2 2" xfId="874"/>
    <cellStyle name="Ergebnis 2 2 2 2" xfId="1056"/>
    <cellStyle name="Ergebnis 2 2 2 3" xfId="2174"/>
    <cellStyle name="Ergebnis 2 2 2 4" xfId="2611"/>
    <cellStyle name="Ergebnis 2 2 2 5" xfId="3046"/>
    <cellStyle name="Ergebnis 2 2 2 6" xfId="3459"/>
    <cellStyle name="Ergebnis 2 2 2 7" xfId="1510"/>
    <cellStyle name="Ergebnis 2 2 3" xfId="918"/>
    <cellStyle name="Ergebnis 2 2 4" xfId="1961"/>
    <cellStyle name="Ergebnis 2 2 5" xfId="2396"/>
    <cellStyle name="Ergebnis 2 2 6" xfId="2834"/>
    <cellStyle name="Ergebnis 2 2 7" xfId="3248"/>
    <cellStyle name="Ergebnis 2 2 8" xfId="3525"/>
    <cellStyle name="Ergebnis 2 3" xfId="591"/>
    <cellStyle name="Ergebnis 2 3 2" xfId="806"/>
    <cellStyle name="Ergebnis 2 3 2 2" xfId="1225"/>
    <cellStyle name="Ergebnis 2 3 2 3" xfId="2106"/>
    <cellStyle name="Ergebnis 2 3 2 4" xfId="2543"/>
    <cellStyle name="Ergebnis 2 3 2 5" xfId="2978"/>
    <cellStyle name="Ergebnis 2 3 2 6" xfId="3391"/>
    <cellStyle name="Ergebnis 2 3 2 7" xfId="3574"/>
    <cellStyle name="Ergebnis 2 3 3" xfId="1255"/>
    <cellStyle name="Ergebnis 2 3 4" xfId="1893"/>
    <cellStyle name="Ergebnis 2 3 5" xfId="2328"/>
    <cellStyle name="Ergebnis 2 3 6" xfId="2766"/>
    <cellStyle name="Ergebnis 2 3 7" xfId="3180"/>
    <cellStyle name="Ergebnis 2 3 8" xfId="1773"/>
    <cellStyle name="Ergebnis 2 4" xfId="582"/>
    <cellStyle name="Ergebnis 2 4 2" xfId="797"/>
    <cellStyle name="Ergebnis 2 4 2 2" xfId="1068"/>
    <cellStyle name="Ergebnis 2 4 2 3" xfId="2097"/>
    <cellStyle name="Ergebnis 2 4 2 4" xfId="2534"/>
    <cellStyle name="Ergebnis 2 4 2 5" xfId="2969"/>
    <cellStyle name="Ergebnis 2 4 2 6" xfId="3382"/>
    <cellStyle name="Ergebnis 2 4 2 7" xfId="1566"/>
    <cellStyle name="Ergebnis 2 4 3" xfId="1000"/>
    <cellStyle name="Ergebnis 2 4 4" xfId="1884"/>
    <cellStyle name="Ergebnis 2 4 5" xfId="2319"/>
    <cellStyle name="Ergebnis 2 4 6" xfId="2757"/>
    <cellStyle name="Ergebnis 2 4 7" xfId="3171"/>
    <cellStyle name="Ergebnis 2 4 8" xfId="3576"/>
    <cellStyle name="Ergebnis 2 5" xfId="717"/>
    <cellStyle name="Ergebnis 2 5 2" xfId="911"/>
    <cellStyle name="Ergebnis 2 5 3" xfId="2017"/>
    <cellStyle name="Ergebnis 2 5 4" xfId="2454"/>
    <cellStyle name="Ergebnis 2 5 5" xfId="2889"/>
    <cellStyle name="Ergebnis 2 5 6" xfId="3302"/>
    <cellStyle name="Ergebnis 2 5 7" xfId="1500"/>
    <cellStyle name="Ergebnis 2 6" xfId="1051"/>
    <cellStyle name="Ergebnis 2 7" xfId="1737"/>
    <cellStyle name="Ergebnis 2 8" xfId="1621"/>
    <cellStyle name="Ergebnis 2 9" xfId="1723"/>
    <cellStyle name="Ergebnis 3" xfId="296"/>
    <cellStyle name="Ergebnis 3 10" xfId="2010"/>
    <cellStyle name="Ergebnis 3 11" xfId="1799"/>
    <cellStyle name="Ergebnis 3 2" xfId="633"/>
    <cellStyle name="Ergebnis 3 2 2" xfId="848"/>
    <cellStyle name="Ergebnis 3 2 2 2" xfId="1199"/>
    <cellStyle name="Ergebnis 3 2 2 3" xfId="2148"/>
    <cellStyle name="Ergebnis 3 2 2 4" xfId="2585"/>
    <cellStyle name="Ergebnis 3 2 2 5" xfId="3020"/>
    <cellStyle name="Ergebnis 3 2 2 6" xfId="3433"/>
    <cellStyle name="Ergebnis 3 2 2 7" xfId="3597"/>
    <cellStyle name="Ergebnis 3 2 3" xfId="912"/>
    <cellStyle name="Ergebnis 3 2 4" xfId="1935"/>
    <cellStyle name="Ergebnis 3 2 5" xfId="2370"/>
    <cellStyle name="Ergebnis 3 2 6" xfId="2808"/>
    <cellStyle name="Ergebnis 3 2 7" xfId="3222"/>
    <cellStyle name="Ergebnis 3 2 8" xfId="3566"/>
    <cellStyle name="Ergebnis 3 3" xfId="547"/>
    <cellStyle name="Ergebnis 3 3 2" xfId="762"/>
    <cellStyle name="Ergebnis 3 3 2 2" xfId="1114"/>
    <cellStyle name="Ergebnis 3 3 2 3" xfId="2062"/>
    <cellStyle name="Ergebnis 3 3 2 4" xfId="2499"/>
    <cellStyle name="Ergebnis 3 3 2 5" xfId="2934"/>
    <cellStyle name="Ergebnis 3 3 2 6" xfId="3347"/>
    <cellStyle name="Ergebnis 3 3 2 7" xfId="2652"/>
    <cellStyle name="Ergebnis 3 3 3" xfId="1209"/>
    <cellStyle name="Ergebnis 3 3 4" xfId="1849"/>
    <cellStyle name="Ergebnis 3 3 5" xfId="2284"/>
    <cellStyle name="Ergebnis 3 3 6" xfId="2722"/>
    <cellStyle name="Ergebnis 3 3 7" xfId="3136"/>
    <cellStyle name="Ergebnis 3 3 8" xfId="3592"/>
    <cellStyle name="Ergebnis 3 4" xfId="574"/>
    <cellStyle name="Ergebnis 3 4 2" xfId="789"/>
    <cellStyle name="Ergebnis 3 4 2 2" xfId="1072"/>
    <cellStyle name="Ergebnis 3 4 2 3" xfId="2089"/>
    <cellStyle name="Ergebnis 3 4 2 4" xfId="2526"/>
    <cellStyle name="Ergebnis 3 4 2 5" xfId="2961"/>
    <cellStyle name="Ergebnis 3 4 2 6" xfId="3374"/>
    <cellStyle name="Ergebnis 3 4 2 7" xfId="2668"/>
    <cellStyle name="Ergebnis 3 4 3" xfId="1316"/>
    <cellStyle name="Ergebnis 3 4 4" xfId="1876"/>
    <cellStyle name="Ergebnis 3 4 5" xfId="2311"/>
    <cellStyle name="Ergebnis 3 4 6" xfId="2749"/>
    <cellStyle name="Ergebnis 3 4 7" xfId="3163"/>
    <cellStyle name="Ergebnis 3 4 8" xfId="3093"/>
    <cellStyle name="Ergebnis 3 5" xfId="713"/>
    <cellStyle name="Ergebnis 3 5 2" xfId="1147"/>
    <cellStyle name="Ergebnis 3 5 3" xfId="2014"/>
    <cellStyle name="Ergebnis 3 5 4" xfId="2450"/>
    <cellStyle name="Ergebnis 3 5 5" xfId="2885"/>
    <cellStyle name="Ergebnis 3 5 6" xfId="3298"/>
    <cellStyle name="Ergebnis 3 5 7" xfId="3650"/>
    <cellStyle name="Ergebnis 3 6" xfId="1166"/>
    <cellStyle name="Ergebnis 3 7" xfId="1653"/>
    <cellStyle name="Ergebnis 3 8" xfId="1750"/>
    <cellStyle name="Ergebnis 3 9" xfId="1680"/>
    <cellStyle name="Ergebnis 4" xfId="563"/>
    <cellStyle name="Ergebnis 4 2" xfId="778"/>
    <cellStyle name="Ergebnis 4 2 2" xfId="981"/>
    <cellStyle name="Ergebnis 4 2 3" xfId="2078"/>
    <cellStyle name="Ergebnis 4 2 4" xfId="2515"/>
    <cellStyle name="Ergebnis 4 2 5" xfId="2950"/>
    <cellStyle name="Ergebnis 4 2 6" xfId="3363"/>
    <cellStyle name="Ergebnis 4 2 7" xfId="2214"/>
    <cellStyle name="Ergebnis 4 3" xfId="1383"/>
    <cellStyle name="Ergebnis 4 4" xfId="1865"/>
    <cellStyle name="Ergebnis 4 5" xfId="2300"/>
    <cellStyle name="Ergebnis 4 6" xfId="2738"/>
    <cellStyle name="Ergebnis 4 7" xfId="3152"/>
    <cellStyle name="Ergebnis 4 8" xfId="3705"/>
    <cellStyle name="Ergebnis 5" xfId="637"/>
    <cellStyle name="Ergebnis 5 2" xfId="852"/>
    <cellStyle name="Ergebnis 5 2 2" xfId="964"/>
    <cellStyle name="Ergebnis 5 2 3" xfId="2152"/>
    <cellStyle name="Ergebnis 5 2 4" xfId="2589"/>
    <cellStyle name="Ergebnis 5 2 5" xfId="3024"/>
    <cellStyle name="Ergebnis 5 2 6" xfId="3437"/>
    <cellStyle name="Ergebnis 5 2 7" xfId="3556"/>
    <cellStyle name="Ergebnis 5 3" xfId="1327"/>
    <cellStyle name="Ergebnis 5 4" xfId="1939"/>
    <cellStyle name="Ergebnis 5 5" xfId="2374"/>
    <cellStyle name="Ergebnis 5 6" xfId="2812"/>
    <cellStyle name="Ergebnis 5 7" xfId="3226"/>
    <cellStyle name="Ergebnis 5 8" xfId="1677"/>
    <cellStyle name="Ergebnis 6" xfId="644"/>
    <cellStyle name="Ergebnis 6 2" xfId="859"/>
    <cellStyle name="Ergebnis 6 2 2" xfId="961"/>
    <cellStyle name="Ergebnis 6 2 3" xfId="2159"/>
    <cellStyle name="Ergebnis 6 2 4" xfId="2596"/>
    <cellStyle name="Ergebnis 6 2 5" xfId="3031"/>
    <cellStyle name="Ergebnis 6 2 6" xfId="3444"/>
    <cellStyle name="Ergebnis 6 2 7" xfId="3077"/>
    <cellStyle name="Ergebnis 6 3" xfId="1231"/>
    <cellStyle name="Ergebnis 6 4" xfId="1946"/>
    <cellStyle name="Ergebnis 6 5" xfId="2381"/>
    <cellStyle name="Ergebnis 6 6" xfId="2819"/>
    <cellStyle name="Ergebnis 6 7" xfId="3233"/>
    <cellStyle name="Ergebnis 6 8" xfId="3633"/>
    <cellStyle name="Ergebnis 7" xfId="692"/>
    <cellStyle name="Ergebnis 7 2" xfId="1385"/>
    <cellStyle name="Ergebnis 7 3" xfId="1994"/>
    <cellStyle name="Ergebnis 7 4" xfId="2429"/>
    <cellStyle name="Ergebnis 7 5" xfId="2867"/>
    <cellStyle name="Ergebnis 7 6" xfId="3280"/>
    <cellStyle name="Ergebnis 7 7" xfId="3707"/>
    <cellStyle name="Ergebnis 8" xfId="56" hidden="1"/>
    <cellStyle name="Ergebnis 8" xfId="932" hidden="1"/>
    <cellStyle name="Ergebnis 8" xfId="1192" hidden="1"/>
    <cellStyle name="Ergebnis 8" xfId="74" hidden="1"/>
    <cellStyle name="Ergebnis 8" xfId="1422" hidden="1"/>
    <cellStyle name="Ergebnis 8" xfId="1463" hidden="1"/>
    <cellStyle name="Ergebnis 8" xfId="1699" hidden="1"/>
    <cellStyle name="Ergebnis 8" xfId="1665" hidden="1"/>
    <cellStyle name="Ergebnis 8" xfId="2692" hidden="1"/>
    <cellStyle name="Ergebnis 8" xfId="1442" hidden="1"/>
    <cellStyle name="Ergebnis 8" xfId="3529" hidden="1"/>
    <cellStyle name="Ergebnis 8" xfId="3638" hidden="1"/>
    <cellStyle name="Ergebnis 8" xfId="3487" hidden="1"/>
    <cellStyle name="Erklärender Text 2" xfId="404"/>
    <cellStyle name="Erklärender Text 3" xfId="286"/>
    <cellStyle name="Erklärender Text 4" xfId="55" hidden="1"/>
    <cellStyle name="Erklärender Text 4" xfId="931" hidden="1"/>
    <cellStyle name="Erklärender Text 4" xfId="1308" hidden="1"/>
    <cellStyle name="Erklärender Text 4" xfId="1288" hidden="1"/>
    <cellStyle name="Erklärender Text 4" xfId="1446" hidden="1"/>
    <cellStyle name="Erklärender Text 4" xfId="1462" hidden="1"/>
    <cellStyle name="Erklärender Text 4" xfId="1803" hidden="1"/>
    <cellStyle name="Erklärender Text 4" xfId="1771" hidden="1"/>
    <cellStyle name="Erklärender Text 4" xfId="2208" hidden="1"/>
    <cellStyle name="Erklärender Text 4" xfId="1478" hidden="1"/>
    <cellStyle name="Erklärender Text 4" xfId="3632" hidden="1"/>
    <cellStyle name="Erklärender Text 4" xfId="1763" hidden="1"/>
    <cellStyle name="Erklärender Text 4" xfId="3714" hidden="1"/>
    <cellStyle name="Explanatory Text 2" xfId="145"/>
    <cellStyle name="Explanatory Text 3" xfId="236"/>
    <cellStyle name="Good 2" xfId="146"/>
    <cellStyle name="Good 3" xfId="237"/>
    <cellStyle name="Good 4" xfId="366"/>
    <cellStyle name="Gut 2" xfId="147"/>
    <cellStyle name="Heading 1 2" xfId="148"/>
    <cellStyle name="Heading 1 3" xfId="238"/>
    <cellStyle name="Heading 1 4" xfId="374"/>
    <cellStyle name="Heading 2 2" xfId="149"/>
    <cellStyle name="Heading 2 3" xfId="239"/>
    <cellStyle name="Heading 2 4" xfId="375"/>
    <cellStyle name="Heading 3 2" xfId="150"/>
    <cellStyle name="Heading 3 3" xfId="240"/>
    <cellStyle name="Heading 3 4" xfId="376"/>
    <cellStyle name="Heading 4 2" xfId="151"/>
    <cellStyle name="Heading 4 3" xfId="241"/>
    <cellStyle name="Heading 4 4" xfId="377"/>
    <cellStyle name="Headline" xfId="2"/>
    <cellStyle name="Input 2" xfId="152"/>
    <cellStyle name="Input 2 10" xfId="1330"/>
    <cellStyle name="Input 2 11" xfId="2657"/>
    <cellStyle name="Input 2 2" xfId="566"/>
    <cellStyle name="Input 2 2 2" xfId="781"/>
    <cellStyle name="Input 2 2 2 2" xfId="1040"/>
    <cellStyle name="Input 2 2 2 3" xfId="2081"/>
    <cellStyle name="Input 2 2 2 4" xfId="2518"/>
    <cellStyle name="Input 2 2 2 5" xfId="2953"/>
    <cellStyle name="Input 2 2 2 6" xfId="3366"/>
    <cellStyle name="Input 2 2 2 7" xfId="3510"/>
    <cellStyle name="Input 2 2 3" xfId="1206"/>
    <cellStyle name="Input 2 2 4" xfId="1868"/>
    <cellStyle name="Input 2 2 5" xfId="2303"/>
    <cellStyle name="Input 2 2 6" xfId="2741"/>
    <cellStyle name="Input 2 2 7" xfId="3155"/>
    <cellStyle name="Input 2 2 8" xfId="3552"/>
    <cellStyle name="Input 2 3" xfId="670"/>
    <cellStyle name="Input 2 3 2" xfId="885"/>
    <cellStyle name="Input 2 3 2 2" xfId="1397"/>
    <cellStyle name="Input 2 3 2 3" xfId="2185"/>
    <cellStyle name="Input 2 3 2 4" xfId="2622"/>
    <cellStyle name="Input 2 3 2 5" xfId="3057"/>
    <cellStyle name="Input 2 3 2 6" xfId="3470"/>
    <cellStyle name="Input 2 3 2 7" xfId="3721"/>
    <cellStyle name="Input 2 3 3" xfId="1229"/>
    <cellStyle name="Input 2 3 4" xfId="1972"/>
    <cellStyle name="Input 2 3 5" xfId="2407"/>
    <cellStyle name="Input 2 3 6" xfId="2845"/>
    <cellStyle name="Input 2 3 7" xfId="3259"/>
    <cellStyle name="Input 2 3 8" xfId="3662"/>
    <cellStyle name="Input 2 4" xfId="681"/>
    <cellStyle name="Input 2 4 2" xfId="895"/>
    <cellStyle name="Input 2 4 2 2" xfId="1407"/>
    <cellStyle name="Input 2 4 2 3" xfId="2195"/>
    <cellStyle name="Input 2 4 2 4" xfId="2632"/>
    <cellStyle name="Input 2 4 2 5" xfId="3067"/>
    <cellStyle name="Input 2 4 2 6" xfId="3480"/>
    <cellStyle name="Input 2 4 2 7" xfId="3731"/>
    <cellStyle name="Input 2 4 3" xfId="1187"/>
    <cellStyle name="Input 2 4 4" xfId="1983"/>
    <cellStyle name="Input 2 4 5" xfId="2418"/>
    <cellStyle name="Input 2 4 6" xfId="2856"/>
    <cellStyle name="Input 2 4 7" xfId="3269"/>
    <cellStyle name="Input 2 4 8" xfId="3596"/>
    <cellStyle name="Input 2 5" xfId="693"/>
    <cellStyle name="Input 2 5 2" xfId="1271"/>
    <cellStyle name="Input 2 5 3" xfId="1995"/>
    <cellStyle name="Input 2 5 4" xfId="2430"/>
    <cellStyle name="Input 2 5 5" xfId="2868"/>
    <cellStyle name="Input 2 5 6" xfId="3281"/>
    <cellStyle name="Input 2 5 7" xfId="3617"/>
    <cellStyle name="Input 2 6" xfId="57"/>
    <cellStyle name="Input 2 7" xfId="1543"/>
    <cellStyle name="Input 2 8" xfId="1678"/>
    <cellStyle name="Input 2 9" xfId="1675"/>
    <cellStyle name="Input 3" xfId="242"/>
    <cellStyle name="Input 3 10" xfId="1731"/>
    <cellStyle name="Input 3 11" xfId="3082"/>
    <cellStyle name="Input 3 2" xfId="598"/>
    <cellStyle name="Input 3 2 2" xfId="813"/>
    <cellStyle name="Input 3 2 2 2" xfId="973"/>
    <cellStyle name="Input 3 2 2 3" xfId="2113"/>
    <cellStyle name="Input 3 2 2 4" xfId="2550"/>
    <cellStyle name="Input 3 2 2 5" xfId="2985"/>
    <cellStyle name="Input 3 2 2 6" xfId="3398"/>
    <cellStyle name="Input 3 2 2 7" xfId="3681"/>
    <cellStyle name="Input 3 2 3" xfId="1154"/>
    <cellStyle name="Input 3 2 4" xfId="1900"/>
    <cellStyle name="Input 3 2 5" xfId="2335"/>
    <cellStyle name="Input 3 2 6" xfId="2773"/>
    <cellStyle name="Input 3 2 7" xfId="3187"/>
    <cellStyle name="Input 3 2 8" xfId="3614"/>
    <cellStyle name="Input 3 3" xfId="597"/>
    <cellStyle name="Input 3 3 2" xfId="812"/>
    <cellStyle name="Input 3 3 2 2" xfId="974"/>
    <cellStyle name="Input 3 3 2 3" xfId="2112"/>
    <cellStyle name="Input 3 3 2 4" xfId="2549"/>
    <cellStyle name="Input 3 3 2 5" xfId="2984"/>
    <cellStyle name="Input 3 3 2 6" xfId="3397"/>
    <cellStyle name="Input 3 3 2 7" xfId="3580"/>
    <cellStyle name="Input 3 3 3" xfId="925"/>
    <cellStyle name="Input 3 3 4" xfId="1899"/>
    <cellStyle name="Input 3 3 5" xfId="2334"/>
    <cellStyle name="Input 3 3 6" xfId="2772"/>
    <cellStyle name="Input 3 3 7" xfId="3186"/>
    <cellStyle name="Input 3 3 8" xfId="3577"/>
    <cellStyle name="Input 3 4" xfId="541"/>
    <cellStyle name="Input 3 4 2" xfId="756"/>
    <cellStyle name="Input 3 4 2 2" xfId="921"/>
    <cellStyle name="Input 3 4 2 3" xfId="2056"/>
    <cellStyle name="Input 3 4 2 4" xfId="2493"/>
    <cellStyle name="Input 3 4 2 5" xfId="2928"/>
    <cellStyle name="Input 3 4 2 6" xfId="3341"/>
    <cellStyle name="Input 3 4 2 7" xfId="1821"/>
    <cellStyle name="Input 3 4 3" xfId="1322"/>
    <cellStyle name="Input 3 4 4" xfId="1843"/>
    <cellStyle name="Input 3 4 5" xfId="2278"/>
    <cellStyle name="Input 3 4 6" xfId="2716"/>
    <cellStyle name="Input 3 4 7" xfId="3130"/>
    <cellStyle name="Input 3 4 8" xfId="2207"/>
    <cellStyle name="Input 3 5" xfId="699"/>
    <cellStyle name="Input 3 5 2" xfId="1296"/>
    <cellStyle name="Input 3 5 3" xfId="2001"/>
    <cellStyle name="Input 3 5 4" xfId="2436"/>
    <cellStyle name="Input 3 5 5" xfId="2874"/>
    <cellStyle name="Input 3 5 6" xfId="3287"/>
    <cellStyle name="Input 3 5 7" xfId="3626"/>
    <cellStyle name="Input 3 6" xfId="1093"/>
    <cellStyle name="Input 3 7" xfId="1607"/>
    <cellStyle name="Input 3 8" xfId="1601"/>
    <cellStyle name="Input 3 9" xfId="1624"/>
    <cellStyle name="Input 4" xfId="353"/>
    <cellStyle name="InputCells" xfId="10"/>
    <cellStyle name="InputCells 2" xfId="153"/>
    <cellStyle name="InputCells 3" xfId="204"/>
    <cellStyle name="InputCells 4" xfId="356"/>
    <cellStyle name="InputCells_Bborder_1" xfId="154"/>
    <cellStyle name="InputCells12" xfId="19"/>
    <cellStyle name="InputCells12 2" xfId="155"/>
    <cellStyle name="InputCells12 2 2" xfId="430"/>
    <cellStyle name="InputCells12 2 2 2" xfId="604"/>
    <cellStyle name="InputCells12 2 2 2 2" xfId="819"/>
    <cellStyle name="InputCells12 2 2 2 2 2" xfId="1034"/>
    <cellStyle name="InputCells12 2 2 2 2 3" xfId="2119"/>
    <cellStyle name="InputCells12 2 2 2 2 4" xfId="2556"/>
    <cellStyle name="InputCells12 2 2 2 2 5" xfId="2991"/>
    <cellStyle name="InputCells12 2 2 2 2 6" xfId="3404"/>
    <cellStyle name="InputCells12 2 2 2 2 7" xfId="3514"/>
    <cellStyle name="InputCells12 2 2 2 3" xfId="1360"/>
    <cellStyle name="InputCells12 2 2 2 4" xfId="1906"/>
    <cellStyle name="InputCells12 2 2 2 5" xfId="2341"/>
    <cellStyle name="InputCells12 2 2 2 6" xfId="2779"/>
    <cellStyle name="InputCells12 2 2 2 7" xfId="3193"/>
    <cellStyle name="InputCells12 2 2 2 8" xfId="1418"/>
    <cellStyle name="InputCells12 2 2 3" xfId="729"/>
    <cellStyle name="InputCells12 2 2 3 2" xfId="1144"/>
    <cellStyle name="InputCells12 2 2 3 3" xfId="2029"/>
    <cellStyle name="InputCells12 2 2 3 4" xfId="2466"/>
    <cellStyle name="InputCells12 2 2 3 5" xfId="2901"/>
    <cellStyle name="InputCells12 2 2 3 6" xfId="3314"/>
    <cellStyle name="InputCells12 2 2 3 7" xfId="3642"/>
    <cellStyle name="InputCells12 2 3" xfId="289"/>
    <cellStyle name="InputCells12 2 3 10" xfId="1520"/>
    <cellStyle name="InputCells12 2 3 2" xfId="627"/>
    <cellStyle name="InputCells12 2 3 2 2" xfId="842"/>
    <cellStyle name="InputCells12 2 3 2 2 2" xfId="1253"/>
    <cellStyle name="InputCells12 2 3 2 2 3" xfId="2142"/>
    <cellStyle name="InputCells12 2 3 2 2 4" xfId="2579"/>
    <cellStyle name="InputCells12 2 3 2 2 5" xfId="3014"/>
    <cellStyle name="InputCells12 2 3 2 2 6" xfId="3427"/>
    <cellStyle name="InputCells12 2 3 2 2 7" xfId="3598"/>
    <cellStyle name="InputCells12 2 3 2 3" xfId="1358"/>
    <cellStyle name="InputCells12 2 3 2 4" xfId="1929"/>
    <cellStyle name="InputCells12 2 3 2 5" xfId="2364"/>
    <cellStyle name="InputCells12 2 3 2 6" xfId="2802"/>
    <cellStyle name="InputCells12 2 3 2 7" xfId="3216"/>
    <cellStyle name="InputCells12 2 3 2 8" xfId="1470"/>
    <cellStyle name="InputCells12 2 3 3" xfId="550"/>
    <cellStyle name="InputCells12 2 3 3 2" xfId="765"/>
    <cellStyle name="InputCells12 2 3 3 2 2" xfId="1113"/>
    <cellStyle name="InputCells12 2 3 3 2 3" xfId="2065"/>
    <cellStyle name="InputCells12 2 3 3 2 4" xfId="2502"/>
    <cellStyle name="InputCells12 2 3 3 2 5" xfId="2937"/>
    <cellStyle name="InputCells12 2 3 3 2 6" xfId="3350"/>
    <cellStyle name="InputCells12 2 3 3 2 7" xfId="1679"/>
    <cellStyle name="InputCells12 2 3 3 3" xfId="1084"/>
    <cellStyle name="InputCells12 2 3 3 4" xfId="1852"/>
    <cellStyle name="InputCells12 2 3 3 5" xfId="2287"/>
    <cellStyle name="InputCells12 2 3 3 6" xfId="2725"/>
    <cellStyle name="InputCells12 2 3 3 7" xfId="3139"/>
    <cellStyle name="InputCells12 2 3 3 8" xfId="1535"/>
    <cellStyle name="InputCells12 2 3 4" xfId="666"/>
    <cellStyle name="InputCells12 2 3 4 2" xfId="881"/>
    <cellStyle name="InputCells12 2 3 4 2 2" xfId="1393"/>
    <cellStyle name="InputCells12 2 3 4 2 3" xfId="2181"/>
    <cellStyle name="InputCells12 2 3 4 2 4" xfId="2618"/>
    <cellStyle name="InputCells12 2 3 4 2 5" xfId="3053"/>
    <cellStyle name="InputCells12 2 3 4 2 6" xfId="3466"/>
    <cellStyle name="InputCells12 2 3 4 2 7" xfId="3717"/>
    <cellStyle name="InputCells12 2 3 4 3" xfId="953"/>
    <cellStyle name="InputCells12 2 3 4 4" xfId="1968"/>
    <cellStyle name="InputCells12 2 3 4 5" xfId="2403"/>
    <cellStyle name="InputCells12 2 3 4 6" xfId="2841"/>
    <cellStyle name="InputCells12 2 3 4 7" xfId="3255"/>
    <cellStyle name="InputCells12 2 3 4 8" xfId="3699"/>
    <cellStyle name="InputCells12 2 3 5" xfId="1168"/>
    <cellStyle name="InputCells12 2 3 6" xfId="1646"/>
    <cellStyle name="InputCells12 2 3 7" xfId="1752"/>
    <cellStyle name="InputCells12 2 3 8" xfId="1789"/>
    <cellStyle name="InputCells12 2 3 9" xfId="2225"/>
    <cellStyle name="InputCells12 3" xfId="429"/>
    <cellStyle name="InputCells12 3 2" xfId="534"/>
    <cellStyle name="InputCells12 3 2 2" xfId="749"/>
    <cellStyle name="InputCells12 3 2 2 2" xfId="1022"/>
    <cellStyle name="InputCells12 3 2 2 3" xfId="2049"/>
    <cellStyle name="InputCells12 3 2 2 4" xfId="2486"/>
    <cellStyle name="InputCells12 3 2 2 5" xfId="2921"/>
    <cellStyle name="InputCells12 3 2 2 6" xfId="3334"/>
    <cellStyle name="InputCells12 3 2 2 7" xfId="3519"/>
    <cellStyle name="InputCells12 3 2 3" xfId="1006"/>
    <cellStyle name="InputCells12 3 2 4" xfId="1836"/>
    <cellStyle name="InputCells12 3 2 5" xfId="2271"/>
    <cellStyle name="InputCells12 3 2 6" xfId="2709"/>
    <cellStyle name="InputCells12 3 2 7" xfId="3123"/>
    <cellStyle name="InputCells12 3 2 8" xfId="1191"/>
    <cellStyle name="InputCells12 3 3" xfId="728"/>
    <cellStyle name="InputCells12 3 3 2" xfId="1198"/>
    <cellStyle name="InputCells12 3 3 3" xfId="2028"/>
    <cellStyle name="InputCells12 3 3 4" xfId="2465"/>
    <cellStyle name="InputCells12 3 3 5" xfId="2900"/>
    <cellStyle name="InputCells12 3 3 6" xfId="3313"/>
    <cellStyle name="InputCells12 3 3 7" xfId="3700"/>
    <cellStyle name="InputCells12 4" xfId="288"/>
    <cellStyle name="InputCells12 4 10" xfId="1590"/>
    <cellStyle name="InputCells12 4 2" xfId="626"/>
    <cellStyle name="InputCells12 4 2 2" xfId="841"/>
    <cellStyle name="InputCells12 4 2 2 2" xfId="1371"/>
    <cellStyle name="InputCells12 4 2 2 3" xfId="2141"/>
    <cellStyle name="InputCells12 4 2 2 4" xfId="2578"/>
    <cellStyle name="InputCells12 4 2 2 5" xfId="3013"/>
    <cellStyle name="InputCells12 4 2 2 6" xfId="3426"/>
    <cellStyle name="InputCells12 4 2 2 7" xfId="1424"/>
    <cellStyle name="InputCells12 4 2 3" xfId="1210"/>
    <cellStyle name="InputCells12 4 2 4" xfId="1928"/>
    <cellStyle name="InputCells12 4 2 5" xfId="2363"/>
    <cellStyle name="InputCells12 4 2 6" xfId="2801"/>
    <cellStyle name="InputCells12 4 2 7" xfId="3215"/>
    <cellStyle name="InputCells12 4 2 8" xfId="1024"/>
    <cellStyle name="InputCells12 4 3" xfId="551"/>
    <cellStyle name="InputCells12 4 3 2" xfId="766"/>
    <cellStyle name="InputCells12 4 3 2 2" xfId="1046"/>
    <cellStyle name="InputCells12 4 3 2 3" xfId="2066"/>
    <cellStyle name="InputCells12 4 3 2 4" xfId="2503"/>
    <cellStyle name="InputCells12 4 3 2 5" xfId="2938"/>
    <cellStyle name="InputCells12 4 3 2 6" xfId="3351"/>
    <cellStyle name="InputCells12 4 3 2 7" xfId="3508"/>
    <cellStyle name="InputCells12 4 3 3" xfId="1292"/>
    <cellStyle name="InputCells12 4 3 4" xfId="1853"/>
    <cellStyle name="InputCells12 4 3 5" xfId="2288"/>
    <cellStyle name="InputCells12 4 3 6" xfId="2726"/>
    <cellStyle name="InputCells12 4 3 7" xfId="3140"/>
    <cellStyle name="InputCells12 4 3 8" xfId="1426"/>
    <cellStyle name="InputCells12 4 4" xfId="525"/>
    <cellStyle name="InputCells12 4 4 2" xfId="740"/>
    <cellStyle name="InputCells12 4 4 2 2" xfId="1145"/>
    <cellStyle name="InputCells12 4 4 2 3" xfId="2040"/>
    <cellStyle name="InputCells12 4 4 2 4" xfId="2477"/>
    <cellStyle name="InputCells12 4 4 2 5" xfId="2912"/>
    <cellStyle name="InputCells12 4 4 2 6" xfId="3325"/>
    <cellStyle name="InputCells12 4 4 2 7" xfId="3543"/>
    <cellStyle name="InputCells12 4 4 3" xfId="1226"/>
    <cellStyle name="InputCells12 4 4 4" xfId="1827"/>
    <cellStyle name="InputCells12 4 4 5" xfId="2262"/>
    <cellStyle name="InputCells12 4 4 6" xfId="2700"/>
    <cellStyle name="InputCells12 4 4 7" xfId="3114"/>
    <cellStyle name="InputCells12 4 4 8" xfId="3691"/>
    <cellStyle name="InputCells12 4 5" xfId="1097"/>
    <cellStyle name="InputCells12 4 6" xfId="1645"/>
    <cellStyle name="InputCells12 4 7" xfId="2008"/>
    <cellStyle name="InputCells12 4 8" xfId="1497"/>
    <cellStyle name="InputCells12 4 9" xfId="1615"/>
    <cellStyle name="InputCells12 5" xfId="83"/>
    <cellStyle name="InputCells12 5 2" xfId="1490"/>
    <cellStyle name="InputCells12 5 3" xfId="1672"/>
    <cellStyle name="InputCells12 5 4" xfId="1594"/>
    <cellStyle name="InputCells12 5 5" xfId="3613"/>
    <cellStyle name="InputCells12_BBorder" xfId="25"/>
    <cellStyle name="IntCells" xfId="156"/>
    <cellStyle name="KP_thin_border_dark_grey" xfId="36"/>
    <cellStyle name="Link 2" xfId="1440"/>
    <cellStyle name="Linked Cell 2" xfId="157"/>
    <cellStyle name="Linked Cell 3" xfId="243"/>
    <cellStyle name="Linked Cell 4" xfId="378"/>
    <cellStyle name="Neutral 2" xfId="158"/>
    <cellStyle name="Neutral 3" xfId="244"/>
    <cellStyle name="Normaali 2" xfId="159"/>
    <cellStyle name="Normaali 2 2" xfId="160"/>
    <cellStyle name="Normal 10" xfId="381"/>
    <cellStyle name="Normal 10 2" xfId="450"/>
    <cellStyle name="Normal 10 2 2" xfId="1015"/>
    <cellStyle name="Normal 11" xfId="409"/>
    <cellStyle name="Normal 11 2" xfId="451"/>
    <cellStyle name="Normal 12" xfId="520"/>
    <cellStyle name="Normal 12 2" xfId="680"/>
    <cellStyle name="Normal 2" xfId="4"/>
    <cellStyle name="Normal 2 2" xfId="161"/>
    <cellStyle name="Normal 2 2 2" xfId="162"/>
    <cellStyle name="Normal 2 2 3" xfId="1448"/>
    <cellStyle name="Normal 2 3" xfId="163"/>
    <cellStyle name="Normal 2 3 2" xfId="431"/>
    <cellStyle name="Normal 2 4" xfId="40"/>
    <cellStyle name="Normal 3" xfId="37"/>
    <cellStyle name="Normal 3 2" xfId="164"/>
    <cellStyle name="Normal 3 2 2" xfId="41"/>
    <cellStyle name="Normal 3 3" xfId="205"/>
    <cellStyle name="Normal 3 4" xfId="367"/>
    <cellStyle name="Normal 3 5" xfId="1215"/>
    <cellStyle name="Normal 4" xfId="165"/>
    <cellStyle name="Normal 4 2" xfId="166"/>
    <cellStyle name="Normal 4 2 2" xfId="167"/>
    <cellStyle name="Normal 4 2 3" xfId="432"/>
    <cellStyle name="Normal 4 2 4" xfId="1454"/>
    <cellStyle name="Normal 4 3" xfId="206"/>
    <cellStyle name="Normal 4 3 2" xfId="433"/>
    <cellStyle name="Normal 4 4" xfId="930"/>
    <cellStyle name="Normal 5" xfId="168"/>
    <cellStyle name="Normal 5 2" xfId="299"/>
    <cellStyle name="Normal 5 2 2" xfId="306"/>
    <cellStyle name="Normal 5 2 2 2" xfId="312"/>
    <cellStyle name="Normal 5 2 2 2 2" xfId="327"/>
    <cellStyle name="Normal 5 2 2 2 2 2" xfId="456"/>
    <cellStyle name="Normal 5 2 2 2 3" xfId="455"/>
    <cellStyle name="Normal 5 2 2 3" xfId="326"/>
    <cellStyle name="Normal 5 2 2 3 2" xfId="457"/>
    <cellStyle name="Normal 5 2 2 4" xfId="454"/>
    <cellStyle name="Normal 5 2 3" xfId="311"/>
    <cellStyle name="Normal 5 2 3 2" xfId="328"/>
    <cellStyle name="Normal 5 2 3 2 2" xfId="459"/>
    <cellStyle name="Normal 5 2 3 3" xfId="458"/>
    <cellStyle name="Normal 5 2 4" xfId="325"/>
    <cellStyle name="Normal 5 2 4 2" xfId="460"/>
    <cellStyle name="Normal 5 2 5" xfId="434"/>
    <cellStyle name="Normal 5 2 5 2" xfId="461"/>
    <cellStyle name="Normal 5 2 6" xfId="453"/>
    <cellStyle name="Normal 5 3" xfId="303"/>
    <cellStyle name="Normal 5 3 2" xfId="313"/>
    <cellStyle name="Normal 5 3 2 2" xfId="330"/>
    <cellStyle name="Normal 5 3 2 2 2" xfId="464"/>
    <cellStyle name="Normal 5 3 2 3" xfId="463"/>
    <cellStyle name="Normal 5 3 3" xfId="329"/>
    <cellStyle name="Normal 5 3 3 2" xfId="465"/>
    <cellStyle name="Normal 5 3 4" xfId="462"/>
    <cellStyle name="Normal 5 4" xfId="310"/>
    <cellStyle name="Normal 5 4 2" xfId="331"/>
    <cellStyle name="Normal 5 4 2 2" xfId="467"/>
    <cellStyle name="Normal 5 4 3" xfId="466"/>
    <cellStyle name="Normal 5 5" xfId="324"/>
    <cellStyle name="Normal 5 5 2" xfId="468"/>
    <cellStyle name="Normal 5 6" xfId="368"/>
    <cellStyle name="Normal 5 7" xfId="452"/>
    <cellStyle name="Normal 5 8" xfId="290"/>
    <cellStyle name="Normal 6" xfId="169"/>
    <cellStyle name="Normal 6 10" xfId="435"/>
    <cellStyle name="Normal 6 10 2" xfId="470"/>
    <cellStyle name="Normal 6 11" xfId="469"/>
    <cellStyle name="Normal 6 2" xfId="300"/>
    <cellStyle name="Normal 6 2 2" xfId="307"/>
    <cellStyle name="Normal 6 2 2 2" xfId="316"/>
    <cellStyle name="Normal 6 2 2 2 2" xfId="335"/>
    <cellStyle name="Normal 6 2 2 2 2 2" xfId="474"/>
    <cellStyle name="Normal 6 2 2 2 3" xfId="473"/>
    <cellStyle name="Normal 6 2 2 3" xfId="334"/>
    <cellStyle name="Normal 6 2 2 3 2" xfId="475"/>
    <cellStyle name="Normal 6 2 2 4" xfId="472"/>
    <cellStyle name="Normal 6 2 3" xfId="315"/>
    <cellStyle name="Normal 6 2 3 2" xfId="336"/>
    <cellStyle name="Normal 6 2 3 2 2" xfId="477"/>
    <cellStyle name="Normal 6 2 3 3" xfId="476"/>
    <cellStyle name="Normal 6 2 4" xfId="333"/>
    <cellStyle name="Normal 6 2 4 2" xfId="478"/>
    <cellStyle name="Normal 6 2 5" xfId="436"/>
    <cellStyle name="Normal 6 2 5 2" xfId="479"/>
    <cellStyle name="Normal 6 2 6" xfId="471"/>
    <cellStyle name="Normal 6 3" xfId="302"/>
    <cellStyle name="Normal 6 3 2" xfId="309"/>
    <cellStyle name="Normal 6 3 2 2" xfId="318"/>
    <cellStyle name="Normal 6 3 2 2 2" xfId="339"/>
    <cellStyle name="Normal 6 3 2 2 2 2" xfId="483"/>
    <cellStyle name="Normal 6 3 2 2 3" xfId="482"/>
    <cellStyle name="Normal 6 3 2 3" xfId="338"/>
    <cellStyle name="Normal 6 3 2 3 2" xfId="484"/>
    <cellStyle name="Normal 6 3 2 4" xfId="481"/>
    <cellStyle name="Normal 6 3 3" xfId="317"/>
    <cellStyle name="Normal 6 3 3 2" xfId="340"/>
    <cellStyle name="Normal 6 3 3 2 2" xfId="486"/>
    <cellStyle name="Normal 6 3 3 3" xfId="485"/>
    <cellStyle name="Normal 6 3 4" xfId="337"/>
    <cellStyle name="Normal 6 3 4 2" xfId="487"/>
    <cellStyle name="Normal 6 3 5" xfId="480"/>
    <cellStyle name="Normal 6 4" xfId="304"/>
    <cellStyle name="Normal 6 4 2" xfId="319"/>
    <cellStyle name="Normal 6 4 2 2" xfId="342"/>
    <cellStyle name="Normal 6 4 2 2 2" xfId="490"/>
    <cellStyle name="Normal 6 4 2 3" xfId="489"/>
    <cellStyle name="Normal 6 4 3" xfId="341"/>
    <cellStyle name="Normal 6 4 3 2" xfId="491"/>
    <cellStyle name="Normal 6 4 4" xfId="488"/>
    <cellStyle name="Normal 6 5" xfId="314"/>
    <cellStyle name="Normal 6 5 2" xfId="343"/>
    <cellStyle name="Normal 6 5 2 2" xfId="493"/>
    <cellStyle name="Normal 6 5 3" xfId="492"/>
    <cellStyle name="Normal 6 6" xfId="332"/>
    <cellStyle name="Normal 6 6 2" xfId="494"/>
    <cellStyle name="Normal 6 7" xfId="369"/>
    <cellStyle name="Normal 6 7 2" xfId="495"/>
    <cellStyle name="Normal 6 8" xfId="405"/>
    <cellStyle name="Normal 6 8 2" xfId="496"/>
    <cellStyle name="Normal 6 9" xfId="408"/>
    <cellStyle name="Normal 6 9 2" xfId="497"/>
    <cellStyle name="Normal 7" xfId="35"/>
    <cellStyle name="Normal 7 2" xfId="301"/>
    <cellStyle name="Normal 7 2 2" xfId="308"/>
    <cellStyle name="Normal 7 2 2 2" xfId="322"/>
    <cellStyle name="Normal 7 2 2 2 2" xfId="347"/>
    <cellStyle name="Normal 7 2 2 2 2 2" xfId="502"/>
    <cellStyle name="Normal 7 2 2 2 3" xfId="501"/>
    <cellStyle name="Normal 7 2 2 3" xfId="346"/>
    <cellStyle name="Normal 7 2 2 3 2" xfId="503"/>
    <cellStyle name="Normal 7 2 2 4" xfId="500"/>
    <cellStyle name="Normal 7 2 3" xfId="321"/>
    <cellStyle name="Normal 7 2 3 2" xfId="348"/>
    <cellStyle name="Normal 7 2 3 2 2" xfId="505"/>
    <cellStyle name="Normal 7 2 3 3" xfId="504"/>
    <cellStyle name="Normal 7 2 4" xfId="345"/>
    <cellStyle name="Normal 7 2 4 2" xfId="506"/>
    <cellStyle name="Normal 7 2 5" xfId="437"/>
    <cellStyle name="Normal 7 2 5 2" xfId="507"/>
    <cellStyle name="Normal 7 2 6" xfId="499"/>
    <cellStyle name="Normal 7 3" xfId="305"/>
    <cellStyle name="Normal 7 3 2" xfId="323"/>
    <cellStyle name="Normal 7 3 2 2" xfId="350"/>
    <cellStyle name="Normal 7 3 2 2 2" xfId="510"/>
    <cellStyle name="Normal 7 3 2 3" xfId="509"/>
    <cellStyle name="Normal 7 3 3" xfId="349"/>
    <cellStyle name="Normal 7 3 3 2" xfId="511"/>
    <cellStyle name="Normal 7 3 4" xfId="508"/>
    <cellStyle name="Normal 7 4" xfId="320"/>
    <cellStyle name="Normal 7 4 2" xfId="351"/>
    <cellStyle name="Normal 7 4 2 2" xfId="513"/>
    <cellStyle name="Normal 7 4 3" xfId="512"/>
    <cellStyle name="Normal 7 5" xfId="344"/>
    <cellStyle name="Normal 7 5 2" xfId="514"/>
    <cellStyle name="Normal 7 6" xfId="357"/>
    <cellStyle name="Normal 7 7" xfId="498"/>
    <cellStyle name="Normal 7 8" xfId="298"/>
    <cellStyle name="Normal 8" xfId="245"/>
    <cellStyle name="Normal 8 2" xfId="439"/>
    <cellStyle name="Normal 8 3" xfId="438"/>
    <cellStyle name="Normal 8 4" xfId="1420"/>
    <cellStyle name="Normal 9" xfId="352"/>
    <cellStyle name="Normal 9 2" xfId="515"/>
    <cellStyle name="Normal GHG Numbers (0.00)" xfId="170"/>
    <cellStyle name="Normal GHG Numbers (0.00) 2" xfId="171"/>
    <cellStyle name="Normal GHG Numbers (0.00) 2 2" xfId="1222"/>
    <cellStyle name="Normal GHG Numbers (0.00) 3" xfId="38"/>
    <cellStyle name="Normal GHG Numbers (0.00) 3 2" xfId="440"/>
    <cellStyle name="Normal GHG Numbers (0.00) 3 2 2" xfId="589"/>
    <cellStyle name="Normal GHG Numbers (0.00) 3 2 2 2" xfId="804"/>
    <cellStyle name="Normal GHG Numbers (0.00) 3 2 2 2 2" xfId="1274"/>
    <cellStyle name="Normal GHG Numbers (0.00) 3 2 2 2 3" xfId="2104"/>
    <cellStyle name="Normal GHG Numbers (0.00) 3 2 2 2 4" xfId="2541"/>
    <cellStyle name="Normal GHG Numbers (0.00) 3 2 2 2 5" xfId="2976"/>
    <cellStyle name="Normal GHG Numbers (0.00) 3 2 2 2 6" xfId="3389"/>
    <cellStyle name="Normal GHG Numbers (0.00) 3 2 2 2 7" xfId="1800"/>
    <cellStyle name="Normal GHG Numbers (0.00) 3 2 2 3" xfId="1270"/>
    <cellStyle name="Normal GHG Numbers (0.00) 3 2 2 4" xfId="1891"/>
    <cellStyle name="Normal GHG Numbers (0.00) 3 2 2 5" xfId="2326"/>
    <cellStyle name="Normal GHG Numbers (0.00) 3 2 2 6" xfId="2764"/>
    <cellStyle name="Normal GHG Numbers (0.00) 3 2 2 7" xfId="3178"/>
    <cellStyle name="Normal GHG Numbers (0.00) 3 2 2 8" xfId="1724"/>
    <cellStyle name="Normal GHG Numbers (0.00) 3 2 3" xfId="730"/>
    <cellStyle name="Normal GHG Numbers (0.00) 3 2 3 2" xfId="1386"/>
    <cellStyle name="Normal GHG Numbers (0.00) 3 2 3 3" xfId="2030"/>
    <cellStyle name="Normal GHG Numbers (0.00) 3 2 3 4" xfId="2467"/>
    <cellStyle name="Normal GHG Numbers (0.00) 3 2 3 5" xfId="2902"/>
    <cellStyle name="Normal GHG Numbers (0.00) 3 2 3 6" xfId="3315"/>
    <cellStyle name="Normal GHG Numbers (0.00) 3 2 3 7" xfId="3708"/>
    <cellStyle name="Normal GHG Numbers (0.00) 3 3" xfId="370"/>
    <cellStyle name="Normal GHG Numbers (0.00) 3 3 10" xfId="3616"/>
    <cellStyle name="Normal GHG Numbers (0.00) 3 3 2" xfId="648"/>
    <cellStyle name="Normal GHG Numbers (0.00) 3 3 2 2" xfId="863"/>
    <cellStyle name="Normal GHG Numbers (0.00) 3 3 2 2 2" xfId="959"/>
    <cellStyle name="Normal GHG Numbers (0.00) 3 3 2 2 3" xfId="2163"/>
    <cellStyle name="Normal GHG Numbers (0.00) 3 3 2 2 4" xfId="2600"/>
    <cellStyle name="Normal GHG Numbers (0.00) 3 3 2 2 5" xfId="3035"/>
    <cellStyle name="Normal GHG Numbers (0.00) 3 3 2 2 6" xfId="3448"/>
    <cellStyle name="Normal GHG Numbers (0.00) 3 3 2 2 7" xfId="3648"/>
    <cellStyle name="Normal GHG Numbers (0.00) 3 3 2 3" xfId="1379"/>
    <cellStyle name="Normal GHG Numbers (0.00) 3 3 2 4" xfId="1950"/>
    <cellStyle name="Normal GHG Numbers (0.00) 3 3 2 5" xfId="2385"/>
    <cellStyle name="Normal GHG Numbers (0.00) 3 3 2 6" xfId="2823"/>
    <cellStyle name="Normal GHG Numbers (0.00) 3 3 2 7" xfId="3237"/>
    <cellStyle name="Normal GHG Numbers (0.00) 3 3 2 8" xfId="2676"/>
    <cellStyle name="Normal GHG Numbers (0.00) 3 3 3" xfId="545"/>
    <cellStyle name="Normal GHG Numbers (0.00) 3 3 3 2" xfId="760"/>
    <cellStyle name="Normal GHG Numbers (0.00) 3 3 3 2 2" xfId="1048"/>
    <cellStyle name="Normal GHG Numbers (0.00) 3 3 3 2 3" xfId="2060"/>
    <cellStyle name="Normal GHG Numbers (0.00) 3 3 3 2 4" xfId="2497"/>
    <cellStyle name="Normal GHG Numbers (0.00) 3 3 3 2 5" xfId="2932"/>
    <cellStyle name="Normal GHG Numbers (0.00) 3 3 3 2 6" xfId="3345"/>
    <cellStyle name="Normal GHG Numbers (0.00) 3 3 3 2 7" xfId="3506"/>
    <cellStyle name="Normal GHG Numbers (0.00) 3 3 3 3" xfId="1214"/>
    <cellStyle name="Normal GHG Numbers (0.00) 3 3 3 4" xfId="1847"/>
    <cellStyle name="Normal GHG Numbers (0.00) 3 3 3 5" xfId="2282"/>
    <cellStyle name="Normal GHG Numbers (0.00) 3 3 3 6" xfId="2720"/>
    <cellStyle name="Normal GHG Numbers (0.00) 3 3 3 7" xfId="3134"/>
    <cellStyle name="Normal GHG Numbers (0.00) 3 3 3 8" xfId="3535"/>
    <cellStyle name="Normal GHG Numbers (0.00) 3 3 4" xfId="678"/>
    <cellStyle name="Normal GHG Numbers (0.00) 3 3 4 2" xfId="893"/>
    <cellStyle name="Normal GHG Numbers (0.00) 3 3 4 2 2" xfId="1405"/>
    <cellStyle name="Normal GHG Numbers (0.00) 3 3 4 2 3" xfId="2193"/>
    <cellStyle name="Normal GHG Numbers (0.00) 3 3 4 2 4" xfId="2630"/>
    <cellStyle name="Normal GHG Numbers (0.00) 3 3 4 2 5" xfId="3065"/>
    <cellStyle name="Normal GHG Numbers (0.00) 3 3 4 2 6" xfId="3478"/>
    <cellStyle name="Normal GHG Numbers (0.00) 3 3 4 2 7" xfId="3729"/>
    <cellStyle name="Normal GHG Numbers (0.00) 3 3 4 3" xfId="1310"/>
    <cellStyle name="Normal GHG Numbers (0.00) 3 3 4 4" xfId="1980"/>
    <cellStyle name="Normal GHG Numbers (0.00) 3 3 4 5" xfId="2415"/>
    <cellStyle name="Normal GHG Numbers (0.00) 3 3 4 6" xfId="2853"/>
    <cellStyle name="Normal GHG Numbers (0.00) 3 3 4 7" xfId="3267"/>
    <cellStyle name="Normal GHG Numbers (0.00) 3 3 4 8" xfId="2212"/>
    <cellStyle name="Normal GHG Numbers (0.00) 3 3 5" xfId="1281"/>
    <cellStyle name="Normal GHG Numbers (0.00) 3 3 6" xfId="1708"/>
    <cellStyle name="Normal GHG Numbers (0.00) 3 3 7" xfId="1625"/>
    <cellStyle name="Normal GHG Numbers (0.00) 3 3 8" xfId="1223"/>
    <cellStyle name="Normal GHG Numbers (0.00) 3 3 9" xfId="1578"/>
    <cellStyle name="Normal GHG Numbers (0.00) 3 4" xfId="172"/>
    <cellStyle name="Normal GHG Numbers (0.00) 3 4 2" xfId="1556"/>
    <cellStyle name="Normal GHG Numbers (0.00) 3 4 3" xfId="1774"/>
    <cellStyle name="Normal GHG Numbers (0.00) 3 4 4" xfId="1616"/>
    <cellStyle name="Normal GHG Numbers (0.00) 3 4 5" xfId="3497"/>
    <cellStyle name="Normal GHG Textfiels Bold" xfId="5"/>
    <cellStyle name="Normal GHG Textfiels Bold 2" xfId="173"/>
    <cellStyle name="Normal GHG Textfiels Bold 3" xfId="174"/>
    <cellStyle name="Normal GHG Textfiels Bold 3 2" xfId="441"/>
    <cellStyle name="Normal GHG Textfiels Bold 3 2 2" xfId="533"/>
    <cellStyle name="Normal GHG Textfiels Bold 3 2 2 2" xfId="748"/>
    <cellStyle name="Normal GHG Textfiels Bold 3 2 2 2 2" xfId="1106"/>
    <cellStyle name="Normal GHG Textfiels Bold 3 2 2 2 3" xfId="2048"/>
    <cellStyle name="Normal GHG Textfiels Bold 3 2 2 2 4" xfId="2485"/>
    <cellStyle name="Normal GHG Textfiels Bold 3 2 2 2 5" xfId="2920"/>
    <cellStyle name="Normal GHG Textfiels Bold 3 2 2 2 6" xfId="3333"/>
    <cellStyle name="Normal GHG Textfiels Bold 3 2 2 2 7" xfId="3537"/>
    <cellStyle name="Normal GHG Textfiels Bold 3 2 2 3" xfId="1208"/>
    <cellStyle name="Normal GHG Textfiels Bold 3 2 2 4" xfId="1835"/>
    <cellStyle name="Normal GHG Textfiels Bold 3 2 2 5" xfId="2270"/>
    <cellStyle name="Normal GHG Textfiels Bold 3 2 2 6" xfId="2708"/>
    <cellStyle name="Normal GHG Textfiels Bold 3 2 2 7" xfId="3122"/>
    <cellStyle name="Normal GHG Textfiels Bold 3 2 2 8" xfId="3695"/>
    <cellStyle name="Normal GHG Textfiels Bold 3 2 3" xfId="731"/>
    <cellStyle name="Normal GHG Textfiels Bold 3 2 3 2" xfId="1272"/>
    <cellStyle name="Normal GHG Textfiels Bold 3 2 3 3" xfId="2031"/>
    <cellStyle name="Normal GHG Textfiels Bold 3 2 3 4" xfId="2468"/>
    <cellStyle name="Normal GHG Textfiels Bold 3 2 3 5" xfId="2903"/>
    <cellStyle name="Normal GHG Textfiels Bold 3 2 3 6" xfId="3316"/>
    <cellStyle name="Normal GHG Textfiels Bold 3 2 3 7" xfId="3693"/>
    <cellStyle name="Normal GHG Textfiels Bold 3 3" xfId="371"/>
    <cellStyle name="Normal GHG Textfiels Bold 3 3 10" xfId="2682"/>
    <cellStyle name="Normal GHG Textfiels Bold 3 3 2" xfId="649"/>
    <cellStyle name="Normal GHG Textfiels Bold 3 3 2 2" xfId="864"/>
    <cellStyle name="Normal GHG Textfiels Bold 3 3 2 2 2" xfId="1025"/>
    <cellStyle name="Normal GHG Textfiels Bold 3 3 2 2 3" xfId="2164"/>
    <cellStyle name="Normal GHG Textfiels Bold 3 3 2 2 4" xfId="2601"/>
    <cellStyle name="Normal GHG Textfiels Bold 3 3 2 2 5" xfId="3036"/>
    <cellStyle name="Normal GHG Textfiels Bold 3 3 2 2 6" xfId="3449"/>
    <cellStyle name="Normal GHG Textfiels Bold 3 3 2 2 7" xfId="3518"/>
    <cellStyle name="Normal GHG Textfiels Bold 3 3 2 3" xfId="1263"/>
    <cellStyle name="Normal GHG Textfiels Bold 3 3 2 4" xfId="1951"/>
    <cellStyle name="Normal GHG Textfiels Bold 3 3 2 5" xfId="2386"/>
    <cellStyle name="Normal GHG Textfiels Bold 3 3 2 6" xfId="2824"/>
    <cellStyle name="Normal GHG Textfiels Bold 3 3 2 7" xfId="3238"/>
    <cellStyle name="Normal GHG Textfiels Bold 3 3 2 8" xfId="1734"/>
    <cellStyle name="Normal GHG Textfiels Bold 3 3 3" xfId="592"/>
    <cellStyle name="Normal GHG Textfiels Bold 3 3 3 2" xfId="807"/>
    <cellStyle name="Normal GHG Textfiels Bold 3 3 3 2 2" xfId="1370"/>
    <cellStyle name="Normal GHG Textfiels Bold 3 3 3 2 3" xfId="2107"/>
    <cellStyle name="Normal GHG Textfiels Bold 3 3 3 2 4" xfId="2544"/>
    <cellStyle name="Normal GHG Textfiels Bold 3 3 3 2 5" xfId="2979"/>
    <cellStyle name="Normal GHG Textfiels Bold 3 3 3 2 6" xfId="3392"/>
    <cellStyle name="Normal GHG Textfiels Bold 3 3 3 2 7" xfId="3103"/>
    <cellStyle name="Normal GHG Textfiels Bold 3 3 3 3" xfId="1359"/>
    <cellStyle name="Normal GHG Textfiels Bold 3 3 3 4" xfId="1894"/>
    <cellStyle name="Normal GHG Textfiels Bold 3 3 3 5" xfId="2329"/>
    <cellStyle name="Normal GHG Textfiels Bold 3 3 3 6" xfId="2767"/>
    <cellStyle name="Normal GHG Textfiels Bold 3 3 3 7" xfId="3181"/>
    <cellStyle name="Normal GHG Textfiels Bold 3 3 3 8" xfId="2236"/>
    <cellStyle name="Normal GHG Textfiels Bold 3 3 4" xfId="567"/>
    <cellStyle name="Normal GHG Textfiels Bold 3 3 4 2" xfId="782"/>
    <cellStyle name="Normal GHG Textfiels Bold 3 3 4 2 2" xfId="979"/>
    <cellStyle name="Normal GHG Textfiels Bold 3 3 4 2 3" xfId="2082"/>
    <cellStyle name="Normal GHG Textfiels Bold 3 3 4 2 4" xfId="2519"/>
    <cellStyle name="Normal GHG Textfiels Bold 3 3 4 2 5" xfId="2954"/>
    <cellStyle name="Normal GHG Textfiels Bold 3 3 4 2 6" xfId="3367"/>
    <cellStyle name="Normal GHG Textfiels Bold 3 3 4 2 7" xfId="1757"/>
    <cellStyle name="Normal GHG Textfiels Bold 3 3 4 3" xfId="1289"/>
    <cellStyle name="Normal GHG Textfiels Bold 3 3 4 4" xfId="1869"/>
    <cellStyle name="Normal GHG Textfiels Bold 3 3 4 5" xfId="2304"/>
    <cellStyle name="Normal GHG Textfiels Bold 3 3 4 6" xfId="2742"/>
    <cellStyle name="Normal GHG Textfiels Bold 3 3 4 7" xfId="3156"/>
    <cellStyle name="Normal GHG Textfiels Bold 3 3 4 8" xfId="3567"/>
    <cellStyle name="Normal GHG Textfiels Bold 3 3 5" xfId="1315"/>
    <cellStyle name="Normal GHG Textfiels Bold 3 3 6" xfId="1709"/>
    <cellStyle name="Normal GHG Textfiels Bold 3 3 7" xfId="1733"/>
    <cellStyle name="Normal GHG Textfiels Bold 3 3 8" xfId="1501"/>
    <cellStyle name="Normal GHG Textfiels Bold 3 3 9" xfId="2233"/>
    <cellStyle name="Normal GHG whole table" xfId="13"/>
    <cellStyle name="Normal GHG whole table 2" xfId="442"/>
    <cellStyle name="Normal GHG whole table 2 2" xfId="588"/>
    <cellStyle name="Normal GHG whole table 2 2 2" xfId="803"/>
    <cellStyle name="Normal GHG whole table 2 2 2 2" xfId="1388"/>
    <cellStyle name="Normal GHG whole table 2 2 2 3" xfId="2103"/>
    <cellStyle name="Normal GHG whole table 2 2 2 4" xfId="2540"/>
    <cellStyle name="Normal GHG whole table 2 2 2 5" xfId="2975"/>
    <cellStyle name="Normal GHG whole table 2 2 2 6" xfId="3388"/>
    <cellStyle name="Normal GHG whole table 2 2 2 7" xfId="3710"/>
    <cellStyle name="Normal GHG whole table 2 2 3" xfId="1384"/>
    <cellStyle name="Normal GHG whole table 2 2 4" xfId="1890"/>
    <cellStyle name="Normal GHG whole table 2 2 5" xfId="2325"/>
    <cellStyle name="Normal GHG whole table 2 2 6" xfId="2763"/>
    <cellStyle name="Normal GHG whole table 2 2 7" xfId="3177"/>
    <cellStyle name="Normal GHG whole table 2 2 8" xfId="3706"/>
    <cellStyle name="Normal GHG whole table 2 3" xfId="732"/>
    <cellStyle name="Normal GHG whole table 2 3 2" xfId="1389"/>
    <cellStyle name="Normal GHG whole table 2 3 3" xfId="2032"/>
    <cellStyle name="Normal GHG whole table 2 3 4" xfId="2469"/>
    <cellStyle name="Normal GHG whole table 2 3 5" xfId="2904"/>
    <cellStyle name="Normal GHG whole table 2 3 6" xfId="3317"/>
    <cellStyle name="Normal GHG whole table 2 3 7" xfId="3711"/>
    <cellStyle name="Normal GHG whole table 3" xfId="291"/>
    <cellStyle name="Normal GHG whole table 3 10" xfId="1706"/>
    <cellStyle name="Normal GHG whole table 3 2" xfId="628"/>
    <cellStyle name="Normal GHG whole table 3 2 2" xfId="843"/>
    <cellStyle name="Normal GHG whole table 3 2 2 2" xfId="1369"/>
    <cellStyle name="Normal GHG whole table 3 2 2 3" xfId="2143"/>
    <cellStyle name="Normal GHG whole table 3 2 2 4" xfId="2580"/>
    <cellStyle name="Normal GHG whole table 3 2 2 5" xfId="3015"/>
    <cellStyle name="Normal GHG whole table 3 2 2 6" xfId="3428"/>
    <cellStyle name="Normal GHG whole table 3 2 2 7" xfId="1779"/>
    <cellStyle name="Normal GHG whole table 3 2 3" xfId="1241"/>
    <cellStyle name="Normal GHG whole table 3 2 4" xfId="1930"/>
    <cellStyle name="Normal GHG whole table 3 2 5" xfId="2365"/>
    <cellStyle name="Normal GHG whole table 3 2 6" xfId="2803"/>
    <cellStyle name="Normal GHG whole table 3 2 7" xfId="3217"/>
    <cellStyle name="Normal GHG whole table 3 2 8" xfId="3673"/>
    <cellStyle name="Normal GHG whole table 3 3" xfId="549"/>
    <cellStyle name="Normal GHG whole table 3 3 2" xfId="764"/>
    <cellStyle name="Normal GHG whole table 3 3 2 2" xfId="986"/>
    <cellStyle name="Normal GHG whole table 3 3 2 3" xfId="2064"/>
    <cellStyle name="Normal GHG whole table 3 3 2 4" xfId="2501"/>
    <cellStyle name="Normal GHG whole table 3 3 2 5" xfId="2936"/>
    <cellStyle name="Normal GHG whole table 3 3 2 6" xfId="3349"/>
    <cellStyle name="Normal GHG whole table 3 3 2 7" xfId="1597"/>
    <cellStyle name="Normal GHG whole table 3 3 3" xfId="1244"/>
    <cellStyle name="Normal GHG whole table 3 3 4" xfId="1851"/>
    <cellStyle name="Normal GHG whole table 3 3 5" xfId="2286"/>
    <cellStyle name="Normal GHG whole table 3 3 6" xfId="2724"/>
    <cellStyle name="Normal GHG whole table 3 3 7" xfId="3138"/>
    <cellStyle name="Normal GHG whole table 3 3 8" xfId="1721"/>
    <cellStyle name="Normal GHG whole table 3 4" xfId="636"/>
    <cellStyle name="Normal GHG whole table 3 4 2" xfId="851"/>
    <cellStyle name="Normal GHG whole table 3 4 2 2" xfId="965"/>
    <cellStyle name="Normal GHG whole table 3 4 2 3" xfId="2151"/>
    <cellStyle name="Normal GHG whole table 3 4 2 4" xfId="2588"/>
    <cellStyle name="Normal GHG whole table 3 4 2 5" xfId="3023"/>
    <cellStyle name="Normal GHG whole table 3 4 2 6" xfId="3436"/>
    <cellStyle name="Normal GHG whole table 3 4 2 7" xfId="3644"/>
    <cellStyle name="Normal GHG whole table 3 4 3" xfId="1230"/>
    <cellStyle name="Normal GHG whole table 3 4 4" xfId="1938"/>
    <cellStyle name="Normal GHG whole table 3 4 5" xfId="2373"/>
    <cellStyle name="Normal GHG whole table 3 4 6" xfId="2811"/>
    <cellStyle name="Normal GHG whole table 3 4 7" xfId="3225"/>
    <cellStyle name="Normal GHG whole table 3 4 8" xfId="2665"/>
    <cellStyle name="Normal GHG whole table 3 5" xfId="1100"/>
    <cellStyle name="Normal GHG whole table 3 6" xfId="1648"/>
    <cellStyle name="Normal GHG whole table 3 7" xfId="1437"/>
    <cellStyle name="Normal GHG whole table 3 8" xfId="1788"/>
    <cellStyle name="Normal GHG whole table 3 9" xfId="1521"/>
    <cellStyle name="Normal GHG whole table 4" xfId="78"/>
    <cellStyle name="Normal GHG whole table 4 2" xfId="1485"/>
    <cellStyle name="Normal GHG whole table 4 3" xfId="1808"/>
    <cellStyle name="Normal GHG whole table 4 4" xfId="1720"/>
    <cellStyle name="Normal GHG whole table 4 5" xfId="2215"/>
    <cellStyle name="Normal GHG-Shade" xfId="11"/>
    <cellStyle name="Normal GHG-Shade 2" xfId="175"/>
    <cellStyle name="Normal GHG-Shade 2 2" xfId="176"/>
    <cellStyle name="Normal GHG-Shade 2 3" xfId="177"/>
    <cellStyle name="Normal GHG-Shade 2 4" xfId="207"/>
    <cellStyle name="Normal GHG-Shade 2 5" xfId="372"/>
    <cellStyle name="Normal GHG-Shade 3" xfId="178"/>
    <cellStyle name="Normal GHG-Shade 3 2" xfId="179"/>
    <cellStyle name="Normal GHG-Shade 4" xfId="180"/>
    <cellStyle name="Normal GHG-Shade 4 2" xfId="443"/>
    <cellStyle name="Normal_AFOLU_worksheetsv02" xfId="30"/>
    <cellStyle name="Normál_Munka1" xfId="26"/>
    <cellStyle name="Normal_Sheet3 2" xfId="43"/>
    <cellStyle name="Note 2" xfId="181"/>
    <cellStyle name="Note 2 10" xfId="2653"/>
    <cellStyle name="Note 2 11" xfId="3600"/>
    <cellStyle name="Note 2 2" xfId="571"/>
    <cellStyle name="Note 2 2 2" xfId="786"/>
    <cellStyle name="Note 2 2 2 2" xfId="977"/>
    <cellStyle name="Note 2 2 2 3" xfId="2086"/>
    <cellStyle name="Note 2 2 2 4" xfId="2523"/>
    <cellStyle name="Note 2 2 2 5" xfId="2958"/>
    <cellStyle name="Note 2 2 2 6" xfId="3371"/>
    <cellStyle name="Note 2 2 2 7" xfId="3074"/>
    <cellStyle name="Note 2 2 3" xfId="1247"/>
    <cellStyle name="Note 2 2 4" xfId="1873"/>
    <cellStyle name="Note 2 2 5" xfId="2308"/>
    <cellStyle name="Note 2 2 6" xfId="2746"/>
    <cellStyle name="Note 2 2 7" xfId="3160"/>
    <cellStyle name="Note 2 2 8" xfId="2238"/>
    <cellStyle name="Note 2 3" xfId="635"/>
    <cellStyle name="Note 2 3 2" xfId="850"/>
    <cellStyle name="Note 2 3 2 2" xfId="966"/>
    <cellStyle name="Note 2 3 2 3" xfId="2150"/>
    <cellStyle name="Note 2 3 2 4" xfId="2587"/>
    <cellStyle name="Note 2 3 2 5" xfId="3022"/>
    <cellStyle name="Note 2 3 2 6" xfId="3435"/>
    <cellStyle name="Note 2 3 2 7" xfId="3545"/>
    <cellStyle name="Note 2 3 3" xfId="1346"/>
    <cellStyle name="Note 2 3 4" xfId="1937"/>
    <cellStyle name="Note 2 3 5" xfId="2372"/>
    <cellStyle name="Note 2 3 6" xfId="2810"/>
    <cellStyle name="Note 2 3 7" xfId="3224"/>
    <cellStyle name="Note 2 3 8" xfId="2662"/>
    <cellStyle name="Note 2 4" xfId="530"/>
    <cellStyle name="Note 2 4 2" xfId="745"/>
    <cellStyle name="Note 2 4 2 2" xfId="1023"/>
    <cellStyle name="Note 2 4 2 3" xfId="2045"/>
    <cellStyle name="Note 2 4 2 4" xfId="2482"/>
    <cellStyle name="Note 2 4 2 5" xfId="2917"/>
    <cellStyle name="Note 2 4 2 6" xfId="3330"/>
    <cellStyle name="Note 2 4 2 7" xfId="3520"/>
    <cellStyle name="Note 2 4 3" xfId="1366"/>
    <cellStyle name="Note 2 4 4" xfId="1832"/>
    <cellStyle name="Note 2 4 5" xfId="2267"/>
    <cellStyle name="Note 2 4 6" xfId="2705"/>
    <cellStyle name="Note 2 4 7" xfId="3119"/>
    <cellStyle name="Note 2 4 8" xfId="2256"/>
    <cellStyle name="Note 2 5" xfId="694"/>
    <cellStyle name="Note 2 5 2" xfId="1380"/>
    <cellStyle name="Note 2 5 3" xfId="1996"/>
    <cellStyle name="Note 2 5 4" xfId="2431"/>
    <cellStyle name="Note 2 5 5" xfId="2869"/>
    <cellStyle name="Note 2 5 6" xfId="3282"/>
    <cellStyle name="Note 2 5 7" xfId="1775"/>
    <cellStyle name="Note 2 6" xfId="1094"/>
    <cellStyle name="Note 2 7" xfId="1559"/>
    <cellStyle name="Note 2 8" xfId="1760"/>
    <cellStyle name="Note 2 9" xfId="1517"/>
    <cellStyle name="Note 3" xfId="246"/>
    <cellStyle name="Note 3 10" xfId="1748"/>
    <cellStyle name="Note 3 11" xfId="3603"/>
    <cellStyle name="Note 3 2" xfId="599"/>
    <cellStyle name="Note 3 2 2" xfId="814"/>
    <cellStyle name="Note 3 2 2 2" xfId="47"/>
    <cellStyle name="Note 3 2 2 3" xfId="2114"/>
    <cellStyle name="Note 3 2 2 4" xfId="2551"/>
    <cellStyle name="Note 3 2 2 5" xfId="2986"/>
    <cellStyle name="Note 3 2 2 6" xfId="3399"/>
    <cellStyle name="Note 3 2 2 7" xfId="1461"/>
    <cellStyle name="Note 3 2 3" xfId="1286"/>
    <cellStyle name="Note 3 2 4" xfId="1901"/>
    <cellStyle name="Note 3 2 5" xfId="2336"/>
    <cellStyle name="Note 3 2 6" xfId="2774"/>
    <cellStyle name="Note 3 2 7" xfId="3188"/>
    <cellStyle name="Note 3 2 8" xfId="3542"/>
    <cellStyle name="Note 3 3" xfId="565"/>
    <cellStyle name="Note 3 3 2" xfId="780"/>
    <cellStyle name="Note 3 3 2 2" xfId="980"/>
    <cellStyle name="Note 3 3 2 3" xfId="2080"/>
    <cellStyle name="Note 3 3 2 4" xfId="2517"/>
    <cellStyle name="Note 3 3 2 5" xfId="2952"/>
    <cellStyle name="Note 3 3 2 6" xfId="3365"/>
    <cellStyle name="Note 3 3 2 7" xfId="1516"/>
    <cellStyle name="Note 3 3 3" xfId="1321"/>
    <cellStyle name="Note 3 3 4" xfId="1867"/>
    <cellStyle name="Note 3 3 5" xfId="2302"/>
    <cellStyle name="Note 3 3 6" xfId="2740"/>
    <cellStyle name="Note 3 3 7" xfId="3154"/>
    <cellStyle name="Note 3 3 8" xfId="1793"/>
    <cellStyle name="Note 3 4" xfId="583"/>
    <cellStyle name="Note 3 4 2" xfId="798"/>
    <cellStyle name="Note 3 4 2 2" xfId="1132"/>
    <cellStyle name="Note 3 4 2 3" xfId="2098"/>
    <cellStyle name="Note 3 4 2 4" xfId="2535"/>
    <cellStyle name="Note 3 4 2 5" xfId="2970"/>
    <cellStyle name="Note 3 4 2 6" xfId="3383"/>
    <cellStyle name="Note 3 4 2 7" xfId="2011"/>
    <cellStyle name="Note 3 4 3" xfId="999"/>
    <cellStyle name="Note 3 4 4" xfId="1885"/>
    <cellStyle name="Note 3 4 5" xfId="2320"/>
    <cellStyle name="Note 3 4 6" xfId="2758"/>
    <cellStyle name="Note 3 4 7" xfId="3172"/>
    <cellStyle name="Note 3 4 8" xfId="3678"/>
    <cellStyle name="Note 3 5" xfId="700"/>
    <cellStyle name="Note 3 5 2" xfId="1312"/>
    <cellStyle name="Note 3 5 3" xfId="2002"/>
    <cellStyle name="Note 3 5 4" xfId="2437"/>
    <cellStyle name="Note 3 5 5" xfId="2875"/>
    <cellStyle name="Note 3 5 6" xfId="3288"/>
    <cellStyle name="Note 3 5 7" xfId="1790"/>
    <cellStyle name="Note 3 6" xfId="1181"/>
    <cellStyle name="Note 3 7" xfId="1610"/>
    <cellStyle name="Note 3 8" xfId="1020"/>
    <cellStyle name="Note 3 9" xfId="1589"/>
    <cellStyle name="Notiz 10" xfId="2209"/>
    <cellStyle name="Notiz 11" xfId="2654"/>
    <cellStyle name="Notiz 12" xfId="1798"/>
    <cellStyle name="Notiz 2" xfId="572"/>
    <cellStyle name="Notiz 2 2" xfId="787"/>
    <cellStyle name="Notiz 2 2 2" xfId="1037"/>
    <cellStyle name="Notiz 2 2 3" xfId="2087"/>
    <cellStyle name="Notiz 2 2 4" xfId="2524"/>
    <cellStyle name="Notiz 2 2 5" xfId="2959"/>
    <cellStyle name="Notiz 2 2 6" xfId="3372"/>
    <cellStyle name="Notiz 2 2 7" xfId="3509"/>
    <cellStyle name="Notiz 2 3" xfId="1086"/>
    <cellStyle name="Notiz 2 4" xfId="1874"/>
    <cellStyle name="Notiz 2 5" xfId="2309"/>
    <cellStyle name="Notiz 2 6" xfId="2747"/>
    <cellStyle name="Notiz 2 7" xfId="3161"/>
    <cellStyle name="Notiz 2 8" xfId="2693"/>
    <cellStyle name="Notiz 3" xfId="634"/>
    <cellStyle name="Notiz 3 2" xfId="849"/>
    <cellStyle name="Notiz 3 2 2" xfId="1142"/>
    <cellStyle name="Notiz 3 2 3" xfId="2149"/>
    <cellStyle name="Notiz 3 2 4" xfId="2586"/>
    <cellStyle name="Notiz 3 2 5" xfId="3021"/>
    <cellStyle name="Notiz 3 2 6" xfId="3434"/>
    <cellStyle name="Notiz 3 2 7" xfId="3683"/>
    <cellStyle name="Notiz 3 3" xfId="952"/>
    <cellStyle name="Notiz 3 4" xfId="1936"/>
    <cellStyle name="Notiz 3 5" xfId="2371"/>
    <cellStyle name="Notiz 3 6" xfId="2809"/>
    <cellStyle name="Notiz 3 7" xfId="3223"/>
    <cellStyle name="Notiz 3 8" xfId="3606"/>
    <cellStyle name="Notiz 4" xfId="603"/>
    <cellStyle name="Notiz 4 2" xfId="818"/>
    <cellStyle name="Notiz 4 2 2" xfId="971"/>
    <cellStyle name="Notiz 4 2 3" xfId="2118"/>
    <cellStyle name="Notiz 4 2 4" xfId="2555"/>
    <cellStyle name="Notiz 4 2 5" xfId="2990"/>
    <cellStyle name="Notiz 4 2 6" xfId="3403"/>
    <cellStyle name="Notiz 4 2 7" xfId="3631"/>
    <cellStyle name="Notiz 4 3" xfId="1227"/>
    <cellStyle name="Notiz 4 4" xfId="1905"/>
    <cellStyle name="Notiz 4 5" xfId="2340"/>
    <cellStyle name="Notiz 4 6" xfId="2778"/>
    <cellStyle name="Notiz 4 7" xfId="3192"/>
    <cellStyle name="Notiz 4 8" xfId="3589"/>
    <cellStyle name="Notiz 5" xfId="695"/>
    <cellStyle name="Notiz 5 2" xfId="1264"/>
    <cellStyle name="Notiz 5 3" xfId="1997"/>
    <cellStyle name="Notiz 5 4" xfId="2432"/>
    <cellStyle name="Notiz 5 5" xfId="2870"/>
    <cellStyle name="Notiz 5 6" xfId="3283"/>
    <cellStyle name="Notiz 5 7" xfId="1747"/>
    <cellStyle name="Notiz 6" xfId="182"/>
    <cellStyle name="Notiz 7" xfId="1185"/>
    <cellStyle name="Notiz 8" xfId="1560"/>
    <cellStyle name="Notiz 9" xfId="1576"/>
    <cellStyle name="Output 2" xfId="183"/>
    <cellStyle name="Output 2 10" xfId="2643"/>
    <cellStyle name="Output 2 2" xfId="573"/>
    <cellStyle name="Output 2 2 2" xfId="788"/>
    <cellStyle name="Output 2 2 2 2" xfId="976"/>
    <cellStyle name="Output 2 2 2 3" xfId="2088"/>
    <cellStyle name="Output 2 2 2 4" xfId="2525"/>
    <cellStyle name="Output 2 2 2 5" xfId="2960"/>
    <cellStyle name="Output 2 2 2 6" xfId="3373"/>
    <cellStyle name="Output 2 2 2 7" xfId="3548"/>
    <cellStyle name="Output 2 2 3" xfId="1291"/>
    <cellStyle name="Output 2 2 4" xfId="1875"/>
    <cellStyle name="Output 2 2 5" xfId="2310"/>
    <cellStyle name="Output 2 2 6" xfId="2748"/>
    <cellStyle name="Output 2 2 7" xfId="3162"/>
    <cellStyle name="Output 2 2 8" xfId="1568"/>
    <cellStyle name="Output 2 3" xfId="669"/>
    <cellStyle name="Output 2 3 2" xfId="884"/>
    <cellStyle name="Output 2 3 2 2" xfId="1396"/>
    <cellStyle name="Output 2 3 2 3" xfId="2184"/>
    <cellStyle name="Output 2 3 2 4" xfId="2621"/>
    <cellStyle name="Output 2 3 2 5" xfId="3056"/>
    <cellStyle name="Output 2 3 2 6" xfId="3469"/>
    <cellStyle name="Output 2 3 2 7" xfId="3720"/>
    <cellStyle name="Output 2 3 3" xfId="1344"/>
    <cellStyle name="Output 2 3 4" xfId="1971"/>
    <cellStyle name="Output 2 3 5" xfId="2406"/>
    <cellStyle name="Output 2 3 6" xfId="2844"/>
    <cellStyle name="Output 2 3 7" xfId="3258"/>
    <cellStyle name="Output 2 3 8" xfId="2216"/>
    <cellStyle name="Output 2 4" xfId="696"/>
    <cellStyle name="Output 2 4 2" xfId="1351"/>
    <cellStyle name="Output 2 4 3" xfId="1998"/>
    <cellStyle name="Output 2 4 4" xfId="2433"/>
    <cellStyle name="Output 2 4 5" xfId="2871"/>
    <cellStyle name="Output 2 4 6" xfId="3284"/>
    <cellStyle name="Output 2 4 7" xfId="2237"/>
    <cellStyle name="Output 2 5" xfId="1186"/>
    <cellStyle name="Output 2 6" xfId="1561"/>
    <cellStyle name="Output 2 7" xfId="1759"/>
    <cellStyle name="Output 2 8" xfId="2210"/>
    <cellStyle name="Output 2 9" xfId="1766"/>
    <cellStyle name="Output 3" xfId="247"/>
    <cellStyle name="Output 3 10" xfId="3684"/>
    <cellStyle name="Output 3 2" xfId="600"/>
    <cellStyle name="Output 3 2 2" xfId="815"/>
    <cellStyle name="Output 3 2 2 2" xfId="1036"/>
    <cellStyle name="Output 3 2 2 3" xfId="2115"/>
    <cellStyle name="Output 3 2 2 4" xfId="2552"/>
    <cellStyle name="Output 3 2 2 5" xfId="2987"/>
    <cellStyle name="Output 3 2 2 6" xfId="3400"/>
    <cellStyle name="Output 3 2 2 7" xfId="1555"/>
    <cellStyle name="Output 3 2 3" xfId="1332"/>
    <cellStyle name="Output 3 2 4" xfId="1902"/>
    <cellStyle name="Output 3 2 5" xfId="2337"/>
    <cellStyle name="Output 3 2 6" xfId="2775"/>
    <cellStyle name="Output 3 2 7" xfId="3189"/>
    <cellStyle name="Output 3 2 8" xfId="3294"/>
    <cellStyle name="Output 3 3" xfId="651"/>
    <cellStyle name="Output 3 3 2" xfId="866"/>
    <cellStyle name="Output 3 3 2 2" xfId="1060"/>
    <cellStyle name="Output 3 3 2 3" xfId="2166"/>
    <cellStyle name="Output 3 3 2 4" xfId="2603"/>
    <cellStyle name="Output 3 3 2 5" xfId="3038"/>
    <cellStyle name="Output 3 3 2 6" xfId="3451"/>
    <cellStyle name="Output 3 3 2 7" xfId="3499"/>
    <cellStyle name="Output 3 3 3" xfId="1239"/>
    <cellStyle name="Output 3 3 4" xfId="1953"/>
    <cellStyle name="Output 3 3 5" xfId="2388"/>
    <cellStyle name="Output 3 3 6" xfId="2826"/>
    <cellStyle name="Output 3 3 7" xfId="3240"/>
    <cellStyle name="Output 3 3 8" xfId="3640"/>
    <cellStyle name="Output 3 4" xfId="701"/>
    <cellStyle name="Output 3 4 2" xfId="1197"/>
    <cellStyle name="Output 3 4 3" xfId="2003"/>
    <cellStyle name="Output 3 4 4" xfId="2438"/>
    <cellStyle name="Output 3 4 5" xfId="2876"/>
    <cellStyle name="Output 3 4 6" xfId="3289"/>
    <cellStyle name="Output 3 4 7" xfId="3601"/>
    <cellStyle name="Output 3 5" xfId="1160"/>
    <cellStyle name="Output 3 6" xfId="1611"/>
    <cellStyle name="Output 3 7" xfId="1438"/>
    <cellStyle name="Output 3 8" xfId="1540"/>
    <cellStyle name="Output 3 9" xfId="1453"/>
    <cellStyle name="Pattern" xfId="184"/>
    <cellStyle name="Pattern 2" xfId="444"/>
    <cellStyle name="Pattern 2 2" xfId="587"/>
    <cellStyle name="Pattern 2 2 2" xfId="802"/>
    <cellStyle name="Pattern 2 2 2 2" xfId="1290"/>
    <cellStyle name="Pattern 2 2 2 3" xfId="2102"/>
    <cellStyle name="Pattern 2 2 2 4" xfId="2539"/>
    <cellStyle name="Pattern 2 2 2 5" xfId="2974"/>
    <cellStyle name="Pattern 2 2 2 6" xfId="3387"/>
    <cellStyle name="Pattern 2 2 2 7" xfId="3092"/>
    <cellStyle name="Pattern 2 2 3" xfId="1285"/>
    <cellStyle name="Pattern 2 2 4" xfId="1889"/>
    <cellStyle name="Pattern 2 2 5" xfId="2324"/>
    <cellStyle name="Pattern 2 2 6" xfId="2762"/>
    <cellStyle name="Pattern 2 2 7" xfId="3176"/>
    <cellStyle name="Pattern 2 2 8" xfId="3641"/>
    <cellStyle name="Pattern 2 3" xfId="733"/>
    <cellStyle name="Pattern 2 3 2" xfId="1275"/>
    <cellStyle name="Pattern 2 3 3" xfId="2033"/>
    <cellStyle name="Pattern 2 3 4" xfId="2470"/>
    <cellStyle name="Pattern 2 3 5" xfId="2905"/>
    <cellStyle name="Pattern 2 3 6" xfId="3318"/>
    <cellStyle name="Pattern 2 3 7" xfId="3531"/>
    <cellStyle name="Pattern 3" xfId="293"/>
    <cellStyle name="Pattern 3 10" xfId="3595"/>
    <cellStyle name="Pattern 3 2" xfId="630"/>
    <cellStyle name="Pattern 3 2 2" xfId="845"/>
    <cellStyle name="Pattern 3 2 2 2" xfId="1108"/>
    <cellStyle name="Pattern 3 2 2 3" xfId="2145"/>
    <cellStyle name="Pattern 3 2 2 4" xfId="2582"/>
    <cellStyle name="Pattern 3 2 2 5" xfId="3017"/>
    <cellStyle name="Pattern 3 2 2 6" xfId="3430"/>
    <cellStyle name="Pattern 3 2 2 7" xfId="3620"/>
    <cellStyle name="Pattern 3 2 3" xfId="1153"/>
    <cellStyle name="Pattern 3 2 4" xfId="1932"/>
    <cellStyle name="Pattern 3 2 5" xfId="2367"/>
    <cellStyle name="Pattern 3 2 6" xfId="2805"/>
    <cellStyle name="Pattern 3 2 7" xfId="3219"/>
    <cellStyle name="Pattern 3 2 8" xfId="1606"/>
    <cellStyle name="Pattern 3 3" xfId="529"/>
    <cellStyle name="Pattern 3 3 2" xfId="744"/>
    <cellStyle name="Pattern 3 3 2 2" xfId="1107"/>
    <cellStyle name="Pattern 3 3 2 3" xfId="2044"/>
    <cellStyle name="Pattern 3 3 2 4" xfId="2481"/>
    <cellStyle name="Pattern 3 3 2 5" xfId="2916"/>
    <cellStyle name="Pattern 3 3 2 6" xfId="3329"/>
    <cellStyle name="Pattern 3 3 2 7" xfId="3677"/>
    <cellStyle name="Pattern 3 3 3" xfId="1203"/>
    <cellStyle name="Pattern 3 3 4" xfId="1831"/>
    <cellStyle name="Pattern 3 3 5" xfId="2266"/>
    <cellStyle name="Pattern 3 3 6" xfId="2704"/>
    <cellStyle name="Pattern 3 3 7" xfId="3118"/>
    <cellStyle name="Pattern 3 3 8" xfId="3639"/>
    <cellStyle name="Pattern 3 4" xfId="643"/>
    <cellStyle name="Pattern 3 4 2" xfId="858"/>
    <cellStyle name="Pattern 3 4 2 2" xfId="1028"/>
    <cellStyle name="Pattern 3 4 2 3" xfId="2158"/>
    <cellStyle name="Pattern 3 4 2 4" xfId="2595"/>
    <cellStyle name="Pattern 3 4 2 5" xfId="3030"/>
    <cellStyle name="Pattern 3 4 2 6" xfId="3443"/>
    <cellStyle name="Pattern 3 4 2 7" xfId="1202"/>
    <cellStyle name="Pattern 3 4 3" xfId="1347"/>
    <cellStyle name="Pattern 3 4 4" xfId="1945"/>
    <cellStyle name="Pattern 3 4 5" xfId="2380"/>
    <cellStyle name="Pattern 3 4 6" xfId="2818"/>
    <cellStyle name="Pattern 3 4 7" xfId="3232"/>
    <cellStyle name="Pattern 3 4 8" xfId="1537"/>
    <cellStyle name="Pattern 3 5" xfId="1165"/>
    <cellStyle name="Pattern 3 6" xfId="1650"/>
    <cellStyle name="Pattern 3 7" xfId="2005"/>
    <cellStyle name="Pattern 3 8" xfId="1820"/>
    <cellStyle name="Pattern 3 9" xfId="2246"/>
    <cellStyle name="Percent 2" xfId="185"/>
    <cellStyle name="Percent 2 2" xfId="445"/>
    <cellStyle name="Prozent 2" xfId="1423"/>
    <cellStyle name="RowLevel_1 2" xfId="88"/>
    <cellStyle name="Schlecht 2" xfId="186"/>
    <cellStyle name="Shade" xfId="22"/>
    <cellStyle name="Shade 2" xfId="187"/>
    <cellStyle name="Shade 2 2" xfId="447"/>
    <cellStyle name="Shade 2 2 2" xfId="532"/>
    <cellStyle name="Shade 2 2 2 2" xfId="747"/>
    <cellStyle name="Shade 2 2 2 2 2" xfId="48"/>
    <cellStyle name="Shade 2 2 2 2 3" xfId="2047"/>
    <cellStyle name="Shade 2 2 2 2 4" xfId="2484"/>
    <cellStyle name="Shade 2 2 2 2 5" xfId="2919"/>
    <cellStyle name="Shade 2 2 2 2 6" xfId="3332"/>
    <cellStyle name="Shade 2 2 2 2 7" xfId="1780"/>
    <cellStyle name="Shade 2 2 2 3" xfId="1323"/>
    <cellStyle name="Shade 2 2 2 4" xfId="1834"/>
    <cellStyle name="Shade 2 2 2 5" xfId="2269"/>
    <cellStyle name="Shade 2 2 2 6" xfId="2707"/>
    <cellStyle name="Shade 2 2 2 7" xfId="3121"/>
    <cellStyle name="Shade 2 2 2 8" xfId="1658"/>
    <cellStyle name="Shade 2 2 3" xfId="735"/>
    <cellStyle name="Shade 2 2 3 2" xfId="1234"/>
    <cellStyle name="Shade 2 2 3 3" xfId="2035"/>
    <cellStyle name="Shade 2 2 3 4" xfId="2472"/>
    <cellStyle name="Shade 2 2 3 5" xfId="2907"/>
    <cellStyle name="Shade 2 2 3 6" xfId="3320"/>
    <cellStyle name="Shade 2 2 3 7" xfId="1697"/>
    <cellStyle name="Shade 2 3" xfId="295"/>
    <cellStyle name="Shade 2 3 10" xfId="3081"/>
    <cellStyle name="Shade 2 3 2" xfId="632"/>
    <cellStyle name="Shade 2 3 2 2" xfId="847"/>
    <cellStyle name="Shade 2 3 2 2 2" xfId="1314"/>
    <cellStyle name="Shade 2 3 2 2 3" xfId="2147"/>
    <cellStyle name="Shade 2 3 2 2 4" xfId="2584"/>
    <cellStyle name="Shade 2 3 2 2 5" xfId="3019"/>
    <cellStyle name="Shade 2 3 2 2 6" xfId="3432"/>
    <cellStyle name="Shade 2 3 2 2 7" xfId="3094"/>
    <cellStyle name="Shade 2 3 2 3" xfId="914"/>
    <cellStyle name="Shade 2 3 2 4" xfId="1934"/>
    <cellStyle name="Shade 2 3 2 5" xfId="2369"/>
    <cellStyle name="Shade 2 3 2 6" xfId="2807"/>
    <cellStyle name="Shade 2 3 2 7" xfId="3221"/>
    <cellStyle name="Shade 2 3 2 8" xfId="3544"/>
    <cellStyle name="Shade 2 3 3" xfId="661"/>
    <cellStyle name="Shade 2 3 3 2" xfId="876"/>
    <cellStyle name="Shade 2 3 3 2 2" xfId="1055"/>
    <cellStyle name="Shade 2 3 3 2 3" xfId="2176"/>
    <cellStyle name="Shade 2 3 3 2 4" xfId="2613"/>
    <cellStyle name="Shade 2 3 3 2 5" xfId="3048"/>
    <cellStyle name="Shade 2 3 3 2 6" xfId="3461"/>
    <cellStyle name="Shade 2 3 3 2 7" xfId="1579"/>
    <cellStyle name="Shade 2 3 3 3" xfId="916"/>
    <cellStyle name="Shade 2 3 3 4" xfId="1963"/>
    <cellStyle name="Shade 2 3 3 5" xfId="2398"/>
    <cellStyle name="Shade 2 3 3 6" xfId="2836"/>
    <cellStyle name="Shade 2 3 3 7" xfId="3250"/>
    <cellStyle name="Shade 2 3 3 8" xfId="1565"/>
    <cellStyle name="Shade 2 3 4" xfId="575"/>
    <cellStyle name="Shade 2 3 4 2" xfId="790"/>
    <cellStyle name="Shade 2 3 4 2 2" xfId="1136"/>
    <cellStyle name="Shade 2 3 4 2 3" xfId="2090"/>
    <cellStyle name="Shade 2 3 4 2 4" xfId="2527"/>
    <cellStyle name="Shade 2 3 4 2 5" xfId="2962"/>
    <cellStyle name="Shade 2 3 4 2 6" xfId="3375"/>
    <cellStyle name="Shade 2 3 4 2 7" xfId="2226"/>
    <cellStyle name="Shade 2 3 4 3" xfId="1200"/>
    <cellStyle name="Shade 2 3 4 4" xfId="1877"/>
    <cellStyle name="Shade 2 3 4 5" xfId="2312"/>
    <cellStyle name="Shade 2 3 4 6" xfId="2750"/>
    <cellStyle name="Shade 2 3 4 7" xfId="3164"/>
    <cellStyle name="Shade 2 3 4 8" xfId="3539"/>
    <cellStyle name="Shade 2 3 5" xfId="1098"/>
    <cellStyle name="Shade 2 3 6" xfId="1652"/>
    <cellStyle name="Shade 2 3 7" xfId="2006"/>
    <cellStyle name="Shade 2 3 8" xfId="1499"/>
    <cellStyle name="Shade 2 3 9" xfId="1661"/>
    <cellStyle name="Shade 3" xfId="446"/>
    <cellStyle name="Shade 3 2" xfId="586"/>
    <cellStyle name="Shade 3 2 2" xfId="801"/>
    <cellStyle name="Shade 3 2 2 2" xfId="1021"/>
    <cellStyle name="Shade 3 2 2 3" xfId="2101"/>
    <cellStyle name="Shade 3 2 2 4" xfId="2538"/>
    <cellStyle name="Shade 3 2 2 5" xfId="2973"/>
    <cellStyle name="Shade 3 2 2 6" xfId="3386"/>
    <cellStyle name="Shade 3 2 2 7" xfId="2672"/>
    <cellStyle name="Shade 3 2 3" xfId="954"/>
    <cellStyle name="Shade 3 2 4" xfId="1888"/>
    <cellStyle name="Shade 3 2 5" xfId="2323"/>
    <cellStyle name="Shade 3 2 6" xfId="2761"/>
    <cellStyle name="Shade 3 2 7" xfId="3175"/>
    <cellStyle name="Shade 3 2 8" xfId="3649"/>
    <cellStyle name="Shade 3 3" xfId="734"/>
    <cellStyle name="Shade 3 3 2" xfId="1350"/>
    <cellStyle name="Shade 3 3 3" xfId="2034"/>
    <cellStyle name="Shade 3 3 4" xfId="2471"/>
    <cellStyle name="Shade 3 3 5" xfId="2906"/>
    <cellStyle name="Shade 3 3 6" xfId="3319"/>
    <cellStyle name="Shade 3 3 7" xfId="1685"/>
    <cellStyle name="Shade 4" xfId="294"/>
    <cellStyle name="Shade 4 10" xfId="2645"/>
    <cellStyle name="Shade 4 2" xfId="44"/>
    <cellStyle name="Shade 4 2 2" xfId="631"/>
    <cellStyle name="Shade 4 2 2 2" xfId="996"/>
    <cellStyle name="Shade 4 2 2 3" xfId="1933"/>
    <cellStyle name="Shade 4 2 2 4" xfId="2368"/>
    <cellStyle name="Shade 4 2 2 5" xfId="2806"/>
    <cellStyle name="Shade 4 2 2 6" xfId="3220"/>
    <cellStyle name="Shade 4 2 2 7" xfId="3581"/>
    <cellStyle name="Shade 4 2 3" xfId="846"/>
    <cellStyle name="Shade 4 2 3 2" xfId="1293"/>
    <cellStyle name="Shade 4 2 3 3" xfId="2146"/>
    <cellStyle name="Shade 4 2 3 4" xfId="2583"/>
    <cellStyle name="Shade 4 2 3 5" xfId="3018"/>
    <cellStyle name="Shade 4 2 3 6" xfId="3431"/>
    <cellStyle name="Shade 4 2 3 7" xfId="1739"/>
    <cellStyle name="Shade 4 3" xfId="660"/>
    <cellStyle name="Shade 4 3 2" xfId="875"/>
    <cellStyle name="Shade 4 3 2 2" xfId="1120"/>
    <cellStyle name="Shade 4 3 2 3" xfId="2175"/>
    <cellStyle name="Shade 4 3 2 4" xfId="2612"/>
    <cellStyle name="Shade 4 3 2 5" xfId="3047"/>
    <cellStyle name="Shade 4 3 2 6" xfId="3460"/>
    <cellStyle name="Shade 4 3 2 7" xfId="3546"/>
    <cellStyle name="Shade 4 3 3" xfId="915"/>
    <cellStyle name="Shade 4 3 4" xfId="1962"/>
    <cellStyle name="Shade 4 3 5" xfId="2397"/>
    <cellStyle name="Shade 4 3 6" xfId="2835"/>
    <cellStyle name="Shade 4 3 7" xfId="3249"/>
    <cellStyle name="Shade 4 3 8" xfId="3563"/>
    <cellStyle name="Shade 4 4" xfId="522"/>
    <cellStyle name="Shade 4 4 2" xfId="737"/>
    <cellStyle name="Shade 4 4 2 2" xfId="1295"/>
    <cellStyle name="Shade 4 4 2 3" xfId="2037"/>
    <cellStyle name="Shade 4 4 2 4" xfId="2474"/>
    <cellStyle name="Shade 4 4 2 5" xfId="2909"/>
    <cellStyle name="Shade 4 4 2 6" xfId="3322"/>
    <cellStyle name="Shade 4 4 2 7" xfId="3585"/>
    <cellStyle name="Shade 4 4 3" xfId="1335"/>
    <cellStyle name="Shade 4 4 4" xfId="1824"/>
    <cellStyle name="Shade 4 4 5" xfId="2259"/>
    <cellStyle name="Shade 4 4 6" xfId="2697"/>
    <cellStyle name="Shade 4 4 7" xfId="3111"/>
    <cellStyle name="Shade 4 4 8" xfId="3299"/>
    <cellStyle name="Shade 4 5" xfId="1167"/>
    <cellStyle name="Shade 4 6" xfId="1651"/>
    <cellStyle name="Shade 4 7" xfId="1749"/>
    <cellStyle name="Shade 4 8" xfId="1583"/>
    <cellStyle name="Shade 4 9" xfId="2878"/>
    <cellStyle name="Shade 5" xfId="85"/>
    <cellStyle name="Shade 5 2" xfId="1492"/>
    <cellStyle name="Shade 5 3" xfId="1657"/>
    <cellStyle name="Shade 5 4" xfId="2242"/>
    <cellStyle name="Shade 5 5" xfId="3594"/>
    <cellStyle name="Shade_B_border2" xfId="188"/>
    <cellStyle name="Standard" xfId="0" builtinId="0"/>
    <cellStyle name="Standard 2" xfId="42"/>
    <cellStyle name="Standard 2 2" xfId="407"/>
    <cellStyle name="Standard 2 2 2" xfId="517"/>
    <cellStyle name="Standard 2 3" xfId="516"/>
    <cellStyle name="Standard 3" xfId="1456"/>
    <cellStyle name="Title 2" xfId="189"/>
    <cellStyle name="Title 3" xfId="248"/>
    <cellStyle name="Total 2" xfId="190"/>
    <cellStyle name="Total 2 10" xfId="1416"/>
    <cellStyle name="Total 2 11" xfId="3602"/>
    <cellStyle name="Total 2 2" xfId="577"/>
    <cellStyle name="Total 2 2 2" xfId="792"/>
    <cellStyle name="Total 2 2 2 2" xfId="1135"/>
    <cellStyle name="Total 2 2 2 3" xfId="2092"/>
    <cellStyle name="Total 2 2 2 4" xfId="2529"/>
    <cellStyle name="Total 2 2 2 5" xfId="2964"/>
    <cellStyle name="Total 2 2 2 6" xfId="3377"/>
    <cellStyle name="Total 2 2 2 7" xfId="1795"/>
    <cellStyle name="Total 2 2 3" xfId="1259"/>
    <cellStyle name="Total 2 2 4" xfId="1879"/>
    <cellStyle name="Total 2 2 5" xfId="2314"/>
    <cellStyle name="Total 2 2 6" xfId="2752"/>
    <cellStyle name="Total 2 2 7" xfId="3166"/>
    <cellStyle name="Total 2 2 8" xfId="3091"/>
    <cellStyle name="Total 2 3" xfId="638"/>
    <cellStyle name="Total 2 3 2" xfId="853"/>
    <cellStyle name="Total 2 3 2 2" xfId="49"/>
    <cellStyle name="Total 2 3 2 3" xfId="2153"/>
    <cellStyle name="Total 2 3 2 4" xfId="2590"/>
    <cellStyle name="Total 2 3 2 5" xfId="3025"/>
    <cellStyle name="Total 2 3 2 6" xfId="3438"/>
    <cellStyle name="Total 2 3 2 7" xfId="2639"/>
    <cellStyle name="Total 2 3 3" xfId="1212"/>
    <cellStyle name="Total 2 3 4" xfId="1940"/>
    <cellStyle name="Total 2 3 5" xfId="2375"/>
    <cellStyle name="Total 2 3 6" xfId="2813"/>
    <cellStyle name="Total 2 3 7" xfId="3227"/>
    <cellStyle name="Total 2 3 8" xfId="2651"/>
    <cellStyle name="Total 2 4" xfId="526"/>
    <cellStyle name="Total 2 4 2" xfId="741"/>
    <cellStyle name="Total 2 4 2 2" xfId="993"/>
    <cellStyle name="Total 2 4 2 3" xfId="2041"/>
    <cellStyle name="Total 2 4 2 4" xfId="2478"/>
    <cellStyle name="Total 2 4 2 5" xfId="2913"/>
    <cellStyle name="Total 2 4 2 6" xfId="3326"/>
    <cellStyle name="Total 2 4 2 7" xfId="3080"/>
    <cellStyle name="Total 2 4 3" xfId="1050"/>
    <cellStyle name="Total 2 4 4" xfId="1828"/>
    <cellStyle name="Total 2 4 5" xfId="2263"/>
    <cellStyle name="Total 2 4 6" xfId="2701"/>
    <cellStyle name="Total 2 4 7" xfId="3115"/>
    <cellStyle name="Total 2 4 8" xfId="1513"/>
    <cellStyle name="Total 2 5" xfId="697"/>
    <cellStyle name="Total 2 5 2" xfId="1235"/>
    <cellStyle name="Total 2 5 3" xfId="1999"/>
    <cellStyle name="Total 2 5 4" xfId="2434"/>
    <cellStyle name="Total 2 5 5" xfId="2872"/>
    <cellStyle name="Total 2 5 6" xfId="3285"/>
    <cellStyle name="Total 2 5 7" xfId="1425"/>
    <cellStyle name="Total 2 6" xfId="1184"/>
    <cellStyle name="Total 2 7" xfId="1567"/>
    <cellStyle name="Total 2 8" xfId="1552"/>
    <cellStyle name="Total 2 9" xfId="1608"/>
    <cellStyle name="Total 3" xfId="249"/>
    <cellStyle name="Total 3 10" xfId="1602"/>
    <cellStyle name="Total 3 11" xfId="1562"/>
    <cellStyle name="Total 3 2" xfId="601"/>
    <cellStyle name="Total 3 2 2" xfId="816"/>
    <cellStyle name="Total 3 2 2 2" xfId="972"/>
    <cellStyle name="Total 3 2 2 3" xfId="2116"/>
    <cellStyle name="Total 3 2 2 4" xfId="2553"/>
    <cellStyle name="Total 3 2 2 5" xfId="2988"/>
    <cellStyle name="Total 3 2 2 6" xfId="3401"/>
    <cellStyle name="Total 3 2 2 7" xfId="3528"/>
    <cellStyle name="Total 3 2 3" xfId="1217"/>
    <cellStyle name="Total 3 2 4" xfId="1903"/>
    <cellStyle name="Total 3 2 5" xfId="2338"/>
    <cellStyle name="Total 3 2 6" xfId="2776"/>
    <cellStyle name="Total 3 2 7" xfId="3190"/>
    <cellStyle name="Total 3 2 8" xfId="1794"/>
    <cellStyle name="Total 3 3" xfId="564"/>
    <cellStyle name="Total 3 3 2" xfId="779"/>
    <cellStyle name="Total 3 3 2 2" xfId="1041"/>
    <cellStyle name="Total 3 3 2 3" xfId="2079"/>
    <cellStyle name="Total 3 3 2 4" xfId="2516"/>
    <cellStyle name="Total 3 3 2 5" xfId="2951"/>
    <cellStyle name="Total 3 3 2 6" xfId="3364"/>
    <cellStyle name="Total 3 3 2 7" xfId="3511"/>
    <cellStyle name="Total 3 3 3" xfId="1269"/>
    <cellStyle name="Total 3 3 4" xfId="1866"/>
    <cellStyle name="Total 3 3 5" xfId="2301"/>
    <cellStyle name="Total 3 3 6" xfId="2739"/>
    <cellStyle name="Total 3 3 7" xfId="3153"/>
    <cellStyle name="Total 3 3 8" xfId="3569"/>
    <cellStyle name="Total 3 4" xfId="605"/>
    <cellStyle name="Total 3 4 2" xfId="820"/>
    <cellStyle name="Total 3 4 2 2" xfId="970"/>
    <cellStyle name="Total 3 4 2 3" xfId="2120"/>
    <cellStyle name="Total 3 4 2 4" xfId="2557"/>
    <cellStyle name="Total 3 4 2 5" xfId="2992"/>
    <cellStyle name="Total 3 4 2 6" xfId="3405"/>
    <cellStyle name="Total 3 4 2 7" xfId="3605"/>
    <cellStyle name="Total 3 4 3" xfId="1243"/>
    <cellStyle name="Total 3 4 4" xfId="1907"/>
    <cellStyle name="Total 3 4 5" xfId="2342"/>
    <cellStyle name="Total 3 4 6" xfId="2780"/>
    <cellStyle name="Total 3 4 7" xfId="3194"/>
    <cellStyle name="Total 3 4 8" xfId="2664"/>
    <cellStyle name="Total 3 5" xfId="702"/>
    <cellStyle name="Total 3 5 2" xfId="1146"/>
    <cellStyle name="Total 3 5 3" xfId="2004"/>
    <cellStyle name="Total 3 5 4" xfId="2439"/>
    <cellStyle name="Total 3 5 5" xfId="2877"/>
    <cellStyle name="Total 3 5 6" xfId="3290"/>
    <cellStyle name="Total 3 5 7" xfId="3611"/>
    <cellStyle name="Total 3 6" xfId="1104"/>
    <cellStyle name="Total 3 7" xfId="1612"/>
    <cellStyle name="Total 3 8" xfId="1718"/>
    <cellStyle name="Total 3 9" xfId="1603"/>
    <cellStyle name="Überschrift 1 2" xfId="192"/>
    <cellStyle name="Überschrift 2 2" xfId="193"/>
    <cellStyle name="Überschrift 3 2" xfId="194"/>
    <cellStyle name="Überschrift 4 2" xfId="195"/>
    <cellStyle name="Überschrift 5" xfId="191"/>
    <cellStyle name="Verknüpfte Zelle 2" xfId="196"/>
    <cellStyle name="Warnender Text 2" xfId="406"/>
    <cellStyle name="Warnender Text 3" xfId="297"/>
    <cellStyle name="Warnender Text 4" xfId="53" hidden="1"/>
    <cellStyle name="Warnender Text 4" xfId="929" hidden="1"/>
    <cellStyle name="Warnender Text 4" xfId="1088" hidden="1"/>
    <cellStyle name="Warnender Text 4" xfId="933" hidden="1"/>
    <cellStyle name="Warnender Text 4" xfId="1205" hidden="1"/>
    <cellStyle name="Warnender Text 4" xfId="1460" hidden="1"/>
    <cellStyle name="Warnender Text 4" xfId="1609" hidden="1"/>
    <cellStyle name="Warnender Text 4" xfId="1267" hidden="1"/>
    <cellStyle name="Warnender Text 4" xfId="1054" hidden="1"/>
    <cellStyle name="Warnender Text 4" xfId="1674" hidden="1"/>
    <cellStyle name="Warnender Text 4" xfId="1415" hidden="1"/>
    <cellStyle name="Warnender Text 4" xfId="1605" hidden="1"/>
    <cellStyle name="Warnender Text 4" xfId="3646" hidden="1"/>
    <cellStyle name="Warning Text 2" xfId="197"/>
    <cellStyle name="Warning Text 3" xfId="250"/>
    <cellStyle name="Zelle überprüfen 2" xfId="198"/>
    <cellStyle name="Гиперссылка" xfId="199"/>
    <cellStyle name="Гиперссылка 2" xfId="200"/>
    <cellStyle name="Гиперссылка 3" xfId="208"/>
    <cellStyle name="Гиперссылка 4" xfId="380"/>
    <cellStyle name="Обычный_2++" xfId="3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metrics_supplement_clean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workbookViewId="0">
      <selection activeCell="F11" sqref="F11"/>
    </sheetView>
  </sheetViews>
  <sheetFormatPr baseColWidth="10" defaultColWidth="9.140625" defaultRowHeight="15" x14ac:dyDescent="0.25"/>
  <cols>
    <col min="1" max="1" width="15.85546875" customWidth="1"/>
    <col min="2" max="2" width="16.42578125" bestFit="1" customWidth="1"/>
    <col min="3" max="3" width="16.28515625" bestFit="1" customWidth="1"/>
    <col min="4" max="4" width="16.28515625" style="2" bestFit="1" customWidth="1"/>
    <col min="5" max="5" width="16.28515625" style="3" customWidth="1"/>
    <col min="6" max="6" width="23" customWidth="1"/>
    <col min="7" max="7" width="25.42578125" customWidth="1"/>
  </cols>
  <sheetData>
    <row r="1" spans="1:6" x14ac:dyDescent="0.25">
      <c r="A1" t="s">
        <v>1</v>
      </c>
      <c r="B1" s="2" t="s">
        <v>59</v>
      </c>
      <c r="C1" s="2" t="s">
        <v>58</v>
      </c>
      <c r="D1" s="2" t="s">
        <v>0</v>
      </c>
      <c r="E1" s="3" t="s">
        <v>686</v>
      </c>
      <c r="F1" t="s">
        <v>682</v>
      </c>
    </row>
    <row r="2" spans="1:6" x14ac:dyDescent="0.25">
      <c r="A2" t="s">
        <v>28</v>
      </c>
      <c r="B2" t="s">
        <v>61</v>
      </c>
      <c r="C2" t="s">
        <v>61</v>
      </c>
      <c r="D2" s="2" t="s">
        <v>61</v>
      </c>
      <c r="E2" s="3" t="s">
        <v>61</v>
      </c>
      <c r="F2" t="s">
        <v>61</v>
      </c>
    </row>
    <row r="3" spans="1:6" x14ac:dyDescent="0.25">
      <c r="A3" t="s">
        <v>27</v>
      </c>
      <c r="B3" t="s">
        <v>61</v>
      </c>
      <c r="C3" t="s">
        <v>61</v>
      </c>
      <c r="D3" s="2" t="s">
        <v>61</v>
      </c>
      <c r="E3" s="3" t="s">
        <v>61</v>
      </c>
      <c r="F3" t="s">
        <v>61</v>
      </c>
    </row>
    <row r="4" spans="1:6" s="3" customFormat="1" x14ac:dyDescent="0.25">
      <c r="A4" s="3" t="s">
        <v>60</v>
      </c>
    </row>
    <row r="5" spans="1:6" s="3" customFormat="1" x14ac:dyDescent="0.25">
      <c r="A5" s="3" t="s">
        <v>29</v>
      </c>
      <c r="D5" s="3" t="s">
        <v>61</v>
      </c>
      <c r="E5" s="3" t="s">
        <v>61</v>
      </c>
      <c r="F5" s="3" t="s">
        <v>61</v>
      </c>
    </row>
    <row r="6" spans="1:6" s="3" customFormat="1" x14ac:dyDescent="0.25">
      <c r="A6" s="3" t="s">
        <v>30</v>
      </c>
      <c r="D6" s="3" t="s">
        <v>61</v>
      </c>
      <c r="E6" s="3" t="s">
        <v>61</v>
      </c>
      <c r="F6" s="3" t="s">
        <v>61</v>
      </c>
    </row>
    <row r="7" spans="1:6" s="3" customFormat="1" x14ac:dyDescent="0.25">
      <c r="A7" s="3" t="s">
        <v>31</v>
      </c>
      <c r="D7" s="3" t="s">
        <v>61</v>
      </c>
      <c r="E7" s="3" t="s">
        <v>61</v>
      </c>
      <c r="F7" s="3" t="s">
        <v>61</v>
      </c>
    </row>
    <row r="8" spans="1:6" s="3" customFormat="1" x14ac:dyDescent="0.25">
      <c r="A8" s="3" t="s">
        <v>687</v>
      </c>
      <c r="D8" s="3" t="s">
        <v>61</v>
      </c>
      <c r="E8" s="3" t="s">
        <v>61</v>
      </c>
      <c r="F8" s="3" t="s">
        <v>61</v>
      </c>
    </row>
    <row r="9" spans="1:6" s="3" customFormat="1" x14ac:dyDescent="0.25">
      <c r="A9" s="3" t="s">
        <v>683</v>
      </c>
      <c r="D9" s="3" t="s">
        <v>61</v>
      </c>
      <c r="E9" s="3" t="s">
        <v>61</v>
      </c>
      <c r="F9" s="3" t="s">
        <v>61</v>
      </c>
    </row>
    <row r="10" spans="1:6" s="3" customFormat="1" x14ac:dyDescent="0.25">
      <c r="A10" s="3" t="s">
        <v>688</v>
      </c>
      <c r="D10" s="3" t="s">
        <v>61</v>
      </c>
      <c r="E10" s="3" t="s">
        <v>61</v>
      </c>
      <c r="F10" s="3" t="s">
        <v>61</v>
      </c>
    </row>
    <row r="11" spans="1:6" s="3" customFormat="1" x14ac:dyDescent="0.25">
      <c r="A11" s="3" t="s">
        <v>689</v>
      </c>
      <c r="D11" s="3" t="s">
        <v>61</v>
      </c>
      <c r="E11" s="3" t="s">
        <v>61</v>
      </c>
      <c r="F11" s="3" t="s">
        <v>61</v>
      </c>
    </row>
    <row r="12" spans="1:6" s="3" customFormat="1" x14ac:dyDescent="0.25">
      <c r="A12" s="3" t="s">
        <v>684</v>
      </c>
      <c r="E12" s="3" t="s">
        <v>61</v>
      </c>
    </row>
    <row r="13" spans="1:6" s="3" customFormat="1" x14ac:dyDescent="0.25">
      <c r="A13" s="3" t="s">
        <v>685</v>
      </c>
      <c r="E13" s="3" t="s">
        <v>61</v>
      </c>
    </row>
    <row r="14" spans="1:6" s="3" customFormat="1" x14ac:dyDescent="0.25">
      <c r="A14" s="3" t="s">
        <v>32</v>
      </c>
      <c r="F14" s="3" t="s">
        <v>61</v>
      </c>
    </row>
    <row r="15" spans="1:6" s="3" customFormat="1" x14ac:dyDescent="0.25">
      <c r="A15" s="3" t="s">
        <v>690</v>
      </c>
      <c r="F15" s="3" t="s">
        <v>61</v>
      </c>
    </row>
    <row r="16" spans="1:6" s="3" customFormat="1" x14ac:dyDescent="0.25">
      <c r="A16" s="3" t="s">
        <v>62</v>
      </c>
      <c r="B16" s="3" t="s">
        <v>61</v>
      </c>
      <c r="C16" s="3" t="s">
        <v>61</v>
      </c>
      <c r="F16" s="3" t="s">
        <v>61</v>
      </c>
    </row>
    <row r="17" spans="1:6" s="3" customFormat="1" x14ac:dyDescent="0.25">
      <c r="A17" s="3" t="s">
        <v>63</v>
      </c>
    </row>
    <row r="18" spans="1:6" x14ac:dyDescent="0.25">
      <c r="A18" s="3" t="s">
        <v>2</v>
      </c>
      <c r="D18" s="2" t="s">
        <v>61</v>
      </c>
      <c r="E18" s="3" t="s">
        <v>61</v>
      </c>
      <c r="F18" t="s">
        <v>61</v>
      </c>
    </row>
    <row r="19" spans="1:6" x14ac:dyDescent="0.25">
      <c r="A19" s="3" t="s">
        <v>3</v>
      </c>
      <c r="D19" s="2" t="s">
        <v>61</v>
      </c>
      <c r="E19" s="3" t="s">
        <v>61</v>
      </c>
      <c r="F19" t="s">
        <v>61</v>
      </c>
    </row>
    <row r="20" spans="1:6" x14ac:dyDescent="0.25">
      <c r="A20" s="3" t="s">
        <v>4</v>
      </c>
      <c r="D20" s="2" t="s">
        <v>61</v>
      </c>
      <c r="F20" t="s">
        <v>61</v>
      </c>
    </row>
    <row r="21" spans="1:6" x14ac:dyDescent="0.25">
      <c r="A21" s="3" t="s">
        <v>5</v>
      </c>
      <c r="D21" s="2" t="s">
        <v>61</v>
      </c>
      <c r="E21" s="3" t="s">
        <v>61</v>
      </c>
      <c r="F21" t="s">
        <v>61</v>
      </c>
    </row>
    <row r="22" spans="1:6" x14ac:dyDescent="0.25">
      <c r="A22" s="3" t="s">
        <v>6</v>
      </c>
      <c r="D22" s="2" t="s">
        <v>61</v>
      </c>
      <c r="E22" s="3" t="s">
        <v>61</v>
      </c>
      <c r="F22" t="s">
        <v>61</v>
      </c>
    </row>
    <row r="23" spans="1:6" x14ac:dyDescent="0.25">
      <c r="A23" s="3" t="s">
        <v>7</v>
      </c>
      <c r="D23" s="2" t="s">
        <v>61</v>
      </c>
      <c r="F23" t="s">
        <v>61</v>
      </c>
    </row>
    <row r="24" spans="1:6" x14ac:dyDescent="0.25">
      <c r="A24" s="3" t="s">
        <v>8</v>
      </c>
      <c r="D24" s="2" t="s">
        <v>61</v>
      </c>
      <c r="E24" s="3" t="s">
        <v>61</v>
      </c>
      <c r="F24" t="s">
        <v>61</v>
      </c>
    </row>
    <row r="25" spans="1:6" x14ac:dyDescent="0.25">
      <c r="A25" s="3" t="s">
        <v>9</v>
      </c>
      <c r="D25" s="2" t="s">
        <v>61</v>
      </c>
      <c r="F25" t="s">
        <v>61</v>
      </c>
    </row>
    <row r="26" spans="1:6" x14ac:dyDescent="0.25">
      <c r="A26" s="3" t="s">
        <v>10</v>
      </c>
      <c r="D26" s="2" t="s">
        <v>61</v>
      </c>
      <c r="E26" s="3" t="s">
        <v>61</v>
      </c>
      <c r="F26" t="s">
        <v>61</v>
      </c>
    </row>
    <row r="27" spans="1:6" x14ac:dyDescent="0.25">
      <c r="A27" s="3" t="s">
        <v>11</v>
      </c>
      <c r="F27" t="s">
        <v>61</v>
      </c>
    </row>
    <row r="28" spans="1:6" x14ac:dyDescent="0.25">
      <c r="A28" s="3" t="s">
        <v>12</v>
      </c>
      <c r="D28" s="2" t="s">
        <v>61</v>
      </c>
      <c r="E28" s="3" t="s">
        <v>61</v>
      </c>
      <c r="F28" t="s">
        <v>61</v>
      </c>
    </row>
    <row r="29" spans="1:6" x14ac:dyDescent="0.25">
      <c r="A29" s="3" t="s">
        <v>13</v>
      </c>
      <c r="F29" t="s">
        <v>61</v>
      </c>
    </row>
    <row r="30" spans="1:6" x14ac:dyDescent="0.25">
      <c r="A30" s="3" t="s">
        <v>14</v>
      </c>
      <c r="D30" s="2" t="s">
        <v>61</v>
      </c>
      <c r="E30" s="3" t="s">
        <v>61</v>
      </c>
      <c r="F30" t="s">
        <v>61</v>
      </c>
    </row>
    <row r="31" spans="1:6" x14ac:dyDescent="0.25">
      <c r="A31" s="3" t="s">
        <v>15</v>
      </c>
      <c r="F31" t="s">
        <v>61</v>
      </c>
    </row>
    <row r="32" spans="1:6" x14ac:dyDescent="0.25">
      <c r="A32" s="3" t="s">
        <v>16</v>
      </c>
      <c r="E32" s="3" t="s">
        <v>61</v>
      </c>
      <c r="F32" t="s">
        <v>61</v>
      </c>
    </row>
    <row r="33" spans="1:6" x14ac:dyDescent="0.25">
      <c r="A33" s="3" t="s">
        <v>17</v>
      </c>
      <c r="D33" s="2" t="s">
        <v>61</v>
      </c>
      <c r="F33" t="s">
        <v>61</v>
      </c>
    </row>
    <row r="34" spans="1:6" x14ac:dyDescent="0.25">
      <c r="A34" s="3" t="s">
        <v>18</v>
      </c>
      <c r="F34" t="s">
        <v>61</v>
      </c>
    </row>
    <row r="35" spans="1:6" x14ac:dyDescent="0.25">
      <c r="A35" s="3" t="s">
        <v>19</v>
      </c>
      <c r="D35" s="2" t="s">
        <v>61</v>
      </c>
      <c r="E35" s="3" t="s">
        <v>61</v>
      </c>
      <c r="F35" t="s">
        <v>61</v>
      </c>
    </row>
    <row r="36" spans="1:6" x14ac:dyDescent="0.25">
      <c r="A36" s="3" t="s">
        <v>20</v>
      </c>
      <c r="D36" s="2" t="s">
        <v>61</v>
      </c>
      <c r="E36" s="3" t="s">
        <v>61</v>
      </c>
      <c r="F36" t="s">
        <v>61</v>
      </c>
    </row>
    <row r="37" spans="1:6" x14ac:dyDescent="0.25">
      <c r="A37" s="3" t="s">
        <v>62</v>
      </c>
      <c r="B37" t="s">
        <v>61</v>
      </c>
      <c r="C37" t="s">
        <v>61</v>
      </c>
      <c r="F37" t="s">
        <v>61</v>
      </c>
    </row>
    <row r="39" spans="1:6" x14ac:dyDescent="0.25">
      <c r="A39" s="3"/>
    </row>
    <row r="40" spans="1:6" x14ac:dyDescent="0.25">
      <c r="A40" s="3"/>
    </row>
    <row r="41" spans="1:6" x14ac:dyDescent="0.25">
      <c r="A41" s="2"/>
    </row>
    <row r="42" spans="1:6" x14ac:dyDescent="0.25">
      <c r="A42" s="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0"/>
  <sheetViews>
    <sheetView workbookViewId="0">
      <selection activeCell="C19" sqref="C19"/>
    </sheetView>
  </sheetViews>
  <sheetFormatPr baseColWidth="10" defaultRowHeight="15" x14ac:dyDescent="0.25"/>
  <cols>
    <col min="1" max="1" width="81.140625" bestFit="1" customWidth="1"/>
    <col min="2" max="2" width="12.42578125" bestFit="1" customWidth="1"/>
    <col min="3" max="3" width="19.42578125" bestFit="1" customWidth="1"/>
    <col min="4" max="4" width="28.85546875" bestFit="1" customWidth="1"/>
    <col min="5" max="5" width="12" bestFit="1" customWidth="1"/>
    <col min="6" max="6" width="32.140625" bestFit="1" customWidth="1"/>
    <col min="7" max="7" width="22.7109375" bestFit="1" customWidth="1"/>
    <col min="8" max="8" width="7.28515625" bestFit="1" customWidth="1"/>
    <col min="9" max="9" width="23.7109375" bestFit="1" customWidth="1"/>
    <col min="10" max="10" width="8.28515625" bestFit="1" customWidth="1"/>
    <col min="11" max="11" width="23.7109375" bestFit="1" customWidth="1"/>
    <col min="12" max="12" width="8.28515625" bestFit="1" customWidth="1"/>
    <col min="13" max="13" width="14.85546875" bestFit="1" customWidth="1"/>
    <col min="14" max="14" width="6.42578125" bestFit="1" customWidth="1"/>
    <col min="15" max="15" width="15.85546875" bestFit="1" customWidth="1"/>
    <col min="16" max="16" width="7.42578125" bestFit="1" customWidth="1"/>
    <col min="17" max="17" width="11.140625" bestFit="1" customWidth="1"/>
    <col min="18" max="18" width="12.140625" bestFit="1" customWidth="1"/>
  </cols>
  <sheetData>
    <row r="1" spans="1:18" x14ac:dyDescent="0.25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</row>
    <row r="2" spans="1:18" x14ac:dyDescent="0.25">
      <c r="A2" t="s">
        <v>82</v>
      </c>
      <c r="B2" t="str">
        <f>""</f>
        <v/>
      </c>
      <c r="D2" t="s">
        <v>83</v>
      </c>
      <c r="F2" s="1">
        <v>1.33E-5</v>
      </c>
      <c r="G2" s="1">
        <v>2.4300000000000001E-14</v>
      </c>
      <c r="H2">
        <v>1</v>
      </c>
      <c r="I2" s="1">
        <v>8.9499999999999997E-14</v>
      </c>
      <c r="J2">
        <v>1</v>
      </c>
      <c r="K2" s="1">
        <v>3.1400000000000003E-13</v>
      </c>
      <c r="L2">
        <v>1</v>
      </c>
      <c r="M2" s="1">
        <v>4.28E-16</v>
      </c>
      <c r="N2">
        <v>1</v>
      </c>
      <c r="O2" s="1">
        <v>3.9500000000000001E-16</v>
      </c>
      <c r="P2">
        <v>1</v>
      </c>
      <c r="Q2">
        <v>0</v>
      </c>
      <c r="R2">
        <v>0</v>
      </c>
    </row>
    <row r="3" spans="1:18" x14ac:dyDescent="0.25">
      <c r="A3" t="s">
        <v>84</v>
      </c>
      <c r="B3" t="str">
        <f>""</f>
        <v/>
      </c>
      <c r="D3" t="s">
        <v>21</v>
      </c>
      <c r="E3">
        <v>11.8</v>
      </c>
      <c r="F3">
        <v>3.88E-4</v>
      </c>
      <c r="G3" s="1">
        <v>1.98E-12</v>
      </c>
      <c r="H3">
        <v>81.2</v>
      </c>
      <c r="I3" s="1">
        <v>2.4900000000000001E-12</v>
      </c>
      <c r="J3">
        <v>27.9</v>
      </c>
      <c r="K3" s="1">
        <v>2.4999999999999998E-12</v>
      </c>
      <c r="L3">
        <v>7.95</v>
      </c>
      <c r="M3" s="1">
        <v>4.7299999999999999E-15</v>
      </c>
      <c r="N3">
        <v>11</v>
      </c>
      <c r="O3" s="1">
        <v>2.1200000000000001E-15</v>
      </c>
      <c r="P3">
        <v>5.38</v>
      </c>
      <c r="Q3">
        <v>2730</v>
      </c>
      <c r="R3">
        <v>3320</v>
      </c>
    </row>
    <row r="4" spans="1:18" x14ac:dyDescent="0.25">
      <c r="A4" t="s">
        <v>85</v>
      </c>
      <c r="B4" t="str">
        <f>""</f>
        <v/>
      </c>
      <c r="D4" t="s">
        <v>22</v>
      </c>
      <c r="E4">
        <v>109</v>
      </c>
      <c r="F4">
        <v>3.2000000000000002E-3</v>
      </c>
      <c r="G4" s="1">
        <v>6.6500000000000001E-12</v>
      </c>
      <c r="H4">
        <v>273</v>
      </c>
      <c r="I4" s="1">
        <v>2.4499999999999999E-11</v>
      </c>
      <c r="J4">
        <v>273</v>
      </c>
      <c r="K4" s="1">
        <v>4.0699999999999999E-11</v>
      </c>
      <c r="L4">
        <v>130</v>
      </c>
      <c r="M4" s="1">
        <v>1.24E-13</v>
      </c>
      <c r="N4">
        <v>290</v>
      </c>
      <c r="O4" s="1">
        <v>9.1900000000000005E-14</v>
      </c>
      <c r="P4">
        <v>233</v>
      </c>
      <c r="Q4">
        <v>0</v>
      </c>
      <c r="R4">
        <v>0</v>
      </c>
    </row>
    <row r="5" spans="1:18" x14ac:dyDescent="0.25">
      <c r="A5" t="s">
        <v>86</v>
      </c>
      <c r="B5" t="str">
        <f>"75-69-4"</f>
        <v>75-69-4</v>
      </c>
      <c r="C5" t="s">
        <v>38</v>
      </c>
      <c r="D5" t="s">
        <v>87</v>
      </c>
      <c r="E5">
        <v>52</v>
      </c>
      <c r="F5">
        <v>0.29099999999999998</v>
      </c>
      <c r="G5" s="1">
        <v>2.02E-10</v>
      </c>
      <c r="H5">
        <v>8320</v>
      </c>
      <c r="I5" s="1">
        <v>5.5700000000000004E-10</v>
      </c>
      <c r="J5">
        <v>6230</v>
      </c>
      <c r="K5" s="1">
        <v>6.5700000000000001E-10</v>
      </c>
      <c r="L5">
        <v>2090</v>
      </c>
      <c r="M5" s="1">
        <v>2.7200000000000001E-12</v>
      </c>
      <c r="N5">
        <v>6350</v>
      </c>
      <c r="O5" s="1">
        <v>1.4000000000000001E-12</v>
      </c>
      <c r="P5">
        <v>3540</v>
      </c>
    </row>
    <row r="6" spans="1:18" x14ac:dyDescent="0.25">
      <c r="A6" t="s">
        <v>88</v>
      </c>
      <c r="B6" t="str">
        <f>"75-71-8"</f>
        <v>75-71-8</v>
      </c>
      <c r="C6" t="s">
        <v>39</v>
      </c>
      <c r="D6" t="s">
        <v>48</v>
      </c>
      <c r="E6">
        <v>102</v>
      </c>
      <c r="F6">
        <v>0.35799999999999998</v>
      </c>
      <c r="G6" s="1">
        <v>3.1000000000000002E-10</v>
      </c>
      <c r="H6">
        <v>12700</v>
      </c>
      <c r="I6" s="1">
        <v>1.1200000000000001E-9</v>
      </c>
      <c r="J6">
        <v>12500</v>
      </c>
      <c r="K6" s="1">
        <v>1.79E-9</v>
      </c>
      <c r="L6">
        <v>5710</v>
      </c>
      <c r="M6" s="1">
        <v>5.6699999999999999E-12</v>
      </c>
      <c r="N6">
        <v>13300</v>
      </c>
      <c r="O6" s="1">
        <v>4.0999999999999999E-12</v>
      </c>
      <c r="P6">
        <v>10400</v>
      </c>
    </row>
    <row r="7" spans="1:18" x14ac:dyDescent="0.25">
      <c r="A7" t="s">
        <v>89</v>
      </c>
      <c r="B7" t="str">
        <f>"75-72-9"</f>
        <v>75-72-9</v>
      </c>
      <c r="C7" t="s">
        <v>40</v>
      </c>
      <c r="D7" t="s">
        <v>49</v>
      </c>
      <c r="E7">
        <v>640</v>
      </c>
      <c r="F7">
        <v>0.27800000000000002</v>
      </c>
      <c r="G7" s="1">
        <v>3.0099999999999999E-10</v>
      </c>
      <c r="H7">
        <v>12400</v>
      </c>
      <c r="I7" s="1">
        <v>1.45E-9</v>
      </c>
      <c r="J7">
        <v>16200</v>
      </c>
      <c r="K7" s="1">
        <v>5.4999999999999996E-9</v>
      </c>
      <c r="L7">
        <v>17500</v>
      </c>
      <c r="M7" s="1">
        <v>7.2600000000000002E-12</v>
      </c>
      <c r="N7">
        <v>17000</v>
      </c>
      <c r="O7" s="1">
        <v>7.4E-12</v>
      </c>
      <c r="P7">
        <v>18800</v>
      </c>
    </row>
    <row r="8" spans="1:18" x14ac:dyDescent="0.25">
      <c r="A8" t="s">
        <v>90</v>
      </c>
      <c r="B8" t="str">
        <f>"76-12-0"</f>
        <v>76-12-0</v>
      </c>
      <c r="C8" t="s">
        <v>41</v>
      </c>
      <c r="D8" t="s">
        <v>91</v>
      </c>
      <c r="E8">
        <v>63.6</v>
      </c>
      <c r="F8">
        <v>0.28199999999999997</v>
      </c>
      <c r="G8" s="1">
        <v>1.3699999999999999E-10</v>
      </c>
      <c r="H8">
        <v>5620</v>
      </c>
      <c r="I8" s="1">
        <v>4.1300000000000002E-10</v>
      </c>
      <c r="J8">
        <v>4620</v>
      </c>
      <c r="K8" s="1">
        <v>5.2500000000000005E-10</v>
      </c>
      <c r="L8">
        <v>1670</v>
      </c>
      <c r="M8" s="1">
        <v>2.0600000000000001E-12</v>
      </c>
      <c r="N8">
        <v>4810</v>
      </c>
      <c r="O8" s="1">
        <v>1.19E-12</v>
      </c>
      <c r="P8">
        <v>3020</v>
      </c>
    </row>
    <row r="9" spans="1:18" x14ac:dyDescent="0.25">
      <c r="A9" t="s">
        <v>92</v>
      </c>
      <c r="B9" t="str">
        <f>"76-11-9"</f>
        <v>76-11-9</v>
      </c>
      <c r="C9" t="s">
        <v>42</v>
      </c>
      <c r="D9" t="s">
        <v>93</v>
      </c>
      <c r="E9">
        <v>52</v>
      </c>
      <c r="F9">
        <v>0.246</v>
      </c>
      <c r="G9" s="1">
        <v>1.15E-10</v>
      </c>
      <c r="H9">
        <v>4740</v>
      </c>
      <c r="I9" s="1">
        <v>3.1699999999999999E-10</v>
      </c>
      <c r="J9">
        <v>3550</v>
      </c>
      <c r="K9" s="1">
        <v>3.74E-10</v>
      </c>
      <c r="L9">
        <v>1190</v>
      </c>
      <c r="M9" s="1">
        <v>1.5500000000000001E-12</v>
      </c>
      <c r="N9">
        <v>3620</v>
      </c>
      <c r="O9" s="1">
        <v>7.9500000000000005E-13</v>
      </c>
      <c r="P9">
        <v>2010</v>
      </c>
    </row>
    <row r="10" spans="1:18" x14ac:dyDescent="0.25">
      <c r="A10" t="s">
        <v>94</v>
      </c>
      <c r="B10" t="str">
        <f>"76-13-1"</f>
        <v>76-13-1</v>
      </c>
      <c r="C10" t="s">
        <v>43</v>
      </c>
      <c r="D10" t="s">
        <v>95</v>
      </c>
      <c r="E10">
        <v>93</v>
      </c>
      <c r="F10">
        <v>0.30099999999999999</v>
      </c>
      <c r="G10" s="1">
        <v>1.6699999999999999E-10</v>
      </c>
      <c r="H10">
        <v>6860</v>
      </c>
      <c r="I10" s="1">
        <v>5.8299999999999995E-10</v>
      </c>
      <c r="J10">
        <v>6520</v>
      </c>
      <c r="K10" s="1">
        <v>8.9000000000000003E-10</v>
      </c>
      <c r="L10">
        <v>2830</v>
      </c>
      <c r="M10" s="1">
        <v>2.9599999999999999E-12</v>
      </c>
      <c r="N10">
        <v>6910</v>
      </c>
      <c r="O10" s="1">
        <v>2.0600000000000001E-12</v>
      </c>
      <c r="P10">
        <v>5210</v>
      </c>
    </row>
    <row r="11" spans="1:18" x14ac:dyDescent="0.25">
      <c r="A11" t="s">
        <v>96</v>
      </c>
      <c r="B11" t="str">
        <f>"354-58-5"</f>
        <v>354-58-5</v>
      </c>
      <c r="C11" t="s">
        <v>44</v>
      </c>
      <c r="D11" t="s">
        <v>97</v>
      </c>
      <c r="E11">
        <v>55</v>
      </c>
      <c r="F11">
        <v>0.24099999999999999</v>
      </c>
      <c r="G11" s="1">
        <v>1.2400000000000001E-10</v>
      </c>
      <c r="H11">
        <v>5110</v>
      </c>
      <c r="I11" s="1">
        <v>3.5099999999999998E-10</v>
      </c>
      <c r="J11">
        <v>3930</v>
      </c>
      <c r="K11" s="1">
        <v>4.2199999999999999E-10</v>
      </c>
      <c r="L11">
        <v>1350</v>
      </c>
      <c r="M11" s="1">
        <v>1.7300000000000001E-12</v>
      </c>
      <c r="N11">
        <v>4030</v>
      </c>
      <c r="O11" s="1">
        <v>9.1700000000000003E-13</v>
      </c>
      <c r="P11">
        <v>2320</v>
      </c>
    </row>
    <row r="12" spans="1:18" x14ac:dyDescent="0.25">
      <c r="A12" t="s">
        <v>98</v>
      </c>
      <c r="B12" t="str">
        <f>"76-14-2"</f>
        <v>76-14-2</v>
      </c>
      <c r="C12" t="s">
        <v>45</v>
      </c>
      <c r="D12" t="s">
        <v>99</v>
      </c>
      <c r="E12">
        <v>189</v>
      </c>
      <c r="F12">
        <v>0.314</v>
      </c>
      <c r="G12" s="1">
        <v>2.01E-10</v>
      </c>
      <c r="H12">
        <v>8260</v>
      </c>
      <c r="I12" s="1">
        <v>8.4399999999999998E-10</v>
      </c>
      <c r="J12">
        <v>9430</v>
      </c>
      <c r="K12" s="1">
        <v>1.9300000000000002E-9</v>
      </c>
      <c r="L12">
        <v>6150</v>
      </c>
      <c r="M12" s="1">
        <v>4.2700000000000002E-12</v>
      </c>
      <c r="N12">
        <v>9990</v>
      </c>
      <c r="O12" s="1">
        <v>3.7100000000000001E-12</v>
      </c>
      <c r="P12">
        <v>9410</v>
      </c>
    </row>
    <row r="13" spans="1:18" x14ac:dyDescent="0.25">
      <c r="A13" t="s">
        <v>100</v>
      </c>
      <c r="B13" t="str">
        <f>"374-07-2"</f>
        <v>374-07-2</v>
      </c>
      <c r="C13" t="s">
        <v>46</v>
      </c>
      <c r="D13" t="s">
        <v>101</v>
      </c>
      <c r="E13">
        <v>105</v>
      </c>
      <c r="F13">
        <v>0.29699999999999999</v>
      </c>
      <c r="G13" s="1">
        <v>1.8299999999999999E-10</v>
      </c>
      <c r="H13">
        <v>7510</v>
      </c>
      <c r="I13" s="1">
        <v>6.6399999999999998E-10</v>
      </c>
      <c r="J13">
        <v>7420</v>
      </c>
      <c r="K13" s="1">
        <v>1.08E-9</v>
      </c>
      <c r="L13">
        <v>3450</v>
      </c>
      <c r="M13" s="1">
        <v>3.37E-12</v>
      </c>
      <c r="N13">
        <v>7880</v>
      </c>
      <c r="O13" s="1">
        <v>2.46E-12</v>
      </c>
      <c r="P13">
        <v>6240</v>
      </c>
    </row>
    <row r="14" spans="1:18" x14ac:dyDescent="0.25">
      <c r="A14" t="s">
        <v>102</v>
      </c>
      <c r="B14" t="str">
        <f>"76-15-3"</f>
        <v>76-15-3</v>
      </c>
      <c r="C14" t="s">
        <v>47</v>
      </c>
      <c r="D14" t="s">
        <v>103</v>
      </c>
      <c r="E14">
        <v>540</v>
      </c>
      <c r="F14">
        <v>0.246</v>
      </c>
      <c r="G14" s="1">
        <v>1.8E-10</v>
      </c>
      <c r="H14">
        <v>7410</v>
      </c>
      <c r="I14" s="1">
        <v>8.5900000000000003E-10</v>
      </c>
      <c r="J14">
        <v>9600</v>
      </c>
      <c r="K14" s="1">
        <v>3.1E-9</v>
      </c>
      <c r="L14">
        <v>9880</v>
      </c>
      <c r="M14" s="1">
        <v>4.2999999999999999E-12</v>
      </c>
      <c r="N14">
        <v>10100</v>
      </c>
      <c r="O14" s="1">
        <v>4.3300000000000003E-12</v>
      </c>
      <c r="P14">
        <v>11000</v>
      </c>
    </row>
    <row r="15" spans="1:18" x14ac:dyDescent="0.25">
      <c r="A15" t="s">
        <v>104</v>
      </c>
      <c r="B15" t="str">
        <f>"3832-15-3"</f>
        <v>3832-15-3</v>
      </c>
      <c r="C15" t="s">
        <v>50</v>
      </c>
      <c r="D15" t="s">
        <v>105</v>
      </c>
      <c r="E15">
        <v>75</v>
      </c>
      <c r="F15">
        <v>0.27</v>
      </c>
      <c r="G15" s="1">
        <v>1.1700000000000001E-10</v>
      </c>
      <c r="H15">
        <v>4810</v>
      </c>
      <c r="I15" s="1">
        <v>3.7899999999999998E-10</v>
      </c>
      <c r="J15">
        <v>4230</v>
      </c>
      <c r="K15" s="1">
        <v>5.1799999999999997E-10</v>
      </c>
      <c r="L15">
        <v>1650</v>
      </c>
      <c r="M15" s="1">
        <v>1.9100000000000001E-12</v>
      </c>
      <c r="N15">
        <v>4450</v>
      </c>
      <c r="O15" s="1">
        <v>1.1999999999999999E-12</v>
      </c>
      <c r="P15">
        <v>3040</v>
      </c>
    </row>
    <row r="16" spans="1:18" x14ac:dyDescent="0.25">
      <c r="A16" t="s">
        <v>106</v>
      </c>
      <c r="B16" t="str">
        <f>"3934-26-7"</f>
        <v>3934-26-7</v>
      </c>
      <c r="C16" t="s">
        <v>51</v>
      </c>
      <c r="D16" t="s">
        <v>107</v>
      </c>
      <c r="E16">
        <v>114</v>
      </c>
      <c r="F16">
        <v>0.3</v>
      </c>
      <c r="G16" s="1">
        <v>1.36E-10</v>
      </c>
      <c r="H16">
        <v>5590</v>
      </c>
      <c r="I16" s="1">
        <v>5.0700000000000001E-10</v>
      </c>
      <c r="J16">
        <v>5660</v>
      </c>
      <c r="K16" s="1">
        <v>8.6500000000000001E-10</v>
      </c>
      <c r="L16">
        <v>2760</v>
      </c>
      <c r="M16" s="1">
        <v>2.5700000000000002E-12</v>
      </c>
      <c r="N16">
        <v>6020</v>
      </c>
      <c r="O16" s="1">
        <v>1.9399999999999998E-12</v>
      </c>
      <c r="P16">
        <v>4910</v>
      </c>
    </row>
    <row r="17" spans="1:18" x14ac:dyDescent="0.25">
      <c r="A17" t="s">
        <v>108</v>
      </c>
      <c r="B17" t="str">
        <f>"598-88-9"</f>
        <v>598-88-9</v>
      </c>
      <c r="C17" t="s">
        <v>52</v>
      </c>
      <c r="D17" t="s">
        <v>109</v>
      </c>
      <c r="E17">
        <v>1.9E-2</v>
      </c>
      <c r="F17">
        <v>1.2999999999999999E-2</v>
      </c>
      <c r="G17" s="1">
        <v>1.11E-14</v>
      </c>
      <c r="H17">
        <v>0.45400000000000001</v>
      </c>
      <c r="I17" s="1">
        <v>1.13E-14</v>
      </c>
      <c r="J17">
        <v>0.126</v>
      </c>
      <c r="K17" s="1">
        <v>1.13E-14</v>
      </c>
      <c r="L17">
        <v>3.5999999999999997E-2</v>
      </c>
      <c r="M17" s="1">
        <v>1.18E-17</v>
      </c>
      <c r="N17">
        <v>2.8000000000000001E-2</v>
      </c>
      <c r="O17" s="1">
        <v>8.9600000000000001E-18</v>
      </c>
      <c r="P17">
        <v>2.3E-2</v>
      </c>
      <c r="Q17">
        <v>12.9</v>
      </c>
      <c r="R17">
        <v>15.3</v>
      </c>
    </row>
    <row r="18" spans="1:18" x14ac:dyDescent="0.25">
      <c r="A18" t="s">
        <v>110</v>
      </c>
      <c r="B18" t="str">
        <f>"79-35-6"</f>
        <v>79-35-6</v>
      </c>
      <c r="C18" t="s">
        <v>53</v>
      </c>
      <c r="D18" t="s">
        <v>111</v>
      </c>
      <c r="E18">
        <v>6.0000000000000001E-3</v>
      </c>
      <c r="F18">
        <v>7.0000000000000001E-3</v>
      </c>
      <c r="G18" s="1">
        <v>1.8399999999999999E-15</v>
      </c>
      <c r="H18">
        <v>7.5999999999999998E-2</v>
      </c>
      <c r="I18" s="1">
        <v>1.8800000000000002E-15</v>
      </c>
      <c r="J18">
        <v>2.1000000000000001E-2</v>
      </c>
      <c r="K18" s="1">
        <v>1.8800000000000002E-15</v>
      </c>
      <c r="L18">
        <v>6.0000000000000001E-3</v>
      </c>
      <c r="M18" s="1">
        <v>1.9699999999999999E-18</v>
      </c>
      <c r="N18">
        <v>5.0000000000000001E-3</v>
      </c>
      <c r="O18" s="1">
        <v>1.49E-18</v>
      </c>
      <c r="P18">
        <v>4.0000000000000001E-3</v>
      </c>
      <c r="Q18">
        <v>2.16</v>
      </c>
      <c r="R18">
        <v>2.5499999999999998</v>
      </c>
    </row>
    <row r="19" spans="1:18" x14ac:dyDescent="0.25">
      <c r="A19" t="s">
        <v>112</v>
      </c>
      <c r="B19" t="str">
        <f>"75-43-4"</f>
        <v>75-43-4</v>
      </c>
      <c r="C19" t="s">
        <v>113</v>
      </c>
      <c r="D19" t="s">
        <v>114</v>
      </c>
      <c r="E19">
        <v>1.7</v>
      </c>
      <c r="F19">
        <v>0.14499999999999999</v>
      </c>
      <c r="G19" s="1">
        <v>1.4E-11</v>
      </c>
      <c r="H19">
        <v>575</v>
      </c>
      <c r="I19" s="1">
        <v>1.43E-11</v>
      </c>
      <c r="J19">
        <v>160</v>
      </c>
      <c r="K19" s="1">
        <v>1.43E-11</v>
      </c>
      <c r="L19">
        <v>45.6</v>
      </c>
      <c r="M19" s="1">
        <v>1.5200000000000001E-14</v>
      </c>
      <c r="N19">
        <v>35.5</v>
      </c>
      <c r="O19" s="1">
        <v>1.1400000000000001E-14</v>
      </c>
      <c r="P19">
        <v>29</v>
      </c>
      <c r="Q19">
        <v>16300</v>
      </c>
      <c r="R19">
        <v>19400</v>
      </c>
    </row>
    <row r="20" spans="1:18" x14ac:dyDescent="0.25">
      <c r="A20" t="s">
        <v>115</v>
      </c>
      <c r="B20" t="str">
        <f>"75-45-6"</f>
        <v>75-45-6</v>
      </c>
      <c r="C20" t="s">
        <v>116</v>
      </c>
      <c r="D20" t="s">
        <v>117</v>
      </c>
      <c r="E20">
        <v>11.9</v>
      </c>
      <c r="F20">
        <v>0.214</v>
      </c>
      <c r="G20" s="1">
        <v>1.3900000000000001E-10</v>
      </c>
      <c r="H20">
        <v>5690</v>
      </c>
      <c r="I20" s="1">
        <v>1.7499999999999999E-10</v>
      </c>
      <c r="J20">
        <v>1960</v>
      </c>
      <c r="K20" s="1">
        <v>1.7600000000000001E-10</v>
      </c>
      <c r="L20">
        <v>560</v>
      </c>
      <c r="M20" s="1">
        <v>3.3599999999999998E-13</v>
      </c>
      <c r="N20">
        <v>785</v>
      </c>
      <c r="O20" s="1">
        <v>1.49E-13</v>
      </c>
      <c r="P20">
        <v>379</v>
      </c>
      <c r="Q20">
        <v>192000</v>
      </c>
      <c r="R20">
        <v>234000</v>
      </c>
    </row>
    <row r="21" spans="1:18" x14ac:dyDescent="0.25">
      <c r="A21" t="s">
        <v>118</v>
      </c>
      <c r="B21" t="str">
        <f>"593-70-4"</f>
        <v>593-70-4</v>
      </c>
      <c r="C21" t="s">
        <v>119</v>
      </c>
      <c r="D21" t="s">
        <v>120</v>
      </c>
      <c r="E21">
        <v>1.2</v>
      </c>
      <c r="F21">
        <v>6.8000000000000005E-2</v>
      </c>
      <c r="G21" s="1">
        <v>6.9600000000000002E-12</v>
      </c>
      <c r="H21">
        <v>286</v>
      </c>
      <c r="I21" s="1">
        <v>7.1100000000000002E-12</v>
      </c>
      <c r="J21">
        <v>79.400000000000006</v>
      </c>
      <c r="K21" s="1">
        <v>7.1100000000000002E-12</v>
      </c>
      <c r="L21">
        <v>22.6</v>
      </c>
      <c r="M21" s="1">
        <v>7.5200000000000007E-15</v>
      </c>
      <c r="N21">
        <v>17.600000000000001</v>
      </c>
      <c r="O21" s="1">
        <v>5.6700000000000002E-15</v>
      </c>
      <c r="P21">
        <v>14.4</v>
      </c>
      <c r="Q21">
        <v>8130</v>
      </c>
      <c r="R21">
        <v>9630</v>
      </c>
    </row>
    <row r="22" spans="1:18" x14ac:dyDescent="0.25">
      <c r="A22" t="s">
        <v>121</v>
      </c>
      <c r="B22" t="str">
        <f>"354-14-3"</f>
        <v>354-14-3</v>
      </c>
      <c r="C22" t="s">
        <v>122</v>
      </c>
      <c r="D22" t="s">
        <v>123</v>
      </c>
      <c r="E22">
        <v>1.1100000000000001</v>
      </c>
      <c r="F22">
        <v>0.14599999999999999</v>
      </c>
      <c r="G22" s="1">
        <v>5.1099999999999998E-12</v>
      </c>
      <c r="H22">
        <v>210</v>
      </c>
      <c r="I22" s="1">
        <v>5.22E-12</v>
      </c>
      <c r="J22">
        <v>58.3</v>
      </c>
      <c r="K22" s="1">
        <v>5.22E-12</v>
      </c>
      <c r="L22">
        <v>16.600000000000001</v>
      </c>
      <c r="M22" s="1">
        <v>5.5199999999999998E-15</v>
      </c>
      <c r="N22">
        <v>12.9</v>
      </c>
      <c r="O22" s="1">
        <v>4.1599999999999998E-15</v>
      </c>
      <c r="P22">
        <v>10.5</v>
      </c>
      <c r="Q22">
        <v>5970</v>
      </c>
      <c r="R22">
        <v>7070</v>
      </c>
    </row>
    <row r="23" spans="1:18" x14ac:dyDescent="0.25">
      <c r="A23" t="s">
        <v>124</v>
      </c>
      <c r="B23" t="str">
        <f>"354-21-2"</f>
        <v>354-21-2</v>
      </c>
      <c r="C23" t="s">
        <v>125</v>
      </c>
      <c r="D23" t="s">
        <v>126</v>
      </c>
      <c r="E23">
        <v>0.9</v>
      </c>
      <c r="F23">
        <v>0.159</v>
      </c>
      <c r="G23" s="1">
        <v>4.9400000000000004E-12</v>
      </c>
      <c r="H23">
        <v>203</v>
      </c>
      <c r="I23" s="1">
        <v>5.0499999999999997E-12</v>
      </c>
      <c r="J23">
        <v>56.4</v>
      </c>
      <c r="K23" s="1">
        <v>5.0499999999999997E-12</v>
      </c>
      <c r="L23">
        <v>16.100000000000001</v>
      </c>
      <c r="M23" s="1">
        <v>5.3300000000000002E-15</v>
      </c>
      <c r="N23">
        <v>12.5</v>
      </c>
      <c r="O23" s="1">
        <v>4.0299999999999996E-15</v>
      </c>
      <c r="P23">
        <v>10.199999999999999</v>
      </c>
      <c r="Q23">
        <v>5780</v>
      </c>
      <c r="R23">
        <v>6850</v>
      </c>
    </row>
    <row r="24" spans="1:18" x14ac:dyDescent="0.25">
      <c r="A24" t="s">
        <v>127</v>
      </c>
      <c r="B24" t="str">
        <f>"354-15-4"</f>
        <v>354-15-4</v>
      </c>
      <c r="C24" t="s">
        <v>128</v>
      </c>
      <c r="D24" t="s">
        <v>129</v>
      </c>
      <c r="E24">
        <v>3.1</v>
      </c>
      <c r="F24">
        <v>0.20100000000000001</v>
      </c>
      <c r="G24" s="1">
        <v>2.1399999999999998E-11</v>
      </c>
      <c r="H24">
        <v>879</v>
      </c>
      <c r="I24" s="1">
        <v>2.19E-11</v>
      </c>
      <c r="J24">
        <v>245</v>
      </c>
      <c r="K24" s="1">
        <v>2.19E-11</v>
      </c>
      <c r="L24">
        <v>69.900000000000006</v>
      </c>
      <c r="M24" s="1">
        <v>2.3599999999999999E-14</v>
      </c>
      <c r="N24">
        <v>55.3</v>
      </c>
      <c r="O24" s="1">
        <v>1.7599999999999999E-14</v>
      </c>
      <c r="P24">
        <v>44.7</v>
      </c>
      <c r="Q24">
        <v>25000</v>
      </c>
      <c r="R24">
        <v>29600</v>
      </c>
    </row>
    <row r="25" spans="1:18" x14ac:dyDescent="0.25">
      <c r="A25" t="s">
        <v>130</v>
      </c>
      <c r="B25" t="str">
        <f>"306-83-2"</f>
        <v>306-83-2</v>
      </c>
      <c r="C25" t="s">
        <v>131</v>
      </c>
      <c r="D25" t="s">
        <v>132</v>
      </c>
      <c r="E25">
        <v>1.3</v>
      </c>
      <c r="F25">
        <v>0.16</v>
      </c>
      <c r="G25" s="1">
        <v>7.9200000000000002E-12</v>
      </c>
      <c r="H25">
        <v>325</v>
      </c>
      <c r="I25" s="1">
        <v>8.0899999999999997E-12</v>
      </c>
      <c r="J25">
        <v>90.4</v>
      </c>
      <c r="K25" s="1">
        <v>8.0899999999999997E-12</v>
      </c>
      <c r="L25">
        <v>25.8</v>
      </c>
      <c r="M25" s="1">
        <v>8.57E-15</v>
      </c>
      <c r="N25">
        <v>20</v>
      </c>
      <c r="O25" s="1">
        <v>6.4600000000000001E-15</v>
      </c>
      <c r="P25">
        <v>16.399999999999999</v>
      </c>
      <c r="Q25">
        <v>9260</v>
      </c>
      <c r="R25">
        <v>11000</v>
      </c>
    </row>
    <row r="26" spans="1:18" x14ac:dyDescent="0.25">
      <c r="A26" t="s">
        <v>133</v>
      </c>
      <c r="B26" t="str">
        <f>"354-23-4"</f>
        <v>354-23-4</v>
      </c>
      <c r="C26" t="s">
        <v>134</v>
      </c>
      <c r="D26" t="s">
        <v>135</v>
      </c>
      <c r="E26">
        <v>4</v>
      </c>
      <c r="F26">
        <v>0.22700000000000001</v>
      </c>
      <c r="G26" s="1">
        <v>3.4200000000000002E-11</v>
      </c>
      <c r="H26">
        <v>1410</v>
      </c>
      <c r="I26" s="1">
        <v>3.5299999999999997E-11</v>
      </c>
      <c r="J26">
        <v>395</v>
      </c>
      <c r="K26" s="1">
        <v>3.5299999999999997E-11</v>
      </c>
      <c r="L26">
        <v>113</v>
      </c>
      <c r="M26" s="1">
        <v>3.85E-14</v>
      </c>
      <c r="N26">
        <v>90</v>
      </c>
      <c r="O26" s="1">
        <v>2.8499999999999998E-14</v>
      </c>
      <c r="P26">
        <v>72.3</v>
      </c>
      <c r="Q26">
        <v>40200</v>
      </c>
      <c r="R26">
        <v>47700</v>
      </c>
    </row>
    <row r="27" spans="1:18" x14ac:dyDescent="0.25">
      <c r="A27" t="s">
        <v>136</v>
      </c>
      <c r="B27" t="str">
        <f>"2837-89-0"</f>
        <v>2837-89-0</v>
      </c>
      <c r="C27" t="s">
        <v>137</v>
      </c>
      <c r="D27" t="s">
        <v>138</v>
      </c>
      <c r="E27">
        <v>5.9</v>
      </c>
      <c r="F27">
        <v>0.20699999999999999</v>
      </c>
      <c r="G27" s="1">
        <v>5.0299999999999997E-11</v>
      </c>
      <c r="H27">
        <v>2070</v>
      </c>
      <c r="I27" s="1">
        <v>5.3399999999999998E-11</v>
      </c>
      <c r="J27">
        <v>597</v>
      </c>
      <c r="K27" s="1">
        <v>5.3399999999999998E-11</v>
      </c>
      <c r="L27">
        <v>170</v>
      </c>
      <c r="M27" s="1">
        <v>6.1199999999999994E-14</v>
      </c>
      <c r="N27">
        <v>143</v>
      </c>
      <c r="O27" s="1">
        <v>4.3499999999999998E-14</v>
      </c>
      <c r="P27">
        <v>110</v>
      </c>
      <c r="Q27">
        <v>60500</v>
      </c>
      <c r="R27">
        <v>71900</v>
      </c>
    </row>
    <row r="28" spans="1:18" x14ac:dyDescent="0.25">
      <c r="A28" t="s">
        <v>139</v>
      </c>
      <c r="B28" t="str">
        <f>"354-25-6"</f>
        <v>354-25-6</v>
      </c>
      <c r="C28" t="s">
        <v>140</v>
      </c>
      <c r="D28" t="s">
        <v>141</v>
      </c>
      <c r="E28">
        <v>17</v>
      </c>
      <c r="F28">
        <v>0.25</v>
      </c>
      <c r="G28" s="1">
        <v>1.2400000000000001E-10</v>
      </c>
      <c r="H28">
        <v>5110</v>
      </c>
      <c r="I28" s="1">
        <v>1.8500000000000001E-10</v>
      </c>
      <c r="J28">
        <v>2070</v>
      </c>
      <c r="K28" s="1">
        <v>1.86E-10</v>
      </c>
      <c r="L28">
        <v>592</v>
      </c>
      <c r="M28" s="1">
        <v>5.21E-13</v>
      </c>
      <c r="N28">
        <v>1220</v>
      </c>
      <c r="O28" s="1">
        <v>1.77E-13</v>
      </c>
      <c r="P28">
        <v>448</v>
      </c>
      <c r="Q28">
        <v>192000</v>
      </c>
      <c r="R28">
        <v>244000</v>
      </c>
    </row>
    <row r="29" spans="1:18" x14ac:dyDescent="0.25">
      <c r="A29" t="s">
        <v>142</v>
      </c>
      <c r="B29" t="str">
        <f>"431-06-1"</f>
        <v>431-06-1</v>
      </c>
      <c r="C29" t="s">
        <v>143</v>
      </c>
      <c r="D29" t="s">
        <v>144</v>
      </c>
      <c r="E29">
        <v>1.73</v>
      </c>
      <c r="F29">
        <v>0.14299999999999999</v>
      </c>
      <c r="G29" s="1">
        <v>1.0699999999999999E-11</v>
      </c>
      <c r="H29">
        <v>440</v>
      </c>
      <c r="I29" s="1">
        <v>1.0899999999999999E-11</v>
      </c>
      <c r="J29">
        <v>122</v>
      </c>
      <c r="K29" s="1">
        <v>1.0899999999999999E-11</v>
      </c>
      <c r="L29">
        <v>34.9</v>
      </c>
      <c r="M29" s="1">
        <v>1.1600000000000001E-14</v>
      </c>
      <c r="N29">
        <v>27.2</v>
      </c>
      <c r="O29" s="1">
        <v>8.7600000000000003E-15</v>
      </c>
      <c r="P29">
        <v>22.2</v>
      </c>
      <c r="Q29">
        <v>12500</v>
      </c>
      <c r="R29">
        <v>14800</v>
      </c>
    </row>
    <row r="30" spans="1:18" x14ac:dyDescent="0.25">
      <c r="A30" t="s">
        <v>145</v>
      </c>
      <c r="B30" t="str">
        <f>"471-43-2"</f>
        <v>471-43-2</v>
      </c>
      <c r="C30" t="s">
        <v>146</v>
      </c>
      <c r="D30" t="s">
        <v>147</v>
      </c>
      <c r="E30">
        <v>1.1200000000000001</v>
      </c>
      <c r="F30">
        <v>0.127</v>
      </c>
      <c r="G30" s="1">
        <v>6.1699999999999998E-12</v>
      </c>
      <c r="H30">
        <v>253</v>
      </c>
      <c r="I30" s="1">
        <v>6.3000000000000002E-12</v>
      </c>
      <c r="J30">
        <v>70.400000000000006</v>
      </c>
      <c r="K30" s="1">
        <v>6.3000000000000002E-12</v>
      </c>
      <c r="L30">
        <v>20.100000000000001</v>
      </c>
      <c r="M30" s="1">
        <v>6.6600000000000001E-15</v>
      </c>
      <c r="N30">
        <v>15.6</v>
      </c>
      <c r="O30" s="1">
        <v>5.0300000000000001E-15</v>
      </c>
      <c r="P30">
        <v>12.7</v>
      </c>
      <c r="Q30">
        <v>7210</v>
      </c>
      <c r="R30">
        <v>8540</v>
      </c>
    </row>
    <row r="31" spans="1:18" x14ac:dyDescent="0.25">
      <c r="A31" t="s">
        <v>148</v>
      </c>
      <c r="B31" t="str">
        <f>"1842-05-3"</f>
        <v>1842-05-3</v>
      </c>
      <c r="C31" t="s">
        <v>149</v>
      </c>
      <c r="D31" t="s">
        <v>150</v>
      </c>
      <c r="E31">
        <v>4.0999999999999996</v>
      </c>
      <c r="F31">
        <v>0.16900000000000001</v>
      </c>
      <c r="G31" s="1">
        <v>2.96E-11</v>
      </c>
      <c r="H31">
        <v>1220</v>
      </c>
      <c r="I31" s="1">
        <v>3.0600000000000003E-11</v>
      </c>
      <c r="J31">
        <v>342</v>
      </c>
      <c r="K31" s="1">
        <v>3.0600000000000003E-11</v>
      </c>
      <c r="L31">
        <v>97.6</v>
      </c>
      <c r="M31" s="1">
        <v>3.3400000000000002E-14</v>
      </c>
      <c r="N31">
        <v>78.099999999999994</v>
      </c>
      <c r="O31" s="1">
        <v>2.4700000000000001E-14</v>
      </c>
      <c r="P31">
        <v>62.7</v>
      </c>
      <c r="Q31">
        <v>34800</v>
      </c>
      <c r="R31">
        <v>41300</v>
      </c>
    </row>
    <row r="32" spans="1:18" x14ac:dyDescent="0.25">
      <c r="A32" t="s">
        <v>151</v>
      </c>
      <c r="B32" t="str">
        <f>"75-88-7"</f>
        <v>75-88-7</v>
      </c>
      <c r="C32" t="s">
        <v>152</v>
      </c>
      <c r="D32" t="s">
        <v>153</v>
      </c>
      <c r="E32">
        <v>4.5999999999999996</v>
      </c>
      <c r="F32">
        <v>0.15</v>
      </c>
      <c r="G32" s="1">
        <v>3.3400000000000002E-11</v>
      </c>
      <c r="H32">
        <v>1370</v>
      </c>
      <c r="I32" s="1">
        <v>3.47E-11</v>
      </c>
      <c r="J32">
        <v>388</v>
      </c>
      <c r="K32" s="1">
        <v>3.47E-11</v>
      </c>
      <c r="L32">
        <v>111</v>
      </c>
      <c r="M32" s="1">
        <v>3.8199999999999998E-14</v>
      </c>
      <c r="N32">
        <v>89.3</v>
      </c>
      <c r="O32" s="1">
        <v>2.8100000000000001E-14</v>
      </c>
      <c r="P32">
        <v>71.3</v>
      </c>
      <c r="Q32">
        <v>39400</v>
      </c>
      <c r="R32">
        <v>46800</v>
      </c>
    </row>
    <row r="33" spans="1:18" x14ac:dyDescent="0.25">
      <c r="A33" t="s">
        <v>154</v>
      </c>
      <c r="B33" t="str">
        <f>"430-57-9"</f>
        <v>430-57-9</v>
      </c>
      <c r="C33" t="s">
        <v>155</v>
      </c>
      <c r="D33" t="s">
        <v>156</v>
      </c>
      <c r="E33">
        <v>1.1399999999999999</v>
      </c>
      <c r="F33">
        <v>7.1999999999999995E-2</v>
      </c>
      <c r="G33" s="1">
        <v>4.0800000000000004E-12</v>
      </c>
      <c r="H33">
        <v>168</v>
      </c>
      <c r="I33" s="1">
        <v>4.1700000000000002E-12</v>
      </c>
      <c r="J33">
        <v>46.6</v>
      </c>
      <c r="K33" s="1">
        <v>4.1700000000000002E-12</v>
      </c>
      <c r="L33">
        <v>13.3</v>
      </c>
      <c r="M33" s="1">
        <v>4.4100000000000003E-15</v>
      </c>
      <c r="N33">
        <v>10.3</v>
      </c>
      <c r="O33" s="1">
        <v>3.3300000000000001E-15</v>
      </c>
      <c r="P33">
        <v>8.43</v>
      </c>
      <c r="Q33">
        <v>4770</v>
      </c>
      <c r="R33">
        <v>5650</v>
      </c>
    </row>
    <row r="34" spans="1:18" x14ac:dyDescent="0.25">
      <c r="A34" t="s">
        <v>157</v>
      </c>
      <c r="B34" t="str">
        <f>"1717-00-6"</f>
        <v>1717-00-6</v>
      </c>
      <c r="C34" t="s">
        <v>56</v>
      </c>
      <c r="D34" t="s">
        <v>158</v>
      </c>
      <c r="E34">
        <v>9.4</v>
      </c>
      <c r="F34">
        <v>0.161</v>
      </c>
      <c r="G34" s="1">
        <v>6.59E-11</v>
      </c>
      <c r="H34">
        <v>2710</v>
      </c>
      <c r="I34" s="1">
        <v>7.7000000000000006E-11</v>
      </c>
      <c r="J34">
        <v>860</v>
      </c>
      <c r="K34" s="1">
        <v>7.7000000000000006E-11</v>
      </c>
      <c r="L34">
        <v>246</v>
      </c>
      <c r="M34" s="1">
        <v>1.1499999999999999E-13</v>
      </c>
      <c r="N34">
        <v>269</v>
      </c>
      <c r="O34" s="1">
        <v>6.4000000000000005E-14</v>
      </c>
      <c r="P34">
        <v>162</v>
      </c>
      <c r="Q34">
        <v>85800</v>
      </c>
      <c r="R34">
        <v>103000</v>
      </c>
    </row>
    <row r="35" spans="1:18" x14ac:dyDescent="0.25">
      <c r="A35" t="s">
        <v>159</v>
      </c>
      <c r="B35" t="str">
        <f>"75-68-3"</f>
        <v>75-68-3</v>
      </c>
      <c r="C35" t="s">
        <v>57</v>
      </c>
      <c r="D35" t="s">
        <v>160</v>
      </c>
      <c r="E35">
        <v>18</v>
      </c>
      <c r="F35">
        <v>0.193</v>
      </c>
      <c r="G35" s="1">
        <v>1.34E-10</v>
      </c>
      <c r="H35">
        <v>5510</v>
      </c>
      <c r="I35" s="1">
        <v>2.0499999999999999E-10</v>
      </c>
      <c r="J35">
        <v>2300</v>
      </c>
      <c r="K35" s="1">
        <v>2.0700000000000001E-10</v>
      </c>
      <c r="L35">
        <v>658</v>
      </c>
      <c r="M35" s="1">
        <v>6.1100000000000002E-13</v>
      </c>
      <c r="N35">
        <v>1430</v>
      </c>
      <c r="O35" s="1">
        <v>2.0299999999999999E-13</v>
      </c>
      <c r="P35">
        <v>514</v>
      </c>
      <c r="Q35">
        <v>211000</v>
      </c>
      <c r="R35">
        <v>271000</v>
      </c>
    </row>
    <row r="36" spans="1:18" x14ac:dyDescent="0.25">
      <c r="A36" t="s">
        <v>161</v>
      </c>
      <c r="B36" t="str">
        <f>"422-56-0"</f>
        <v>422-56-0</v>
      </c>
      <c r="C36" t="s">
        <v>162</v>
      </c>
      <c r="D36" t="s">
        <v>163</v>
      </c>
      <c r="E36">
        <v>1.9</v>
      </c>
      <c r="F36">
        <v>0.219</v>
      </c>
      <c r="G36" s="1">
        <v>1.2000000000000001E-11</v>
      </c>
      <c r="H36">
        <v>491</v>
      </c>
      <c r="I36" s="1">
        <v>1.2200000000000001E-11</v>
      </c>
      <c r="J36">
        <v>137</v>
      </c>
      <c r="K36" s="1">
        <v>1.2200000000000001E-11</v>
      </c>
      <c r="L36">
        <v>39</v>
      </c>
      <c r="M36" s="1">
        <v>1.3E-14</v>
      </c>
      <c r="N36">
        <v>30.4</v>
      </c>
      <c r="O36" s="1">
        <v>9.7900000000000001E-15</v>
      </c>
      <c r="P36">
        <v>24.8</v>
      </c>
      <c r="Q36">
        <v>14000</v>
      </c>
      <c r="R36">
        <v>16600</v>
      </c>
    </row>
    <row r="37" spans="1:18" x14ac:dyDescent="0.25">
      <c r="A37" t="s">
        <v>164</v>
      </c>
      <c r="B37" t="str">
        <f>"507-55-1"</f>
        <v>507-55-1</v>
      </c>
      <c r="C37" t="s">
        <v>165</v>
      </c>
      <c r="D37" t="s">
        <v>166</v>
      </c>
      <c r="E37">
        <v>5.9</v>
      </c>
      <c r="F37">
        <v>0.29299999999999998</v>
      </c>
      <c r="G37" s="1">
        <v>4.7799999999999999E-11</v>
      </c>
      <c r="H37">
        <v>1960</v>
      </c>
      <c r="I37" s="1">
        <v>5.0800000000000002E-11</v>
      </c>
      <c r="J37">
        <v>568</v>
      </c>
      <c r="K37" s="1">
        <v>5.0800000000000002E-11</v>
      </c>
      <c r="L37">
        <v>162</v>
      </c>
      <c r="M37" s="1">
        <v>5.8199999999999994E-14</v>
      </c>
      <c r="N37">
        <v>136</v>
      </c>
      <c r="O37" s="1">
        <v>4.1399999999999999E-14</v>
      </c>
      <c r="P37">
        <v>105</v>
      </c>
      <c r="Q37">
        <v>57500</v>
      </c>
      <c r="R37">
        <v>68300</v>
      </c>
    </row>
    <row r="38" spans="1:18" x14ac:dyDescent="0.25">
      <c r="A38" t="s">
        <v>167</v>
      </c>
      <c r="B38" t="str">
        <f>"102687-65-0"</f>
        <v>102687-65-0</v>
      </c>
      <c r="C38" t="s">
        <v>168</v>
      </c>
      <c r="D38" t="s">
        <v>169</v>
      </c>
      <c r="E38">
        <v>0.11600000000000001</v>
      </c>
      <c r="F38">
        <v>6.5000000000000002E-2</v>
      </c>
      <c r="G38" s="1">
        <v>3.4000000000000002E-13</v>
      </c>
      <c r="H38">
        <v>14</v>
      </c>
      <c r="I38" s="1">
        <v>3.4699999999999999E-13</v>
      </c>
      <c r="J38">
        <v>3.88</v>
      </c>
      <c r="K38" s="1">
        <v>3.4699999999999999E-13</v>
      </c>
      <c r="L38">
        <v>1.1100000000000001</v>
      </c>
      <c r="M38" s="1">
        <v>3.64E-16</v>
      </c>
      <c r="N38">
        <v>0.85099999999999998</v>
      </c>
      <c r="O38" s="1">
        <v>2.76E-16</v>
      </c>
      <c r="P38">
        <v>0.7</v>
      </c>
      <c r="Q38">
        <v>398</v>
      </c>
      <c r="R38">
        <v>471</v>
      </c>
    </row>
    <row r="39" spans="1:18" x14ac:dyDescent="0.25">
      <c r="A39" t="s">
        <v>170</v>
      </c>
      <c r="B39" t="str">
        <f>"99728-16-2"</f>
        <v>99728-16-2</v>
      </c>
      <c r="C39" t="s">
        <v>171</v>
      </c>
      <c r="D39" t="s">
        <v>172</v>
      </c>
      <c r="E39">
        <v>3.5999999999999997E-2</v>
      </c>
      <c r="F39">
        <v>2.5000000000000001E-2</v>
      </c>
      <c r="G39" s="1">
        <v>3.9799999999999998E-14</v>
      </c>
      <c r="H39">
        <v>1.64</v>
      </c>
      <c r="I39" s="1">
        <v>4.0599999999999999E-14</v>
      </c>
      <c r="J39">
        <v>0.45400000000000001</v>
      </c>
      <c r="K39" s="1">
        <v>4.0599999999999999E-14</v>
      </c>
      <c r="L39">
        <v>0.129</v>
      </c>
      <c r="M39" s="1">
        <v>4.25E-17</v>
      </c>
      <c r="N39">
        <v>9.9000000000000005E-2</v>
      </c>
      <c r="O39" s="1">
        <v>3.2300000000000002E-17</v>
      </c>
      <c r="P39">
        <v>8.2000000000000003E-2</v>
      </c>
      <c r="Q39">
        <v>46.6</v>
      </c>
      <c r="R39">
        <v>55.2</v>
      </c>
    </row>
    <row r="40" spans="1:18" x14ac:dyDescent="0.25">
      <c r="A40" t="s">
        <v>173</v>
      </c>
      <c r="B40" t="str">
        <f>"460-16-2"</f>
        <v>460-16-2</v>
      </c>
      <c r="D40" t="s">
        <v>174</v>
      </c>
      <c r="E40">
        <v>5.0000000000000001E-3</v>
      </c>
      <c r="F40">
        <v>1E-3</v>
      </c>
      <c r="G40" s="1">
        <v>3.2000000000000002E-16</v>
      </c>
      <c r="H40">
        <v>1.2999999999999999E-2</v>
      </c>
      <c r="I40" s="1">
        <v>3.2699999999999999E-16</v>
      </c>
      <c r="J40">
        <v>4.0000000000000001E-3</v>
      </c>
      <c r="K40" s="1">
        <v>3.2699999999999999E-16</v>
      </c>
      <c r="L40">
        <v>1E-3</v>
      </c>
      <c r="M40" s="1">
        <v>3.4199999999999999E-19</v>
      </c>
      <c r="N40">
        <v>1E-3</v>
      </c>
      <c r="O40" s="1">
        <v>2.6000000000000001E-19</v>
      </c>
      <c r="P40">
        <v>1E-3</v>
      </c>
      <c r="Q40">
        <v>0.375</v>
      </c>
      <c r="R40">
        <v>0.44400000000000001</v>
      </c>
    </row>
    <row r="41" spans="1:18" x14ac:dyDescent="0.25">
      <c r="A41" t="s">
        <v>175</v>
      </c>
      <c r="B41" t="str">
        <f>"75-46-7"</f>
        <v>75-46-7</v>
      </c>
      <c r="C41" t="s">
        <v>2</v>
      </c>
      <c r="D41" t="s">
        <v>176</v>
      </c>
      <c r="E41">
        <v>228</v>
      </c>
      <c r="F41">
        <v>0.191</v>
      </c>
      <c r="G41" s="1">
        <v>3.0099999999999999E-10</v>
      </c>
      <c r="H41">
        <v>12400</v>
      </c>
      <c r="I41" s="1">
        <v>1.31E-9</v>
      </c>
      <c r="J41">
        <v>14600</v>
      </c>
      <c r="K41" s="1">
        <v>3.3000000000000002E-9</v>
      </c>
      <c r="L41">
        <v>10500</v>
      </c>
      <c r="M41" s="1">
        <v>6.6000000000000001E-12</v>
      </c>
      <c r="N41">
        <v>15400</v>
      </c>
      <c r="O41" s="1">
        <v>5.9500000000000003E-12</v>
      </c>
      <c r="P41">
        <v>15100</v>
      </c>
    </row>
    <row r="42" spans="1:18" x14ac:dyDescent="0.25">
      <c r="A42" t="s">
        <v>177</v>
      </c>
      <c r="B42" t="str">
        <f>"75-10-5"</f>
        <v>75-10-5</v>
      </c>
      <c r="C42" t="s">
        <v>3</v>
      </c>
      <c r="D42" t="s">
        <v>178</v>
      </c>
      <c r="E42">
        <v>5.4</v>
      </c>
      <c r="F42">
        <v>0.111</v>
      </c>
      <c r="G42" s="1">
        <v>6.5500000000000006E-11</v>
      </c>
      <c r="H42">
        <v>2690</v>
      </c>
      <c r="I42" s="1">
        <v>6.8999999999999994E-11</v>
      </c>
      <c r="J42">
        <v>771</v>
      </c>
      <c r="K42" s="1">
        <v>6.8999999999999994E-11</v>
      </c>
      <c r="L42">
        <v>220</v>
      </c>
      <c r="M42" s="1">
        <v>7.7499999999999998E-14</v>
      </c>
      <c r="N42">
        <v>181</v>
      </c>
      <c r="O42" s="1">
        <v>5.6100000000000002E-14</v>
      </c>
      <c r="P42">
        <v>142</v>
      </c>
      <c r="Q42">
        <v>78200</v>
      </c>
      <c r="R42">
        <v>92900</v>
      </c>
    </row>
    <row r="43" spans="1:18" x14ac:dyDescent="0.25">
      <c r="A43" t="s">
        <v>179</v>
      </c>
      <c r="B43" t="str">
        <f>"593-53-3"</f>
        <v>593-53-3</v>
      </c>
      <c r="C43" t="s">
        <v>4</v>
      </c>
      <c r="D43" t="s">
        <v>180</v>
      </c>
      <c r="E43">
        <v>2.8</v>
      </c>
      <c r="F43">
        <v>2.5000000000000001E-2</v>
      </c>
      <c r="G43" s="1">
        <v>1.1800000000000001E-11</v>
      </c>
      <c r="H43">
        <v>485</v>
      </c>
      <c r="I43" s="1">
        <v>1.2100000000000001E-11</v>
      </c>
      <c r="J43">
        <v>135</v>
      </c>
      <c r="K43" s="1">
        <v>1.2100000000000001E-11</v>
      </c>
      <c r="L43">
        <v>38.6</v>
      </c>
      <c r="M43" s="1">
        <v>1.3E-14</v>
      </c>
      <c r="N43">
        <v>30.4</v>
      </c>
      <c r="O43" s="1">
        <v>9.7200000000000002E-15</v>
      </c>
      <c r="P43">
        <v>24.6</v>
      </c>
      <c r="Q43">
        <v>13800</v>
      </c>
      <c r="R43">
        <v>16400</v>
      </c>
    </row>
    <row r="44" spans="1:18" x14ac:dyDescent="0.25">
      <c r="A44" t="s">
        <v>181</v>
      </c>
      <c r="B44" t="str">
        <f>"354-33-6"</f>
        <v>354-33-6</v>
      </c>
      <c r="C44" t="s">
        <v>6</v>
      </c>
      <c r="D44" t="s">
        <v>182</v>
      </c>
      <c r="E44">
        <v>30</v>
      </c>
      <c r="F44">
        <v>0.23400000000000001</v>
      </c>
      <c r="G44" s="1">
        <v>1.64E-10</v>
      </c>
      <c r="H44">
        <v>6740</v>
      </c>
      <c r="I44" s="1">
        <v>3.3499999999999998E-10</v>
      </c>
      <c r="J44">
        <v>3740</v>
      </c>
      <c r="K44" s="1">
        <v>3.4899999999999998E-10</v>
      </c>
      <c r="L44">
        <v>1110</v>
      </c>
      <c r="M44" s="1">
        <v>1.4100000000000001E-12</v>
      </c>
      <c r="N44">
        <v>3300</v>
      </c>
      <c r="O44" s="1">
        <v>5.1200000000000004E-13</v>
      </c>
      <c r="P44">
        <v>1300</v>
      </c>
    </row>
    <row r="45" spans="1:18" x14ac:dyDescent="0.25">
      <c r="A45" t="s">
        <v>183</v>
      </c>
      <c r="B45" t="str">
        <f>"359-35-3"</f>
        <v>359-35-3</v>
      </c>
      <c r="C45" t="s">
        <v>7</v>
      </c>
      <c r="D45" t="s">
        <v>184</v>
      </c>
      <c r="E45">
        <v>10</v>
      </c>
      <c r="F45">
        <v>0.19400000000000001</v>
      </c>
      <c r="G45" s="1">
        <v>9.4999999999999995E-11</v>
      </c>
      <c r="H45">
        <v>3900</v>
      </c>
      <c r="I45" s="1">
        <v>1.13E-10</v>
      </c>
      <c r="J45">
        <v>1260</v>
      </c>
      <c r="K45" s="1">
        <v>1.13E-10</v>
      </c>
      <c r="L45">
        <v>361</v>
      </c>
      <c r="M45" s="1">
        <v>1.7999999999999999E-13</v>
      </c>
      <c r="N45">
        <v>420</v>
      </c>
      <c r="O45" s="1">
        <v>9.4399999999999994E-14</v>
      </c>
      <c r="P45">
        <v>239</v>
      </c>
      <c r="Q45">
        <v>126000</v>
      </c>
      <c r="R45">
        <v>151000</v>
      </c>
    </row>
    <row r="46" spans="1:18" x14ac:dyDescent="0.25">
      <c r="A46" t="s">
        <v>185</v>
      </c>
      <c r="B46" t="str">
        <f>"811-97-2"</f>
        <v>811-97-2</v>
      </c>
      <c r="C46" t="s">
        <v>8</v>
      </c>
      <c r="D46" t="s">
        <v>186</v>
      </c>
      <c r="E46">
        <v>14</v>
      </c>
      <c r="F46">
        <v>0.16700000000000001</v>
      </c>
      <c r="G46" s="1">
        <v>1.01E-10</v>
      </c>
      <c r="H46">
        <v>4140</v>
      </c>
      <c r="I46" s="1">
        <v>1.3699999999999999E-10</v>
      </c>
      <c r="J46">
        <v>1530</v>
      </c>
      <c r="K46" s="1">
        <v>1.3699999999999999E-10</v>
      </c>
      <c r="L46">
        <v>436</v>
      </c>
      <c r="M46" s="1">
        <v>3.1400000000000003E-13</v>
      </c>
      <c r="N46">
        <v>733</v>
      </c>
      <c r="O46" s="1">
        <v>1.2099999999999999E-13</v>
      </c>
      <c r="P46">
        <v>306</v>
      </c>
      <c r="Q46">
        <v>147000</v>
      </c>
      <c r="R46">
        <v>181000</v>
      </c>
    </row>
    <row r="47" spans="1:18" x14ac:dyDescent="0.25">
      <c r="A47" t="s">
        <v>187</v>
      </c>
      <c r="B47" t="str">
        <f>"430-66-0"</f>
        <v>430-66-0</v>
      </c>
      <c r="C47" t="s">
        <v>9</v>
      </c>
      <c r="D47" t="s">
        <v>188</v>
      </c>
      <c r="E47">
        <v>3.6</v>
      </c>
      <c r="F47">
        <v>0.128</v>
      </c>
      <c r="G47" s="1">
        <v>3.1699999999999998E-11</v>
      </c>
      <c r="H47">
        <v>1300</v>
      </c>
      <c r="I47" s="1">
        <v>3.2600000000000002E-11</v>
      </c>
      <c r="J47">
        <v>364</v>
      </c>
      <c r="K47" s="1">
        <v>3.2600000000000002E-11</v>
      </c>
      <c r="L47">
        <v>104</v>
      </c>
      <c r="M47" s="1">
        <v>3.5299999999999999E-14</v>
      </c>
      <c r="N47">
        <v>82.6</v>
      </c>
      <c r="O47" s="1">
        <v>2.6299999999999999E-14</v>
      </c>
      <c r="P47">
        <v>66.599999999999994</v>
      </c>
      <c r="Q47">
        <v>37100</v>
      </c>
      <c r="R47">
        <v>44000</v>
      </c>
    </row>
    <row r="48" spans="1:18" x14ac:dyDescent="0.25">
      <c r="A48" t="s">
        <v>189</v>
      </c>
      <c r="B48" t="str">
        <f>"420-46-2"</f>
        <v>420-46-2</v>
      </c>
      <c r="C48" t="s">
        <v>10</v>
      </c>
      <c r="D48" t="s">
        <v>190</v>
      </c>
      <c r="E48">
        <v>51</v>
      </c>
      <c r="F48">
        <v>0.16800000000000001</v>
      </c>
      <c r="G48" s="1">
        <v>1.9100000000000001E-10</v>
      </c>
      <c r="H48">
        <v>7840</v>
      </c>
      <c r="I48" s="1">
        <v>5.1999999999999996E-10</v>
      </c>
      <c r="J48">
        <v>5810</v>
      </c>
      <c r="K48" s="1">
        <v>6.0899999999999996E-10</v>
      </c>
      <c r="L48">
        <v>1940</v>
      </c>
      <c r="M48" s="1">
        <v>2.5299999999999999E-12</v>
      </c>
      <c r="N48">
        <v>5910</v>
      </c>
      <c r="O48" s="1">
        <v>1.28E-12</v>
      </c>
      <c r="P48">
        <v>3250</v>
      </c>
    </row>
    <row r="49" spans="1:18" x14ac:dyDescent="0.25">
      <c r="A49" t="s">
        <v>191</v>
      </c>
      <c r="B49" t="str">
        <f>"624-72-6"</f>
        <v>624-72-6</v>
      </c>
      <c r="C49" t="s">
        <v>11</v>
      </c>
      <c r="D49" t="s">
        <v>192</v>
      </c>
      <c r="E49">
        <v>0.47099999999999997</v>
      </c>
      <c r="F49">
        <v>4.4999999999999998E-2</v>
      </c>
      <c r="G49" s="1">
        <v>1.8899999999999998E-12</v>
      </c>
      <c r="H49">
        <v>77.599999999999994</v>
      </c>
      <c r="I49" s="1">
        <v>1.9300000000000001E-12</v>
      </c>
      <c r="J49">
        <v>21.5</v>
      </c>
      <c r="K49" s="1">
        <v>1.9300000000000001E-12</v>
      </c>
      <c r="L49">
        <v>6.14</v>
      </c>
      <c r="M49" s="1">
        <v>2.0299999999999999E-15</v>
      </c>
      <c r="N49">
        <v>4.74</v>
      </c>
      <c r="O49" s="1">
        <v>1.53E-15</v>
      </c>
      <c r="P49">
        <v>3.89</v>
      </c>
      <c r="Q49">
        <v>2210</v>
      </c>
      <c r="R49">
        <v>2610</v>
      </c>
    </row>
    <row r="50" spans="1:18" x14ac:dyDescent="0.25">
      <c r="A50" t="s">
        <v>193</v>
      </c>
      <c r="B50" t="str">
        <f>"75-37-6"</f>
        <v>75-37-6</v>
      </c>
      <c r="C50" t="s">
        <v>12</v>
      </c>
      <c r="D50" t="s">
        <v>194</v>
      </c>
      <c r="E50">
        <v>1.6</v>
      </c>
      <c r="F50">
        <v>0.10199999999999999</v>
      </c>
      <c r="G50" s="1">
        <v>1.44E-11</v>
      </c>
      <c r="H50">
        <v>591</v>
      </c>
      <c r="I50" s="1">
        <v>1.4700000000000002E-11</v>
      </c>
      <c r="J50">
        <v>164</v>
      </c>
      <c r="K50" s="1">
        <v>1.4700000000000002E-11</v>
      </c>
      <c r="L50">
        <v>46.8</v>
      </c>
      <c r="M50" s="1">
        <v>1.5600000000000001E-14</v>
      </c>
      <c r="N50">
        <v>36.5</v>
      </c>
      <c r="O50" s="1">
        <v>1.1799999999999999E-14</v>
      </c>
      <c r="P50">
        <v>29.8</v>
      </c>
      <c r="Q50">
        <v>16800</v>
      </c>
      <c r="R50">
        <v>19900</v>
      </c>
    </row>
    <row r="51" spans="1:18" x14ac:dyDescent="0.25">
      <c r="A51" t="s">
        <v>195</v>
      </c>
      <c r="B51" t="str">
        <f>"353-36-6"</f>
        <v>353-36-6</v>
      </c>
      <c r="C51" t="s">
        <v>13</v>
      </c>
      <c r="D51" t="s">
        <v>196</v>
      </c>
      <c r="E51">
        <v>0.219</v>
      </c>
      <c r="F51">
        <v>1.6E-2</v>
      </c>
      <c r="G51" s="1">
        <v>4.2400000000000001E-13</v>
      </c>
      <c r="H51">
        <v>17.399999999999999</v>
      </c>
      <c r="I51" s="1">
        <v>4.3300000000000002E-13</v>
      </c>
      <c r="J51">
        <v>4.84</v>
      </c>
      <c r="K51" s="1">
        <v>4.3300000000000002E-13</v>
      </c>
      <c r="L51">
        <v>1.38</v>
      </c>
      <c r="M51" s="1">
        <v>4.5399999999999998E-16</v>
      </c>
      <c r="N51">
        <v>1.06</v>
      </c>
      <c r="O51" s="1">
        <v>3.4400000000000002E-16</v>
      </c>
      <c r="P51">
        <v>0.872</v>
      </c>
      <c r="Q51">
        <v>497</v>
      </c>
      <c r="R51">
        <v>588</v>
      </c>
    </row>
    <row r="52" spans="1:18" x14ac:dyDescent="0.25">
      <c r="A52" t="s">
        <v>197</v>
      </c>
      <c r="B52" t="str">
        <f>"2252-84-8"</f>
        <v>2252-84-8</v>
      </c>
      <c r="C52" t="s">
        <v>54</v>
      </c>
      <c r="D52" t="s">
        <v>198</v>
      </c>
      <c r="E52">
        <v>30</v>
      </c>
      <c r="F52">
        <v>0.26400000000000001</v>
      </c>
      <c r="G52" s="1">
        <v>1.3100000000000001E-10</v>
      </c>
      <c r="H52">
        <v>5370</v>
      </c>
      <c r="I52" s="1">
        <v>2.6700000000000001E-10</v>
      </c>
      <c r="J52">
        <v>2980</v>
      </c>
      <c r="K52" s="1">
        <v>2.7800000000000002E-10</v>
      </c>
      <c r="L52">
        <v>885</v>
      </c>
      <c r="M52" s="1">
        <v>1.1200000000000001E-12</v>
      </c>
      <c r="N52">
        <v>2620</v>
      </c>
      <c r="O52" s="1">
        <v>4.0699999999999998E-13</v>
      </c>
      <c r="P52">
        <v>1030</v>
      </c>
    </row>
    <row r="53" spans="1:18" x14ac:dyDescent="0.25">
      <c r="A53" t="s">
        <v>199</v>
      </c>
      <c r="B53" t="str">
        <f>"431-89-0"</f>
        <v>431-89-0</v>
      </c>
      <c r="C53" t="s">
        <v>14</v>
      </c>
      <c r="D53" t="s">
        <v>200</v>
      </c>
      <c r="E53">
        <v>36</v>
      </c>
      <c r="F53">
        <v>0.27300000000000002</v>
      </c>
      <c r="G53" s="1">
        <v>1.42E-10</v>
      </c>
      <c r="H53">
        <v>5850</v>
      </c>
      <c r="I53" s="1">
        <v>3.2200000000000003E-10</v>
      </c>
      <c r="J53">
        <v>3600</v>
      </c>
      <c r="K53" s="1">
        <v>3.45E-10</v>
      </c>
      <c r="L53">
        <v>1100</v>
      </c>
      <c r="M53" s="1">
        <v>1.4500000000000001E-12</v>
      </c>
      <c r="N53">
        <v>3400</v>
      </c>
      <c r="O53" s="1">
        <v>5.8800000000000002E-13</v>
      </c>
      <c r="P53">
        <v>1490</v>
      </c>
    </row>
    <row r="54" spans="1:18" x14ac:dyDescent="0.25">
      <c r="A54" t="s">
        <v>201</v>
      </c>
      <c r="B54" t="str">
        <f>"677-56-5"</f>
        <v>677-56-5</v>
      </c>
      <c r="C54" t="s">
        <v>15</v>
      </c>
      <c r="D54" t="s">
        <v>202</v>
      </c>
      <c r="E54">
        <v>13.4</v>
      </c>
      <c r="F54">
        <v>0.23100000000000001</v>
      </c>
      <c r="G54" s="1">
        <v>9.1200000000000006E-11</v>
      </c>
      <c r="H54">
        <v>3750</v>
      </c>
      <c r="I54" s="1">
        <v>1.21E-10</v>
      </c>
      <c r="J54">
        <v>1350</v>
      </c>
      <c r="K54" s="1">
        <v>1.21E-10</v>
      </c>
      <c r="L54">
        <v>387</v>
      </c>
      <c r="M54" s="1">
        <v>2.6499999999999998E-13</v>
      </c>
      <c r="N54">
        <v>620</v>
      </c>
      <c r="O54" s="1">
        <v>1.06E-13</v>
      </c>
      <c r="P54">
        <v>268</v>
      </c>
      <c r="Q54">
        <v>131000</v>
      </c>
      <c r="R54">
        <v>161000</v>
      </c>
    </row>
    <row r="55" spans="1:18" x14ac:dyDescent="0.25">
      <c r="A55" t="s">
        <v>203</v>
      </c>
      <c r="B55" t="str">
        <f>"431-63-0"</f>
        <v>431-63-0</v>
      </c>
      <c r="C55" t="s">
        <v>16</v>
      </c>
      <c r="D55" t="s">
        <v>204</v>
      </c>
      <c r="E55">
        <v>11.4</v>
      </c>
      <c r="F55">
        <v>0.3</v>
      </c>
      <c r="G55" s="1">
        <v>1.08E-10</v>
      </c>
      <c r="H55">
        <v>4420</v>
      </c>
      <c r="I55" s="1">
        <v>1.34E-10</v>
      </c>
      <c r="J55">
        <v>1500</v>
      </c>
      <c r="K55" s="1">
        <v>1.34E-10</v>
      </c>
      <c r="L55">
        <v>428</v>
      </c>
      <c r="M55" s="1">
        <v>2.4500000000000002E-13</v>
      </c>
      <c r="N55">
        <v>572</v>
      </c>
      <c r="O55" s="1">
        <v>1.1399999999999999E-13</v>
      </c>
      <c r="P55">
        <v>288</v>
      </c>
      <c r="Q55">
        <v>147000</v>
      </c>
      <c r="R55">
        <v>179000</v>
      </c>
    </row>
    <row r="56" spans="1:18" x14ac:dyDescent="0.25">
      <c r="A56" t="s">
        <v>205</v>
      </c>
      <c r="B56" t="str">
        <f>"690-39-1"</f>
        <v>690-39-1</v>
      </c>
      <c r="C56" t="s">
        <v>17</v>
      </c>
      <c r="D56" t="s">
        <v>206</v>
      </c>
      <c r="E56">
        <v>213</v>
      </c>
      <c r="F56">
        <v>0.251</v>
      </c>
      <c r="G56" s="1">
        <v>1.81E-10</v>
      </c>
      <c r="H56">
        <v>7450</v>
      </c>
      <c r="I56" s="1">
        <v>7.7700000000000001E-10</v>
      </c>
      <c r="J56">
        <v>8690</v>
      </c>
      <c r="K56" s="1">
        <v>1.9000000000000001E-9</v>
      </c>
      <c r="L56">
        <v>6040</v>
      </c>
      <c r="M56" s="1">
        <v>3.9299999999999996E-12</v>
      </c>
      <c r="N56">
        <v>9200</v>
      </c>
      <c r="O56" s="1">
        <v>3.5E-12</v>
      </c>
      <c r="P56">
        <v>8870</v>
      </c>
    </row>
    <row r="57" spans="1:18" x14ac:dyDescent="0.25">
      <c r="A57" t="s">
        <v>207</v>
      </c>
      <c r="B57" t="str">
        <f>"679-86-7"</f>
        <v>679-86-7</v>
      </c>
      <c r="C57" t="s">
        <v>18</v>
      </c>
      <c r="D57" t="s">
        <v>208</v>
      </c>
      <c r="E57">
        <v>6.6</v>
      </c>
      <c r="F57">
        <v>0.24</v>
      </c>
      <c r="G57" s="1">
        <v>6.5299999999999997E-11</v>
      </c>
      <c r="H57">
        <v>2680</v>
      </c>
      <c r="I57" s="1">
        <v>7.0500000000000002E-11</v>
      </c>
      <c r="J57">
        <v>787</v>
      </c>
      <c r="K57" s="1">
        <v>7.0500000000000002E-11</v>
      </c>
      <c r="L57">
        <v>225</v>
      </c>
      <c r="M57" s="1">
        <v>8.3600000000000005E-14</v>
      </c>
      <c r="N57">
        <v>196</v>
      </c>
      <c r="O57" s="1">
        <v>5.7600000000000002E-14</v>
      </c>
      <c r="P57">
        <v>146</v>
      </c>
      <c r="Q57">
        <v>79600</v>
      </c>
      <c r="R57">
        <v>94700</v>
      </c>
    </row>
    <row r="58" spans="1:18" x14ac:dyDescent="0.25">
      <c r="A58" t="s">
        <v>209</v>
      </c>
      <c r="B58" t="str">
        <f>"1814-88-6"</f>
        <v>1814-88-6</v>
      </c>
      <c r="C58" t="s">
        <v>55</v>
      </c>
      <c r="D58" t="s">
        <v>210</v>
      </c>
      <c r="E58">
        <v>39.9</v>
      </c>
      <c r="F58">
        <v>0.251</v>
      </c>
      <c r="G58" s="1">
        <v>1.7000000000000001E-10</v>
      </c>
      <c r="H58">
        <v>6970</v>
      </c>
      <c r="I58" s="1">
        <v>4.0699999999999999E-10</v>
      </c>
      <c r="J58">
        <v>4550</v>
      </c>
      <c r="K58" s="1">
        <v>4.4500000000000001E-10</v>
      </c>
      <c r="L58">
        <v>1420</v>
      </c>
      <c r="M58" s="1">
        <v>1.8899999999999998E-12</v>
      </c>
      <c r="N58">
        <v>4410</v>
      </c>
      <c r="O58" s="1">
        <v>8.1699999999999995E-13</v>
      </c>
      <c r="P58">
        <v>2070</v>
      </c>
    </row>
    <row r="59" spans="1:18" x14ac:dyDescent="0.25">
      <c r="A59" t="s">
        <v>211</v>
      </c>
      <c r="B59" t="str">
        <f>"24270-66-4"</f>
        <v>24270-66-4</v>
      </c>
      <c r="C59" t="s">
        <v>212</v>
      </c>
      <c r="D59" t="s">
        <v>213</v>
      </c>
      <c r="E59">
        <v>3.2</v>
      </c>
      <c r="F59">
        <v>0.16</v>
      </c>
      <c r="G59" s="1">
        <v>2.2200000000000002E-11</v>
      </c>
      <c r="H59">
        <v>912</v>
      </c>
      <c r="I59" s="1">
        <v>2.2800000000000001E-11</v>
      </c>
      <c r="J59">
        <v>255</v>
      </c>
      <c r="K59" s="1">
        <v>2.2800000000000001E-11</v>
      </c>
      <c r="L59">
        <v>72.599999999999994</v>
      </c>
      <c r="M59" s="1">
        <v>2.4600000000000001E-14</v>
      </c>
      <c r="N59">
        <v>57.4</v>
      </c>
      <c r="O59" s="1">
        <v>1.8300000000000002E-14</v>
      </c>
      <c r="P59">
        <v>46.5</v>
      </c>
      <c r="Q59">
        <v>26000</v>
      </c>
      <c r="R59">
        <v>30800</v>
      </c>
    </row>
    <row r="60" spans="1:18" x14ac:dyDescent="0.25">
      <c r="A60" t="s">
        <v>214</v>
      </c>
      <c r="B60" t="str">
        <f>"431-31-2"</f>
        <v>431-31-2</v>
      </c>
      <c r="C60" t="s">
        <v>215</v>
      </c>
      <c r="D60" t="s">
        <v>216</v>
      </c>
      <c r="E60">
        <v>3.2</v>
      </c>
      <c r="F60">
        <v>0.20399999999999999</v>
      </c>
      <c r="G60" s="1">
        <v>2.8299999999999999E-11</v>
      </c>
      <c r="H60">
        <v>1160</v>
      </c>
      <c r="I60" s="1">
        <v>2.9E-11</v>
      </c>
      <c r="J60">
        <v>325</v>
      </c>
      <c r="K60" s="1">
        <v>2.9E-11</v>
      </c>
      <c r="L60">
        <v>92.6</v>
      </c>
      <c r="M60" s="1">
        <v>3.1300000000000003E-14</v>
      </c>
      <c r="N60">
        <v>73.2</v>
      </c>
      <c r="O60" s="1">
        <v>2.34E-14</v>
      </c>
      <c r="P60">
        <v>59.2</v>
      </c>
      <c r="Q60">
        <v>33100</v>
      </c>
      <c r="R60">
        <v>39200</v>
      </c>
    </row>
    <row r="61" spans="1:18" x14ac:dyDescent="0.25">
      <c r="A61" t="s">
        <v>217</v>
      </c>
      <c r="B61" t="str">
        <f>"460-73-1"</f>
        <v>460-73-1</v>
      </c>
      <c r="C61" t="s">
        <v>19</v>
      </c>
      <c r="D61" t="s">
        <v>218</v>
      </c>
      <c r="E61">
        <v>7.9</v>
      </c>
      <c r="F61">
        <v>0.245</v>
      </c>
      <c r="G61" s="1">
        <v>7.7000000000000006E-11</v>
      </c>
      <c r="H61">
        <v>3170</v>
      </c>
      <c r="I61" s="1">
        <v>8.6100000000000005E-11</v>
      </c>
      <c r="J61">
        <v>962</v>
      </c>
      <c r="K61" s="1">
        <v>8.6100000000000005E-11</v>
      </c>
      <c r="L61">
        <v>274</v>
      </c>
      <c r="M61" s="1">
        <v>1.12E-13</v>
      </c>
      <c r="N61">
        <v>262</v>
      </c>
      <c r="O61" s="1">
        <v>7.0799999999999999E-14</v>
      </c>
      <c r="P61">
        <v>180</v>
      </c>
      <c r="Q61">
        <v>96700</v>
      </c>
      <c r="R61">
        <v>115000</v>
      </c>
    </row>
    <row r="62" spans="1:18" x14ac:dyDescent="0.25">
      <c r="A62" t="s">
        <v>219</v>
      </c>
      <c r="B62" t="str">
        <f>"421-07-8"</f>
        <v>421-07-8</v>
      </c>
      <c r="C62" t="s">
        <v>220</v>
      </c>
      <c r="D62" t="s">
        <v>221</v>
      </c>
      <c r="E62">
        <v>1.1000000000000001</v>
      </c>
      <c r="F62">
        <v>0.1</v>
      </c>
      <c r="G62" s="1">
        <v>6.5500000000000002E-12</v>
      </c>
      <c r="H62">
        <v>269</v>
      </c>
      <c r="I62" s="1">
        <v>6.69E-12</v>
      </c>
      <c r="J62">
        <v>74.8</v>
      </c>
      <c r="K62" s="1">
        <v>6.69E-12</v>
      </c>
      <c r="L62">
        <v>21.3</v>
      </c>
      <c r="M62" s="1">
        <v>7.0700000000000001E-15</v>
      </c>
      <c r="N62">
        <v>16.5</v>
      </c>
      <c r="O62" s="1">
        <v>5.34E-15</v>
      </c>
      <c r="P62">
        <v>13.5</v>
      </c>
      <c r="Q62">
        <v>7660</v>
      </c>
      <c r="R62">
        <v>9070</v>
      </c>
    </row>
    <row r="63" spans="1:18" x14ac:dyDescent="0.25">
      <c r="A63" t="s">
        <v>222</v>
      </c>
      <c r="B63" t="str">
        <f>"420-45-1"</f>
        <v>420-45-1</v>
      </c>
      <c r="C63" t="s">
        <v>223</v>
      </c>
      <c r="D63" t="s">
        <v>224</v>
      </c>
      <c r="E63">
        <v>9</v>
      </c>
      <c r="F63">
        <v>0.08</v>
      </c>
      <c r="G63" s="1">
        <v>4.6400000000000003E-11</v>
      </c>
      <c r="H63">
        <v>1910</v>
      </c>
      <c r="I63" s="1">
        <v>5.3600000000000001E-11</v>
      </c>
      <c r="J63">
        <v>599</v>
      </c>
      <c r="K63" s="1">
        <v>5.3600000000000001E-11</v>
      </c>
      <c r="L63">
        <v>171</v>
      </c>
      <c r="M63" s="1">
        <v>7.7099999999999995E-14</v>
      </c>
      <c r="N63">
        <v>180</v>
      </c>
      <c r="O63" s="1">
        <v>4.4399999999999999E-14</v>
      </c>
      <c r="P63">
        <v>113</v>
      </c>
      <c r="Q63">
        <v>59900</v>
      </c>
      <c r="R63">
        <v>71800</v>
      </c>
    </row>
    <row r="64" spans="1:18" x14ac:dyDescent="0.25">
      <c r="A64" t="s">
        <v>225</v>
      </c>
      <c r="B64" t="str">
        <f>"375-17-7"</f>
        <v>375-17-7</v>
      </c>
      <c r="C64" t="s">
        <v>226</v>
      </c>
      <c r="D64" t="s">
        <v>227</v>
      </c>
      <c r="E64">
        <v>32</v>
      </c>
      <c r="F64">
        <v>0.313</v>
      </c>
      <c r="G64" s="1">
        <v>1.2199999999999999E-10</v>
      </c>
      <c r="H64">
        <v>5010</v>
      </c>
      <c r="I64" s="1">
        <v>2.5899999999999998E-10</v>
      </c>
      <c r="J64">
        <v>2890</v>
      </c>
      <c r="K64" s="1">
        <v>2.7199999999999999E-10</v>
      </c>
      <c r="L64">
        <v>866</v>
      </c>
      <c r="M64" s="1">
        <v>1.1200000000000001E-12</v>
      </c>
      <c r="N64">
        <v>2610</v>
      </c>
      <c r="O64" s="1">
        <v>4.2100000000000002E-13</v>
      </c>
      <c r="P64">
        <v>1070</v>
      </c>
    </row>
    <row r="65" spans="1:18" x14ac:dyDescent="0.25">
      <c r="A65" t="s">
        <v>228</v>
      </c>
      <c r="B65" t="str">
        <f>"406-58-6"</f>
        <v>406-58-6</v>
      </c>
      <c r="C65" t="s">
        <v>20</v>
      </c>
      <c r="D65" t="s">
        <v>229</v>
      </c>
      <c r="E65">
        <v>8.9</v>
      </c>
      <c r="F65">
        <v>0.22800000000000001</v>
      </c>
      <c r="G65" s="1">
        <v>7.1100000000000005E-11</v>
      </c>
      <c r="H65">
        <v>2920</v>
      </c>
      <c r="I65" s="1">
        <v>8.17E-11</v>
      </c>
      <c r="J65">
        <v>914</v>
      </c>
      <c r="K65" s="1">
        <v>8.1800000000000004E-11</v>
      </c>
      <c r="L65">
        <v>261</v>
      </c>
      <c r="M65" s="1">
        <v>1.1700000000000001E-13</v>
      </c>
      <c r="N65">
        <v>272</v>
      </c>
      <c r="O65" s="1">
        <v>6.7700000000000004E-14</v>
      </c>
      <c r="P65">
        <v>172</v>
      </c>
      <c r="Q65">
        <v>91400</v>
      </c>
      <c r="R65">
        <v>109000</v>
      </c>
    </row>
    <row r="66" spans="1:18" x14ac:dyDescent="0.25">
      <c r="A66" t="s">
        <v>230</v>
      </c>
      <c r="B66" t="str">
        <f>"138495-42-8"</f>
        <v>138495-42-8</v>
      </c>
      <c r="C66" t="s">
        <v>5</v>
      </c>
      <c r="D66" t="s">
        <v>231</v>
      </c>
      <c r="E66">
        <v>17</v>
      </c>
      <c r="F66">
        <v>0.35699999999999998</v>
      </c>
      <c r="G66" s="1">
        <v>9.6300000000000006E-11</v>
      </c>
      <c r="H66">
        <v>3960</v>
      </c>
      <c r="I66" s="1">
        <v>1.43E-10</v>
      </c>
      <c r="J66">
        <v>1600</v>
      </c>
      <c r="K66" s="1">
        <v>1.4399999999999999E-10</v>
      </c>
      <c r="L66">
        <v>458</v>
      </c>
      <c r="M66" s="1">
        <v>4.03E-13</v>
      </c>
      <c r="N66">
        <v>943</v>
      </c>
      <c r="O66" s="1">
        <v>1.37E-13</v>
      </c>
      <c r="P66">
        <v>347</v>
      </c>
      <c r="Q66">
        <v>149000</v>
      </c>
      <c r="R66">
        <v>189000</v>
      </c>
    </row>
    <row r="67" spans="1:18" x14ac:dyDescent="0.25">
      <c r="A67" t="s">
        <v>232</v>
      </c>
      <c r="B67" t="str">
        <f>"359-11-5"</f>
        <v>359-11-5</v>
      </c>
      <c r="C67" t="s">
        <v>233</v>
      </c>
      <c r="D67" t="s">
        <v>234</v>
      </c>
      <c r="E67">
        <v>4.0000000000000001E-3</v>
      </c>
      <c r="F67">
        <v>2E-3</v>
      </c>
      <c r="G67" s="1">
        <v>4.1400000000000002E-16</v>
      </c>
      <c r="H67">
        <v>1.7000000000000001E-2</v>
      </c>
      <c r="I67" s="1">
        <v>4.22E-16</v>
      </c>
      <c r="J67">
        <v>5.0000000000000001E-3</v>
      </c>
      <c r="K67" s="1">
        <v>4.2300000000000002E-16</v>
      </c>
      <c r="L67">
        <v>1E-3</v>
      </c>
      <c r="M67" s="1">
        <v>4.4200000000000004E-19</v>
      </c>
      <c r="N67">
        <v>1E-3</v>
      </c>
      <c r="O67" s="1">
        <v>3.3599999999999998E-19</v>
      </c>
      <c r="P67">
        <v>1E-3</v>
      </c>
      <c r="Q67">
        <v>0.48499999999999999</v>
      </c>
      <c r="R67">
        <v>0.57399999999999995</v>
      </c>
    </row>
    <row r="68" spans="1:18" x14ac:dyDescent="0.25">
      <c r="A68" t="s">
        <v>235</v>
      </c>
      <c r="B68" t="str">
        <f>"75-38-7"</f>
        <v>75-38-7</v>
      </c>
      <c r="C68" t="s">
        <v>236</v>
      </c>
      <c r="D68" t="s">
        <v>237</v>
      </c>
      <c r="E68">
        <v>1.2999999999999999E-2</v>
      </c>
      <c r="F68">
        <v>4.0000000000000001E-3</v>
      </c>
      <c r="G68" s="1">
        <v>4.5999999999999998E-15</v>
      </c>
      <c r="H68">
        <v>0.189</v>
      </c>
      <c r="I68" s="1">
        <v>4.6900000000000001E-15</v>
      </c>
      <c r="J68">
        <v>5.1999999999999998E-2</v>
      </c>
      <c r="K68" s="1">
        <v>4.6900000000000001E-15</v>
      </c>
      <c r="L68">
        <v>1.4999999999999999E-2</v>
      </c>
      <c r="M68" s="1">
        <v>4.9100000000000001E-18</v>
      </c>
      <c r="N68">
        <v>1.0999999999999999E-2</v>
      </c>
      <c r="O68" s="1">
        <v>3.7300000000000002E-18</v>
      </c>
      <c r="P68">
        <v>8.9999999999999993E-3</v>
      </c>
      <c r="Q68">
        <v>5.39</v>
      </c>
      <c r="R68">
        <v>6.37</v>
      </c>
    </row>
    <row r="69" spans="1:18" x14ac:dyDescent="0.25">
      <c r="A69" t="s">
        <v>238</v>
      </c>
      <c r="B69" t="str">
        <f>"75-02-5"</f>
        <v>75-02-5</v>
      </c>
      <c r="C69" t="s">
        <v>239</v>
      </c>
      <c r="D69" t="s">
        <v>240</v>
      </c>
      <c r="E69">
        <v>7.0000000000000001E-3</v>
      </c>
      <c r="F69">
        <v>2E-3</v>
      </c>
      <c r="G69" s="1">
        <v>2.1299999999999999E-15</v>
      </c>
      <c r="H69">
        <v>8.7999999999999995E-2</v>
      </c>
      <c r="I69" s="1">
        <v>2.1700000000000002E-15</v>
      </c>
      <c r="J69">
        <v>2.4E-2</v>
      </c>
      <c r="K69" s="1">
        <v>2.1700000000000002E-15</v>
      </c>
      <c r="L69">
        <v>7.0000000000000001E-3</v>
      </c>
      <c r="M69" s="1">
        <v>2.2799999999999998E-18</v>
      </c>
      <c r="N69">
        <v>5.0000000000000001E-3</v>
      </c>
      <c r="O69" s="1">
        <v>1.73E-18</v>
      </c>
      <c r="P69">
        <v>4.0000000000000001E-3</v>
      </c>
      <c r="Q69">
        <v>2.5</v>
      </c>
      <c r="R69">
        <v>2.95</v>
      </c>
    </row>
    <row r="70" spans="1:18" x14ac:dyDescent="0.25">
      <c r="A70" t="s">
        <v>241</v>
      </c>
      <c r="B70" t="str">
        <f>"5528-43-8"</f>
        <v>5528-43-8</v>
      </c>
      <c r="C70" t="s">
        <v>242</v>
      </c>
      <c r="D70" t="s">
        <v>243</v>
      </c>
      <c r="E70">
        <v>2.7E-2</v>
      </c>
      <c r="F70">
        <v>2.5000000000000001E-2</v>
      </c>
      <c r="G70" s="1">
        <v>3.02E-14</v>
      </c>
      <c r="H70">
        <v>1.24</v>
      </c>
      <c r="I70" s="1">
        <v>3.0799999999999999E-14</v>
      </c>
      <c r="J70">
        <v>0.34399999999999997</v>
      </c>
      <c r="K70" s="1">
        <v>3.0799999999999999E-14</v>
      </c>
      <c r="L70">
        <v>9.8000000000000004E-2</v>
      </c>
      <c r="M70" s="1">
        <v>3.2300000000000002E-17</v>
      </c>
      <c r="N70">
        <v>7.4999999999999997E-2</v>
      </c>
      <c r="O70" s="1">
        <v>2.4500000000000001E-17</v>
      </c>
      <c r="P70">
        <v>6.2E-2</v>
      </c>
      <c r="Q70">
        <v>35.299999999999997</v>
      </c>
      <c r="R70">
        <v>41.8</v>
      </c>
    </row>
    <row r="71" spans="1:18" x14ac:dyDescent="0.25">
      <c r="A71" t="s">
        <v>244</v>
      </c>
      <c r="B71" t="str">
        <f>"5595-10-8"</f>
        <v>5595-10-8</v>
      </c>
      <c r="C71" t="s">
        <v>245</v>
      </c>
      <c r="D71" t="s">
        <v>246</v>
      </c>
      <c r="E71">
        <v>1.6E-2</v>
      </c>
      <c r="F71">
        <v>1.4999999999999999E-2</v>
      </c>
      <c r="G71" s="1">
        <v>1.04E-14</v>
      </c>
      <c r="H71">
        <v>0.42599999999999999</v>
      </c>
      <c r="I71" s="1">
        <v>1.06E-14</v>
      </c>
      <c r="J71">
        <v>0.11799999999999999</v>
      </c>
      <c r="K71" s="1">
        <v>1.06E-14</v>
      </c>
      <c r="L71">
        <v>3.4000000000000002E-2</v>
      </c>
      <c r="M71" s="1">
        <v>1.1099999999999999E-17</v>
      </c>
      <c r="N71">
        <v>2.5999999999999999E-2</v>
      </c>
      <c r="O71" s="1">
        <v>8.4100000000000007E-18</v>
      </c>
      <c r="P71">
        <v>2.1000000000000001E-2</v>
      </c>
      <c r="Q71">
        <v>12.1</v>
      </c>
      <c r="R71">
        <v>14.4</v>
      </c>
    </row>
    <row r="72" spans="1:18" x14ac:dyDescent="0.25">
      <c r="A72" t="s">
        <v>247</v>
      </c>
      <c r="B72" t="str">
        <f>"29118-25-0"</f>
        <v>29118-25-0</v>
      </c>
      <c r="C72" t="s">
        <v>248</v>
      </c>
      <c r="D72" t="s">
        <v>249</v>
      </c>
      <c r="E72">
        <v>2.7E-2</v>
      </c>
      <c r="F72">
        <v>0.02</v>
      </c>
      <c r="G72" s="1">
        <v>2.76E-14</v>
      </c>
      <c r="H72">
        <v>1.1299999999999999</v>
      </c>
      <c r="I72" s="1">
        <v>2.8100000000000001E-14</v>
      </c>
      <c r="J72">
        <v>0.315</v>
      </c>
      <c r="K72" s="1">
        <v>2.8199999999999999E-14</v>
      </c>
      <c r="L72">
        <v>0.09</v>
      </c>
      <c r="M72" s="1">
        <v>2.9499999999999999E-17</v>
      </c>
      <c r="N72">
        <v>6.9000000000000006E-2</v>
      </c>
      <c r="O72" s="1">
        <v>2.2400000000000001E-17</v>
      </c>
      <c r="P72">
        <v>5.7000000000000002E-2</v>
      </c>
      <c r="Q72">
        <v>32.299999999999997</v>
      </c>
      <c r="R72">
        <v>38.200000000000003</v>
      </c>
    </row>
    <row r="73" spans="1:18" x14ac:dyDescent="0.25">
      <c r="A73" t="s">
        <v>250</v>
      </c>
      <c r="B73" t="str">
        <f>"29118-24-9"</f>
        <v>29118-24-9</v>
      </c>
      <c r="C73" t="s">
        <v>251</v>
      </c>
      <c r="D73" t="s">
        <v>252</v>
      </c>
      <c r="E73">
        <v>5.1999999999999998E-2</v>
      </c>
      <c r="F73">
        <v>4.4999999999999998E-2</v>
      </c>
      <c r="G73" s="1">
        <v>1.1999999999999999E-13</v>
      </c>
      <c r="H73">
        <v>4.9400000000000004</v>
      </c>
      <c r="I73" s="1">
        <v>1.2300000000000001E-13</v>
      </c>
      <c r="J73">
        <v>1.37</v>
      </c>
      <c r="K73" s="1">
        <v>1.2300000000000001E-13</v>
      </c>
      <c r="L73">
        <v>0.39100000000000001</v>
      </c>
      <c r="M73" s="1">
        <v>1.2800000000000001E-16</v>
      </c>
      <c r="N73">
        <v>0.3</v>
      </c>
      <c r="O73" s="1">
        <v>9.7499999999999994E-17</v>
      </c>
      <c r="P73">
        <v>0.247</v>
      </c>
      <c r="Q73">
        <v>141</v>
      </c>
      <c r="R73">
        <v>167</v>
      </c>
    </row>
    <row r="74" spans="1:18" x14ac:dyDescent="0.25">
      <c r="A74" t="s">
        <v>253</v>
      </c>
      <c r="B74" t="str">
        <f>"754-12-1"</f>
        <v>754-12-1</v>
      </c>
      <c r="C74" t="s">
        <v>254</v>
      </c>
      <c r="D74" t="s">
        <v>255</v>
      </c>
      <c r="E74">
        <v>3.3000000000000002E-2</v>
      </c>
      <c r="F74">
        <v>2.5999999999999999E-2</v>
      </c>
      <c r="G74" s="1">
        <v>4.4000000000000002E-14</v>
      </c>
      <c r="H74">
        <v>1.81</v>
      </c>
      <c r="I74" s="1">
        <v>4.4900000000000003E-14</v>
      </c>
      <c r="J74">
        <v>0.501</v>
      </c>
      <c r="K74" s="1">
        <v>4.4900000000000003E-14</v>
      </c>
      <c r="L74">
        <v>0.14299999999999999</v>
      </c>
      <c r="M74" s="1">
        <v>4.7E-17</v>
      </c>
      <c r="N74">
        <v>0.11</v>
      </c>
      <c r="O74" s="1">
        <v>3.5600000000000002E-17</v>
      </c>
      <c r="P74">
        <v>0.09</v>
      </c>
      <c r="Q74">
        <v>51.5</v>
      </c>
      <c r="R74">
        <v>60.9</v>
      </c>
    </row>
    <row r="75" spans="1:18" x14ac:dyDescent="0.25">
      <c r="A75" t="s">
        <v>256</v>
      </c>
      <c r="B75" t="str">
        <f>"66711-86-2"</f>
        <v>66711-86-2</v>
      </c>
      <c r="C75" t="s">
        <v>257</v>
      </c>
      <c r="D75" t="s">
        <v>258</v>
      </c>
      <c r="E75">
        <v>0.33400000000000002</v>
      </c>
      <c r="F75">
        <v>0.13200000000000001</v>
      </c>
      <c r="G75" s="1">
        <v>1.57E-12</v>
      </c>
      <c r="H75">
        <v>64.3</v>
      </c>
      <c r="I75" s="1">
        <v>1.6E-12</v>
      </c>
      <c r="J75">
        <v>17.899999999999999</v>
      </c>
      <c r="K75" s="1">
        <v>1.6E-12</v>
      </c>
      <c r="L75">
        <v>5.09</v>
      </c>
      <c r="M75" s="1">
        <v>1.6800000000000001E-15</v>
      </c>
      <c r="N75">
        <v>3.92</v>
      </c>
      <c r="O75" s="1">
        <v>1.2699999999999999E-15</v>
      </c>
      <c r="P75">
        <v>3.22</v>
      </c>
      <c r="Q75">
        <v>1830</v>
      </c>
      <c r="R75">
        <v>2170</v>
      </c>
    </row>
    <row r="76" spans="1:18" x14ac:dyDescent="0.25">
      <c r="A76" t="s">
        <v>259</v>
      </c>
      <c r="B76" t="str">
        <f>"692-49-9"</f>
        <v>692-49-9</v>
      </c>
      <c r="C76" t="s">
        <v>260</v>
      </c>
      <c r="D76" t="s">
        <v>261</v>
      </c>
      <c r="E76">
        <v>7.3999999999999996E-2</v>
      </c>
      <c r="F76">
        <v>6.9000000000000006E-2</v>
      </c>
      <c r="G76" s="1">
        <v>1.8200000000000001E-13</v>
      </c>
      <c r="H76">
        <v>7.48</v>
      </c>
      <c r="I76" s="1">
        <v>1.8599999999999999E-13</v>
      </c>
      <c r="J76">
        <v>2.08</v>
      </c>
      <c r="K76" s="1">
        <v>1.8599999999999999E-13</v>
      </c>
      <c r="L76">
        <v>0.59199999999999997</v>
      </c>
      <c r="M76" s="1">
        <v>1.9499999999999999E-16</v>
      </c>
      <c r="N76">
        <v>0.45500000000000002</v>
      </c>
      <c r="O76" s="1">
        <v>1.4799999999999999E-16</v>
      </c>
      <c r="P76">
        <v>0.374</v>
      </c>
      <c r="Q76">
        <v>213</v>
      </c>
      <c r="R76">
        <v>252</v>
      </c>
    </row>
    <row r="77" spans="1:18" x14ac:dyDescent="0.25">
      <c r="A77" t="s">
        <v>262</v>
      </c>
      <c r="B77" t="str">
        <f>"677-21-4"</f>
        <v>677-21-4</v>
      </c>
      <c r="C77" t="s">
        <v>263</v>
      </c>
      <c r="D77" t="s">
        <v>264</v>
      </c>
      <c r="E77">
        <v>2.5000000000000001E-2</v>
      </c>
      <c r="F77">
        <v>1.4999999999999999E-2</v>
      </c>
      <c r="G77" s="1">
        <v>2.2899999999999999E-14</v>
      </c>
      <c r="H77">
        <v>0.94</v>
      </c>
      <c r="I77" s="1">
        <v>2.3299999999999999E-14</v>
      </c>
      <c r="J77">
        <v>0.26100000000000001</v>
      </c>
      <c r="K77" s="1">
        <v>2.34E-14</v>
      </c>
      <c r="L77">
        <v>7.3999999999999996E-2</v>
      </c>
      <c r="M77" s="1">
        <v>2.4500000000000001E-17</v>
      </c>
      <c r="N77">
        <v>5.7000000000000002E-2</v>
      </c>
      <c r="O77" s="1">
        <v>1.86E-17</v>
      </c>
      <c r="P77">
        <v>4.7E-2</v>
      </c>
      <c r="Q77">
        <v>26.8</v>
      </c>
      <c r="R77">
        <v>31.7</v>
      </c>
    </row>
    <row r="78" spans="1:18" x14ac:dyDescent="0.25">
      <c r="A78" t="s">
        <v>265</v>
      </c>
      <c r="B78" t="str">
        <f>"374-27-6"</f>
        <v>374-27-6</v>
      </c>
      <c r="C78" t="s">
        <v>266</v>
      </c>
      <c r="D78" t="s">
        <v>267</v>
      </c>
      <c r="E78">
        <v>2.5000000000000001E-2</v>
      </c>
      <c r="F78">
        <v>1.6E-2</v>
      </c>
      <c r="G78" s="1">
        <v>1.6000000000000001E-14</v>
      </c>
      <c r="H78">
        <v>0.65600000000000003</v>
      </c>
      <c r="I78" s="1">
        <v>1.6300000000000001E-14</v>
      </c>
      <c r="J78">
        <v>0.182</v>
      </c>
      <c r="K78" s="1">
        <v>1.6300000000000001E-14</v>
      </c>
      <c r="L78">
        <v>5.1999999999999998E-2</v>
      </c>
      <c r="M78" s="1">
        <v>1.71E-17</v>
      </c>
      <c r="N78">
        <v>0.04</v>
      </c>
      <c r="O78" s="1">
        <v>1.2900000000000001E-17</v>
      </c>
      <c r="P78">
        <v>3.3000000000000002E-2</v>
      </c>
      <c r="Q78">
        <v>18.7</v>
      </c>
      <c r="R78">
        <v>22.1</v>
      </c>
    </row>
    <row r="79" spans="1:18" x14ac:dyDescent="0.25">
      <c r="A79" t="s">
        <v>268</v>
      </c>
      <c r="B79" t="str">
        <f>"19430-93-4"</f>
        <v>19430-93-4</v>
      </c>
      <c r="D79" t="s">
        <v>269</v>
      </c>
      <c r="E79">
        <v>2.5000000000000001E-2</v>
      </c>
      <c r="F79">
        <v>0.03</v>
      </c>
      <c r="G79" s="1">
        <v>1.7900000000000001E-14</v>
      </c>
      <c r="H79">
        <v>0.73399999999999999</v>
      </c>
      <c r="I79" s="1">
        <v>1.8200000000000001E-14</v>
      </c>
      <c r="J79">
        <v>0.20399999999999999</v>
      </c>
      <c r="K79" s="1">
        <v>1.8200000000000001E-14</v>
      </c>
      <c r="L79">
        <v>5.8000000000000003E-2</v>
      </c>
      <c r="M79" s="1">
        <v>1.9099999999999999E-17</v>
      </c>
      <c r="N79">
        <v>4.4999999999999998E-2</v>
      </c>
      <c r="O79" s="1">
        <v>1.4500000000000001E-17</v>
      </c>
      <c r="P79">
        <v>3.6999999999999998E-2</v>
      </c>
      <c r="Q79">
        <v>20.9</v>
      </c>
      <c r="R79">
        <v>24.7</v>
      </c>
    </row>
    <row r="80" spans="1:18" x14ac:dyDescent="0.25">
      <c r="A80" t="s">
        <v>270</v>
      </c>
      <c r="B80" t="str">
        <f>"25291-17-2"</f>
        <v>25291-17-2</v>
      </c>
      <c r="D80" t="s">
        <v>271</v>
      </c>
      <c r="E80">
        <v>2.5000000000000001E-2</v>
      </c>
      <c r="F80">
        <v>3.4000000000000002E-2</v>
      </c>
      <c r="G80" s="1">
        <v>1.42E-14</v>
      </c>
      <c r="H80">
        <v>0.58399999999999996</v>
      </c>
      <c r="I80" s="1">
        <v>1.4500000000000001E-14</v>
      </c>
      <c r="J80">
        <v>0.16200000000000001</v>
      </c>
      <c r="K80" s="1">
        <v>1.4500000000000001E-14</v>
      </c>
      <c r="L80">
        <v>4.5999999999999999E-2</v>
      </c>
      <c r="M80" s="1">
        <v>1.5199999999999999E-17</v>
      </c>
      <c r="N80">
        <v>3.5999999999999997E-2</v>
      </c>
      <c r="O80" s="1">
        <v>1.15E-17</v>
      </c>
      <c r="P80">
        <v>2.9000000000000001E-2</v>
      </c>
      <c r="Q80">
        <v>16.600000000000001</v>
      </c>
      <c r="R80">
        <v>19.7</v>
      </c>
    </row>
    <row r="81" spans="1:18" x14ac:dyDescent="0.25">
      <c r="A81" t="s">
        <v>272</v>
      </c>
      <c r="B81" t="str">
        <f>"21652-58-4"</f>
        <v>21652-58-4</v>
      </c>
      <c r="D81" t="s">
        <v>273</v>
      </c>
      <c r="E81">
        <v>2.5000000000000001E-2</v>
      </c>
      <c r="F81">
        <v>3.7999999999999999E-2</v>
      </c>
      <c r="G81" s="1">
        <v>1.24E-14</v>
      </c>
      <c r="H81">
        <v>0.50800000000000001</v>
      </c>
      <c r="I81" s="1">
        <v>1.26E-14</v>
      </c>
      <c r="J81">
        <v>0.14099999999999999</v>
      </c>
      <c r="K81" s="1">
        <v>1.26E-14</v>
      </c>
      <c r="L81">
        <v>0.04</v>
      </c>
      <c r="M81" s="1">
        <v>1.3200000000000001E-17</v>
      </c>
      <c r="N81">
        <v>3.1E-2</v>
      </c>
      <c r="O81" s="1">
        <v>1.0000000000000001E-17</v>
      </c>
      <c r="P81">
        <v>2.5000000000000001E-2</v>
      </c>
      <c r="Q81">
        <v>14.5</v>
      </c>
      <c r="R81">
        <v>17.100000000000001</v>
      </c>
    </row>
    <row r="82" spans="1:18" x14ac:dyDescent="0.25">
      <c r="A82" t="s">
        <v>274</v>
      </c>
      <c r="B82" t="str">
        <f>"382-10-5"</f>
        <v>382-10-5</v>
      </c>
      <c r="D82" t="s">
        <v>275</v>
      </c>
      <c r="E82">
        <v>2.8000000000000001E-2</v>
      </c>
      <c r="F82">
        <v>3.3000000000000002E-2</v>
      </c>
      <c r="G82" s="1">
        <v>3.2999999999999998E-14</v>
      </c>
      <c r="H82">
        <v>1.36</v>
      </c>
      <c r="I82" s="1">
        <v>3.3699999999999998E-14</v>
      </c>
      <c r="J82">
        <v>0.377</v>
      </c>
      <c r="K82" s="1">
        <v>3.3699999999999998E-14</v>
      </c>
      <c r="L82">
        <v>0.107</v>
      </c>
      <c r="M82" s="1">
        <v>3.5300000000000002E-17</v>
      </c>
      <c r="N82">
        <v>8.3000000000000004E-2</v>
      </c>
      <c r="O82" s="1">
        <v>2.6799999999999999E-17</v>
      </c>
      <c r="P82">
        <v>6.8000000000000005E-2</v>
      </c>
      <c r="Q82">
        <v>38.700000000000003</v>
      </c>
      <c r="R82">
        <v>45.8</v>
      </c>
    </row>
    <row r="83" spans="1:18" x14ac:dyDescent="0.25">
      <c r="A83" t="s">
        <v>276</v>
      </c>
      <c r="B83" t="str">
        <f>"123768-18-3"</f>
        <v>123768-18-3</v>
      </c>
      <c r="D83" t="s">
        <v>277</v>
      </c>
      <c r="E83">
        <v>1.6</v>
      </c>
      <c r="F83">
        <v>0.2</v>
      </c>
      <c r="G83" s="1">
        <v>1.0499999999999999E-11</v>
      </c>
      <c r="H83">
        <v>431</v>
      </c>
      <c r="I83" s="1">
        <v>1.0699999999999999E-11</v>
      </c>
      <c r="J83">
        <v>120</v>
      </c>
      <c r="K83" s="1">
        <v>1.0699999999999999E-11</v>
      </c>
      <c r="L83">
        <v>34.200000000000003</v>
      </c>
      <c r="M83" s="1">
        <v>1.1400000000000001E-14</v>
      </c>
      <c r="N83">
        <v>26.6</v>
      </c>
      <c r="O83" s="1">
        <v>8.57E-15</v>
      </c>
      <c r="P83">
        <v>21.7</v>
      </c>
      <c r="Q83">
        <v>12300</v>
      </c>
      <c r="R83">
        <v>14500</v>
      </c>
    </row>
    <row r="84" spans="1:18" x14ac:dyDescent="0.25">
      <c r="A84" t="s">
        <v>278</v>
      </c>
      <c r="B84" t="str">
        <f>"15290-77-4"</f>
        <v>15290-77-4</v>
      </c>
      <c r="D84" t="s">
        <v>279</v>
      </c>
      <c r="E84">
        <v>2.8</v>
      </c>
      <c r="F84">
        <v>0.24299999999999999</v>
      </c>
      <c r="G84" s="1">
        <v>2.0199999999999999E-11</v>
      </c>
      <c r="H84">
        <v>830</v>
      </c>
      <c r="I84" s="1">
        <v>2.07E-11</v>
      </c>
      <c r="J84">
        <v>231</v>
      </c>
      <c r="K84" s="1">
        <v>2.07E-11</v>
      </c>
      <c r="L84">
        <v>66</v>
      </c>
      <c r="M84" s="1">
        <v>2.2199999999999999E-14</v>
      </c>
      <c r="N84">
        <v>52</v>
      </c>
      <c r="O84" s="1">
        <v>1.66E-14</v>
      </c>
      <c r="P84">
        <v>42.1</v>
      </c>
      <c r="Q84">
        <v>23600</v>
      </c>
      <c r="R84">
        <v>28000</v>
      </c>
    </row>
    <row r="85" spans="1:18" x14ac:dyDescent="0.25">
      <c r="A85" t="s">
        <v>280</v>
      </c>
      <c r="B85" t="str">
        <f>"1892-03-1"</f>
        <v>1892-03-1</v>
      </c>
      <c r="D85" t="s">
        <v>281</v>
      </c>
      <c r="E85">
        <v>0.61</v>
      </c>
      <c r="F85">
        <v>0.215</v>
      </c>
      <c r="G85" s="1">
        <v>3.9499999999999999E-12</v>
      </c>
      <c r="H85">
        <v>162</v>
      </c>
      <c r="I85" s="1">
        <v>4.0300000000000004E-12</v>
      </c>
      <c r="J85">
        <v>45.1</v>
      </c>
      <c r="K85" s="1">
        <v>4.0300000000000004E-12</v>
      </c>
      <c r="L85">
        <v>12.8</v>
      </c>
      <c r="M85" s="1">
        <v>4.2400000000000003E-15</v>
      </c>
      <c r="N85">
        <v>9.92</v>
      </c>
      <c r="O85" s="1">
        <v>3.2100000000000001E-15</v>
      </c>
      <c r="P85">
        <v>8.14</v>
      </c>
      <c r="Q85">
        <v>4620</v>
      </c>
      <c r="R85">
        <v>5470</v>
      </c>
    </row>
    <row r="86" spans="1:18" x14ac:dyDescent="0.25">
      <c r="A86" t="s">
        <v>282</v>
      </c>
      <c r="B86" t="str">
        <f>"158389-18-5"</f>
        <v>158389-18-5</v>
      </c>
      <c r="D86" t="s">
        <v>283</v>
      </c>
      <c r="E86">
        <v>3.2</v>
      </c>
      <c r="F86">
        <v>0.25900000000000001</v>
      </c>
      <c r="G86" s="1">
        <v>2.25E-11</v>
      </c>
      <c r="H86">
        <v>925</v>
      </c>
      <c r="I86" s="1">
        <v>2.31E-11</v>
      </c>
      <c r="J86">
        <v>258</v>
      </c>
      <c r="K86" s="1">
        <v>2.31E-11</v>
      </c>
      <c r="L86">
        <v>73.599999999999994</v>
      </c>
      <c r="M86" s="1">
        <v>2.49E-14</v>
      </c>
      <c r="N86">
        <v>58.2</v>
      </c>
      <c r="O86" s="1">
        <v>1.8600000000000001E-14</v>
      </c>
      <c r="P86">
        <v>47.1</v>
      </c>
      <c r="Q86">
        <v>26300</v>
      </c>
      <c r="R86">
        <v>31200</v>
      </c>
    </row>
    <row r="87" spans="1:18" x14ac:dyDescent="0.25">
      <c r="A87" t="s">
        <v>284</v>
      </c>
      <c r="B87" t="str">
        <f>"14149-41-8"</f>
        <v>14149-41-8</v>
      </c>
      <c r="C87" t="s">
        <v>285</v>
      </c>
      <c r="D87" t="s">
        <v>286</v>
      </c>
      <c r="E87">
        <v>0.33400000000000002</v>
      </c>
      <c r="F87">
        <v>7.9000000000000001E-2</v>
      </c>
      <c r="G87" s="1">
        <v>7.2099999999999996E-13</v>
      </c>
      <c r="H87">
        <v>29.6</v>
      </c>
      <c r="I87" s="1">
        <v>7.3599999999999999E-13</v>
      </c>
      <c r="J87">
        <v>8.2200000000000006</v>
      </c>
      <c r="K87" s="1">
        <v>7.3599999999999999E-13</v>
      </c>
      <c r="L87">
        <v>2.34</v>
      </c>
      <c r="M87" s="1">
        <v>7.7300000000000004E-16</v>
      </c>
      <c r="N87">
        <v>1.81</v>
      </c>
      <c r="O87" s="1">
        <v>5.8500000000000004E-16</v>
      </c>
      <c r="P87">
        <v>1.48</v>
      </c>
      <c r="Q87">
        <v>843</v>
      </c>
      <c r="R87">
        <v>998</v>
      </c>
    </row>
    <row r="88" spans="1:18" x14ac:dyDescent="0.25">
      <c r="A88" t="s">
        <v>287</v>
      </c>
      <c r="B88" t="str">
        <f>"355-08-8"</f>
        <v>355-08-8</v>
      </c>
      <c r="C88" t="s">
        <v>288</v>
      </c>
      <c r="D88" t="s">
        <v>289</v>
      </c>
      <c r="E88">
        <v>2.5000000000000001E-2</v>
      </c>
      <c r="F88">
        <v>2.8000000000000001E-2</v>
      </c>
      <c r="G88" s="1">
        <v>2.0599999999999999E-14</v>
      </c>
      <c r="H88">
        <v>0.84699999999999998</v>
      </c>
      <c r="I88" s="1">
        <v>2.0999999999999999E-14</v>
      </c>
      <c r="J88">
        <v>0.23499999999999999</v>
      </c>
      <c r="K88" s="1">
        <v>2.0999999999999999E-14</v>
      </c>
      <c r="L88">
        <v>6.7000000000000004E-2</v>
      </c>
      <c r="M88" s="1">
        <v>2.2E-17</v>
      </c>
      <c r="N88">
        <v>5.0999999999999997E-2</v>
      </c>
      <c r="O88" s="1">
        <v>1.6699999999999999E-17</v>
      </c>
      <c r="P88">
        <v>4.2000000000000003E-2</v>
      </c>
      <c r="Q88">
        <v>24.1</v>
      </c>
      <c r="R88">
        <v>28.6</v>
      </c>
    </row>
    <row r="89" spans="1:18" x14ac:dyDescent="0.25">
      <c r="A89" t="s">
        <v>290</v>
      </c>
      <c r="B89" t="str">
        <f>"374-31-2"</f>
        <v>374-31-2</v>
      </c>
      <c r="D89" t="s">
        <v>291</v>
      </c>
      <c r="E89">
        <v>0.74</v>
      </c>
      <c r="F89">
        <v>0.27</v>
      </c>
      <c r="G89" s="1">
        <v>8.0999999999999998E-12</v>
      </c>
      <c r="H89">
        <v>333</v>
      </c>
      <c r="I89" s="1">
        <v>8.2699999999999993E-12</v>
      </c>
      <c r="J89">
        <v>92.4</v>
      </c>
      <c r="K89" s="1">
        <v>8.2699999999999993E-12</v>
      </c>
      <c r="L89">
        <v>26.4</v>
      </c>
      <c r="M89" s="1">
        <v>8.7199999999999997E-15</v>
      </c>
      <c r="N89">
        <v>20.399999999999999</v>
      </c>
      <c r="O89" s="1">
        <v>6.5900000000000002E-15</v>
      </c>
      <c r="P89">
        <v>16.7</v>
      </c>
      <c r="Q89">
        <v>9470</v>
      </c>
      <c r="R89">
        <v>11200</v>
      </c>
    </row>
    <row r="90" spans="1:18" x14ac:dyDescent="0.25">
      <c r="A90" t="s">
        <v>292</v>
      </c>
      <c r="B90" t="str">
        <f>"2714-38-7"</f>
        <v>2714-38-7</v>
      </c>
      <c r="D90" t="s">
        <v>293</v>
      </c>
      <c r="E90">
        <v>0.23</v>
      </c>
      <c r="F90">
        <v>0.21</v>
      </c>
      <c r="G90" s="1">
        <v>2.2400000000000001E-12</v>
      </c>
      <c r="H90">
        <v>92.1</v>
      </c>
      <c r="I90" s="1">
        <v>2.2900000000000001E-12</v>
      </c>
      <c r="J90">
        <v>25.6</v>
      </c>
      <c r="K90" s="1">
        <v>2.2900000000000001E-12</v>
      </c>
      <c r="L90">
        <v>7.29</v>
      </c>
      <c r="M90" s="1">
        <v>2.3999999999999999E-15</v>
      </c>
      <c r="N90">
        <v>5.61</v>
      </c>
      <c r="O90" s="1">
        <v>1.82E-15</v>
      </c>
      <c r="P90">
        <v>4.6100000000000003</v>
      </c>
      <c r="Q90">
        <v>2620</v>
      </c>
      <c r="R90">
        <v>3100</v>
      </c>
    </row>
    <row r="91" spans="1:18" x14ac:dyDescent="0.25">
      <c r="A91" t="s">
        <v>294</v>
      </c>
      <c r="B91" t="str">
        <f>"71-55-6"</f>
        <v>71-55-6</v>
      </c>
      <c r="C91" t="s">
        <v>295</v>
      </c>
      <c r="D91" t="s">
        <v>25</v>
      </c>
      <c r="E91">
        <v>5</v>
      </c>
      <c r="F91">
        <v>6.5000000000000002E-2</v>
      </c>
      <c r="G91" s="1">
        <v>1.38E-11</v>
      </c>
      <c r="H91">
        <v>567</v>
      </c>
      <c r="I91" s="1">
        <v>1.44E-11</v>
      </c>
      <c r="J91">
        <v>161</v>
      </c>
      <c r="K91" s="1">
        <v>1.44E-11</v>
      </c>
      <c r="L91">
        <v>46</v>
      </c>
      <c r="M91" s="1">
        <v>1.6000000000000001E-14</v>
      </c>
      <c r="N91">
        <v>37.5</v>
      </c>
      <c r="O91" s="1">
        <v>1.17E-14</v>
      </c>
      <c r="P91">
        <v>29.7</v>
      </c>
      <c r="Q91">
        <v>16400</v>
      </c>
      <c r="R91">
        <v>19400</v>
      </c>
    </row>
    <row r="92" spans="1:18" x14ac:dyDescent="0.25">
      <c r="A92" t="s">
        <v>296</v>
      </c>
      <c r="B92" t="str">
        <f>"56-23-5"</f>
        <v>56-23-5</v>
      </c>
      <c r="C92" t="s">
        <v>297</v>
      </c>
      <c r="D92" t="s">
        <v>23</v>
      </c>
      <c r="E92">
        <v>32</v>
      </c>
      <c r="F92">
        <v>0.16600000000000001</v>
      </c>
      <c r="G92" s="1">
        <v>9.27E-11</v>
      </c>
      <c r="H92">
        <v>3810</v>
      </c>
      <c r="I92" s="1">
        <v>1.96E-10</v>
      </c>
      <c r="J92">
        <v>2200</v>
      </c>
      <c r="K92" s="1">
        <v>2.0600000000000001E-10</v>
      </c>
      <c r="L92">
        <v>658</v>
      </c>
      <c r="M92" s="1">
        <v>8.4900000000000002E-13</v>
      </c>
      <c r="N92">
        <v>1990</v>
      </c>
      <c r="O92" s="1">
        <v>3.2E-13</v>
      </c>
      <c r="P92">
        <v>810</v>
      </c>
    </row>
    <row r="93" spans="1:18" x14ac:dyDescent="0.25">
      <c r="A93" t="s">
        <v>298</v>
      </c>
      <c r="B93" t="str">
        <f>"74-87-3"</f>
        <v>74-87-3</v>
      </c>
      <c r="C93" t="s">
        <v>299</v>
      </c>
      <c r="D93" t="s">
        <v>37</v>
      </c>
      <c r="E93">
        <v>0.9</v>
      </c>
      <c r="F93">
        <v>5.0000000000000001E-3</v>
      </c>
      <c r="G93" s="1">
        <v>4.8499999999999995E-13</v>
      </c>
      <c r="H93">
        <v>19.899999999999999</v>
      </c>
      <c r="I93" s="1">
        <v>4.9500000000000001E-13</v>
      </c>
      <c r="J93">
        <v>5.54</v>
      </c>
      <c r="K93" s="1">
        <v>4.9500000000000001E-13</v>
      </c>
      <c r="L93">
        <v>1.58</v>
      </c>
      <c r="M93" s="1">
        <v>5.2300000000000002E-16</v>
      </c>
      <c r="N93">
        <v>1.22</v>
      </c>
      <c r="O93" s="1">
        <v>3.9500000000000001E-16</v>
      </c>
      <c r="P93">
        <v>1</v>
      </c>
      <c r="Q93">
        <v>567</v>
      </c>
      <c r="R93">
        <v>672</v>
      </c>
    </row>
    <row r="94" spans="1:18" x14ac:dyDescent="0.25">
      <c r="A94" t="s">
        <v>300</v>
      </c>
      <c r="B94" t="str">
        <f>"75-09-2"</f>
        <v>75-09-2</v>
      </c>
      <c r="C94" t="s">
        <v>301</v>
      </c>
      <c r="D94" t="s">
        <v>36</v>
      </c>
      <c r="E94">
        <v>0.49299999999999999</v>
      </c>
      <c r="F94">
        <v>2.9000000000000001E-2</v>
      </c>
      <c r="G94" s="1">
        <v>9.7800000000000007E-13</v>
      </c>
      <c r="H94">
        <v>40.200000000000003</v>
      </c>
      <c r="I94" s="1">
        <v>9.9799999999999999E-13</v>
      </c>
      <c r="J94">
        <v>11.2</v>
      </c>
      <c r="K94" s="1">
        <v>9.9799999999999999E-13</v>
      </c>
      <c r="L94">
        <v>3.18</v>
      </c>
      <c r="M94" s="1">
        <v>1.0499999999999999E-15</v>
      </c>
      <c r="N94">
        <v>2.46</v>
      </c>
      <c r="O94" s="1">
        <v>7.95E-16</v>
      </c>
      <c r="P94">
        <v>2.0099999999999998</v>
      </c>
      <c r="Q94">
        <v>1140</v>
      </c>
      <c r="R94">
        <v>1350</v>
      </c>
    </row>
    <row r="95" spans="1:18" x14ac:dyDescent="0.25">
      <c r="A95" t="s">
        <v>302</v>
      </c>
      <c r="B95" t="str">
        <f>"67-66-3"</f>
        <v>67-66-3</v>
      </c>
      <c r="C95" t="s">
        <v>303</v>
      </c>
      <c r="D95" t="s">
        <v>35</v>
      </c>
      <c r="E95">
        <v>0.501</v>
      </c>
      <c r="F95">
        <v>7.3999999999999996E-2</v>
      </c>
      <c r="G95" s="1">
        <v>1.81E-12</v>
      </c>
      <c r="H95">
        <v>74.2</v>
      </c>
      <c r="I95" s="1">
        <v>1.8399999999999998E-12</v>
      </c>
      <c r="J95">
        <v>20.6</v>
      </c>
      <c r="K95" s="1">
        <v>1.8399999999999998E-12</v>
      </c>
      <c r="L95">
        <v>5.87</v>
      </c>
      <c r="M95" s="1">
        <v>1.94E-15</v>
      </c>
      <c r="N95">
        <v>4.53</v>
      </c>
      <c r="O95" s="1">
        <v>1.47E-15</v>
      </c>
      <c r="P95">
        <v>3.72</v>
      </c>
      <c r="Q95">
        <v>2110</v>
      </c>
      <c r="R95">
        <v>2500</v>
      </c>
    </row>
    <row r="96" spans="1:18" x14ac:dyDescent="0.25">
      <c r="A96" t="s">
        <v>304</v>
      </c>
      <c r="B96" t="str">
        <f>"75-00-3"</f>
        <v>75-00-3</v>
      </c>
      <c r="D96" t="s">
        <v>305</v>
      </c>
      <c r="E96">
        <v>0.13200000000000001</v>
      </c>
      <c r="F96">
        <v>4.0000000000000001E-3</v>
      </c>
      <c r="G96" s="1">
        <v>4.2199999999999999E-14</v>
      </c>
      <c r="H96">
        <v>1.73</v>
      </c>
      <c r="I96" s="1">
        <v>4.3E-14</v>
      </c>
      <c r="J96">
        <v>0.48099999999999998</v>
      </c>
      <c r="K96" s="1">
        <v>4.3E-14</v>
      </c>
      <c r="L96">
        <v>0.13700000000000001</v>
      </c>
      <c r="M96" s="1">
        <v>4.5100000000000002E-17</v>
      </c>
      <c r="N96">
        <v>0.105</v>
      </c>
      <c r="O96" s="1">
        <v>3.42E-17</v>
      </c>
      <c r="P96">
        <v>8.6999999999999994E-2</v>
      </c>
      <c r="Q96">
        <v>49.4</v>
      </c>
      <c r="R96">
        <v>58.4</v>
      </c>
    </row>
    <row r="97" spans="1:18" x14ac:dyDescent="0.25">
      <c r="A97" t="s">
        <v>306</v>
      </c>
      <c r="B97" t="str">
        <f>"107-06-2"</f>
        <v>107-06-2</v>
      </c>
      <c r="D97" t="s">
        <v>307</v>
      </c>
      <c r="E97">
        <v>0.22500000000000001</v>
      </c>
      <c r="F97">
        <v>8.9999999999999993E-3</v>
      </c>
      <c r="G97" s="1">
        <v>1.1399999999999999E-13</v>
      </c>
      <c r="H97">
        <v>4.68</v>
      </c>
      <c r="I97" s="1">
        <v>1.1600000000000001E-13</v>
      </c>
      <c r="J97">
        <v>1.3</v>
      </c>
      <c r="K97" s="1">
        <v>1.1600000000000001E-13</v>
      </c>
      <c r="L97">
        <v>0.371</v>
      </c>
      <c r="M97" s="1">
        <v>1.2200000000000001E-16</v>
      </c>
      <c r="N97">
        <v>0.28499999999999998</v>
      </c>
      <c r="O97" s="1">
        <v>9.2499999999999999E-17</v>
      </c>
      <c r="P97">
        <v>0.23400000000000001</v>
      </c>
      <c r="Q97">
        <v>133</v>
      </c>
      <c r="R97">
        <v>158</v>
      </c>
    </row>
    <row r="98" spans="1:18" x14ac:dyDescent="0.25">
      <c r="A98" t="s">
        <v>308</v>
      </c>
      <c r="B98" t="str">
        <f>"79-01-6"</f>
        <v>79-01-6</v>
      </c>
      <c r="D98" t="s">
        <v>309</v>
      </c>
      <c r="E98">
        <v>1.4999999999999999E-2</v>
      </c>
      <c r="F98">
        <v>6.0000000000000001E-3</v>
      </c>
      <c r="G98" s="1">
        <v>3.8499999999999998E-15</v>
      </c>
      <c r="H98">
        <v>0.158</v>
      </c>
      <c r="I98" s="1">
        <v>3.9300000000000004E-15</v>
      </c>
      <c r="J98">
        <v>4.3999999999999997E-2</v>
      </c>
      <c r="K98" s="1">
        <v>3.9300000000000004E-15</v>
      </c>
      <c r="L98">
        <v>1.2999999999999999E-2</v>
      </c>
      <c r="M98" s="1">
        <v>4.1099999999999997E-18</v>
      </c>
      <c r="N98">
        <v>0.01</v>
      </c>
      <c r="O98" s="1">
        <v>3.12E-18</v>
      </c>
      <c r="P98">
        <v>8.0000000000000002E-3</v>
      </c>
      <c r="Q98">
        <v>4.51</v>
      </c>
      <c r="R98">
        <v>5.34</v>
      </c>
    </row>
    <row r="99" spans="1:18" x14ac:dyDescent="0.25">
      <c r="A99" t="s">
        <v>310</v>
      </c>
      <c r="B99" t="str">
        <f>"127-18-4"</f>
        <v>127-18-4</v>
      </c>
      <c r="D99" t="s">
        <v>311</v>
      </c>
      <c r="E99">
        <v>0.30099999999999999</v>
      </c>
      <c r="F99">
        <v>5.1999999999999998E-2</v>
      </c>
      <c r="G99" s="1">
        <v>5.5599999999999995E-13</v>
      </c>
      <c r="H99">
        <v>22.8</v>
      </c>
      <c r="I99" s="1">
        <v>5.6700000000000001E-13</v>
      </c>
      <c r="J99">
        <v>6.34</v>
      </c>
      <c r="K99" s="1">
        <v>5.6700000000000001E-13</v>
      </c>
      <c r="L99">
        <v>1.81</v>
      </c>
      <c r="M99" s="1">
        <v>5.9600000000000002E-16</v>
      </c>
      <c r="N99">
        <v>1.39</v>
      </c>
      <c r="O99" s="1">
        <v>4.5100000000000003E-16</v>
      </c>
      <c r="P99">
        <v>1.1399999999999999</v>
      </c>
      <c r="Q99">
        <v>651</v>
      </c>
      <c r="R99">
        <v>770</v>
      </c>
    </row>
    <row r="100" spans="1:18" x14ac:dyDescent="0.25">
      <c r="A100" t="s">
        <v>312</v>
      </c>
      <c r="B100" t="str">
        <f>"75-29-6"</f>
        <v>75-29-6</v>
      </c>
      <c r="D100" t="s">
        <v>313</v>
      </c>
      <c r="E100">
        <v>0.06</v>
      </c>
      <c r="F100">
        <v>4.0000000000000001E-3</v>
      </c>
      <c r="G100" s="1">
        <v>1.58E-14</v>
      </c>
      <c r="H100">
        <v>0.65100000000000002</v>
      </c>
      <c r="I100" s="1">
        <v>1.62E-14</v>
      </c>
      <c r="J100">
        <v>0.18099999999999999</v>
      </c>
      <c r="K100" s="1">
        <v>1.62E-14</v>
      </c>
      <c r="L100">
        <v>5.1999999999999998E-2</v>
      </c>
      <c r="M100" s="1">
        <v>1.6900000000000001E-17</v>
      </c>
      <c r="N100">
        <v>0.04</v>
      </c>
      <c r="O100" s="1">
        <v>1.28E-17</v>
      </c>
      <c r="P100">
        <v>3.3000000000000002E-2</v>
      </c>
      <c r="Q100">
        <v>18.5</v>
      </c>
      <c r="R100">
        <v>21.9</v>
      </c>
    </row>
    <row r="101" spans="1:18" x14ac:dyDescent="0.25">
      <c r="A101" t="s">
        <v>314</v>
      </c>
      <c r="B101" t="str">
        <f>"109-69-3"</f>
        <v>109-69-3</v>
      </c>
      <c r="D101" t="s">
        <v>315</v>
      </c>
      <c r="E101">
        <v>1.2E-2</v>
      </c>
      <c r="F101">
        <v>1E-3</v>
      </c>
      <c r="G101" s="1">
        <v>5.95E-16</v>
      </c>
      <c r="H101">
        <v>2.4E-2</v>
      </c>
      <c r="I101" s="1">
        <v>6.07E-16</v>
      </c>
      <c r="J101">
        <v>7.0000000000000001E-3</v>
      </c>
      <c r="K101" s="1">
        <v>6.07E-16</v>
      </c>
      <c r="L101">
        <v>2E-3</v>
      </c>
      <c r="M101" s="1">
        <v>6.3499999999999999E-19</v>
      </c>
      <c r="N101">
        <v>1E-3</v>
      </c>
      <c r="O101" s="1">
        <v>4.8200000000000002E-19</v>
      </c>
      <c r="P101">
        <v>1E-3</v>
      </c>
      <c r="Q101">
        <v>0.69699999999999995</v>
      </c>
      <c r="R101">
        <v>0.82399999999999995</v>
      </c>
    </row>
    <row r="102" spans="1:18" x14ac:dyDescent="0.25">
      <c r="A102" t="s">
        <v>316</v>
      </c>
      <c r="B102" t="str">
        <f>"74-83-9"</f>
        <v>74-83-9</v>
      </c>
      <c r="C102" t="s">
        <v>317</v>
      </c>
      <c r="D102" t="s">
        <v>24</v>
      </c>
      <c r="E102">
        <v>0.8</v>
      </c>
      <c r="F102">
        <v>4.0000000000000001E-3</v>
      </c>
      <c r="G102" s="1">
        <v>2.13E-13</v>
      </c>
      <c r="H102">
        <v>8.74</v>
      </c>
      <c r="I102" s="1">
        <v>2.1700000000000001E-13</v>
      </c>
      <c r="J102">
        <v>2.4300000000000002</v>
      </c>
      <c r="K102" s="1">
        <v>2.1700000000000001E-13</v>
      </c>
      <c r="L102">
        <v>0.69199999999999995</v>
      </c>
      <c r="M102" s="1">
        <v>2.2900000000000002E-16</v>
      </c>
      <c r="N102">
        <v>0.53500000000000003</v>
      </c>
      <c r="O102" s="1">
        <v>1.73E-16</v>
      </c>
      <c r="P102">
        <v>0.438</v>
      </c>
      <c r="Q102">
        <v>249</v>
      </c>
      <c r="R102">
        <v>294</v>
      </c>
    </row>
    <row r="103" spans="1:18" x14ac:dyDescent="0.25">
      <c r="A103" t="s">
        <v>318</v>
      </c>
      <c r="B103" t="str">
        <f>"74-95-3"</f>
        <v>74-95-3</v>
      </c>
      <c r="C103" t="s">
        <v>319</v>
      </c>
      <c r="D103" t="s">
        <v>320</v>
      </c>
      <c r="E103">
        <v>0.41099999999999998</v>
      </c>
      <c r="F103">
        <v>0.01</v>
      </c>
      <c r="G103" s="1">
        <v>1.3299999999999999E-13</v>
      </c>
      <c r="H103">
        <v>5.45</v>
      </c>
      <c r="I103" s="1">
        <v>1.3500000000000001E-13</v>
      </c>
      <c r="J103">
        <v>1.51</v>
      </c>
      <c r="K103" s="1">
        <v>1.3500000000000001E-13</v>
      </c>
      <c r="L103">
        <v>0.43099999999999999</v>
      </c>
      <c r="M103" s="1">
        <v>1.4199999999999999E-16</v>
      </c>
      <c r="N103">
        <v>0.33300000000000002</v>
      </c>
      <c r="O103" s="1">
        <v>1.08E-16</v>
      </c>
      <c r="P103">
        <v>0.27300000000000002</v>
      </c>
      <c r="Q103">
        <v>155</v>
      </c>
      <c r="R103">
        <v>184</v>
      </c>
    </row>
    <row r="104" spans="1:18" x14ac:dyDescent="0.25">
      <c r="A104" t="s">
        <v>321</v>
      </c>
      <c r="B104" t="str">
        <f>"1511-62-2"</f>
        <v>1511-62-2</v>
      </c>
      <c r="C104" t="s">
        <v>322</v>
      </c>
      <c r="D104" t="s">
        <v>323</v>
      </c>
      <c r="E104">
        <v>4.9000000000000004</v>
      </c>
      <c r="F104">
        <v>0.152</v>
      </c>
      <c r="G104" s="1">
        <v>3.2499999999999998E-11</v>
      </c>
      <c r="H104">
        <v>1340</v>
      </c>
      <c r="I104" s="1">
        <v>3.3999999999999999E-11</v>
      </c>
      <c r="J104">
        <v>380</v>
      </c>
      <c r="K104" s="1">
        <v>3.3999999999999999E-11</v>
      </c>
      <c r="L104">
        <v>108</v>
      </c>
      <c r="M104" s="1">
        <v>3.7599999999999999E-14</v>
      </c>
      <c r="N104">
        <v>88</v>
      </c>
      <c r="O104" s="1">
        <v>2.75E-14</v>
      </c>
      <c r="P104">
        <v>69.8</v>
      </c>
      <c r="Q104">
        <v>38500</v>
      </c>
      <c r="R104">
        <v>45800</v>
      </c>
    </row>
    <row r="105" spans="1:18" x14ac:dyDescent="0.25">
      <c r="A105" t="s">
        <v>324</v>
      </c>
      <c r="B105" t="str">
        <f>"75-61-6"</f>
        <v>75-61-6</v>
      </c>
      <c r="C105" t="s">
        <v>325</v>
      </c>
      <c r="D105" t="s">
        <v>326</v>
      </c>
      <c r="E105">
        <v>2.5</v>
      </c>
      <c r="F105">
        <v>0.27200000000000002</v>
      </c>
      <c r="G105" s="1">
        <v>1.8900000000000001E-11</v>
      </c>
      <c r="H105">
        <v>775</v>
      </c>
      <c r="I105" s="1">
        <v>1.9300000000000001E-11</v>
      </c>
      <c r="J105">
        <v>216</v>
      </c>
      <c r="K105" s="1">
        <v>1.9300000000000001E-11</v>
      </c>
      <c r="L105">
        <v>61.5</v>
      </c>
      <c r="M105" s="1">
        <v>2.07E-14</v>
      </c>
      <c r="N105">
        <v>48.4</v>
      </c>
      <c r="O105" s="1">
        <v>1.55E-14</v>
      </c>
      <c r="P105">
        <v>39.299999999999997</v>
      </c>
      <c r="Q105">
        <v>22000</v>
      </c>
      <c r="R105">
        <v>26100</v>
      </c>
    </row>
    <row r="106" spans="1:18" x14ac:dyDescent="0.25">
      <c r="A106" t="s">
        <v>327</v>
      </c>
      <c r="B106" t="str">
        <f>"353-59-3"</f>
        <v>353-59-3</v>
      </c>
      <c r="C106" t="s">
        <v>328</v>
      </c>
      <c r="D106" t="s">
        <v>329</v>
      </c>
      <c r="E106">
        <v>16</v>
      </c>
      <c r="F106">
        <v>0.3</v>
      </c>
      <c r="G106" s="1">
        <v>1.2E-10</v>
      </c>
      <c r="H106">
        <v>4920</v>
      </c>
      <c r="I106" s="1">
        <v>1.73E-10</v>
      </c>
      <c r="J106">
        <v>1930</v>
      </c>
      <c r="K106" s="1">
        <v>1.73E-10</v>
      </c>
      <c r="L106">
        <v>552</v>
      </c>
      <c r="M106" s="1">
        <v>4.5799999999999997E-13</v>
      </c>
      <c r="N106">
        <v>1070</v>
      </c>
      <c r="O106" s="1">
        <v>1.6E-13</v>
      </c>
      <c r="P106">
        <v>406</v>
      </c>
      <c r="Q106">
        <v>182000</v>
      </c>
      <c r="R106">
        <v>229000</v>
      </c>
    </row>
    <row r="107" spans="1:18" x14ac:dyDescent="0.25">
      <c r="A107" t="s">
        <v>330</v>
      </c>
      <c r="B107" t="str">
        <f>"75-63-8"</f>
        <v>75-63-8</v>
      </c>
      <c r="C107" t="s">
        <v>331</v>
      </c>
      <c r="D107" t="s">
        <v>332</v>
      </c>
      <c r="E107">
        <v>72</v>
      </c>
      <c r="F107">
        <v>0.29899999999999999</v>
      </c>
      <c r="G107" s="1">
        <v>2.02E-10</v>
      </c>
      <c r="H107">
        <v>8320</v>
      </c>
      <c r="I107" s="1">
        <v>6.4400000000000005E-10</v>
      </c>
      <c r="J107">
        <v>7200</v>
      </c>
      <c r="K107" s="1">
        <v>8.6400000000000001E-10</v>
      </c>
      <c r="L107">
        <v>2750</v>
      </c>
      <c r="M107" s="1">
        <v>3.2300000000000002E-12</v>
      </c>
      <c r="N107">
        <v>7560</v>
      </c>
      <c r="O107" s="1">
        <v>2E-12</v>
      </c>
      <c r="P107">
        <v>5060</v>
      </c>
    </row>
    <row r="108" spans="1:18" x14ac:dyDescent="0.25">
      <c r="A108" t="s">
        <v>333</v>
      </c>
      <c r="B108" t="str">
        <f>"421-06-7"</f>
        <v>421-06-7</v>
      </c>
      <c r="C108" t="s">
        <v>334</v>
      </c>
      <c r="D108" t="s">
        <v>335</v>
      </c>
      <c r="E108">
        <v>3.2</v>
      </c>
      <c r="F108">
        <v>0.13500000000000001</v>
      </c>
      <c r="G108" s="1">
        <v>1.5500000000000001E-11</v>
      </c>
      <c r="H108">
        <v>635</v>
      </c>
      <c r="I108" s="1">
        <v>1.5900000000000001E-11</v>
      </c>
      <c r="J108">
        <v>177</v>
      </c>
      <c r="K108" s="1">
        <v>1.5900000000000001E-11</v>
      </c>
      <c r="L108">
        <v>50.6</v>
      </c>
      <c r="M108" s="1">
        <v>1.7100000000000001E-14</v>
      </c>
      <c r="N108">
        <v>40</v>
      </c>
      <c r="O108" s="1">
        <v>1.28E-14</v>
      </c>
      <c r="P108">
        <v>32.4</v>
      </c>
      <c r="Q108">
        <v>18100</v>
      </c>
      <c r="R108">
        <v>21400</v>
      </c>
    </row>
    <row r="109" spans="1:18" x14ac:dyDescent="0.25">
      <c r="A109" t="s">
        <v>336</v>
      </c>
      <c r="B109" t="str">
        <f>"151-67-7"</f>
        <v>151-67-7</v>
      </c>
      <c r="C109" t="s">
        <v>337</v>
      </c>
      <c r="D109" t="s">
        <v>338</v>
      </c>
      <c r="E109">
        <v>1</v>
      </c>
      <c r="F109">
        <v>0.13300000000000001</v>
      </c>
      <c r="G109" s="1">
        <v>3.9399999999999998E-12</v>
      </c>
      <c r="H109">
        <v>162</v>
      </c>
      <c r="I109" s="1">
        <v>4.0300000000000004E-12</v>
      </c>
      <c r="J109">
        <v>45</v>
      </c>
      <c r="K109" s="1">
        <v>4.0300000000000004E-12</v>
      </c>
      <c r="L109">
        <v>12.8</v>
      </c>
      <c r="M109" s="1">
        <v>4.25E-15</v>
      </c>
      <c r="N109">
        <v>9.9499999999999993</v>
      </c>
      <c r="O109" s="1">
        <v>3.2100000000000001E-15</v>
      </c>
      <c r="P109">
        <v>8.14</v>
      </c>
      <c r="Q109">
        <v>4610</v>
      </c>
      <c r="R109">
        <v>5460</v>
      </c>
    </row>
    <row r="110" spans="1:18" x14ac:dyDescent="0.25">
      <c r="A110" t="s">
        <v>339</v>
      </c>
      <c r="B110" t="str">
        <f>"124-72-1"</f>
        <v>124-72-1</v>
      </c>
      <c r="C110" t="s">
        <v>340</v>
      </c>
      <c r="D110" t="s">
        <v>341</v>
      </c>
      <c r="E110">
        <v>2.9</v>
      </c>
      <c r="F110">
        <v>0.189</v>
      </c>
      <c r="G110" s="1">
        <v>1.7599999999999999E-11</v>
      </c>
      <c r="H110">
        <v>723</v>
      </c>
      <c r="I110" s="1">
        <v>1.7999999999999999E-11</v>
      </c>
      <c r="J110">
        <v>201</v>
      </c>
      <c r="K110" s="1">
        <v>1.7999999999999999E-11</v>
      </c>
      <c r="L110">
        <v>57.5</v>
      </c>
      <c r="M110" s="1">
        <v>1.9400000000000001E-14</v>
      </c>
      <c r="N110">
        <v>45.3</v>
      </c>
      <c r="O110" s="1">
        <v>1.4500000000000001E-14</v>
      </c>
      <c r="P110">
        <v>36.700000000000003</v>
      </c>
      <c r="Q110">
        <v>20600</v>
      </c>
      <c r="R110">
        <v>24400</v>
      </c>
    </row>
    <row r="111" spans="1:18" x14ac:dyDescent="0.25">
      <c r="A111" t="s">
        <v>342</v>
      </c>
      <c r="B111" t="str">
        <f>"124-73-2"</f>
        <v>124-73-2</v>
      </c>
      <c r="C111" t="s">
        <v>343</v>
      </c>
      <c r="D111" t="s">
        <v>344</v>
      </c>
      <c r="E111">
        <v>28</v>
      </c>
      <c r="F111">
        <v>0.312</v>
      </c>
      <c r="G111" s="1">
        <v>9.8999999999999994E-11</v>
      </c>
      <c r="H111">
        <v>4070</v>
      </c>
      <c r="I111" s="1">
        <v>1.94E-10</v>
      </c>
      <c r="J111">
        <v>2170</v>
      </c>
      <c r="K111" s="1">
        <v>2.0000000000000001E-10</v>
      </c>
      <c r="L111">
        <v>639</v>
      </c>
      <c r="M111" s="1">
        <v>7.9099999999999996E-13</v>
      </c>
      <c r="N111">
        <v>1850</v>
      </c>
      <c r="O111" s="1">
        <v>2.7699999999999998E-13</v>
      </c>
      <c r="P111">
        <v>702</v>
      </c>
    </row>
    <row r="112" spans="1:18" x14ac:dyDescent="0.25">
      <c r="A112" t="s">
        <v>345</v>
      </c>
      <c r="B112" t="str">
        <f>"75-25-2"</f>
        <v>75-25-2</v>
      </c>
      <c r="D112" t="s">
        <v>346</v>
      </c>
      <c r="E112">
        <v>0.156</v>
      </c>
      <c r="F112">
        <v>6.0000000000000001E-3</v>
      </c>
      <c r="G112" s="1">
        <v>2.19E-14</v>
      </c>
      <c r="H112">
        <v>0.90100000000000002</v>
      </c>
      <c r="I112" s="1">
        <v>2.2400000000000001E-14</v>
      </c>
      <c r="J112">
        <v>0.25</v>
      </c>
      <c r="K112" s="1">
        <v>2.2400000000000001E-14</v>
      </c>
      <c r="L112">
        <v>7.0999999999999994E-2</v>
      </c>
      <c r="M112" s="1">
        <v>2.35E-17</v>
      </c>
      <c r="N112">
        <v>5.5E-2</v>
      </c>
      <c r="O112" s="1">
        <v>1.7800000000000001E-17</v>
      </c>
      <c r="P112">
        <v>4.4999999999999998E-2</v>
      </c>
      <c r="Q112">
        <v>25.7</v>
      </c>
      <c r="R112">
        <v>30.4</v>
      </c>
    </row>
    <row r="113" spans="1:18" x14ac:dyDescent="0.25">
      <c r="A113" t="s">
        <v>347</v>
      </c>
      <c r="B113" t="str">
        <f>"74-97-5"</f>
        <v>74-97-5</v>
      </c>
      <c r="C113" t="s">
        <v>348</v>
      </c>
      <c r="D113" t="s">
        <v>349</v>
      </c>
      <c r="E113">
        <v>0.45200000000000001</v>
      </c>
      <c r="F113">
        <v>0.02</v>
      </c>
      <c r="G113" s="1">
        <v>4.15E-13</v>
      </c>
      <c r="H113">
        <v>17.100000000000001</v>
      </c>
      <c r="I113" s="1">
        <v>4.2400000000000001E-13</v>
      </c>
      <c r="J113">
        <v>4.74</v>
      </c>
      <c r="K113" s="1">
        <v>4.2400000000000001E-13</v>
      </c>
      <c r="L113">
        <v>1.35</v>
      </c>
      <c r="M113" s="1">
        <v>4.4600000000000005E-16</v>
      </c>
      <c r="N113">
        <v>1.04</v>
      </c>
      <c r="O113" s="1">
        <v>3.37E-16</v>
      </c>
      <c r="P113">
        <v>0.85499999999999998</v>
      </c>
      <c r="Q113">
        <v>486</v>
      </c>
      <c r="R113">
        <v>575</v>
      </c>
    </row>
    <row r="114" spans="1:18" x14ac:dyDescent="0.25">
      <c r="A114" t="s">
        <v>350</v>
      </c>
      <c r="B114" t="str">
        <f>"74-96-4"</f>
        <v>74-96-4</v>
      </c>
      <c r="D114" t="s">
        <v>351</v>
      </c>
      <c r="E114">
        <v>0.13700000000000001</v>
      </c>
      <c r="F114">
        <v>6.0000000000000001E-3</v>
      </c>
      <c r="G114" s="1">
        <v>4.2699999999999997E-14</v>
      </c>
      <c r="H114">
        <v>1.75</v>
      </c>
      <c r="I114" s="1">
        <v>4.3599999999999998E-14</v>
      </c>
      <c r="J114">
        <v>0.48699999999999999</v>
      </c>
      <c r="K114" s="1">
        <v>4.3599999999999998E-14</v>
      </c>
      <c r="L114">
        <v>0.13900000000000001</v>
      </c>
      <c r="M114" s="1">
        <v>4.5700000000000002E-17</v>
      </c>
      <c r="N114">
        <v>0.107</v>
      </c>
      <c r="O114" s="1">
        <v>3.4599999999999998E-17</v>
      </c>
      <c r="P114">
        <v>8.7999999999999995E-2</v>
      </c>
      <c r="Q114">
        <v>50</v>
      </c>
      <c r="R114">
        <v>59.1</v>
      </c>
    </row>
    <row r="115" spans="1:18" x14ac:dyDescent="0.25">
      <c r="A115" t="s">
        <v>352</v>
      </c>
      <c r="B115" t="str">
        <f>"106-93-4"</f>
        <v>106-93-4</v>
      </c>
      <c r="C115" t="s">
        <v>353</v>
      </c>
      <c r="D115" t="s">
        <v>354</v>
      </c>
      <c r="E115">
        <v>0.24399999999999999</v>
      </c>
      <c r="F115">
        <v>1.2E-2</v>
      </c>
      <c r="G115" s="1">
        <v>8.9400000000000003E-14</v>
      </c>
      <c r="H115">
        <v>3.67</v>
      </c>
      <c r="I115" s="1">
        <v>9.13E-14</v>
      </c>
      <c r="J115">
        <v>1.02</v>
      </c>
      <c r="K115" s="1">
        <v>9.13E-14</v>
      </c>
      <c r="L115">
        <v>0.29099999999999998</v>
      </c>
      <c r="M115" s="1">
        <v>9.5799999999999999E-17</v>
      </c>
      <c r="N115">
        <v>0.224</v>
      </c>
      <c r="O115" s="1">
        <v>7.2599999999999999E-17</v>
      </c>
      <c r="P115">
        <v>0.184</v>
      </c>
      <c r="Q115">
        <v>105</v>
      </c>
      <c r="R115">
        <v>124</v>
      </c>
    </row>
    <row r="116" spans="1:18" x14ac:dyDescent="0.25">
      <c r="A116" t="s">
        <v>355</v>
      </c>
      <c r="B116" t="str">
        <f>"106-94-5"</f>
        <v>106-94-5</v>
      </c>
      <c r="D116" t="s">
        <v>356</v>
      </c>
      <c r="E116">
        <v>4.1000000000000002E-2</v>
      </c>
      <c r="F116">
        <v>2E-3</v>
      </c>
      <c r="G116" s="1">
        <v>4.5699999999999997E-15</v>
      </c>
      <c r="H116">
        <v>0.188</v>
      </c>
      <c r="I116" s="1">
        <v>4.66E-15</v>
      </c>
      <c r="J116">
        <v>5.1999999999999998E-2</v>
      </c>
      <c r="K116" s="1">
        <v>4.66E-15</v>
      </c>
      <c r="L116">
        <v>1.4999999999999999E-2</v>
      </c>
      <c r="M116" s="1">
        <v>4.8800000000000002E-18</v>
      </c>
      <c r="N116">
        <v>1.0999999999999999E-2</v>
      </c>
      <c r="O116" s="1">
        <v>3.7100000000000003E-18</v>
      </c>
      <c r="P116">
        <v>8.9999999999999993E-3</v>
      </c>
      <c r="Q116">
        <v>5.35</v>
      </c>
      <c r="R116">
        <v>6.33</v>
      </c>
    </row>
    <row r="117" spans="1:18" x14ac:dyDescent="0.25">
      <c r="A117" t="s">
        <v>357</v>
      </c>
      <c r="B117" t="str">
        <f>"75-26-3"</f>
        <v>75-26-3</v>
      </c>
      <c r="D117" t="s">
        <v>358</v>
      </c>
      <c r="E117">
        <v>5.5E-2</v>
      </c>
      <c r="F117">
        <v>4.0000000000000001E-3</v>
      </c>
      <c r="G117" s="1">
        <v>1.1E-14</v>
      </c>
      <c r="H117">
        <v>0.45300000000000001</v>
      </c>
      <c r="I117" s="1">
        <v>1.1200000000000001E-14</v>
      </c>
      <c r="J117">
        <v>0.126</v>
      </c>
      <c r="K117" s="1">
        <v>1.1200000000000001E-14</v>
      </c>
      <c r="L117">
        <v>3.5999999999999997E-2</v>
      </c>
      <c r="M117" s="1">
        <v>1.18E-17</v>
      </c>
      <c r="N117">
        <v>2.8000000000000001E-2</v>
      </c>
      <c r="O117" s="1">
        <v>8.9299999999999995E-18</v>
      </c>
      <c r="P117">
        <v>2.3E-2</v>
      </c>
      <c r="Q117">
        <v>12.9</v>
      </c>
      <c r="R117">
        <v>15.3</v>
      </c>
    </row>
    <row r="118" spans="1:18" x14ac:dyDescent="0.25">
      <c r="A118" t="s">
        <v>359</v>
      </c>
      <c r="B118" t="str">
        <f>"7783-54-2"</f>
        <v>7783-54-2</v>
      </c>
      <c r="D118" t="s">
        <v>28</v>
      </c>
      <c r="E118">
        <v>569</v>
      </c>
      <c r="F118">
        <v>0.20399999999999999</v>
      </c>
      <c r="G118" s="1">
        <v>3.2600000000000001E-10</v>
      </c>
      <c r="H118">
        <v>13400</v>
      </c>
      <c r="I118" s="1">
        <v>1.56E-9</v>
      </c>
      <c r="J118">
        <v>17400</v>
      </c>
      <c r="K118" s="1">
        <v>5.7200000000000001E-9</v>
      </c>
      <c r="L118">
        <v>18200</v>
      </c>
      <c r="M118" s="1">
        <v>7.81E-12</v>
      </c>
      <c r="N118">
        <v>18200</v>
      </c>
      <c r="O118" s="1">
        <v>7.8899999999999997E-12</v>
      </c>
      <c r="P118">
        <v>20000</v>
      </c>
    </row>
    <row r="119" spans="1:18" x14ac:dyDescent="0.25">
      <c r="A119" t="s">
        <v>360</v>
      </c>
      <c r="B119" t="str">
        <f>"359-70-6"</f>
        <v>359-70-6</v>
      </c>
      <c r="D119" t="s">
        <v>361</v>
      </c>
      <c r="E119">
        <v>1000</v>
      </c>
      <c r="F119">
        <v>0.61</v>
      </c>
      <c r="G119" s="1">
        <v>1.87E-10</v>
      </c>
      <c r="H119">
        <v>7700</v>
      </c>
      <c r="I119" s="1">
        <v>9.2300000000000002E-10</v>
      </c>
      <c r="J119">
        <v>10300</v>
      </c>
      <c r="K119" s="1">
        <v>3.8600000000000003E-9</v>
      </c>
      <c r="L119">
        <v>12300</v>
      </c>
      <c r="M119" s="1">
        <v>4.6099999999999999E-12</v>
      </c>
      <c r="N119">
        <v>10800</v>
      </c>
      <c r="O119" s="1">
        <v>4.8099999999999999E-12</v>
      </c>
      <c r="P119">
        <v>12200</v>
      </c>
    </row>
    <row r="120" spans="1:18" x14ac:dyDescent="0.25">
      <c r="A120" t="s">
        <v>362</v>
      </c>
      <c r="B120" t="str">
        <f>"338-83-0"</f>
        <v>338-83-0</v>
      </c>
      <c r="C120" t="s">
        <v>363</v>
      </c>
      <c r="D120" t="s">
        <v>364</v>
      </c>
      <c r="E120">
        <v>1000</v>
      </c>
      <c r="F120">
        <v>0.75</v>
      </c>
      <c r="G120" s="1">
        <v>1.64E-10</v>
      </c>
      <c r="H120">
        <v>6750</v>
      </c>
      <c r="I120" s="1">
        <v>8.08E-10</v>
      </c>
      <c r="J120">
        <v>9030</v>
      </c>
      <c r="K120" s="1">
        <v>3.3799999999999999E-9</v>
      </c>
      <c r="L120">
        <v>10800</v>
      </c>
      <c r="M120" s="1">
        <v>4.0300000000000004E-12</v>
      </c>
      <c r="N120">
        <v>9430</v>
      </c>
      <c r="O120" s="1">
        <v>4.21E-12</v>
      </c>
      <c r="P120">
        <v>10700</v>
      </c>
    </row>
    <row r="121" spans="1:18" x14ac:dyDescent="0.25">
      <c r="A121" t="s">
        <v>365</v>
      </c>
      <c r="B121" t="str">
        <f>"311-89-7"</f>
        <v>311-89-7</v>
      </c>
      <c r="C121" t="s">
        <v>366</v>
      </c>
      <c r="D121" t="s">
        <v>367</v>
      </c>
      <c r="E121">
        <v>1000</v>
      </c>
      <c r="F121">
        <v>0.90700000000000003</v>
      </c>
      <c r="G121" s="1">
        <v>1.5400000000000001E-10</v>
      </c>
      <c r="H121">
        <v>6340</v>
      </c>
      <c r="I121" s="1">
        <v>7.5899999999999996E-10</v>
      </c>
      <c r="J121">
        <v>8490</v>
      </c>
      <c r="K121" s="1">
        <v>3.17E-9</v>
      </c>
      <c r="L121">
        <v>10100</v>
      </c>
      <c r="M121" s="1">
        <v>3.7899999999999998E-12</v>
      </c>
      <c r="N121">
        <v>8860</v>
      </c>
      <c r="O121" s="1">
        <v>3.9600000000000001E-12</v>
      </c>
      <c r="P121">
        <v>10000</v>
      </c>
    </row>
    <row r="122" spans="1:18" x14ac:dyDescent="0.25">
      <c r="A122" t="s">
        <v>368</v>
      </c>
      <c r="B122" t="str">
        <f>"338-84-1"</f>
        <v>338-84-1</v>
      </c>
      <c r="D122" t="s">
        <v>369</v>
      </c>
      <c r="E122">
        <v>1000</v>
      </c>
      <c r="F122">
        <v>0.95</v>
      </c>
      <c r="G122" s="1">
        <v>1.3200000000000001E-10</v>
      </c>
      <c r="H122">
        <v>5420</v>
      </c>
      <c r="I122" s="1">
        <v>6.5000000000000003E-10</v>
      </c>
      <c r="J122">
        <v>7260</v>
      </c>
      <c r="K122" s="1">
        <v>2.7200000000000001E-9</v>
      </c>
      <c r="L122">
        <v>8650</v>
      </c>
      <c r="M122" s="1">
        <v>3.2399999999999999E-12</v>
      </c>
      <c r="N122">
        <v>7580</v>
      </c>
      <c r="O122" s="1">
        <v>3.3899999999999999E-12</v>
      </c>
      <c r="P122">
        <v>8580</v>
      </c>
    </row>
    <row r="123" spans="1:18" x14ac:dyDescent="0.25">
      <c r="A123" t="s">
        <v>370</v>
      </c>
      <c r="B123" t="str">
        <f>"42532-60-5"</f>
        <v>42532-60-5</v>
      </c>
      <c r="D123" t="s">
        <v>371</v>
      </c>
      <c r="E123">
        <v>34.5</v>
      </c>
      <c r="F123">
        <v>0.248</v>
      </c>
      <c r="G123" s="1">
        <v>1.11E-10</v>
      </c>
      <c r="H123">
        <v>4580</v>
      </c>
      <c r="I123" s="1">
        <v>2.4599999999999998E-10</v>
      </c>
      <c r="J123">
        <v>2750</v>
      </c>
      <c r="K123" s="1">
        <v>2.6200000000000003E-10</v>
      </c>
      <c r="L123">
        <v>835</v>
      </c>
      <c r="M123" s="1">
        <v>1.09E-12</v>
      </c>
      <c r="N123">
        <v>2560</v>
      </c>
      <c r="O123" s="1">
        <v>4.3099999999999998E-13</v>
      </c>
      <c r="P123">
        <v>1090</v>
      </c>
    </row>
    <row r="124" spans="1:18" x14ac:dyDescent="0.25">
      <c r="A124" t="s">
        <v>372</v>
      </c>
      <c r="B124" t="str">
        <f>"2551-62-4"</f>
        <v>2551-62-4</v>
      </c>
      <c r="D124" t="s">
        <v>27</v>
      </c>
      <c r="E124">
        <v>3200</v>
      </c>
      <c r="F124">
        <v>0.56699999999999995</v>
      </c>
      <c r="G124" s="1">
        <v>4.4500000000000001E-10</v>
      </c>
      <c r="H124">
        <v>18300</v>
      </c>
      <c r="I124" s="1">
        <v>2.2499999999999999E-9</v>
      </c>
      <c r="J124">
        <v>25200</v>
      </c>
      <c r="K124" s="1">
        <v>1.07E-8</v>
      </c>
      <c r="L124">
        <v>34100</v>
      </c>
      <c r="M124" s="1">
        <v>1.1200000000000001E-11</v>
      </c>
      <c r="N124">
        <v>26200</v>
      </c>
      <c r="O124" s="1">
        <v>1.2100000000000001E-11</v>
      </c>
      <c r="P124">
        <v>30600</v>
      </c>
    </row>
    <row r="125" spans="1:18" x14ac:dyDescent="0.25">
      <c r="A125" t="s">
        <v>373</v>
      </c>
      <c r="B125" t="str">
        <f>"373-80-8"</f>
        <v>373-80-8</v>
      </c>
      <c r="D125" t="s">
        <v>33</v>
      </c>
      <c r="E125">
        <v>800</v>
      </c>
      <c r="F125">
        <v>0.58499999999999996</v>
      </c>
      <c r="G125" s="1">
        <v>3.3900000000000002E-10</v>
      </c>
      <c r="H125">
        <v>13900</v>
      </c>
      <c r="I125" s="1">
        <v>1.6500000000000001E-9</v>
      </c>
      <c r="J125">
        <v>18500</v>
      </c>
      <c r="K125" s="1">
        <v>6.6100000000000001E-9</v>
      </c>
      <c r="L125">
        <v>21100</v>
      </c>
      <c r="M125" s="1">
        <v>8.2699999999999993E-12</v>
      </c>
      <c r="N125">
        <v>19300</v>
      </c>
      <c r="O125" s="1">
        <v>8.5400000000000004E-12</v>
      </c>
      <c r="P125">
        <v>21600</v>
      </c>
    </row>
    <row r="126" spans="1:18" x14ac:dyDescent="0.25">
      <c r="A126" t="s">
        <v>374</v>
      </c>
      <c r="B126" t="str">
        <f>"2699-79-8"</f>
        <v>2699-79-8</v>
      </c>
      <c r="D126" t="s">
        <v>26</v>
      </c>
      <c r="E126">
        <v>36</v>
      </c>
      <c r="F126">
        <v>0.21099999999999999</v>
      </c>
      <c r="G126" s="1">
        <v>1.8299999999999999E-10</v>
      </c>
      <c r="H126">
        <v>7510</v>
      </c>
      <c r="I126" s="1">
        <v>4.1400000000000002E-10</v>
      </c>
      <c r="J126">
        <v>4630</v>
      </c>
      <c r="K126" s="1">
        <v>4.4400000000000002E-10</v>
      </c>
      <c r="L126">
        <v>1410</v>
      </c>
      <c r="M126" s="1">
        <v>1.8699999999999999E-12</v>
      </c>
      <c r="N126">
        <v>4360</v>
      </c>
      <c r="O126" s="1">
        <v>7.5600000000000001E-13</v>
      </c>
      <c r="P126">
        <v>1920</v>
      </c>
    </row>
    <row r="127" spans="1:18" x14ac:dyDescent="0.25">
      <c r="A127" t="s">
        <v>375</v>
      </c>
      <c r="B127" t="str">
        <f>"75-73-0"</f>
        <v>75-73-0</v>
      </c>
      <c r="C127" t="s">
        <v>376</v>
      </c>
      <c r="D127" t="s">
        <v>29</v>
      </c>
      <c r="E127">
        <v>50000</v>
      </c>
      <c r="F127">
        <v>9.9000000000000005E-2</v>
      </c>
      <c r="G127" s="1">
        <v>1.2899999999999999E-10</v>
      </c>
      <c r="H127">
        <v>5300</v>
      </c>
      <c r="I127" s="1">
        <v>6.6E-10</v>
      </c>
      <c r="J127">
        <v>7380</v>
      </c>
      <c r="K127" s="1">
        <v>3.3200000000000001E-9</v>
      </c>
      <c r="L127">
        <v>10600</v>
      </c>
      <c r="M127" s="1">
        <v>3.2800000000000002E-12</v>
      </c>
      <c r="N127">
        <v>7660</v>
      </c>
      <c r="O127" s="1">
        <v>3.5699999999999999E-12</v>
      </c>
      <c r="P127">
        <v>9050</v>
      </c>
    </row>
    <row r="128" spans="1:18" x14ac:dyDescent="0.25">
      <c r="A128" t="s">
        <v>377</v>
      </c>
      <c r="B128" t="str">
        <f>"76-16-4"</f>
        <v>76-16-4</v>
      </c>
      <c r="C128" t="s">
        <v>378</v>
      </c>
      <c r="D128" t="s">
        <v>30</v>
      </c>
      <c r="E128">
        <v>10000</v>
      </c>
      <c r="F128">
        <v>0.26100000000000001</v>
      </c>
      <c r="G128" s="1">
        <v>2.18E-10</v>
      </c>
      <c r="H128">
        <v>8940</v>
      </c>
      <c r="I128" s="1">
        <v>1.1100000000000001E-9</v>
      </c>
      <c r="J128">
        <v>12400</v>
      </c>
      <c r="K128" s="1">
        <v>5.4999999999999996E-9</v>
      </c>
      <c r="L128">
        <v>17500</v>
      </c>
      <c r="M128" s="1">
        <v>5.5099999999999997E-12</v>
      </c>
      <c r="N128">
        <v>12900</v>
      </c>
      <c r="O128" s="1">
        <v>5.9900000000000001E-12</v>
      </c>
      <c r="P128">
        <v>15200</v>
      </c>
    </row>
    <row r="129" spans="1:18" x14ac:dyDescent="0.25">
      <c r="A129" t="s">
        <v>379</v>
      </c>
      <c r="B129" t="str">
        <f>"76-19-7"</f>
        <v>76-19-7</v>
      </c>
      <c r="C129" t="s">
        <v>380</v>
      </c>
      <c r="D129" t="s">
        <v>31</v>
      </c>
      <c r="E129">
        <v>2600</v>
      </c>
      <c r="F129">
        <v>0.27</v>
      </c>
      <c r="G129" s="1">
        <v>1.65E-10</v>
      </c>
      <c r="H129">
        <v>6770</v>
      </c>
      <c r="I129" s="1">
        <v>8.3100000000000003E-10</v>
      </c>
      <c r="J129">
        <v>9290</v>
      </c>
      <c r="K129" s="1">
        <v>3.8899999999999996E-9</v>
      </c>
      <c r="L129">
        <v>12400</v>
      </c>
      <c r="M129" s="1">
        <v>4.1300000000000004E-12</v>
      </c>
      <c r="N129">
        <v>9660</v>
      </c>
      <c r="O129" s="1">
        <v>4.4399999999999997E-12</v>
      </c>
      <c r="P129">
        <v>11200</v>
      </c>
    </row>
    <row r="130" spans="1:18" x14ac:dyDescent="0.25">
      <c r="A130" t="s">
        <v>381</v>
      </c>
      <c r="B130" t="str">
        <f>"697-11-0"</f>
        <v>697-11-0</v>
      </c>
      <c r="D130" t="s">
        <v>382</v>
      </c>
      <c r="E130">
        <v>1.02</v>
      </c>
      <c r="F130">
        <v>0.3</v>
      </c>
      <c r="G130" s="1">
        <v>1.1000000000000001E-11</v>
      </c>
      <c r="H130">
        <v>453</v>
      </c>
      <c r="I130" s="1">
        <v>1.1300000000000001E-11</v>
      </c>
      <c r="J130">
        <v>126</v>
      </c>
      <c r="K130" s="1">
        <v>1.1300000000000001E-11</v>
      </c>
      <c r="L130">
        <v>35.9</v>
      </c>
      <c r="M130" s="1">
        <v>1.19E-14</v>
      </c>
      <c r="N130">
        <v>27.8</v>
      </c>
      <c r="O130" s="1">
        <v>8.98E-15</v>
      </c>
      <c r="P130">
        <v>22.8</v>
      </c>
      <c r="Q130">
        <v>12900</v>
      </c>
      <c r="R130">
        <v>15300</v>
      </c>
    </row>
    <row r="131" spans="1:18" x14ac:dyDescent="0.25">
      <c r="A131" t="s">
        <v>383</v>
      </c>
      <c r="B131" t="str">
        <f>"115-25-3"</f>
        <v>115-25-3</v>
      </c>
      <c r="C131" t="s">
        <v>384</v>
      </c>
      <c r="D131" t="s">
        <v>385</v>
      </c>
      <c r="E131">
        <v>3200</v>
      </c>
      <c r="F131">
        <v>0.314</v>
      </c>
      <c r="G131" s="1">
        <v>1.8E-10</v>
      </c>
      <c r="H131">
        <v>7400</v>
      </c>
      <c r="I131" s="1">
        <v>9.1199999999999995E-10</v>
      </c>
      <c r="J131">
        <v>10200</v>
      </c>
      <c r="K131" s="1">
        <v>4.3299999999999997E-9</v>
      </c>
      <c r="L131">
        <v>13800</v>
      </c>
      <c r="M131" s="1">
        <v>4.5300000000000003E-12</v>
      </c>
      <c r="N131">
        <v>10600</v>
      </c>
      <c r="O131" s="1">
        <v>4.8800000000000002E-12</v>
      </c>
      <c r="P131">
        <v>12400</v>
      </c>
    </row>
    <row r="132" spans="1:18" x14ac:dyDescent="0.25">
      <c r="A132" t="s">
        <v>386</v>
      </c>
      <c r="B132" t="str">
        <f>"355-25-9"</f>
        <v>355-25-9</v>
      </c>
      <c r="C132" t="s">
        <v>387</v>
      </c>
      <c r="D132" t="s">
        <v>388</v>
      </c>
      <c r="E132">
        <v>2600</v>
      </c>
      <c r="F132">
        <v>0.36899999999999999</v>
      </c>
      <c r="G132" s="1">
        <v>1.7800000000000001E-10</v>
      </c>
      <c r="H132">
        <v>7300</v>
      </c>
      <c r="I132" s="1">
        <v>8.97E-10</v>
      </c>
      <c r="J132">
        <v>10000</v>
      </c>
      <c r="K132" s="1">
        <v>4.2000000000000004E-9</v>
      </c>
      <c r="L132">
        <v>13400</v>
      </c>
      <c r="M132" s="1">
        <v>4.46E-12</v>
      </c>
      <c r="N132">
        <v>10400</v>
      </c>
      <c r="O132" s="1">
        <v>4.7800000000000002E-12</v>
      </c>
      <c r="P132">
        <v>12100</v>
      </c>
    </row>
    <row r="133" spans="1:18" x14ac:dyDescent="0.25">
      <c r="A133" t="s">
        <v>389</v>
      </c>
      <c r="B133" t="str">
        <f>"559-40-0"</f>
        <v>559-40-0</v>
      </c>
      <c r="D133" t="s">
        <v>390</v>
      </c>
      <c r="E133">
        <v>1.1000000000000001</v>
      </c>
      <c r="F133">
        <v>0.246</v>
      </c>
      <c r="G133" s="1">
        <v>6.8399999999999999E-12</v>
      </c>
      <c r="H133">
        <v>281</v>
      </c>
      <c r="I133" s="1">
        <v>6.9799999999999997E-12</v>
      </c>
      <c r="J133">
        <v>78.099999999999994</v>
      </c>
      <c r="K133" s="1">
        <v>6.9899999999999999E-12</v>
      </c>
      <c r="L133">
        <v>22.3</v>
      </c>
      <c r="M133" s="1">
        <v>7.3900000000000006E-15</v>
      </c>
      <c r="N133">
        <v>17.3</v>
      </c>
      <c r="O133" s="1">
        <v>5.5700000000000002E-15</v>
      </c>
      <c r="P133">
        <v>14.1</v>
      </c>
      <c r="Q133">
        <v>8000</v>
      </c>
      <c r="R133">
        <v>9470</v>
      </c>
    </row>
    <row r="134" spans="1:18" x14ac:dyDescent="0.25">
      <c r="A134" t="s">
        <v>391</v>
      </c>
      <c r="B134" t="str">
        <f>"678-26-2"</f>
        <v>678-26-2</v>
      </c>
      <c r="C134" t="s">
        <v>392</v>
      </c>
      <c r="D134" t="s">
        <v>393</v>
      </c>
      <c r="E134">
        <v>4100</v>
      </c>
      <c r="F134">
        <v>0.40799999999999997</v>
      </c>
      <c r="G134" s="1">
        <v>1.6300000000000001E-10</v>
      </c>
      <c r="H134">
        <v>6680</v>
      </c>
      <c r="I134" s="1">
        <v>8.2500000000000005E-10</v>
      </c>
      <c r="J134">
        <v>9220</v>
      </c>
      <c r="K134" s="1">
        <v>3.9700000000000001E-9</v>
      </c>
      <c r="L134">
        <v>12700</v>
      </c>
      <c r="M134" s="1">
        <v>4.0999999999999999E-12</v>
      </c>
      <c r="N134">
        <v>9580</v>
      </c>
      <c r="O134" s="1">
        <v>4.4300000000000003E-12</v>
      </c>
      <c r="P134">
        <v>11200</v>
      </c>
    </row>
    <row r="135" spans="1:18" x14ac:dyDescent="0.25">
      <c r="A135" t="s">
        <v>394</v>
      </c>
      <c r="B135" t="str">
        <f>"355-42-0"</f>
        <v>355-42-0</v>
      </c>
      <c r="C135" t="s">
        <v>395</v>
      </c>
      <c r="D135" t="s">
        <v>396</v>
      </c>
      <c r="E135">
        <v>3100</v>
      </c>
      <c r="F135">
        <v>0.44900000000000001</v>
      </c>
      <c r="G135" s="1">
        <v>1.5199999999999999E-10</v>
      </c>
      <c r="H135">
        <v>6260</v>
      </c>
      <c r="I135" s="1">
        <v>7.7100000000000003E-10</v>
      </c>
      <c r="J135">
        <v>8620</v>
      </c>
      <c r="K135" s="1">
        <v>3.6600000000000002E-9</v>
      </c>
      <c r="L135">
        <v>11600</v>
      </c>
      <c r="M135" s="1">
        <v>3.8299999999999996E-12</v>
      </c>
      <c r="N135">
        <v>8960</v>
      </c>
      <c r="O135" s="1">
        <v>4.1200000000000002E-12</v>
      </c>
      <c r="P135">
        <v>10500</v>
      </c>
    </row>
    <row r="136" spans="1:18" x14ac:dyDescent="0.25">
      <c r="A136" t="s">
        <v>397</v>
      </c>
      <c r="B136" t="str">
        <f>"335-57-9"</f>
        <v>335-57-9</v>
      </c>
      <c r="C136" t="s">
        <v>398</v>
      </c>
      <c r="D136" t="s">
        <v>399</v>
      </c>
      <c r="E136">
        <v>3000</v>
      </c>
      <c r="F136">
        <v>0.503</v>
      </c>
      <c r="G136" s="1">
        <v>1.49E-10</v>
      </c>
      <c r="H136">
        <v>6120</v>
      </c>
      <c r="I136" s="1">
        <v>7.5199999999999999E-10</v>
      </c>
      <c r="J136">
        <v>8410</v>
      </c>
      <c r="K136" s="1">
        <v>3.5600000000000001E-9</v>
      </c>
      <c r="L136">
        <v>11300</v>
      </c>
      <c r="M136" s="1">
        <v>3.7399999999999998E-12</v>
      </c>
      <c r="N136">
        <v>8740</v>
      </c>
      <c r="O136" s="1">
        <v>4.0200000000000002E-12</v>
      </c>
      <c r="P136">
        <v>10200</v>
      </c>
    </row>
    <row r="137" spans="1:18" x14ac:dyDescent="0.25">
      <c r="A137" t="s">
        <v>400</v>
      </c>
      <c r="B137" t="str">
        <f>"307-34-6"</f>
        <v>307-34-6</v>
      </c>
      <c r="C137" t="s">
        <v>401</v>
      </c>
      <c r="D137" t="s">
        <v>402</v>
      </c>
      <c r="E137">
        <v>3000</v>
      </c>
      <c r="F137">
        <v>0.55800000000000005</v>
      </c>
      <c r="G137" s="1">
        <v>1.4600000000000001E-10</v>
      </c>
      <c r="H137">
        <v>6010</v>
      </c>
      <c r="I137" s="1">
        <v>7.3900000000000003E-10</v>
      </c>
      <c r="J137">
        <v>8260</v>
      </c>
      <c r="K137" s="1">
        <v>3.4999999999999999E-9</v>
      </c>
      <c r="L137">
        <v>11100</v>
      </c>
      <c r="M137" s="1">
        <v>3.6700000000000003E-12</v>
      </c>
      <c r="N137">
        <v>8590</v>
      </c>
      <c r="O137" s="1">
        <v>3.9499999999999999E-12</v>
      </c>
      <c r="P137">
        <v>10000</v>
      </c>
    </row>
    <row r="138" spans="1:18" x14ac:dyDescent="0.25">
      <c r="A138" t="s">
        <v>403</v>
      </c>
      <c r="B138" t="str">
        <f>"306-94-5"</f>
        <v>306-94-5</v>
      </c>
      <c r="C138" t="s">
        <v>404</v>
      </c>
      <c r="D138" t="s">
        <v>32</v>
      </c>
      <c r="E138">
        <v>2000</v>
      </c>
      <c r="F138">
        <v>0.53700000000000003</v>
      </c>
      <c r="G138" s="1">
        <v>1.3300000000000001E-10</v>
      </c>
      <c r="H138">
        <v>5480</v>
      </c>
      <c r="I138" s="1">
        <v>6.6899999999999996E-10</v>
      </c>
      <c r="J138">
        <v>7480</v>
      </c>
      <c r="K138" s="1">
        <v>3.0699999999999999E-9</v>
      </c>
      <c r="L138">
        <v>9780</v>
      </c>
      <c r="M138" s="1">
        <v>3.3300000000000001E-12</v>
      </c>
      <c r="N138">
        <v>7790</v>
      </c>
      <c r="O138" s="1">
        <v>3.5600000000000002E-12</v>
      </c>
      <c r="P138">
        <v>9010</v>
      </c>
    </row>
    <row r="139" spans="1:18" x14ac:dyDescent="0.25">
      <c r="A139" t="s">
        <v>403</v>
      </c>
      <c r="B139" t="str">
        <f>"60433-11-6"</f>
        <v>60433-11-6</v>
      </c>
      <c r="D139" t="s">
        <v>405</v>
      </c>
      <c r="E139">
        <v>2000</v>
      </c>
      <c r="F139">
        <v>0.56000000000000005</v>
      </c>
      <c r="G139" s="1">
        <v>1.3900000000000001E-10</v>
      </c>
      <c r="H139">
        <v>5710</v>
      </c>
      <c r="I139" s="1">
        <v>6.9799999999999997E-10</v>
      </c>
      <c r="J139">
        <v>7800</v>
      </c>
      <c r="K139" s="1">
        <v>3.2000000000000001E-9</v>
      </c>
      <c r="L139">
        <v>10200</v>
      </c>
      <c r="M139" s="1">
        <v>3.47E-12</v>
      </c>
      <c r="N139">
        <v>8120</v>
      </c>
      <c r="O139" s="1">
        <v>3.7100000000000001E-12</v>
      </c>
      <c r="P139">
        <v>9400</v>
      </c>
    </row>
    <row r="140" spans="1:18" x14ac:dyDescent="0.25">
      <c r="A140" t="s">
        <v>403</v>
      </c>
      <c r="B140" t="str">
        <f>"60433-12-7"</f>
        <v>60433-12-7</v>
      </c>
      <c r="D140" t="s">
        <v>406</v>
      </c>
      <c r="E140">
        <v>2000</v>
      </c>
      <c r="F140">
        <v>0.51200000000000001</v>
      </c>
      <c r="G140" s="1">
        <v>1.27E-10</v>
      </c>
      <c r="H140">
        <v>5220</v>
      </c>
      <c r="I140" s="1">
        <v>6.3699999999999997E-10</v>
      </c>
      <c r="J140">
        <v>7120</v>
      </c>
      <c r="K140" s="1">
        <v>2.9199999999999998E-9</v>
      </c>
      <c r="L140">
        <v>9310</v>
      </c>
      <c r="M140" s="1">
        <v>3.17E-12</v>
      </c>
      <c r="N140">
        <v>7420</v>
      </c>
      <c r="O140" s="1">
        <v>3.3899999999999999E-12</v>
      </c>
      <c r="P140">
        <v>8580</v>
      </c>
    </row>
    <row r="141" spans="1:18" x14ac:dyDescent="0.25">
      <c r="A141" t="s">
        <v>407</v>
      </c>
      <c r="B141" t="str">
        <f>"116-14-3"</f>
        <v>116-14-3</v>
      </c>
      <c r="C141" t="s">
        <v>408</v>
      </c>
      <c r="D141" t="s">
        <v>409</v>
      </c>
      <c r="E141">
        <v>3.0000000000000001E-3</v>
      </c>
      <c r="F141">
        <v>2E-3</v>
      </c>
      <c r="G141" s="1">
        <v>3.4700000000000002E-16</v>
      </c>
      <c r="H141">
        <v>1.4E-2</v>
      </c>
      <c r="I141" s="1">
        <v>3.5399999999999998E-16</v>
      </c>
      <c r="J141">
        <v>4.0000000000000001E-3</v>
      </c>
      <c r="K141" s="1">
        <v>3.5399999999999998E-16</v>
      </c>
      <c r="L141">
        <v>1E-3</v>
      </c>
      <c r="M141" s="1">
        <v>3.7099999999999999E-19</v>
      </c>
      <c r="N141">
        <v>1E-3</v>
      </c>
      <c r="O141" s="1">
        <v>2.8099999999999999E-19</v>
      </c>
      <c r="P141">
        <v>1E-3</v>
      </c>
      <c r="Q141">
        <v>0.40600000000000003</v>
      </c>
      <c r="R141">
        <v>0.48099999999999998</v>
      </c>
    </row>
    <row r="142" spans="1:18" x14ac:dyDescent="0.25">
      <c r="A142" t="s">
        <v>410</v>
      </c>
      <c r="B142" t="str">
        <f>"116-15-4"</f>
        <v>116-15-4</v>
      </c>
      <c r="C142" t="s">
        <v>411</v>
      </c>
      <c r="D142" t="s">
        <v>412</v>
      </c>
      <c r="E142">
        <v>1.4999999999999999E-2</v>
      </c>
      <c r="F142">
        <v>1.2999999999999999E-2</v>
      </c>
      <c r="G142" s="1">
        <v>7.8800000000000002E-15</v>
      </c>
      <c r="H142">
        <v>0.32400000000000001</v>
      </c>
      <c r="I142" s="1">
        <v>8.0399999999999997E-15</v>
      </c>
      <c r="J142">
        <v>0.09</v>
      </c>
      <c r="K142" s="1">
        <v>8.0399999999999997E-15</v>
      </c>
      <c r="L142">
        <v>2.5999999999999999E-2</v>
      </c>
      <c r="M142" s="1">
        <v>8.4199999999999999E-18</v>
      </c>
      <c r="N142">
        <v>0.02</v>
      </c>
      <c r="O142" s="1">
        <v>6.3899999999999999E-18</v>
      </c>
      <c r="P142">
        <v>1.6E-2</v>
      </c>
      <c r="Q142">
        <v>9.23</v>
      </c>
      <c r="R142">
        <v>10.9</v>
      </c>
    </row>
    <row r="143" spans="1:18" x14ac:dyDescent="0.25">
      <c r="A143" t="s">
        <v>413</v>
      </c>
      <c r="B143" t="str">
        <f>"685-63-2"</f>
        <v>685-63-2</v>
      </c>
      <c r="D143" t="s">
        <v>414</v>
      </c>
      <c r="E143">
        <v>3.0000000000000001E-3</v>
      </c>
      <c r="F143">
        <v>3.0000000000000001E-3</v>
      </c>
      <c r="G143" s="1">
        <v>3.4700000000000002E-16</v>
      </c>
      <c r="H143">
        <v>1.4E-2</v>
      </c>
      <c r="I143" s="1">
        <v>3.5399999999999998E-16</v>
      </c>
      <c r="J143">
        <v>4.0000000000000001E-3</v>
      </c>
      <c r="K143" s="1">
        <v>3.5399999999999998E-16</v>
      </c>
      <c r="L143">
        <v>1E-3</v>
      </c>
      <c r="M143" s="1">
        <v>3.7099999999999999E-19</v>
      </c>
      <c r="N143">
        <v>1E-3</v>
      </c>
      <c r="O143" s="1">
        <v>2.8200000000000002E-19</v>
      </c>
      <c r="P143">
        <v>1E-3</v>
      </c>
      <c r="Q143">
        <v>0.40699999999999997</v>
      </c>
      <c r="R143">
        <v>0.48099999999999998</v>
      </c>
    </row>
    <row r="144" spans="1:18" x14ac:dyDescent="0.25">
      <c r="A144" t="s">
        <v>415</v>
      </c>
      <c r="B144" t="str">
        <f>"357-26-6"</f>
        <v>357-26-6</v>
      </c>
      <c r="D144" t="s">
        <v>416</v>
      </c>
      <c r="E144">
        <v>1.6E-2</v>
      </c>
      <c r="F144">
        <v>1.9E-2</v>
      </c>
      <c r="G144" s="1">
        <v>8.91E-15</v>
      </c>
      <c r="H144">
        <v>0.36599999999999999</v>
      </c>
      <c r="I144" s="1">
        <v>9.0900000000000006E-15</v>
      </c>
      <c r="J144">
        <v>0.10199999999999999</v>
      </c>
      <c r="K144" s="1">
        <v>9.0900000000000006E-15</v>
      </c>
      <c r="L144">
        <v>2.9000000000000001E-2</v>
      </c>
      <c r="M144" s="1">
        <v>9.5200000000000002E-18</v>
      </c>
      <c r="N144">
        <v>2.1999999999999999E-2</v>
      </c>
      <c r="O144" s="1">
        <v>7.2200000000000001E-18</v>
      </c>
      <c r="P144">
        <v>1.7999999999999999E-2</v>
      </c>
      <c r="Q144">
        <v>10.4</v>
      </c>
      <c r="R144">
        <v>12.3</v>
      </c>
    </row>
    <row r="145" spans="1:18" x14ac:dyDescent="0.25">
      <c r="A145" t="s">
        <v>417</v>
      </c>
      <c r="B145" t="str">
        <f>"360-89-4"</f>
        <v>360-89-4</v>
      </c>
      <c r="D145" t="s">
        <v>418</v>
      </c>
      <c r="E145">
        <v>8.5000000000000006E-2</v>
      </c>
      <c r="F145">
        <v>7.0000000000000007E-2</v>
      </c>
      <c r="G145" s="1">
        <v>1.7299999999999999E-13</v>
      </c>
      <c r="H145">
        <v>7.1</v>
      </c>
      <c r="I145" s="1">
        <v>1.7600000000000001E-13</v>
      </c>
      <c r="J145">
        <v>1.97</v>
      </c>
      <c r="K145" s="1">
        <v>1.7600000000000001E-13</v>
      </c>
      <c r="L145">
        <v>0.56200000000000006</v>
      </c>
      <c r="M145" s="1">
        <v>1.85E-16</v>
      </c>
      <c r="N145">
        <v>0.432</v>
      </c>
      <c r="O145" s="1">
        <v>1.4000000000000001E-16</v>
      </c>
      <c r="P145">
        <v>0.35499999999999998</v>
      </c>
      <c r="Q145">
        <v>202</v>
      </c>
      <c r="R145">
        <v>239</v>
      </c>
    </row>
    <row r="146" spans="1:18" x14ac:dyDescent="0.25">
      <c r="A146" t="s">
        <v>419</v>
      </c>
      <c r="B146" t="str">
        <f>"3822-68-2"</f>
        <v>3822-68-2</v>
      </c>
      <c r="C146" t="s">
        <v>420</v>
      </c>
      <c r="D146" t="s">
        <v>421</v>
      </c>
      <c r="E146">
        <v>135</v>
      </c>
      <c r="F146">
        <v>0.41699999999999998</v>
      </c>
      <c r="G146" s="1">
        <v>3.28E-10</v>
      </c>
      <c r="H146">
        <v>13500</v>
      </c>
      <c r="I146" s="1">
        <v>1.2799999999999999E-9</v>
      </c>
      <c r="J146">
        <v>14300</v>
      </c>
      <c r="K146" s="1">
        <v>2.4100000000000002E-9</v>
      </c>
      <c r="L146">
        <v>7680</v>
      </c>
      <c r="M146" s="1">
        <v>6.5000000000000002E-12</v>
      </c>
      <c r="N146">
        <v>15200</v>
      </c>
      <c r="O146" s="1">
        <v>5.17E-12</v>
      </c>
      <c r="P146">
        <v>13100</v>
      </c>
    </row>
    <row r="147" spans="1:18" x14ac:dyDescent="0.25">
      <c r="A147" t="s">
        <v>422</v>
      </c>
      <c r="B147" t="str">
        <f>"1691-17-4"</f>
        <v>1691-17-4</v>
      </c>
      <c r="C147" t="s">
        <v>423</v>
      </c>
      <c r="D147" t="s">
        <v>424</v>
      </c>
      <c r="E147">
        <v>26.9</v>
      </c>
      <c r="F147">
        <v>0.44900000000000001</v>
      </c>
      <c r="G147" s="1">
        <v>3.1000000000000002E-10</v>
      </c>
      <c r="H147">
        <v>12700</v>
      </c>
      <c r="I147" s="1">
        <v>5.9300000000000002E-10</v>
      </c>
      <c r="J147">
        <v>6630</v>
      </c>
      <c r="K147" s="1">
        <v>6.0999999999999996E-10</v>
      </c>
      <c r="L147">
        <v>1940</v>
      </c>
      <c r="M147" s="1">
        <v>2.3700000000000002E-12</v>
      </c>
      <c r="N147">
        <v>5530</v>
      </c>
      <c r="O147" s="1">
        <v>8.1399999999999996E-13</v>
      </c>
      <c r="P147">
        <v>2060</v>
      </c>
    </row>
    <row r="148" spans="1:18" x14ac:dyDescent="0.25">
      <c r="A148" t="s">
        <v>425</v>
      </c>
      <c r="B148" t="str">
        <f>"421-14-7"</f>
        <v>421-14-7</v>
      </c>
      <c r="C148" t="s">
        <v>426</v>
      </c>
      <c r="D148" t="s">
        <v>427</v>
      </c>
      <c r="E148">
        <v>4.9000000000000004</v>
      </c>
      <c r="F148">
        <v>0.189</v>
      </c>
      <c r="G148" s="1">
        <v>5.2800000000000001E-11</v>
      </c>
      <c r="H148">
        <v>2170</v>
      </c>
      <c r="I148" s="1">
        <v>5.5100000000000002E-11</v>
      </c>
      <c r="J148">
        <v>616</v>
      </c>
      <c r="K148" s="1">
        <v>5.5100000000000002E-11</v>
      </c>
      <c r="L148">
        <v>176</v>
      </c>
      <c r="M148" s="1">
        <v>6.11E-14</v>
      </c>
      <c r="N148">
        <v>143</v>
      </c>
      <c r="O148" s="1">
        <v>4.4700000000000001E-14</v>
      </c>
      <c r="P148">
        <v>113</v>
      </c>
      <c r="Q148">
        <v>62600</v>
      </c>
      <c r="R148">
        <v>74300</v>
      </c>
    </row>
    <row r="149" spans="1:18" x14ac:dyDescent="0.25">
      <c r="A149" t="s">
        <v>428</v>
      </c>
      <c r="B149" t="str">
        <f>"2356-62-9"</f>
        <v>2356-62-9</v>
      </c>
      <c r="C149" t="s">
        <v>429</v>
      </c>
      <c r="D149" t="s">
        <v>430</v>
      </c>
      <c r="E149">
        <v>54.8</v>
      </c>
      <c r="F149">
        <v>0.45900000000000002</v>
      </c>
      <c r="G149" s="1">
        <v>2.3800000000000001E-10</v>
      </c>
      <c r="H149">
        <v>9800</v>
      </c>
      <c r="I149" s="1">
        <v>6.7299999999999995E-10</v>
      </c>
      <c r="J149">
        <v>7520</v>
      </c>
      <c r="K149" s="1">
        <v>8.07E-10</v>
      </c>
      <c r="L149">
        <v>2570</v>
      </c>
      <c r="M149" s="1">
        <v>3.3000000000000001E-12</v>
      </c>
      <c r="N149">
        <v>7720</v>
      </c>
      <c r="O149" s="1">
        <v>1.75E-12</v>
      </c>
      <c r="P149">
        <v>4440</v>
      </c>
    </row>
    <row r="150" spans="1:18" x14ac:dyDescent="0.25">
      <c r="A150" t="s">
        <v>431</v>
      </c>
      <c r="B150" t="str">
        <f>"13838-16-9"</f>
        <v>13838-16-9</v>
      </c>
      <c r="C150" t="s">
        <v>432</v>
      </c>
      <c r="D150" t="s">
        <v>433</v>
      </c>
      <c r="E150">
        <v>4.42</v>
      </c>
      <c r="F150">
        <v>0.40899999999999997</v>
      </c>
      <c r="G150" s="1">
        <v>5.64E-11</v>
      </c>
      <c r="H150">
        <v>2320</v>
      </c>
      <c r="I150" s="1">
        <v>5.8500000000000005E-11</v>
      </c>
      <c r="J150">
        <v>654</v>
      </c>
      <c r="K150" s="1">
        <v>5.8500000000000005E-11</v>
      </c>
      <c r="L150">
        <v>186</v>
      </c>
      <c r="M150" s="1">
        <v>6.4199999999999994E-14</v>
      </c>
      <c r="N150">
        <v>150</v>
      </c>
      <c r="O150" s="1">
        <v>4.7299999999999998E-14</v>
      </c>
      <c r="P150">
        <v>120</v>
      </c>
      <c r="Q150">
        <v>66500</v>
      </c>
      <c r="R150">
        <v>78900</v>
      </c>
    </row>
    <row r="151" spans="1:18" x14ac:dyDescent="0.25">
      <c r="A151" t="s">
        <v>434</v>
      </c>
      <c r="B151" t="str">
        <f>"26675-46-7"</f>
        <v>26675-46-7</v>
      </c>
      <c r="C151" t="s">
        <v>435</v>
      </c>
      <c r="D151" t="s">
        <v>436</v>
      </c>
      <c r="E151">
        <v>3.5</v>
      </c>
      <c r="F151">
        <v>0.42599999999999999</v>
      </c>
      <c r="G151" s="1">
        <v>4.6900000000000001E-11</v>
      </c>
      <c r="H151">
        <v>1930</v>
      </c>
      <c r="I151" s="1">
        <v>4.8199999999999999E-11</v>
      </c>
      <c r="J151">
        <v>539</v>
      </c>
      <c r="K151" s="1">
        <v>4.8199999999999999E-11</v>
      </c>
      <c r="L151">
        <v>154</v>
      </c>
      <c r="M151" s="1">
        <v>5.2200000000000001E-14</v>
      </c>
      <c r="N151">
        <v>122</v>
      </c>
      <c r="O151" s="1">
        <v>3.8800000000000003E-14</v>
      </c>
      <c r="P151">
        <v>98.4</v>
      </c>
      <c r="Q151">
        <v>54900</v>
      </c>
      <c r="R151">
        <v>65100</v>
      </c>
    </row>
    <row r="152" spans="1:18" x14ac:dyDescent="0.25">
      <c r="A152" t="s">
        <v>437</v>
      </c>
      <c r="B152" t="str">
        <f>"57041-67-5"</f>
        <v>57041-67-5</v>
      </c>
      <c r="C152" t="s">
        <v>438</v>
      </c>
      <c r="D152" t="s">
        <v>439</v>
      </c>
      <c r="E152">
        <v>14.1</v>
      </c>
      <c r="F152">
        <v>0.46400000000000002</v>
      </c>
      <c r="G152" s="1">
        <v>1.71E-10</v>
      </c>
      <c r="H152">
        <v>7020</v>
      </c>
      <c r="I152" s="1">
        <v>2.32E-10</v>
      </c>
      <c r="J152">
        <v>2590</v>
      </c>
      <c r="K152" s="1">
        <v>2.3300000000000002E-10</v>
      </c>
      <c r="L152">
        <v>741</v>
      </c>
      <c r="M152" s="1">
        <v>5.3700000000000003E-13</v>
      </c>
      <c r="N152">
        <v>1260</v>
      </c>
      <c r="O152" s="1">
        <v>2.0600000000000001E-13</v>
      </c>
      <c r="P152">
        <v>521</v>
      </c>
      <c r="Q152">
        <v>249000</v>
      </c>
      <c r="R152">
        <v>308000</v>
      </c>
    </row>
    <row r="153" spans="1:18" x14ac:dyDescent="0.25">
      <c r="A153" t="s">
        <v>440</v>
      </c>
      <c r="B153" t="str">
        <f>"20193-67-3"</f>
        <v>20193-67-3</v>
      </c>
      <c r="C153" t="s">
        <v>441</v>
      </c>
      <c r="D153" t="s">
        <v>442</v>
      </c>
      <c r="E153">
        <v>7.5</v>
      </c>
      <c r="F153">
        <v>0.371</v>
      </c>
      <c r="G153" s="1">
        <v>8.9399999999999996E-11</v>
      </c>
      <c r="H153">
        <v>3670</v>
      </c>
      <c r="I153" s="1">
        <v>9.8700000000000006E-11</v>
      </c>
      <c r="J153">
        <v>1100</v>
      </c>
      <c r="K153" s="1">
        <v>9.8799999999999997E-11</v>
      </c>
      <c r="L153">
        <v>315</v>
      </c>
      <c r="M153" s="1">
        <v>1.25E-13</v>
      </c>
      <c r="N153">
        <v>291</v>
      </c>
      <c r="O153" s="1">
        <v>8.1100000000000003E-14</v>
      </c>
      <c r="P153">
        <v>205</v>
      </c>
      <c r="Q153">
        <v>111000</v>
      </c>
      <c r="R153">
        <v>133000</v>
      </c>
    </row>
    <row r="154" spans="1:18" x14ac:dyDescent="0.25">
      <c r="A154" t="s">
        <v>443</v>
      </c>
      <c r="B154" t="str">
        <f>"22410-44-2"</f>
        <v>22410-44-2</v>
      </c>
      <c r="C154" t="s">
        <v>444</v>
      </c>
      <c r="D154" t="s">
        <v>445</v>
      </c>
      <c r="E154">
        <v>5</v>
      </c>
      <c r="F154">
        <v>0.33600000000000002</v>
      </c>
      <c r="G154" s="1">
        <v>6.3999999999999999E-11</v>
      </c>
      <c r="H154">
        <v>2630</v>
      </c>
      <c r="I154" s="1">
        <v>6.6899999999999996E-11</v>
      </c>
      <c r="J154">
        <v>747</v>
      </c>
      <c r="K154" s="1">
        <v>6.6899999999999996E-11</v>
      </c>
      <c r="L154">
        <v>213</v>
      </c>
      <c r="M154" s="1">
        <v>7.4299999999999996E-14</v>
      </c>
      <c r="N154">
        <v>174</v>
      </c>
      <c r="O154" s="1">
        <v>5.4199999999999999E-14</v>
      </c>
      <c r="P154">
        <v>137</v>
      </c>
      <c r="Q154">
        <v>75900</v>
      </c>
      <c r="R154">
        <v>90100</v>
      </c>
    </row>
    <row r="155" spans="1:18" x14ac:dyDescent="0.25">
      <c r="A155" t="s">
        <v>446</v>
      </c>
      <c r="B155" t="str">
        <f>"84011-15-4"</f>
        <v>84011-15-4</v>
      </c>
      <c r="C155" t="s">
        <v>447</v>
      </c>
      <c r="D155" t="s">
        <v>448</v>
      </c>
      <c r="E155">
        <v>6.7</v>
      </c>
      <c r="F155">
        <v>0.314</v>
      </c>
      <c r="G155" s="1">
        <v>7.7200000000000002E-11</v>
      </c>
      <c r="H155">
        <v>3170</v>
      </c>
      <c r="I155" s="1">
        <v>8.3600000000000001E-11</v>
      </c>
      <c r="J155">
        <v>934</v>
      </c>
      <c r="K155" s="1">
        <v>8.3600000000000001E-11</v>
      </c>
      <c r="L155">
        <v>266</v>
      </c>
      <c r="M155" s="1">
        <v>9.9800000000000001E-14</v>
      </c>
      <c r="N155">
        <v>233</v>
      </c>
      <c r="O155" s="1">
        <v>6.8299999999999997E-14</v>
      </c>
      <c r="P155">
        <v>173</v>
      </c>
      <c r="Q155">
        <v>94300</v>
      </c>
      <c r="R155">
        <v>112000</v>
      </c>
    </row>
    <row r="156" spans="1:18" x14ac:dyDescent="0.25">
      <c r="A156" t="s">
        <v>449</v>
      </c>
      <c r="B156" t="str">
        <f>"1885-48-9"</f>
        <v>1885-48-9</v>
      </c>
      <c r="C156" t="s">
        <v>450</v>
      </c>
      <c r="D156" t="s">
        <v>451</v>
      </c>
      <c r="E156">
        <v>5.5</v>
      </c>
      <c r="F156">
        <v>0.36</v>
      </c>
      <c r="G156" s="1">
        <v>7.4500000000000001E-11</v>
      </c>
      <c r="H156">
        <v>3060</v>
      </c>
      <c r="I156" s="1">
        <v>7.8600000000000005E-11</v>
      </c>
      <c r="J156">
        <v>878</v>
      </c>
      <c r="K156" s="1">
        <v>7.8600000000000005E-11</v>
      </c>
      <c r="L156">
        <v>251</v>
      </c>
      <c r="M156" s="1">
        <v>8.8599999999999996E-14</v>
      </c>
      <c r="N156">
        <v>207</v>
      </c>
      <c r="O156" s="1">
        <v>6.3899999999999998E-14</v>
      </c>
      <c r="P156">
        <v>162</v>
      </c>
      <c r="Q156">
        <v>89000</v>
      </c>
      <c r="R156">
        <v>106000</v>
      </c>
    </row>
    <row r="157" spans="1:18" x14ac:dyDescent="0.25">
      <c r="A157" t="s">
        <v>452</v>
      </c>
      <c r="B157" t="str">
        <f>"422-05-9"</f>
        <v>422-05-9</v>
      </c>
      <c r="D157" t="s">
        <v>453</v>
      </c>
      <c r="E157">
        <v>0.47099999999999997</v>
      </c>
      <c r="F157">
        <v>0.16400000000000001</v>
      </c>
      <c r="G157" s="1">
        <v>3.0000000000000001E-12</v>
      </c>
      <c r="H157">
        <v>123</v>
      </c>
      <c r="I157" s="1">
        <v>3.07E-12</v>
      </c>
      <c r="J157">
        <v>34.299999999999997</v>
      </c>
      <c r="K157" s="1">
        <v>3.07E-12</v>
      </c>
      <c r="L157">
        <v>9.7799999999999994</v>
      </c>
      <c r="M157" s="1">
        <v>3.23E-15</v>
      </c>
      <c r="N157">
        <v>7.54</v>
      </c>
      <c r="O157" s="1">
        <v>2.4399999999999998E-15</v>
      </c>
      <c r="P157">
        <v>6.19</v>
      </c>
      <c r="Q157">
        <v>3520</v>
      </c>
      <c r="R157">
        <v>4160</v>
      </c>
    </row>
    <row r="158" spans="1:18" x14ac:dyDescent="0.25">
      <c r="A158" t="s">
        <v>454</v>
      </c>
      <c r="B158" t="str">
        <f>"425-88-7"</f>
        <v>425-88-7</v>
      </c>
      <c r="C158" t="s">
        <v>455</v>
      </c>
      <c r="D158" t="s">
        <v>456</v>
      </c>
      <c r="E158">
        <v>2.5</v>
      </c>
      <c r="F158">
        <v>0.26</v>
      </c>
      <c r="G158" s="1">
        <v>2.8699999999999998E-11</v>
      </c>
      <c r="H158">
        <v>1180</v>
      </c>
      <c r="I158" s="1">
        <v>2.9299999999999998E-11</v>
      </c>
      <c r="J158">
        <v>328</v>
      </c>
      <c r="K158" s="1">
        <v>2.9299999999999998E-11</v>
      </c>
      <c r="L158">
        <v>93.5</v>
      </c>
      <c r="M158" s="1">
        <v>3.1399999999999997E-14</v>
      </c>
      <c r="N158">
        <v>73.400000000000006</v>
      </c>
      <c r="O158" s="1">
        <v>2.3500000000000001E-14</v>
      </c>
      <c r="P158">
        <v>59.6</v>
      </c>
      <c r="Q158">
        <v>33500</v>
      </c>
      <c r="R158">
        <v>39700</v>
      </c>
    </row>
    <row r="159" spans="1:18" x14ac:dyDescent="0.25">
      <c r="A159" t="s">
        <v>457</v>
      </c>
      <c r="B159" t="str">
        <f>"460-43-5"</f>
        <v>460-43-5</v>
      </c>
      <c r="C159" t="s">
        <v>458</v>
      </c>
      <c r="D159" t="s">
        <v>459</v>
      </c>
      <c r="E159">
        <v>7.6999999999999999E-2</v>
      </c>
      <c r="F159">
        <v>4.5999999999999999E-2</v>
      </c>
      <c r="G159" s="1">
        <v>1.8100000000000001E-13</v>
      </c>
      <c r="H159">
        <v>7.43</v>
      </c>
      <c r="I159" s="1">
        <v>1.84E-13</v>
      </c>
      <c r="J159">
        <v>2.06</v>
      </c>
      <c r="K159" s="1">
        <v>1.84E-13</v>
      </c>
      <c r="L159">
        <v>0.58799999999999997</v>
      </c>
      <c r="M159" s="1">
        <v>1.9300000000000001E-16</v>
      </c>
      <c r="N159">
        <v>0.45200000000000001</v>
      </c>
      <c r="O159" s="1">
        <v>1.47E-16</v>
      </c>
      <c r="P159">
        <v>0.371</v>
      </c>
      <c r="Q159">
        <v>212</v>
      </c>
      <c r="R159">
        <v>250</v>
      </c>
    </row>
    <row r="160" spans="1:18" x14ac:dyDescent="0.25">
      <c r="A160" t="s">
        <v>460</v>
      </c>
      <c r="B160" t="str">
        <f>"690-22-2"</f>
        <v>690-22-2</v>
      </c>
      <c r="C160" t="s">
        <v>461</v>
      </c>
      <c r="D160" t="s">
        <v>462</v>
      </c>
      <c r="E160">
        <v>0.39700000000000002</v>
      </c>
      <c r="F160">
        <v>0.126</v>
      </c>
      <c r="G160" s="1">
        <v>2.56E-12</v>
      </c>
      <c r="H160">
        <v>105</v>
      </c>
      <c r="I160" s="1">
        <v>2.61E-12</v>
      </c>
      <c r="J160">
        <v>29.2</v>
      </c>
      <c r="K160" s="1">
        <v>2.61E-12</v>
      </c>
      <c r="L160">
        <v>8.32</v>
      </c>
      <c r="M160" s="1">
        <v>2.74E-15</v>
      </c>
      <c r="N160">
        <v>6.42</v>
      </c>
      <c r="O160" s="1">
        <v>2.0799999999999999E-15</v>
      </c>
      <c r="P160">
        <v>5.27</v>
      </c>
      <c r="Q160">
        <v>2990</v>
      </c>
      <c r="R160">
        <v>3540</v>
      </c>
    </row>
    <row r="161" spans="1:18" x14ac:dyDescent="0.25">
      <c r="A161" t="s">
        <v>463</v>
      </c>
      <c r="B161" t="str">
        <f>"2240-88-2"</f>
        <v>2240-88-2</v>
      </c>
      <c r="D161" t="s">
        <v>464</v>
      </c>
      <c r="E161">
        <v>4.1000000000000002E-2</v>
      </c>
      <c r="F161">
        <v>2.5999999999999999E-2</v>
      </c>
      <c r="G161" s="1">
        <v>5.44E-14</v>
      </c>
      <c r="H161">
        <v>2.23</v>
      </c>
      <c r="I161" s="1">
        <v>5.5499999999999997E-14</v>
      </c>
      <c r="J161">
        <v>0.62</v>
      </c>
      <c r="K161" s="1">
        <v>5.5499999999999997E-14</v>
      </c>
      <c r="L161">
        <v>0.17699999999999999</v>
      </c>
      <c r="M161" s="1">
        <v>5.8099999999999997E-17</v>
      </c>
      <c r="N161">
        <v>0.13600000000000001</v>
      </c>
      <c r="O161" s="1">
        <v>4.4099999999999998E-17</v>
      </c>
      <c r="P161">
        <v>0.112</v>
      </c>
      <c r="Q161">
        <v>63.7</v>
      </c>
      <c r="R161">
        <v>75.3</v>
      </c>
    </row>
    <row r="162" spans="1:18" x14ac:dyDescent="0.25">
      <c r="A162" t="s">
        <v>465</v>
      </c>
      <c r="B162" t="str">
        <f>"134769-21-4"</f>
        <v>134769-21-4</v>
      </c>
      <c r="C162" t="s">
        <v>466</v>
      </c>
      <c r="D162" t="s">
        <v>467</v>
      </c>
      <c r="E162">
        <v>25</v>
      </c>
      <c r="F162">
        <v>0.54500000000000004</v>
      </c>
      <c r="G162" s="1">
        <v>1.8400000000000001E-10</v>
      </c>
      <c r="H162">
        <v>7550</v>
      </c>
      <c r="I162" s="1">
        <v>3.3700000000000003E-10</v>
      </c>
      <c r="J162">
        <v>3770</v>
      </c>
      <c r="K162" s="1">
        <v>3.45E-10</v>
      </c>
      <c r="L162">
        <v>1100</v>
      </c>
      <c r="M162" s="1">
        <v>1.29E-12</v>
      </c>
      <c r="N162">
        <v>3020</v>
      </c>
      <c r="O162" s="1">
        <v>4.3199999999999998E-13</v>
      </c>
      <c r="P162">
        <v>1090</v>
      </c>
    </row>
    <row r="163" spans="1:18" x14ac:dyDescent="0.25">
      <c r="A163" t="s">
        <v>468</v>
      </c>
      <c r="B163" t="str">
        <f>"26103-08-2"</f>
        <v>26103-08-2</v>
      </c>
      <c r="C163" t="s">
        <v>469</v>
      </c>
      <c r="D163" t="s">
        <v>470</v>
      </c>
      <c r="E163">
        <v>22.3</v>
      </c>
      <c r="F163">
        <v>0.45200000000000001</v>
      </c>
      <c r="G163" s="1">
        <v>1.58E-10</v>
      </c>
      <c r="H163">
        <v>6500</v>
      </c>
      <c r="I163" s="1">
        <v>2.7199999999999999E-10</v>
      </c>
      <c r="J163">
        <v>3040</v>
      </c>
      <c r="K163" s="1">
        <v>2.7599999999999998E-10</v>
      </c>
      <c r="L163">
        <v>880</v>
      </c>
      <c r="M163" s="1">
        <v>9.6700000000000002E-13</v>
      </c>
      <c r="N163">
        <v>2260</v>
      </c>
      <c r="O163" s="1">
        <v>3.1400000000000003E-13</v>
      </c>
      <c r="P163">
        <v>797</v>
      </c>
    </row>
    <row r="164" spans="1:18" x14ac:dyDescent="0.25">
      <c r="A164" t="s">
        <v>471</v>
      </c>
      <c r="B164" t="str">
        <f>"156053-88-2"</f>
        <v>156053-88-2</v>
      </c>
      <c r="C164" t="s">
        <v>472</v>
      </c>
      <c r="D164" t="s">
        <v>473</v>
      </c>
      <c r="E164">
        <v>7.5</v>
      </c>
      <c r="F164">
        <v>0.45400000000000001</v>
      </c>
      <c r="G164" s="1">
        <v>8.4200000000000004E-11</v>
      </c>
      <c r="H164">
        <v>3460</v>
      </c>
      <c r="I164" s="1">
        <v>9.3000000000000002E-11</v>
      </c>
      <c r="J164">
        <v>1040</v>
      </c>
      <c r="K164" s="1">
        <v>9.3099999999999994E-11</v>
      </c>
      <c r="L164">
        <v>297</v>
      </c>
      <c r="M164" s="1">
        <v>1.1700000000000001E-13</v>
      </c>
      <c r="N164">
        <v>274</v>
      </c>
      <c r="O164" s="1">
        <v>7.6399999999999995E-14</v>
      </c>
      <c r="P164">
        <v>194</v>
      </c>
      <c r="Q164">
        <v>105000</v>
      </c>
      <c r="R164">
        <v>125000</v>
      </c>
    </row>
    <row r="165" spans="1:18" x14ac:dyDescent="0.25">
      <c r="A165" t="s">
        <v>474</v>
      </c>
      <c r="B165" t="str">
        <f>"28523-86-6"</f>
        <v>28523-86-6</v>
      </c>
      <c r="C165" t="s">
        <v>475</v>
      </c>
      <c r="D165" t="s">
        <v>476</v>
      </c>
      <c r="E165">
        <v>1.9</v>
      </c>
      <c r="F165">
        <v>0.308</v>
      </c>
      <c r="G165" s="1">
        <v>1.7100000000000001E-11</v>
      </c>
      <c r="H165">
        <v>702</v>
      </c>
      <c r="I165" s="1">
        <v>1.7500000000000001E-11</v>
      </c>
      <c r="J165">
        <v>195</v>
      </c>
      <c r="K165" s="1">
        <v>1.7500000000000001E-11</v>
      </c>
      <c r="L165">
        <v>55.7</v>
      </c>
      <c r="M165" s="1">
        <v>1.8600000000000001E-14</v>
      </c>
      <c r="N165">
        <v>43.5</v>
      </c>
      <c r="O165" s="1">
        <v>1.4E-14</v>
      </c>
      <c r="P165">
        <v>35.4</v>
      </c>
      <c r="Q165">
        <v>20000</v>
      </c>
      <c r="R165">
        <v>23600</v>
      </c>
    </row>
    <row r="166" spans="1:18" x14ac:dyDescent="0.25">
      <c r="A166" t="s">
        <v>477</v>
      </c>
      <c r="B166" t="str">
        <f>"375-03-1"</f>
        <v>375-03-1</v>
      </c>
      <c r="C166" t="s">
        <v>478</v>
      </c>
      <c r="D166" t="s">
        <v>479</v>
      </c>
      <c r="E166">
        <v>5.0999999999999996</v>
      </c>
      <c r="F166">
        <v>0.33900000000000002</v>
      </c>
      <c r="G166" s="1">
        <v>4.9200000000000002E-11</v>
      </c>
      <c r="H166">
        <v>2020</v>
      </c>
      <c r="I166" s="1">
        <v>5.1500000000000003E-11</v>
      </c>
      <c r="J166">
        <v>576</v>
      </c>
      <c r="K166" s="1">
        <v>5.1600000000000001E-11</v>
      </c>
      <c r="L166">
        <v>164</v>
      </c>
      <c r="M166" s="1">
        <v>5.74E-14</v>
      </c>
      <c r="N166">
        <v>134</v>
      </c>
      <c r="O166" s="1">
        <v>4.1800000000000002E-14</v>
      </c>
      <c r="P166">
        <v>106</v>
      </c>
      <c r="Q166">
        <v>58500</v>
      </c>
      <c r="R166">
        <v>69400</v>
      </c>
    </row>
    <row r="167" spans="1:18" x14ac:dyDescent="0.25">
      <c r="A167" t="s">
        <v>480</v>
      </c>
      <c r="B167" t="str">
        <f>"171182-95-9"</f>
        <v>171182-95-9</v>
      </c>
      <c r="C167" t="s">
        <v>481</v>
      </c>
      <c r="D167" t="s">
        <v>482</v>
      </c>
      <c r="E167">
        <v>6.7</v>
      </c>
      <c r="F167">
        <v>0.43099999999999999</v>
      </c>
      <c r="G167" s="1">
        <v>7.9600000000000002E-11</v>
      </c>
      <c r="H167">
        <v>3270</v>
      </c>
      <c r="I167" s="1">
        <v>8.6199999999999997E-11</v>
      </c>
      <c r="J167">
        <v>963</v>
      </c>
      <c r="K167" s="1">
        <v>8.6199999999999997E-11</v>
      </c>
      <c r="L167">
        <v>275</v>
      </c>
      <c r="M167" s="1">
        <v>1.03E-13</v>
      </c>
      <c r="N167">
        <v>241</v>
      </c>
      <c r="O167" s="1">
        <v>7.0500000000000003E-14</v>
      </c>
      <c r="P167">
        <v>179</v>
      </c>
      <c r="Q167">
        <v>97300</v>
      </c>
      <c r="R167">
        <v>116000</v>
      </c>
    </row>
    <row r="168" spans="1:18" x14ac:dyDescent="0.25">
      <c r="A168" t="s">
        <v>483</v>
      </c>
      <c r="B168" t="str">
        <f>"406-78-0"</f>
        <v>406-78-0</v>
      </c>
      <c r="C168" t="s">
        <v>484</v>
      </c>
      <c r="D168" t="s">
        <v>485</v>
      </c>
      <c r="E168">
        <v>6.1</v>
      </c>
      <c r="F168">
        <v>0.48199999999999998</v>
      </c>
      <c r="G168" s="1">
        <v>8.2100000000000006E-11</v>
      </c>
      <c r="H168">
        <v>3370</v>
      </c>
      <c r="I168" s="1">
        <v>8.76E-11</v>
      </c>
      <c r="J168">
        <v>980</v>
      </c>
      <c r="K168" s="1">
        <v>8.7700000000000005E-11</v>
      </c>
      <c r="L168">
        <v>279</v>
      </c>
      <c r="M168" s="1">
        <v>1.01E-13</v>
      </c>
      <c r="N168">
        <v>237</v>
      </c>
      <c r="O168" s="1">
        <v>7.1499999999999998E-14</v>
      </c>
      <c r="P168">
        <v>181</v>
      </c>
      <c r="Q168">
        <v>99100</v>
      </c>
      <c r="R168">
        <v>118000</v>
      </c>
    </row>
    <row r="169" spans="1:18" x14ac:dyDescent="0.25">
      <c r="A169" t="s">
        <v>486</v>
      </c>
      <c r="B169" t="str">
        <f>"22052-84-2"</f>
        <v>22052-84-2</v>
      </c>
      <c r="C169" t="s">
        <v>487</v>
      </c>
      <c r="D169" t="s">
        <v>488</v>
      </c>
      <c r="E169">
        <v>3.7</v>
      </c>
      <c r="F169">
        <v>0.318</v>
      </c>
      <c r="G169" s="1">
        <v>3.4099999999999997E-11</v>
      </c>
      <c r="H169">
        <v>1400</v>
      </c>
      <c r="I169" s="1">
        <v>3.51E-11</v>
      </c>
      <c r="J169">
        <v>392</v>
      </c>
      <c r="K169" s="1">
        <v>3.51E-11</v>
      </c>
      <c r="L169">
        <v>112</v>
      </c>
      <c r="M169" s="1">
        <v>3.8100000000000003E-14</v>
      </c>
      <c r="N169">
        <v>89</v>
      </c>
      <c r="O169" s="1">
        <v>2.83E-14</v>
      </c>
      <c r="P169">
        <v>71.8</v>
      </c>
      <c r="Q169">
        <v>40000</v>
      </c>
      <c r="R169">
        <v>47400</v>
      </c>
    </row>
    <row r="170" spans="1:18" x14ac:dyDescent="0.25">
      <c r="A170" t="s">
        <v>489</v>
      </c>
      <c r="B170" t="str">
        <f>"382-34-3"</f>
        <v>382-34-3</v>
      </c>
      <c r="C170" t="s">
        <v>490</v>
      </c>
      <c r="D170" t="s">
        <v>491</v>
      </c>
      <c r="E170">
        <v>2.5</v>
      </c>
      <c r="F170">
        <v>0.28799999999999998</v>
      </c>
      <c r="G170" s="1">
        <v>2.31E-11</v>
      </c>
      <c r="H170">
        <v>949</v>
      </c>
      <c r="I170" s="1">
        <v>2.3600000000000001E-11</v>
      </c>
      <c r="J170">
        <v>264</v>
      </c>
      <c r="K170" s="1">
        <v>2.3600000000000001E-11</v>
      </c>
      <c r="L170">
        <v>75.3</v>
      </c>
      <c r="M170" s="1">
        <v>2.53E-14</v>
      </c>
      <c r="N170">
        <v>59.2</v>
      </c>
      <c r="O170" s="1">
        <v>1.9000000000000001E-14</v>
      </c>
      <c r="P170">
        <v>48</v>
      </c>
      <c r="Q170">
        <v>27000</v>
      </c>
      <c r="R170">
        <v>32000</v>
      </c>
    </row>
    <row r="171" spans="1:18" x14ac:dyDescent="0.25">
      <c r="A171" t="s">
        <v>492</v>
      </c>
      <c r="B171" t="str">
        <f>"333-36-8"</f>
        <v>333-36-8</v>
      </c>
      <c r="C171" t="s">
        <v>493</v>
      </c>
      <c r="D171" t="s">
        <v>494</v>
      </c>
      <c r="E171">
        <v>0.35099999999999998</v>
      </c>
      <c r="F171">
        <v>0.19</v>
      </c>
      <c r="G171" s="1">
        <v>2.1400000000000002E-12</v>
      </c>
      <c r="H171">
        <v>88</v>
      </c>
      <c r="I171" s="1">
        <v>2.1900000000000002E-12</v>
      </c>
      <c r="J171">
        <v>24.4</v>
      </c>
      <c r="K171" s="1">
        <v>2.1900000000000002E-12</v>
      </c>
      <c r="L171">
        <v>6.97</v>
      </c>
      <c r="M171" s="1">
        <v>2.2999999999999999E-15</v>
      </c>
      <c r="N171">
        <v>5.37</v>
      </c>
      <c r="O171" s="1">
        <v>1.7400000000000001E-15</v>
      </c>
      <c r="P171">
        <v>4.41</v>
      </c>
      <c r="Q171">
        <v>2510</v>
      </c>
      <c r="R171">
        <v>2970</v>
      </c>
    </row>
    <row r="172" spans="1:18" x14ac:dyDescent="0.25">
      <c r="A172" t="s">
        <v>495</v>
      </c>
      <c r="B172" t="str">
        <f>"50807-77-7"</f>
        <v>50807-77-7</v>
      </c>
      <c r="C172" t="s">
        <v>496</v>
      </c>
      <c r="D172" t="s">
        <v>497</v>
      </c>
      <c r="E172">
        <v>6</v>
      </c>
      <c r="F172">
        <v>0.378</v>
      </c>
      <c r="G172" s="1">
        <v>6.9799999999999994E-11</v>
      </c>
      <c r="H172">
        <v>2870</v>
      </c>
      <c r="I172" s="1">
        <v>7.4399999999999996E-11</v>
      </c>
      <c r="J172">
        <v>831</v>
      </c>
      <c r="K172" s="1">
        <v>7.4399999999999996E-11</v>
      </c>
      <c r="L172">
        <v>237</v>
      </c>
      <c r="M172" s="1">
        <v>8.5599999999999996E-14</v>
      </c>
      <c r="N172">
        <v>200</v>
      </c>
      <c r="O172" s="1">
        <v>6.0600000000000002E-14</v>
      </c>
      <c r="P172">
        <v>154</v>
      </c>
      <c r="Q172">
        <v>84100</v>
      </c>
      <c r="R172">
        <v>100000</v>
      </c>
    </row>
    <row r="173" spans="1:18" x14ac:dyDescent="0.25">
      <c r="A173" t="s">
        <v>498</v>
      </c>
      <c r="B173" t="str">
        <f>"35042-99-0"</f>
        <v>35042-99-0</v>
      </c>
      <c r="C173" t="s">
        <v>499</v>
      </c>
      <c r="D173" t="s">
        <v>500</v>
      </c>
      <c r="E173">
        <v>3.5</v>
      </c>
      <c r="F173">
        <v>0.378</v>
      </c>
      <c r="G173" s="1">
        <v>4.2100000000000002E-11</v>
      </c>
      <c r="H173">
        <v>1730</v>
      </c>
      <c r="I173" s="1">
        <v>4.3300000000000002E-11</v>
      </c>
      <c r="J173">
        <v>484</v>
      </c>
      <c r="K173" s="1">
        <v>4.3300000000000002E-11</v>
      </c>
      <c r="L173">
        <v>138</v>
      </c>
      <c r="M173" s="1">
        <v>4.68E-14</v>
      </c>
      <c r="N173">
        <v>110</v>
      </c>
      <c r="O173" s="1">
        <v>3.4900000000000001E-14</v>
      </c>
      <c r="P173">
        <v>88.4</v>
      </c>
      <c r="Q173">
        <v>49300</v>
      </c>
      <c r="R173">
        <v>58500</v>
      </c>
    </row>
    <row r="174" spans="1:18" x14ac:dyDescent="0.25">
      <c r="A174" t="s">
        <v>501</v>
      </c>
      <c r="B174" t="str">
        <f>"160620-20-2"</f>
        <v>160620-20-2</v>
      </c>
      <c r="C174" t="s">
        <v>502</v>
      </c>
      <c r="D174" t="s">
        <v>503</v>
      </c>
      <c r="E174">
        <v>2.5</v>
      </c>
      <c r="F174">
        <v>0.30299999999999999</v>
      </c>
      <c r="G174" s="1">
        <v>2.4200000000000001E-11</v>
      </c>
      <c r="H174">
        <v>995</v>
      </c>
      <c r="I174" s="1">
        <v>2.4800000000000001E-11</v>
      </c>
      <c r="J174">
        <v>277</v>
      </c>
      <c r="K174" s="1">
        <v>2.4800000000000001E-11</v>
      </c>
      <c r="L174">
        <v>79</v>
      </c>
      <c r="M174" s="1">
        <v>2.6600000000000002E-14</v>
      </c>
      <c r="N174">
        <v>62.1</v>
      </c>
      <c r="O174" s="1">
        <v>1.9899999999999999E-14</v>
      </c>
      <c r="P174">
        <v>50.4</v>
      </c>
      <c r="Q174">
        <v>28300</v>
      </c>
      <c r="R174">
        <v>33500</v>
      </c>
    </row>
    <row r="175" spans="1:18" x14ac:dyDescent="0.25">
      <c r="A175" t="s">
        <v>504</v>
      </c>
      <c r="B175" t="str">
        <f>"13171-18-1"</f>
        <v>13171-18-1</v>
      </c>
      <c r="C175" t="s">
        <v>505</v>
      </c>
      <c r="D175" t="s">
        <v>506</v>
      </c>
      <c r="E175">
        <v>0.17799999999999999</v>
      </c>
      <c r="F175">
        <v>0.125</v>
      </c>
      <c r="G175" s="1">
        <v>7.1299999999999999E-13</v>
      </c>
      <c r="H175">
        <v>29.3</v>
      </c>
      <c r="I175" s="1">
        <v>7.2800000000000003E-13</v>
      </c>
      <c r="J175">
        <v>8.1300000000000008</v>
      </c>
      <c r="K175" s="1">
        <v>7.2800000000000003E-13</v>
      </c>
      <c r="L175">
        <v>2.3199999999999998</v>
      </c>
      <c r="M175" s="1">
        <v>7.6299999999999997E-16</v>
      </c>
      <c r="N175">
        <v>1.78</v>
      </c>
      <c r="O175" s="1">
        <v>5.7800000000000002E-16</v>
      </c>
      <c r="P175">
        <v>1.47</v>
      </c>
      <c r="Q175">
        <v>835</v>
      </c>
      <c r="R175">
        <v>988</v>
      </c>
    </row>
    <row r="176" spans="1:18" x14ac:dyDescent="0.25">
      <c r="A176" t="s">
        <v>507</v>
      </c>
      <c r="B176" t="str">
        <f>"378-16-5"</f>
        <v>378-16-5</v>
      </c>
      <c r="C176" t="s">
        <v>508</v>
      </c>
      <c r="D176" t="s">
        <v>509</v>
      </c>
      <c r="E176">
        <v>6.9000000000000006E-2</v>
      </c>
      <c r="F176">
        <v>5.8000000000000003E-2</v>
      </c>
      <c r="G176" s="1">
        <v>1.4000000000000001E-13</v>
      </c>
      <c r="H176">
        <v>5.77</v>
      </c>
      <c r="I176" s="1">
        <v>1.43E-13</v>
      </c>
      <c r="J176">
        <v>1.6</v>
      </c>
      <c r="K176" s="1">
        <v>1.43E-13</v>
      </c>
      <c r="L176">
        <v>0.45700000000000002</v>
      </c>
      <c r="M176" s="1">
        <v>1.5E-16</v>
      </c>
      <c r="N176">
        <v>0.35099999999999998</v>
      </c>
      <c r="O176" s="1">
        <v>1.14E-16</v>
      </c>
      <c r="P176">
        <v>0.28899999999999998</v>
      </c>
      <c r="Q176">
        <v>164</v>
      </c>
      <c r="R176">
        <v>195</v>
      </c>
    </row>
    <row r="177" spans="1:18" x14ac:dyDescent="0.25">
      <c r="A177" t="s">
        <v>510</v>
      </c>
      <c r="B177" t="str">
        <f>"512-51-6"</f>
        <v>512-51-6</v>
      </c>
      <c r="C177" t="s">
        <v>511</v>
      </c>
      <c r="D177" t="s">
        <v>512</v>
      </c>
      <c r="E177">
        <v>0.20799999999999999</v>
      </c>
      <c r="F177">
        <v>0.13200000000000001</v>
      </c>
      <c r="G177" s="1">
        <v>1.1E-12</v>
      </c>
      <c r="H177">
        <v>45</v>
      </c>
      <c r="I177" s="1">
        <v>1.1200000000000001E-12</v>
      </c>
      <c r="J177">
        <v>12.5</v>
      </c>
      <c r="K177" s="1">
        <v>1.1200000000000001E-12</v>
      </c>
      <c r="L177">
        <v>3.56</v>
      </c>
      <c r="M177" s="1">
        <v>1.1700000000000001E-15</v>
      </c>
      <c r="N177">
        <v>2.74</v>
      </c>
      <c r="O177" s="1">
        <v>8.8900000000000005E-16</v>
      </c>
      <c r="P177">
        <v>2.25</v>
      </c>
      <c r="Q177">
        <v>1280</v>
      </c>
      <c r="R177">
        <v>1520</v>
      </c>
    </row>
    <row r="178" spans="1:18" x14ac:dyDescent="0.25">
      <c r="A178" t="s">
        <v>513</v>
      </c>
      <c r="B178" t="str">
        <f>"461-18-7"</f>
        <v>461-18-7</v>
      </c>
      <c r="D178" t="s">
        <v>514</v>
      </c>
      <c r="E178">
        <v>1.4999999999999999E-2</v>
      </c>
      <c r="F178">
        <v>6.0000000000000001E-3</v>
      </c>
      <c r="G178" s="1">
        <v>4.3299999999999998E-15</v>
      </c>
      <c r="H178">
        <v>0.17799999999999999</v>
      </c>
      <c r="I178" s="1">
        <v>4.42E-15</v>
      </c>
      <c r="J178">
        <v>4.9000000000000002E-2</v>
      </c>
      <c r="K178" s="1">
        <v>4.42E-15</v>
      </c>
      <c r="L178">
        <v>1.4E-2</v>
      </c>
      <c r="M178" s="1">
        <v>4.63E-18</v>
      </c>
      <c r="N178">
        <v>1.0999999999999999E-2</v>
      </c>
      <c r="O178" s="1">
        <v>3.5099999999999998E-18</v>
      </c>
      <c r="P178">
        <v>8.9999999999999993E-3</v>
      </c>
      <c r="Q178">
        <v>5.08</v>
      </c>
      <c r="R178">
        <v>6.01</v>
      </c>
    </row>
    <row r="179" spans="1:18" x14ac:dyDescent="0.25">
      <c r="A179" t="s">
        <v>515</v>
      </c>
      <c r="B179" t="str">
        <f>"16621-87-7"</f>
        <v>16621-87-7</v>
      </c>
      <c r="D179" t="s">
        <v>516</v>
      </c>
      <c r="E179">
        <v>0.30099999999999999</v>
      </c>
      <c r="F179">
        <v>0.156</v>
      </c>
      <c r="G179" s="1">
        <v>1.1999999999999999E-12</v>
      </c>
      <c r="H179">
        <v>49.1</v>
      </c>
      <c r="I179" s="1">
        <v>1.2200000000000001E-12</v>
      </c>
      <c r="J179">
        <v>13.6</v>
      </c>
      <c r="K179" s="1">
        <v>1.2200000000000001E-12</v>
      </c>
      <c r="L179">
        <v>3.89</v>
      </c>
      <c r="M179" s="1">
        <v>1.2800000000000001E-15</v>
      </c>
      <c r="N179">
        <v>3</v>
      </c>
      <c r="O179" s="1">
        <v>9.71E-16</v>
      </c>
      <c r="P179">
        <v>2.46</v>
      </c>
      <c r="Q179">
        <v>1400</v>
      </c>
      <c r="R179">
        <v>1660</v>
      </c>
    </row>
    <row r="180" spans="1:18" x14ac:dyDescent="0.25">
      <c r="A180" t="s">
        <v>517</v>
      </c>
      <c r="B180" t="str">
        <f>"188690-77-9"</f>
        <v>188690-77-9</v>
      </c>
      <c r="C180" t="s">
        <v>518</v>
      </c>
      <c r="D180" t="s">
        <v>519</v>
      </c>
      <c r="E180">
        <v>14.1</v>
      </c>
      <c r="F180">
        <v>1.03</v>
      </c>
      <c r="G180" s="1">
        <v>2.1199999999999999E-10</v>
      </c>
      <c r="H180">
        <v>8720</v>
      </c>
      <c r="I180" s="1">
        <v>2.8799999999999999E-10</v>
      </c>
      <c r="J180">
        <v>3220</v>
      </c>
      <c r="K180" s="1">
        <v>2.8899999999999998E-10</v>
      </c>
      <c r="L180">
        <v>920</v>
      </c>
      <c r="M180" s="1">
        <v>6.6699999999999999E-13</v>
      </c>
      <c r="N180">
        <v>1560</v>
      </c>
      <c r="O180" s="1">
        <v>2.5500000000000002E-13</v>
      </c>
      <c r="P180">
        <v>647</v>
      </c>
      <c r="Q180">
        <v>309000</v>
      </c>
      <c r="R180">
        <v>383000</v>
      </c>
    </row>
    <row r="181" spans="1:18" x14ac:dyDescent="0.25">
      <c r="A181" t="s">
        <v>520</v>
      </c>
      <c r="B181" t="str">
        <f>"219484-64-7"</f>
        <v>219484-64-7</v>
      </c>
      <c r="C181" t="s">
        <v>521</v>
      </c>
      <c r="D181" t="s">
        <v>522</v>
      </c>
      <c r="E181">
        <v>4.8</v>
      </c>
      <c r="F181">
        <v>0.36</v>
      </c>
      <c r="G181" s="1">
        <v>3.9499999999999999E-11</v>
      </c>
      <c r="H181">
        <v>1620</v>
      </c>
      <c r="I181" s="1">
        <v>4.1199999999999997E-11</v>
      </c>
      <c r="J181">
        <v>460</v>
      </c>
      <c r="K181" s="1">
        <v>4.1199999999999997E-11</v>
      </c>
      <c r="L181">
        <v>131</v>
      </c>
      <c r="M181" s="1">
        <v>4.5500000000000002E-14</v>
      </c>
      <c r="N181">
        <v>106</v>
      </c>
      <c r="O181" s="1">
        <v>3.3400000000000002E-14</v>
      </c>
      <c r="P181">
        <v>84.6</v>
      </c>
      <c r="Q181">
        <v>46700</v>
      </c>
      <c r="R181">
        <v>55500</v>
      </c>
    </row>
    <row r="182" spans="1:18" x14ac:dyDescent="0.25">
      <c r="A182" t="s">
        <v>520</v>
      </c>
      <c r="B182" t="str">
        <f>"163702-07-6"</f>
        <v>163702-07-6</v>
      </c>
      <c r="C182" t="s">
        <v>523</v>
      </c>
      <c r="D182" t="s">
        <v>524</v>
      </c>
      <c r="E182">
        <v>4.8</v>
      </c>
      <c r="F182">
        <v>0.42499999999999999</v>
      </c>
      <c r="G182" s="1">
        <v>4.6699999999999998E-11</v>
      </c>
      <c r="H182">
        <v>1920</v>
      </c>
      <c r="I182" s="1">
        <v>4.8599999999999999E-11</v>
      </c>
      <c r="J182">
        <v>544</v>
      </c>
      <c r="K182" s="1">
        <v>4.8699999999999997E-11</v>
      </c>
      <c r="L182">
        <v>155</v>
      </c>
      <c r="M182" s="1">
        <v>5.3800000000000002E-14</v>
      </c>
      <c r="N182">
        <v>126</v>
      </c>
      <c r="O182" s="1">
        <v>3.9400000000000001E-14</v>
      </c>
      <c r="P182">
        <v>99.9</v>
      </c>
      <c r="Q182">
        <v>55200</v>
      </c>
      <c r="R182">
        <v>65600</v>
      </c>
    </row>
    <row r="183" spans="1:18" x14ac:dyDescent="0.25">
      <c r="A183" t="s">
        <v>525</v>
      </c>
      <c r="B183" t="str">
        <f>"163702-08-7"</f>
        <v>163702-08-7</v>
      </c>
      <c r="C183" t="s">
        <v>526</v>
      </c>
      <c r="D183" t="s">
        <v>527</v>
      </c>
      <c r="E183">
        <v>4.8</v>
      </c>
      <c r="F183">
        <v>0.34100000000000003</v>
      </c>
      <c r="G183" s="1">
        <v>3.75E-11</v>
      </c>
      <c r="H183">
        <v>1540</v>
      </c>
      <c r="I183" s="1">
        <v>3.9099999999999999E-11</v>
      </c>
      <c r="J183">
        <v>437</v>
      </c>
      <c r="K183" s="1">
        <v>3.9099999999999999E-11</v>
      </c>
      <c r="L183">
        <v>124</v>
      </c>
      <c r="M183" s="1">
        <v>4.3200000000000001E-14</v>
      </c>
      <c r="N183">
        <v>101</v>
      </c>
      <c r="O183" s="1">
        <v>3.17E-14</v>
      </c>
      <c r="P183">
        <v>80.2</v>
      </c>
      <c r="Q183">
        <v>44300</v>
      </c>
      <c r="R183">
        <v>52600</v>
      </c>
    </row>
    <row r="184" spans="1:18" x14ac:dyDescent="0.25">
      <c r="A184" t="s">
        <v>528</v>
      </c>
      <c r="B184" t="str">
        <f>"163702-05-4"</f>
        <v>163702-05-4</v>
      </c>
      <c r="C184" t="s">
        <v>529</v>
      </c>
      <c r="D184" t="s">
        <v>530</v>
      </c>
      <c r="E184">
        <v>0.8</v>
      </c>
      <c r="F184">
        <v>0.30099999999999999</v>
      </c>
      <c r="G184" s="1">
        <v>5.3199999999999999E-12</v>
      </c>
      <c r="H184">
        <v>219</v>
      </c>
      <c r="I184" s="1">
        <v>5.4300000000000001E-12</v>
      </c>
      <c r="J184">
        <v>60.7</v>
      </c>
      <c r="K184" s="1">
        <v>5.4300000000000001E-12</v>
      </c>
      <c r="L184">
        <v>17.3</v>
      </c>
      <c r="M184" s="1">
        <v>5.7299999999999996E-15</v>
      </c>
      <c r="N184">
        <v>13.4</v>
      </c>
      <c r="O184" s="1">
        <v>4.3299999999999998E-15</v>
      </c>
      <c r="P184">
        <v>11</v>
      </c>
      <c r="Q184">
        <v>6220</v>
      </c>
      <c r="R184">
        <v>7370</v>
      </c>
    </row>
    <row r="185" spans="1:18" x14ac:dyDescent="0.25">
      <c r="A185" t="s">
        <v>531</v>
      </c>
      <c r="B185" t="str">
        <f>"163702-06-5"</f>
        <v>163702-06-5</v>
      </c>
      <c r="C185" t="s">
        <v>532</v>
      </c>
      <c r="D185" t="s">
        <v>533</v>
      </c>
      <c r="E185">
        <v>0.63</v>
      </c>
      <c r="F185">
        <v>0.216</v>
      </c>
      <c r="G185" s="1">
        <v>3.0099999999999999E-12</v>
      </c>
      <c r="H185">
        <v>124</v>
      </c>
      <c r="I185" s="1">
        <v>3.07E-12</v>
      </c>
      <c r="J185">
        <v>34.299999999999997</v>
      </c>
      <c r="K185" s="1">
        <v>3.07E-12</v>
      </c>
      <c r="L185">
        <v>9.7799999999999994</v>
      </c>
      <c r="M185" s="1">
        <v>3.23E-15</v>
      </c>
      <c r="N185">
        <v>7.56</v>
      </c>
      <c r="O185" s="1">
        <v>2.45E-15</v>
      </c>
      <c r="P185">
        <v>6.2</v>
      </c>
      <c r="Q185">
        <v>3520</v>
      </c>
      <c r="R185">
        <v>4160</v>
      </c>
    </row>
    <row r="186" spans="1:18" x14ac:dyDescent="0.25">
      <c r="A186" t="s">
        <v>534</v>
      </c>
      <c r="B186" t="str">
        <f>"132182-92-4"</f>
        <v>132182-92-4</v>
      </c>
      <c r="C186" t="s">
        <v>535</v>
      </c>
      <c r="D186" t="s">
        <v>536</v>
      </c>
      <c r="E186">
        <v>5.24</v>
      </c>
      <c r="F186">
        <v>0.48</v>
      </c>
      <c r="G186" s="1">
        <v>3.4499999999999997E-11</v>
      </c>
      <c r="H186">
        <v>1420</v>
      </c>
      <c r="I186" s="1">
        <v>3.6200000000000002E-11</v>
      </c>
      <c r="J186">
        <v>405</v>
      </c>
      <c r="K186" s="1">
        <v>3.6200000000000002E-11</v>
      </c>
      <c r="L186">
        <v>115</v>
      </c>
      <c r="M186" s="1">
        <v>4.0499999999999998E-14</v>
      </c>
      <c r="N186">
        <v>94.7</v>
      </c>
      <c r="O186" s="1">
        <v>2.94E-14</v>
      </c>
      <c r="P186">
        <v>74.599999999999994</v>
      </c>
      <c r="Q186">
        <v>41100</v>
      </c>
      <c r="R186">
        <v>48800</v>
      </c>
    </row>
    <row r="187" spans="1:18" x14ac:dyDescent="0.25">
      <c r="A187" t="s">
        <v>537</v>
      </c>
      <c r="B187" t="str">
        <f>"297730-93-9"</f>
        <v>297730-93-9</v>
      </c>
      <c r="C187" t="s">
        <v>538</v>
      </c>
      <c r="D187" t="s">
        <v>539</v>
      </c>
      <c r="E187">
        <v>0.3</v>
      </c>
      <c r="F187">
        <v>0.27</v>
      </c>
      <c r="G187" s="1">
        <v>1.14E-12</v>
      </c>
      <c r="H187">
        <v>47</v>
      </c>
      <c r="I187" s="1">
        <v>1.1700000000000001E-12</v>
      </c>
      <c r="J187">
        <v>13</v>
      </c>
      <c r="K187" s="1">
        <v>1.1700000000000001E-12</v>
      </c>
      <c r="L187">
        <v>3.72</v>
      </c>
      <c r="M187" s="1">
        <v>1.2199999999999999E-15</v>
      </c>
      <c r="N187">
        <v>2.86</v>
      </c>
      <c r="O187" s="1">
        <v>9.2800000000000009E-16</v>
      </c>
      <c r="P187">
        <v>2.35</v>
      </c>
      <c r="Q187">
        <v>1340</v>
      </c>
      <c r="R187">
        <v>1580</v>
      </c>
    </row>
    <row r="188" spans="1:18" x14ac:dyDescent="0.25">
      <c r="A188" t="s">
        <v>540</v>
      </c>
      <c r="B188" t="str">
        <f>"78522-47-1"</f>
        <v>78522-47-1</v>
      </c>
      <c r="C188" t="s">
        <v>541</v>
      </c>
      <c r="D188" t="s">
        <v>542</v>
      </c>
      <c r="E188">
        <v>26.5</v>
      </c>
      <c r="F188">
        <v>0.64800000000000002</v>
      </c>
      <c r="G188" s="1">
        <v>2.85E-10</v>
      </c>
      <c r="H188">
        <v>11700</v>
      </c>
      <c r="I188" s="1">
        <v>5.4199999999999999E-10</v>
      </c>
      <c r="J188">
        <v>6060</v>
      </c>
      <c r="K188" s="1">
        <v>5.5700000000000004E-10</v>
      </c>
      <c r="L188">
        <v>1770</v>
      </c>
      <c r="M188" s="1">
        <v>2.1499999999999999E-12</v>
      </c>
      <c r="N188">
        <v>5020</v>
      </c>
      <c r="O188" s="1">
        <v>7.3300000000000001E-13</v>
      </c>
      <c r="P188">
        <v>1860</v>
      </c>
    </row>
    <row r="189" spans="1:18" x14ac:dyDescent="0.25">
      <c r="A189" t="s">
        <v>543</v>
      </c>
      <c r="B189" t="str">
        <f>"188690-78-0"</f>
        <v>188690-78-0</v>
      </c>
      <c r="C189" t="s">
        <v>544</v>
      </c>
      <c r="D189" t="s">
        <v>545</v>
      </c>
      <c r="E189">
        <v>13.4</v>
      </c>
      <c r="F189">
        <v>0.87</v>
      </c>
      <c r="G189" s="1">
        <v>2.2300000000000001E-10</v>
      </c>
      <c r="H189">
        <v>9180</v>
      </c>
      <c r="I189" s="1">
        <v>2.9700000000000001E-10</v>
      </c>
      <c r="J189">
        <v>3320</v>
      </c>
      <c r="K189" s="1">
        <v>2.9700000000000001E-10</v>
      </c>
      <c r="L189">
        <v>948</v>
      </c>
      <c r="M189" s="1">
        <v>6.4899999999999996E-13</v>
      </c>
      <c r="N189">
        <v>1520</v>
      </c>
      <c r="O189" s="1">
        <v>2.5900000000000001E-13</v>
      </c>
      <c r="P189">
        <v>657</v>
      </c>
      <c r="Q189">
        <v>321000</v>
      </c>
      <c r="R189">
        <v>395000</v>
      </c>
    </row>
    <row r="190" spans="1:18" x14ac:dyDescent="0.25">
      <c r="A190" t="s">
        <v>546</v>
      </c>
      <c r="B190" t="str">
        <f>"920-66-1"</f>
        <v>920-66-1</v>
      </c>
      <c r="C190" t="s">
        <v>547</v>
      </c>
      <c r="D190" t="s">
        <v>548</v>
      </c>
      <c r="E190">
        <v>1.9</v>
      </c>
      <c r="F190">
        <v>0.27400000000000002</v>
      </c>
      <c r="G190" s="1">
        <v>1.7999999999999999E-11</v>
      </c>
      <c r="H190">
        <v>742</v>
      </c>
      <c r="I190" s="1">
        <v>1.8500000000000001E-11</v>
      </c>
      <c r="J190">
        <v>206</v>
      </c>
      <c r="K190" s="1">
        <v>1.8500000000000001E-11</v>
      </c>
      <c r="L190">
        <v>58.8</v>
      </c>
      <c r="M190" s="1">
        <v>1.9700000000000001E-14</v>
      </c>
      <c r="N190">
        <v>46</v>
      </c>
      <c r="O190" s="1">
        <v>1.4800000000000001E-14</v>
      </c>
      <c r="P190">
        <v>37.4</v>
      </c>
      <c r="Q190">
        <v>21100</v>
      </c>
      <c r="R190">
        <v>25000</v>
      </c>
    </row>
    <row r="191" spans="1:18" x14ac:dyDescent="0.25">
      <c r="A191" t="s">
        <v>549</v>
      </c>
      <c r="B191" t="str">
        <f>"205367-61-9"</f>
        <v>205367-61-9</v>
      </c>
      <c r="C191" t="s">
        <v>550</v>
      </c>
      <c r="D191" t="s">
        <v>551</v>
      </c>
      <c r="E191">
        <v>26.9</v>
      </c>
      <c r="F191">
        <v>1.1499999999999999</v>
      </c>
      <c r="G191" s="1">
        <v>2.6800000000000001E-10</v>
      </c>
      <c r="H191">
        <v>11000</v>
      </c>
      <c r="I191" s="1">
        <v>5.1299999999999999E-10</v>
      </c>
      <c r="J191">
        <v>5730</v>
      </c>
      <c r="K191" s="1">
        <v>5.2700000000000004E-10</v>
      </c>
      <c r="L191">
        <v>1680</v>
      </c>
      <c r="M191" s="1">
        <v>2.0499999999999999E-12</v>
      </c>
      <c r="N191">
        <v>4780</v>
      </c>
      <c r="O191" s="1">
        <v>7.0400000000000003E-13</v>
      </c>
      <c r="P191">
        <v>1780</v>
      </c>
    </row>
    <row r="192" spans="1:18" x14ac:dyDescent="0.25">
      <c r="A192" t="s">
        <v>552</v>
      </c>
      <c r="B192" t="str">
        <f>"173350-37-3"</f>
        <v>173350-37-3</v>
      </c>
      <c r="C192" t="s">
        <v>553</v>
      </c>
      <c r="D192" t="s">
        <v>554</v>
      </c>
      <c r="E192">
        <v>26.9</v>
      </c>
      <c r="F192">
        <v>1.43</v>
      </c>
      <c r="G192" s="1">
        <v>2.5000000000000002E-10</v>
      </c>
      <c r="H192">
        <v>10300</v>
      </c>
      <c r="I192" s="1">
        <v>4.79E-10</v>
      </c>
      <c r="J192">
        <v>5350</v>
      </c>
      <c r="K192" s="1">
        <v>4.9199999999999996E-10</v>
      </c>
      <c r="L192">
        <v>1570</v>
      </c>
      <c r="M192" s="1">
        <v>1.9100000000000001E-12</v>
      </c>
      <c r="N192">
        <v>4470</v>
      </c>
      <c r="O192" s="1">
        <v>6.5700000000000003E-13</v>
      </c>
      <c r="P192">
        <v>1660</v>
      </c>
    </row>
    <row r="193" spans="1:18" x14ac:dyDescent="0.25">
      <c r="A193" t="s">
        <v>555</v>
      </c>
      <c r="B193" t="str">
        <f>"406-90-6"</f>
        <v>406-90-6</v>
      </c>
      <c r="C193" t="s">
        <v>556</v>
      </c>
      <c r="D193" t="s">
        <v>557</v>
      </c>
      <c r="E193">
        <v>0.01</v>
      </c>
      <c r="F193">
        <v>1.0999999999999999E-2</v>
      </c>
      <c r="G193" s="1">
        <v>5.0499999999999996E-15</v>
      </c>
      <c r="H193">
        <v>0.20699999999999999</v>
      </c>
      <c r="I193" s="1">
        <v>5.1499999999999997E-15</v>
      </c>
      <c r="J193">
        <v>5.8000000000000003E-2</v>
      </c>
      <c r="K193" s="1">
        <v>5.1499999999999997E-15</v>
      </c>
      <c r="L193">
        <v>1.6E-2</v>
      </c>
      <c r="M193" s="1">
        <v>5.3899999999999998E-18</v>
      </c>
      <c r="N193">
        <v>1.2999999999999999E-2</v>
      </c>
      <c r="O193" s="1">
        <v>4.0899999999999998E-18</v>
      </c>
      <c r="P193">
        <v>0.01</v>
      </c>
      <c r="Q193">
        <v>5.91</v>
      </c>
      <c r="R193">
        <v>6.99</v>
      </c>
    </row>
    <row r="194" spans="1:18" x14ac:dyDescent="0.25">
      <c r="A194" t="s">
        <v>558</v>
      </c>
      <c r="B194" t="str">
        <f>"920979-28-8"</f>
        <v>920979-28-8</v>
      </c>
      <c r="D194" t="s">
        <v>559</v>
      </c>
      <c r="E194">
        <v>0.81</v>
      </c>
      <c r="F194">
        <v>0.48899999999999999</v>
      </c>
      <c r="G194" s="1">
        <v>4.2700000000000002E-12</v>
      </c>
      <c r="H194">
        <v>175</v>
      </c>
      <c r="I194" s="1">
        <v>4.36E-12</v>
      </c>
      <c r="J194">
        <v>48.7</v>
      </c>
      <c r="K194" s="1">
        <v>4.36E-12</v>
      </c>
      <c r="L194">
        <v>13.9</v>
      </c>
      <c r="M194" s="1">
        <v>4.5999999999999998E-15</v>
      </c>
      <c r="N194">
        <v>10.7</v>
      </c>
      <c r="O194" s="1">
        <v>3.47E-15</v>
      </c>
      <c r="P194">
        <v>8.8000000000000007</v>
      </c>
      <c r="Q194">
        <v>4990</v>
      </c>
      <c r="R194">
        <v>5910</v>
      </c>
    </row>
    <row r="195" spans="1:18" x14ac:dyDescent="0.25">
      <c r="A195" t="s">
        <v>560</v>
      </c>
      <c r="B195" t="str">
        <f>"359-15-9"</f>
        <v>359-15-9</v>
      </c>
      <c r="D195" t="s">
        <v>561</v>
      </c>
      <c r="E195">
        <v>1.1000000000000001</v>
      </c>
      <c r="F195">
        <v>0.153</v>
      </c>
      <c r="G195" s="1">
        <v>1.1900000000000001E-11</v>
      </c>
      <c r="H195">
        <v>491</v>
      </c>
      <c r="I195" s="1">
        <v>1.2200000000000001E-11</v>
      </c>
      <c r="J195">
        <v>136</v>
      </c>
      <c r="K195" s="1">
        <v>1.2200000000000001E-11</v>
      </c>
      <c r="L195">
        <v>38.9</v>
      </c>
      <c r="M195" s="1">
        <v>1.2900000000000001E-14</v>
      </c>
      <c r="N195">
        <v>30.1</v>
      </c>
      <c r="O195" s="1">
        <v>9.7299999999999999E-15</v>
      </c>
      <c r="P195">
        <v>24.7</v>
      </c>
      <c r="Q195">
        <v>14000</v>
      </c>
      <c r="R195">
        <v>16500</v>
      </c>
    </row>
    <row r="196" spans="1:18" x14ac:dyDescent="0.25">
      <c r="A196" t="s">
        <v>562</v>
      </c>
      <c r="B196" t="str">
        <f>"73287-23-7"</f>
        <v>73287-23-7</v>
      </c>
      <c r="C196" t="s">
        <v>563</v>
      </c>
      <c r="D196" t="s">
        <v>564</v>
      </c>
      <c r="E196">
        <v>1.7</v>
      </c>
      <c r="F196">
        <v>0.28899999999999998</v>
      </c>
      <c r="G196" s="1">
        <v>1.7700000000000001E-11</v>
      </c>
      <c r="H196">
        <v>727</v>
      </c>
      <c r="I196" s="1">
        <v>1.8100000000000001E-11</v>
      </c>
      <c r="J196">
        <v>202</v>
      </c>
      <c r="K196" s="1">
        <v>1.8100000000000001E-11</v>
      </c>
      <c r="L196">
        <v>57.7</v>
      </c>
      <c r="M196" s="1">
        <v>1.92E-14</v>
      </c>
      <c r="N196">
        <v>45</v>
      </c>
      <c r="O196" s="1">
        <v>1.4500000000000001E-14</v>
      </c>
      <c r="P196">
        <v>36.700000000000003</v>
      </c>
      <c r="Q196">
        <v>20700</v>
      </c>
      <c r="R196">
        <v>24500</v>
      </c>
    </row>
    <row r="197" spans="1:18" x14ac:dyDescent="0.25">
      <c r="A197" t="s">
        <v>565</v>
      </c>
      <c r="B197" t="str">
        <f>"485399-46-0"</f>
        <v>485399-46-0</v>
      </c>
      <c r="C197" t="s">
        <v>566</v>
      </c>
      <c r="D197" t="s">
        <v>567</v>
      </c>
      <c r="E197">
        <v>1.7</v>
      </c>
      <c r="F197">
        <v>0.56200000000000006</v>
      </c>
      <c r="G197" s="1">
        <v>1.9999999999999999E-11</v>
      </c>
      <c r="H197">
        <v>823</v>
      </c>
      <c r="I197" s="1">
        <v>2.05E-11</v>
      </c>
      <c r="J197">
        <v>229</v>
      </c>
      <c r="K197" s="1">
        <v>2.05E-11</v>
      </c>
      <c r="L197">
        <v>65.3</v>
      </c>
      <c r="M197" s="1">
        <v>2.1799999999999999E-14</v>
      </c>
      <c r="N197">
        <v>50.9</v>
      </c>
      <c r="O197" s="1">
        <v>1.6400000000000001E-14</v>
      </c>
      <c r="P197">
        <v>41.5</v>
      </c>
      <c r="Q197">
        <v>23400</v>
      </c>
      <c r="R197">
        <v>27700</v>
      </c>
    </row>
    <row r="198" spans="1:18" x14ac:dyDescent="0.25">
      <c r="A198" t="s">
        <v>568</v>
      </c>
      <c r="B198" t="str">
        <f>"485399-48-2"</f>
        <v>485399-48-2</v>
      </c>
      <c r="C198" t="s">
        <v>569</v>
      </c>
      <c r="D198" t="s">
        <v>570</v>
      </c>
      <c r="E198">
        <v>1.7</v>
      </c>
      <c r="F198">
        <v>0.76200000000000001</v>
      </c>
      <c r="G198" s="1">
        <v>1.9199999999999999E-11</v>
      </c>
      <c r="H198">
        <v>789</v>
      </c>
      <c r="I198" s="1">
        <v>1.9599999999999999E-11</v>
      </c>
      <c r="J198">
        <v>219</v>
      </c>
      <c r="K198" s="1">
        <v>1.9599999999999999E-11</v>
      </c>
      <c r="L198">
        <v>62.5</v>
      </c>
      <c r="M198" s="1">
        <v>2.0900000000000001E-14</v>
      </c>
      <c r="N198">
        <v>48.8</v>
      </c>
      <c r="O198" s="1">
        <v>1.5699999999999999E-14</v>
      </c>
      <c r="P198">
        <v>39.799999999999997</v>
      </c>
      <c r="Q198">
        <v>22400</v>
      </c>
      <c r="R198">
        <v>26600</v>
      </c>
    </row>
    <row r="199" spans="1:18" x14ac:dyDescent="0.25">
      <c r="A199" t="s">
        <v>571</v>
      </c>
      <c r="B199" t="str">
        <f>"428454-68-6"</f>
        <v>428454-68-6</v>
      </c>
      <c r="C199" t="s">
        <v>572</v>
      </c>
      <c r="D199" t="s">
        <v>573</v>
      </c>
      <c r="E199">
        <v>33.6</v>
      </c>
      <c r="F199">
        <v>0.48899999999999999</v>
      </c>
      <c r="G199" s="1">
        <v>1.8E-10</v>
      </c>
      <c r="H199">
        <v>7410</v>
      </c>
      <c r="I199" s="1">
        <v>3.9299999999999999E-10</v>
      </c>
      <c r="J199">
        <v>4390</v>
      </c>
      <c r="K199" s="1">
        <v>4.1600000000000001E-10</v>
      </c>
      <c r="L199">
        <v>1330</v>
      </c>
      <c r="M199" s="1">
        <v>1.7300000000000001E-12</v>
      </c>
      <c r="N199">
        <v>4040</v>
      </c>
      <c r="O199" s="1">
        <v>6.7099999999999997E-13</v>
      </c>
      <c r="P199">
        <v>1700</v>
      </c>
    </row>
    <row r="200" spans="1:18" x14ac:dyDescent="0.25">
      <c r="A200" t="s">
        <v>574</v>
      </c>
      <c r="B200" t="str">
        <f>"185689-57-0"</f>
        <v>185689-57-0</v>
      </c>
      <c r="D200" t="s">
        <v>575</v>
      </c>
      <c r="E200">
        <v>4.7E-2</v>
      </c>
      <c r="F200">
        <v>5.3999999999999999E-2</v>
      </c>
      <c r="G200" s="1">
        <v>4.68E-14</v>
      </c>
      <c r="H200">
        <v>1.92</v>
      </c>
      <c r="I200" s="1">
        <v>4.7700000000000001E-14</v>
      </c>
      <c r="J200">
        <v>0.53300000000000003</v>
      </c>
      <c r="K200" s="1">
        <v>4.7700000000000001E-14</v>
      </c>
      <c r="L200">
        <v>0.152</v>
      </c>
      <c r="M200" s="1">
        <v>4.9999999999999999E-17</v>
      </c>
      <c r="N200">
        <v>0.11700000000000001</v>
      </c>
      <c r="O200" s="1">
        <v>3.7899999999999997E-17</v>
      </c>
      <c r="P200">
        <v>9.6000000000000002E-2</v>
      </c>
      <c r="Q200">
        <v>54.8</v>
      </c>
      <c r="R200">
        <v>64.8</v>
      </c>
    </row>
    <row r="201" spans="1:18" x14ac:dyDescent="0.25">
      <c r="A201" t="s">
        <v>576</v>
      </c>
      <c r="B201" t="str">
        <f>"755-02-2"</f>
        <v>755-02-2</v>
      </c>
      <c r="D201" t="s">
        <v>577</v>
      </c>
      <c r="E201">
        <v>4.7E-2</v>
      </c>
      <c r="F201">
        <v>0.06</v>
      </c>
      <c r="G201" s="1">
        <v>3.93E-14</v>
      </c>
      <c r="H201">
        <v>1.62</v>
      </c>
      <c r="I201" s="1">
        <v>4.0100000000000001E-14</v>
      </c>
      <c r="J201">
        <v>0.44900000000000001</v>
      </c>
      <c r="K201" s="1">
        <v>4.0200000000000002E-14</v>
      </c>
      <c r="L201">
        <v>0.128</v>
      </c>
      <c r="M201" s="1">
        <v>4.2100000000000002E-17</v>
      </c>
      <c r="N201">
        <v>9.8000000000000004E-2</v>
      </c>
      <c r="O201" s="1">
        <v>3.1899999999999998E-17</v>
      </c>
      <c r="P201">
        <v>8.1000000000000003E-2</v>
      </c>
      <c r="Q201">
        <v>46.1</v>
      </c>
      <c r="R201">
        <v>54.5</v>
      </c>
    </row>
    <row r="202" spans="1:18" x14ac:dyDescent="0.25">
      <c r="A202" t="s">
        <v>578</v>
      </c>
      <c r="B202" t="str">
        <f>"87017-97-8"</f>
        <v>87017-97-8</v>
      </c>
      <c r="D202" t="s">
        <v>579</v>
      </c>
      <c r="E202">
        <v>4.7E-2</v>
      </c>
      <c r="F202">
        <v>4.4999999999999998E-2</v>
      </c>
      <c r="G202" s="1">
        <v>2.3999999999999999E-14</v>
      </c>
      <c r="H202">
        <v>0.98499999999999999</v>
      </c>
      <c r="I202" s="1">
        <v>2.45E-14</v>
      </c>
      <c r="J202">
        <v>0.27300000000000002</v>
      </c>
      <c r="K202" s="1">
        <v>2.45E-14</v>
      </c>
      <c r="L202">
        <v>7.8E-2</v>
      </c>
      <c r="M202" s="1">
        <v>2.5599999999999999E-17</v>
      </c>
      <c r="N202">
        <v>0.06</v>
      </c>
      <c r="O202" s="1">
        <v>1.9399999999999998E-17</v>
      </c>
      <c r="P202">
        <v>4.9000000000000002E-2</v>
      </c>
      <c r="Q202">
        <v>28.1</v>
      </c>
      <c r="R202">
        <v>33.200000000000003</v>
      </c>
    </row>
    <row r="203" spans="1:18" x14ac:dyDescent="0.25">
      <c r="A203" t="s">
        <v>580</v>
      </c>
      <c r="B203" t="str">
        <f>"425-87-6"</f>
        <v>425-87-6</v>
      </c>
      <c r="D203" t="s">
        <v>581</v>
      </c>
      <c r="E203">
        <v>1.43</v>
      </c>
      <c r="F203">
        <v>0.21099999999999999</v>
      </c>
      <c r="G203" s="1">
        <v>1.1900000000000001E-11</v>
      </c>
      <c r="H203">
        <v>488</v>
      </c>
      <c r="I203" s="1">
        <v>1.2100000000000001E-11</v>
      </c>
      <c r="J203">
        <v>136</v>
      </c>
      <c r="K203" s="1">
        <v>1.2100000000000001E-11</v>
      </c>
      <c r="L203">
        <v>38.700000000000003</v>
      </c>
      <c r="M203" s="1">
        <v>1.2900000000000001E-14</v>
      </c>
      <c r="N203">
        <v>30.1</v>
      </c>
      <c r="O203" s="1">
        <v>9.7000000000000006E-15</v>
      </c>
      <c r="P203">
        <v>24.6</v>
      </c>
      <c r="Q203">
        <v>13900</v>
      </c>
      <c r="R203">
        <v>16400</v>
      </c>
    </row>
    <row r="204" spans="1:18" x14ac:dyDescent="0.25">
      <c r="A204" t="s">
        <v>582</v>
      </c>
      <c r="B204" t="str">
        <f>"1309353-34-1"</f>
        <v>1309353-34-1</v>
      </c>
      <c r="C204" t="s">
        <v>34</v>
      </c>
      <c r="D204" t="s">
        <v>583</v>
      </c>
      <c r="E204">
        <v>800</v>
      </c>
      <c r="F204">
        <v>0.64</v>
      </c>
      <c r="G204" s="1">
        <v>1.8899999999999999E-10</v>
      </c>
      <c r="H204">
        <v>7750</v>
      </c>
      <c r="I204" s="1">
        <v>9.2000000000000003E-10</v>
      </c>
      <c r="J204">
        <v>10300</v>
      </c>
      <c r="K204" s="1">
        <v>3.6800000000000001E-9</v>
      </c>
      <c r="L204">
        <v>11700</v>
      </c>
      <c r="M204" s="1">
        <v>4.5899999999999996E-12</v>
      </c>
      <c r="N204">
        <v>10700</v>
      </c>
      <c r="O204" s="1">
        <v>4.7499999999999998E-12</v>
      </c>
      <c r="P204">
        <v>12000</v>
      </c>
    </row>
    <row r="205" spans="1:18" x14ac:dyDescent="0.25">
      <c r="A205" t="s">
        <v>584</v>
      </c>
      <c r="B205" t="str">
        <f>"1187-93-5"</f>
        <v>1187-93-5</v>
      </c>
      <c r="C205" t="s">
        <v>585</v>
      </c>
      <c r="D205" t="s">
        <v>586</v>
      </c>
      <c r="E205">
        <v>4.0000000000000001E-3</v>
      </c>
      <c r="F205">
        <v>6.0000000000000001E-3</v>
      </c>
      <c r="G205" s="1">
        <v>9.0899999999999998E-16</v>
      </c>
      <c r="H205">
        <v>3.6999999999999998E-2</v>
      </c>
      <c r="I205" s="1">
        <v>9.2700000000000007E-16</v>
      </c>
      <c r="J205">
        <v>0.01</v>
      </c>
      <c r="K205" s="1">
        <v>9.2800000000000009E-16</v>
      </c>
      <c r="L205">
        <v>3.0000000000000001E-3</v>
      </c>
      <c r="M205" s="1">
        <v>9.7100000000000007E-19</v>
      </c>
      <c r="N205">
        <v>2E-3</v>
      </c>
      <c r="O205" s="1">
        <v>7.3700000000000001E-19</v>
      </c>
      <c r="P205">
        <v>2E-3</v>
      </c>
      <c r="Q205">
        <v>1.06</v>
      </c>
      <c r="R205">
        <v>1.26</v>
      </c>
    </row>
    <row r="206" spans="1:18" x14ac:dyDescent="0.25">
      <c r="A206" t="s">
        <v>587</v>
      </c>
      <c r="B206" t="str">
        <f>"313064-40-3"</f>
        <v>313064-40-3</v>
      </c>
      <c r="D206" t="s">
        <v>588</v>
      </c>
      <c r="E206">
        <v>3.6</v>
      </c>
      <c r="F206">
        <v>0.40799999999999997</v>
      </c>
      <c r="G206" s="1">
        <v>5.1900000000000003E-11</v>
      </c>
      <c r="H206">
        <v>2130</v>
      </c>
      <c r="I206" s="1">
        <v>5.3399999999999998E-11</v>
      </c>
      <c r="J206">
        <v>597</v>
      </c>
      <c r="K206" s="1">
        <v>5.3399999999999998E-11</v>
      </c>
      <c r="L206">
        <v>170</v>
      </c>
      <c r="M206" s="1">
        <v>5.7899999999999998E-14</v>
      </c>
      <c r="N206">
        <v>135</v>
      </c>
      <c r="O206" s="1">
        <v>4.3100000000000001E-14</v>
      </c>
      <c r="P206">
        <v>109</v>
      </c>
      <c r="Q206">
        <v>60800</v>
      </c>
      <c r="R206">
        <v>72100</v>
      </c>
    </row>
    <row r="207" spans="1:18" x14ac:dyDescent="0.25">
      <c r="A207" t="s">
        <v>589</v>
      </c>
      <c r="B207" t="str">
        <f>"32042-38-9"</f>
        <v>32042-38-9</v>
      </c>
      <c r="D207" t="s">
        <v>590</v>
      </c>
      <c r="E207">
        <v>0.54800000000000004</v>
      </c>
      <c r="F207">
        <v>0.192</v>
      </c>
      <c r="G207" s="1">
        <v>4.7999999999999997E-12</v>
      </c>
      <c r="H207">
        <v>197</v>
      </c>
      <c r="I207" s="1">
        <v>4.8999999999999997E-12</v>
      </c>
      <c r="J207">
        <v>54.8</v>
      </c>
      <c r="K207" s="1">
        <v>4.8999999999999997E-12</v>
      </c>
      <c r="L207">
        <v>15.6</v>
      </c>
      <c r="M207" s="1">
        <v>5.1600000000000002E-15</v>
      </c>
      <c r="N207">
        <v>12.1</v>
      </c>
      <c r="O207" s="1">
        <v>3.9000000000000003E-15</v>
      </c>
      <c r="P207">
        <v>9.89</v>
      </c>
      <c r="Q207">
        <v>5620</v>
      </c>
      <c r="R207">
        <v>6650</v>
      </c>
    </row>
    <row r="208" spans="1:18" x14ac:dyDescent="0.25">
      <c r="A208" t="s">
        <v>591</v>
      </c>
      <c r="B208" t="str">
        <f>"856766-70-6"</f>
        <v>856766-70-6</v>
      </c>
      <c r="D208" t="s">
        <v>592</v>
      </c>
      <c r="E208">
        <v>3.1</v>
      </c>
      <c r="F208">
        <v>0.255</v>
      </c>
      <c r="G208" s="1">
        <v>2.35E-11</v>
      </c>
      <c r="H208">
        <v>964</v>
      </c>
      <c r="I208" s="1">
        <v>2.4000000000000001E-11</v>
      </c>
      <c r="J208">
        <v>269</v>
      </c>
      <c r="K208" s="1">
        <v>2.4099999999999999E-11</v>
      </c>
      <c r="L208">
        <v>76.7</v>
      </c>
      <c r="M208" s="1">
        <v>2.5899999999999999E-14</v>
      </c>
      <c r="N208">
        <v>60.6</v>
      </c>
      <c r="O208" s="1">
        <v>1.93E-14</v>
      </c>
      <c r="P208">
        <v>49</v>
      </c>
      <c r="Q208">
        <v>27400</v>
      </c>
      <c r="R208">
        <v>32500</v>
      </c>
    </row>
    <row r="209" spans="1:18" x14ac:dyDescent="0.25">
      <c r="A209" t="s">
        <v>593</v>
      </c>
      <c r="B209" t="str">
        <f>"433-28-3"</f>
        <v>433-28-3</v>
      </c>
      <c r="D209" t="s">
        <v>594</v>
      </c>
      <c r="E209">
        <v>4.0000000000000001E-3</v>
      </c>
      <c r="F209">
        <v>4.0000000000000001E-3</v>
      </c>
      <c r="G209" s="1">
        <v>7.0500000000000002E-16</v>
      </c>
      <c r="H209">
        <v>2.9000000000000001E-2</v>
      </c>
      <c r="I209" s="1">
        <v>7.1900000000000005E-16</v>
      </c>
      <c r="J209">
        <v>8.0000000000000002E-3</v>
      </c>
      <c r="K209" s="1">
        <v>7.1900000000000005E-16</v>
      </c>
      <c r="L209">
        <v>2E-3</v>
      </c>
      <c r="M209" s="1">
        <v>7.5200000000000002E-19</v>
      </c>
      <c r="N209">
        <v>2E-3</v>
      </c>
      <c r="O209" s="1">
        <v>5.7099999999999999E-19</v>
      </c>
      <c r="P209">
        <v>1E-3</v>
      </c>
      <c r="Q209">
        <v>0.82499999999999996</v>
      </c>
      <c r="R209">
        <v>0.97599999999999998</v>
      </c>
    </row>
    <row r="210" spans="1:18" x14ac:dyDescent="0.25">
      <c r="A210" t="s">
        <v>595</v>
      </c>
      <c r="B210" t="str">
        <f>"383-63-1"</f>
        <v>383-63-1</v>
      </c>
      <c r="D210" t="s">
        <v>596</v>
      </c>
      <c r="E210">
        <v>0.06</v>
      </c>
      <c r="F210">
        <v>5.6000000000000001E-2</v>
      </c>
      <c r="G210" s="1">
        <v>1.3899999999999999E-13</v>
      </c>
      <c r="H210">
        <v>5.7</v>
      </c>
      <c r="I210" s="1">
        <v>1.4100000000000001E-13</v>
      </c>
      <c r="J210">
        <v>1.58</v>
      </c>
      <c r="K210" s="1">
        <v>1.42E-13</v>
      </c>
      <c r="L210">
        <v>0.45100000000000001</v>
      </c>
      <c r="M210" s="1">
        <v>1.4799999999999999E-16</v>
      </c>
      <c r="N210">
        <v>0.34699999999999998</v>
      </c>
      <c r="O210" s="1">
        <v>1.12E-16</v>
      </c>
      <c r="P210">
        <v>0.28499999999999998</v>
      </c>
      <c r="Q210">
        <v>162</v>
      </c>
      <c r="R210">
        <v>192</v>
      </c>
    </row>
    <row r="211" spans="1:18" x14ac:dyDescent="0.25">
      <c r="A211" t="s">
        <v>597</v>
      </c>
      <c r="B211" t="str">
        <f>"383-67-5"</f>
        <v>383-67-5</v>
      </c>
      <c r="D211" t="s">
        <v>598</v>
      </c>
      <c r="E211">
        <v>3.0000000000000001E-3</v>
      </c>
      <c r="F211">
        <v>5.0000000000000001E-3</v>
      </c>
      <c r="G211" s="1">
        <v>6.3599999999999998E-16</v>
      </c>
      <c r="H211">
        <v>2.5999999999999999E-2</v>
      </c>
      <c r="I211" s="1">
        <v>6.4799999999999998E-16</v>
      </c>
      <c r="J211">
        <v>7.0000000000000001E-3</v>
      </c>
      <c r="K211" s="1">
        <v>6.4899999999999999E-16</v>
      </c>
      <c r="L211">
        <v>2E-3</v>
      </c>
      <c r="M211" s="1">
        <v>6.7900000000000001E-19</v>
      </c>
      <c r="N211">
        <v>2E-3</v>
      </c>
      <c r="O211" s="1">
        <v>5.1499999999999996E-19</v>
      </c>
      <c r="P211">
        <v>1E-3</v>
      </c>
      <c r="Q211">
        <v>0.745</v>
      </c>
      <c r="R211">
        <v>0.88100000000000001</v>
      </c>
    </row>
    <row r="212" spans="1:18" x14ac:dyDescent="0.25">
      <c r="A212" t="s">
        <v>599</v>
      </c>
      <c r="B212" t="str">
        <f>"431-47-0"</f>
        <v>431-47-0</v>
      </c>
      <c r="D212" t="s">
        <v>600</v>
      </c>
      <c r="E212">
        <v>1</v>
      </c>
      <c r="F212">
        <v>0.158</v>
      </c>
      <c r="G212" s="1">
        <v>7.2100000000000002E-12</v>
      </c>
      <c r="H212">
        <v>296</v>
      </c>
      <c r="I212" s="1">
        <v>7.3599999999999993E-12</v>
      </c>
      <c r="J212">
        <v>82.3</v>
      </c>
      <c r="K212" s="1">
        <v>7.3599999999999993E-12</v>
      </c>
      <c r="L212">
        <v>23.5</v>
      </c>
      <c r="M212" s="1">
        <v>7.7799999999999994E-15</v>
      </c>
      <c r="N212">
        <v>18.2</v>
      </c>
      <c r="O212" s="1">
        <v>5.8700000000000003E-15</v>
      </c>
      <c r="P212">
        <v>14.9</v>
      </c>
      <c r="Q212">
        <v>8430</v>
      </c>
      <c r="R212">
        <v>9980</v>
      </c>
    </row>
    <row r="213" spans="1:18" x14ac:dyDescent="0.25">
      <c r="A213" t="s">
        <v>601</v>
      </c>
      <c r="B213" t="str">
        <f>"375-01-9"</f>
        <v>375-01-9</v>
      </c>
      <c r="D213" t="s">
        <v>602</v>
      </c>
      <c r="E213">
        <v>0.55000000000000004</v>
      </c>
      <c r="F213">
        <v>0.19900000000000001</v>
      </c>
      <c r="G213" s="1">
        <v>3.2000000000000001E-12</v>
      </c>
      <c r="H213">
        <v>131</v>
      </c>
      <c r="I213" s="1">
        <v>3.2599999999999998E-12</v>
      </c>
      <c r="J213">
        <v>36.5</v>
      </c>
      <c r="K213" s="1">
        <v>3.2599999999999998E-12</v>
      </c>
      <c r="L213">
        <v>10.4</v>
      </c>
      <c r="M213" s="1">
        <v>3.4300000000000001E-15</v>
      </c>
      <c r="N213">
        <v>8.0299999999999994</v>
      </c>
      <c r="O213" s="1">
        <v>2.6E-15</v>
      </c>
      <c r="P213">
        <v>6.58</v>
      </c>
      <c r="Q213">
        <v>3740</v>
      </c>
      <c r="R213">
        <v>4430</v>
      </c>
    </row>
    <row r="214" spans="1:18" x14ac:dyDescent="0.25">
      <c r="A214" t="s">
        <v>603</v>
      </c>
      <c r="B214" t="str">
        <f>"84011-06-3"</f>
        <v>84011-06-3</v>
      </c>
      <c r="D214" t="s">
        <v>604</v>
      </c>
      <c r="E214">
        <v>9</v>
      </c>
      <c r="F214">
        <v>0.35299999999999998</v>
      </c>
      <c r="G214" s="1">
        <v>9.7600000000000004E-11</v>
      </c>
      <c r="H214">
        <v>4010</v>
      </c>
      <c r="I214" s="1">
        <v>1.13E-10</v>
      </c>
      <c r="J214">
        <v>1260</v>
      </c>
      <c r="K214" s="1">
        <v>1.13E-10</v>
      </c>
      <c r="L214">
        <v>359</v>
      </c>
      <c r="M214" s="1">
        <v>1.6199999999999999E-13</v>
      </c>
      <c r="N214">
        <v>379</v>
      </c>
      <c r="O214" s="1">
        <v>9.3300000000000004E-14</v>
      </c>
      <c r="P214">
        <v>236</v>
      </c>
      <c r="Q214">
        <v>126000</v>
      </c>
      <c r="R214">
        <v>151000</v>
      </c>
    </row>
    <row r="215" spans="1:18" x14ac:dyDescent="0.25">
      <c r="A215" t="s">
        <v>605</v>
      </c>
      <c r="B215" t="str">
        <f>"380-34-7"</f>
        <v>380-34-7</v>
      </c>
      <c r="D215" t="s">
        <v>606</v>
      </c>
      <c r="E215">
        <v>0.40300000000000002</v>
      </c>
      <c r="F215">
        <v>0.193</v>
      </c>
      <c r="G215" s="1">
        <v>2.3199999999999998E-12</v>
      </c>
      <c r="H215">
        <v>95.2</v>
      </c>
      <c r="I215" s="1">
        <v>2.36E-12</v>
      </c>
      <c r="J215">
        <v>26.4</v>
      </c>
      <c r="K215" s="1">
        <v>2.3700000000000002E-12</v>
      </c>
      <c r="L215">
        <v>7.54</v>
      </c>
      <c r="M215" s="1">
        <v>2.4899999999999998E-15</v>
      </c>
      <c r="N215">
        <v>5.81</v>
      </c>
      <c r="O215" s="1">
        <v>1.8800000000000002E-15</v>
      </c>
      <c r="P215">
        <v>4.7699999999999996</v>
      </c>
      <c r="Q215">
        <v>2710</v>
      </c>
      <c r="R215">
        <v>3210</v>
      </c>
    </row>
    <row r="216" spans="1:18" x14ac:dyDescent="0.25">
      <c r="A216" t="s">
        <v>607</v>
      </c>
      <c r="B216" t="str">
        <f>"3330-15-2"</f>
        <v>3330-15-2</v>
      </c>
      <c r="D216" t="s">
        <v>608</v>
      </c>
      <c r="E216">
        <v>59.4</v>
      </c>
      <c r="F216">
        <v>0.59099999999999997</v>
      </c>
      <c r="G216" s="1">
        <v>2.02E-10</v>
      </c>
      <c r="H216">
        <v>8320</v>
      </c>
      <c r="I216" s="1">
        <v>5.9300000000000002E-10</v>
      </c>
      <c r="J216">
        <v>6630</v>
      </c>
      <c r="K216" s="1">
        <v>7.3299999999999995E-10</v>
      </c>
      <c r="L216">
        <v>2340</v>
      </c>
      <c r="M216" s="1">
        <v>2.9299999999999998E-12</v>
      </c>
      <c r="N216">
        <v>6860</v>
      </c>
      <c r="O216" s="1">
        <v>1.6299999999999999E-12</v>
      </c>
      <c r="P216">
        <v>4140</v>
      </c>
    </row>
    <row r="217" spans="1:18" x14ac:dyDescent="0.25">
      <c r="A217" t="s">
        <v>609</v>
      </c>
      <c r="B217" t="str">
        <f>"76-37-9"</f>
        <v>76-37-9</v>
      </c>
      <c r="D217" t="s">
        <v>610</v>
      </c>
      <c r="E217">
        <v>0.255</v>
      </c>
      <c r="F217">
        <v>0.112</v>
      </c>
      <c r="G217" s="1">
        <v>1.27E-12</v>
      </c>
      <c r="H217">
        <v>52</v>
      </c>
      <c r="I217" s="1">
        <v>1.29E-12</v>
      </c>
      <c r="J217">
        <v>14.4</v>
      </c>
      <c r="K217" s="1">
        <v>1.29E-12</v>
      </c>
      <c r="L217">
        <v>4.12</v>
      </c>
      <c r="M217" s="1">
        <v>1.36E-15</v>
      </c>
      <c r="N217">
        <v>3.17</v>
      </c>
      <c r="O217" s="1">
        <v>1.03E-15</v>
      </c>
      <c r="P217">
        <v>2.6</v>
      </c>
      <c r="Q217">
        <v>1480</v>
      </c>
      <c r="R217">
        <v>1750</v>
      </c>
    </row>
    <row r="218" spans="1:18" x14ac:dyDescent="0.25">
      <c r="A218" t="s">
        <v>611</v>
      </c>
      <c r="B218" t="str">
        <f>"382-31-0"</f>
        <v>382-31-0</v>
      </c>
      <c r="D218" t="s">
        <v>612</v>
      </c>
      <c r="E218">
        <v>0.36699999999999999</v>
      </c>
      <c r="F218">
        <v>0.22700000000000001</v>
      </c>
      <c r="G218" s="1">
        <v>2.6700000000000001E-12</v>
      </c>
      <c r="H218">
        <v>110</v>
      </c>
      <c r="I218" s="1">
        <v>2.7299999999999999E-12</v>
      </c>
      <c r="J218">
        <v>30.5</v>
      </c>
      <c r="K218" s="1">
        <v>2.7299999999999999E-12</v>
      </c>
      <c r="L218">
        <v>8.69</v>
      </c>
      <c r="M218" s="1">
        <v>2.8700000000000001E-15</v>
      </c>
      <c r="N218">
        <v>6.7</v>
      </c>
      <c r="O218" s="1">
        <v>2.1700000000000002E-15</v>
      </c>
      <c r="P218">
        <v>5.5</v>
      </c>
      <c r="Q218">
        <v>3130</v>
      </c>
      <c r="R218">
        <v>3700</v>
      </c>
    </row>
    <row r="219" spans="1:18" x14ac:dyDescent="0.25">
      <c r="A219" t="s">
        <v>613</v>
      </c>
      <c r="B219" t="str">
        <f>"60598-17-6"</f>
        <v>60598-17-6</v>
      </c>
      <c r="D219" t="s">
        <v>614</v>
      </c>
      <c r="E219">
        <v>7.0999999999999994E-2</v>
      </c>
      <c r="F219">
        <v>5.1999999999999998E-2</v>
      </c>
      <c r="G219" s="1">
        <v>1.47E-13</v>
      </c>
      <c r="H219">
        <v>6.03</v>
      </c>
      <c r="I219" s="1">
        <v>1.4999999999999999E-13</v>
      </c>
      <c r="J219">
        <v>1.68</v>
      </c>
      <c r="K219" s="1">
        <v>1.4999999999999999E-13</v>
      </c>
      <c r="L219">
        <v>0.47799999999999998</v>
      </c>
      <c r="M219" s="1">
        <v>1.5700000000000001E-16</v>
      </c>
      <c r="N219">
        <v>0.36699999999999999</v>
      </c>
      <c r="O219" s="1">
        <v>1.1900000000000001E-16</v>
      </c>
      <c r="P219">
        <v>0.30199999999999999</v>
      </c>
      <c r="Q219">
        <v>172</v>
      </c>
      <c r="R219">
        <v>203</v>
      </c>
    </row>
    <row r="220" spans="1:18" x14ac:dyDescent="0.25">
      <c r="A220" t="s">
        <v>615</v>
      </c>
      <c r="B220" t="str">
        <f>"756-13-8"</f>
        <v>756-13-8</v>
      </c>
      <c r="D220" t="s">
        <v>616</v>
      </c>
      <c r="E220">
        <v>1.9E-2</v>
      </c>
      <c r="F220">
        <v>2.8000000000000001E-2</v>
      </c>
      <c r="G220" s="1">
        <v>1E-14</v>
      </c>
      <c r="H220">
        <v>0.41099999999999998</v>
      </c>
      <c r="I220" s="1">
        <v>1.02E-14</v>
      </c>
      <c r="J220">
        <v>0.114</v>
      </c>
      <c r="K220" s="1">
        <v>1.02E-14</v>
      </c>
      <c r="L220">
        <v>3.3000000000000002E-2</v>
      </c>
      <c r="M220" s="1">
        <v>1.07E-17</v>
      </c>
      <c r="N220">
        <v>2.5000000000000001E-2</v>
      </c>
      <c r="O220" s="1">
        <v>8.1199999999999999E-18</v>
      </c>
      <c r="P220">
        <v>2.1000000000000001E-2</v>
      </c>
      <c r="Q220">
        <v>11.7</v>
      </c>
      <c r="R220">
        <v>13.9</v>
      </c>
    </row>
    <row r="221" spans="1:18" x14ac:dyDescent="0.25">
      <c r="A221" t="s">
        <v>617</v>
      </c>
      <c r="B221" t="str">
        <f>"460-40-2"</f>
        <v>460-40-2</v>
      </c>
      <c r="D221" t="s">
        <v>618</v>
      </c>
      <c r="E221">
        <v>8.0000000000000002E-3</v>
      </c>
      <c r="F221">
        <v>5.0000000000000001E-3</v>
      </c>
      <c r="G221" s="1">
        <v>2.21E-15</v>
      </c>
      <c r="H221">
        <v>9.0999999999999998E-2</v>
      </c>
      <c r="I221" s="1">
        <v>2.2499999999999999E-15</v>
      </c>
      <c r="J221">
        <v>2.5000000000000001E-2</v>
      </c>
      <c r="K221" s="1">
        <v>2.2499999999999999E-15</v>
      </c>
      <c r="L221">
        <v>7.0000000000000001E-3</v>
      </c>
      <c r="M221" s="1">
        <v>2.3600000000000002E-18</v>
      </c>
      <c r="N221">
        <v>6.0000000000000001E-3</v>
      </c>
      <c r="O221" s="1">
        <v>1.7900000000000001E-18</v>
      </c>
      <c r="P221">
        <v>5.0000000000000001E-3</v>
      </c>
      <c r="Q221">
        <v>2.58</v>
      </c>
      <c r="R221">
        <v>3.06</v>
      </c>
    </row>
    <row r="222" spans="1:18" x14ac:dyDescent="0.25">
      <c r="A222" t="s">
        <v>619</v>
      </c>
      <c r="B222" t="str">
        <f>"371-62-0"</f>
        <v>371-62-0</v>
      </c>
      <c r="D222" t="s">
        <v>620</v>
      </c>
      <c r="E222">
        <v>4.3999999999999997E-2</v>
      </c>
      <c r="F222">
        <v>1.2E-2</v>
      </c>
      <c r="G222" s="1">
        <v>4.6499999999999997E-14</v>
      </c>
      <c r="H222">
        <v>1.91</v>
      </c>
      <c r="I222" s="1">
        <v>4.7399999999999999E-14</v>
      </c>
      <c r="J222">
        <v>0.53</v>
      </c>
      <c r="K222" s="1">
        <v>4.7399999999999999E-14</v>
      </c>
      <c r="L222">
        <v>0.151</v>
      </c>
      <c r="M222" s="1">
        <v>4.9699999999999999E-17</v>
      </c>
      <c r="N222">
        <v>0.11600000000000001</v>
      </c>
      <c r="O222" s="1">
        <v>3.7700000000000001E-17</v>
      </c>
      <c r="P222">
        <v>9.5000000000000001E-2</v>
      </c>
      <c r="Q222">
        <v>54.4</v>
      </c>
      <c r="R222">
        <v>64.400000000000006</v>
      </c>
    </row>
    <row r="223" spans="1:18" x14ac:dyDescent="0.25">
      <c r="A223" t="s">
        <v>621</v>
      </c>
      <c r="B223" t="str">
        <f>"359-13-7"</f>
        <v>359-13-7</v>
      </c>
      <c r="D223" t="s">
        <v>622</v>
      </c>
      <c r="E223">
        <v>0.16700000000000001</v>
      </c>
      <c r="F223">
        <v>4.5999999999999999E-2</v>
      </c>
      <c r="G223" s="1">
        <v>5.4200000000000001E-13</v>
      </c>
      <c r="H223">
        <v>22.3</v>
      </c>
      <c r="I223" s="1">
        <v>5.5299999999999997E-13</v>
      </c>
      <c r="J223">
        <v>6.18</v>
      </c>
      <c r="K223" s="1">
        <v>5.5299999999999997E-13</v>
      </c>
      <c r="L223">
        <v>1.76</v>
      </c>
      <c r="M223" s="1">
        <v>5.7999999999999996E-16</v>
      </c>
      <c r="N223">
        <v>1.36</v>
      </c>
      <c r="O223" s="1">
        <v>4.4E-16</v>
      </c>
      <c r="P223">
        <v>1.1100000000000001</v>
      </c>
      <c r="Q223">
        <v>634</v>
      </c>
      <c r="R223">
        <v>751</v>
      </c>
    </row>
    <row r="224" spans="1:18" x14ac:dyDescent="0.25">
      <c r="A224" t="s">
        <v>623</v>
      </c>
      <c r="B224" t="str">
        <f>"75-89-8"</f>
        <v>75-89-8</v>
      </c>
      <c r="D224" t="s">
        <v>624</v>
      </c>
      <c r="E224">
        <v>0.45800000000000002</v>
      </c>
      <c r="F224">
        <v>0.11700000000000001</v>
      </c>
      <c r="G224" s="1">
        <v>3.1300000000000002E-12</v>
      </c>
      <c r="H224">
        <v>129</v>
      </c>
      <c r="I224" s="1">
        <v>3.2000000000000001E-12</v>
      </c>
      <c r="J224">
        <v>35.700000000000003</v>
      </c>
      <c r="K224" s="1">
        <v>3.2000000000000001E-12</v>
      </c>
      <c r="L224">
        <v>10.199999999999999</v>
      </c>
      <c r="M224" s="1">
        <v>3.3600000000000002E-15</v>
      </c>
      <c r="N224">
        <v>7.86</v>
      </c>
      <c r="O224" s="1">
        <v>2.5399999999999999E-15</v>
      </c>
      <c r="P224">
        <v>6.44</v>
      </c>
      <c r="Q224">
        <v>3660</v>
      </c>
      <c r="R224">
        <v>4340</v>
      </c>
    </row>
    <row r="225" spans="1:18" x14ac:dyDescent="0.25">
      <c r="B225" t="str">
        <f>"173350-38-4"</f>
        <v>173350-38-4</v>
      </c>
      <c r="C225" t="s">
        <v>625</v>
      </c>
      <c r="D225" t="s">
        <v>626</v>
      </c>
      <c r="E225">
        <v>26.9</v>
      </c>
      <c r="F225">
        <v>1.46</v>
      </c>
      <c r="G225" s="1">
        <v>2.0399999999999999E-10</v>
      </c>
      <c r="H225">
        <v>8400</v>
      </c>
      <c r="I225" s="1">
        <v>3.9199999999999999E-10</v>
      </c>
      <c r="J225">
        <v>4380</v>
      </c>
      <c r="K225" s="1">
        <v>4.03E-10</v>
      </c>
      <c r="L225">
        <v>1280</v>
      </c>
      <c r="M225" s="1">
        <v>1.56E-12</v>
      </c>
      <c r="N225">
        <v>3660</v>
      </c>
      <c r="O225" s="1">
        <v>5.3800000000000003E-13</v>
      </c>
      <c r="P225">
        <v>1360</v>
      </c>
    </row>
    <row r="226" spans="1:18" x14ac:dyDescent="0.25">
      <c r="A226" t="s">
        <v>627</v>
      </c>
      <c r="B226" t="str">
        <f>""</f>
        <v/>
      </c>
      <c r="D226" t="s">
        <v>628</v>
      </c>
      <c r="E226">
        <v>0.30399999999999999</v>
      </c>
      <c r="F226">
        <v>0.27</v>
      </c>
      <c r="G226" s="1">
        <v>1.32E-12</v>
      </c>
      <c r="H226">
        <v>54.4</v>
      </c>
      <c r="I226" s="1">
        <v>1.3499999999999999E-12</v>
      </c>
      <c r="J226">
        <v>15.1</v>
      </c>
      <c r="K226" s="1">
        <v>1.3499999999999999E-12</v>
      </c>
      <c r="L226">
        <v>4.3</v>
      </c>
      <c r="M226" s="1">
        <v>1.42E-15</v>
      </c>
      <c r="N226">
        <v>3.31</v>
      </c>
      <c r="O226" s="1">
        <v>1.07E-15</v>
      </c>
      <c r="P226">
        <v>2.72</v>
      </c>
      <c r="Q226">
        <v>1550</v>
      </c>
      <c r="R226">
        <v>1830</v>
      </c>
    </row>
    <row r="227" spans="1:18" x14ac:dyDescent="0.25">
      <c r="A227" t="s">
        <v>629</v>
      </c>
      <c r="B227" t="str">
        <f>"421-50-1"</f>
        <v>421-50-1</v>
      </c>
      <c r="D227" t="s">
        <v>630</v>
      </c>
      <c r="E227">
        <v>1.4E-2</v>
      </c>
      <c r="F227">
        <v>1.0999999999999999E-2</v>
      </c>
      <c r="G227" s="1">
        <v>7.8800000000000002E-15</v>
      </c>
      <c r="H227">
        <v>0.32400000000000001</v>
      </c>
      <c r="I227" s="1">
        <v>8.0399999999999997E-15</v>
      </c>
      <c r="J227">
        <v>0.09</v>
      </c>
      <c r="K227" s="1">
        <v>8.0399999999999997E-15</v>
      </c>
      <c r="L227">
        <v>2.5999999999999999E-2</v>
      </c>
      <c r="M227" s="1">
        <v>8.4100000000000007E-18</v>
      </c>
      <c r="N227">
        <v>0.02</v>
      </c>
      <c r="O227" s="1">
        <v>6.3899999999999999E-18</v>
      </c>
      <c r="P227">
        <v>1.6E-2</v>
      </c>
      <c r="Q227">
        <v>9.23</v>
      </c>
      <c r="R227">
        <v>10.9</v>
      </c>
    </row>
    <row r="228" spans="1:18" x14ac:dyDescent="0.25">
      <c r="A228" t="s">
        <v>631</v>
      </c>
      <c r="B228" t="str">
        <f>"381-88-4"</f>
        <v>381-88-4</v>
      </c>
      <c r="D228" t="s">
        <v>632</v>
      </c>
      <c r="E228">
        <v>1.7999999999999999E-2</v>
      </c>
      <c r="F228">
        <v>0.01</v>
      </c>
      <c r="G228" s="1">
        <v>8.3400000000000006E-15</v>
      </c>
      <c r="H228">
        <v>0.34300000000000003</v>
      </c>
      <c r="I228" s="1">
        <v>8.5099999999999998E-15</v>
      </c>
      <c r="J228">
        <v>9.5000000000000001E-2</v>
      </c>
      <c r="K228" s="1">
        <v>8.5099999999999998E-15</v>
      </c>
      <c r="L228">
        <v>2.7E-2</v>
      </c>
      <c r="M228" s="1">
        <v>8.9099999999999996E-18</v>
      </c>
      <c r="N228">
        <v>2.1000000000000001E-2</v>
      </c>
      <c r="O228" s="1">
        <v>6.7600000000000002E-18</v>
      </c>
      <c r="P228">
        <v>1.7000000000000001E-2</v>
      </c>
      <c r="Q228">
        <v>9.77</v>
      </c>
      <c r="R228">
        <v>11.6</v>
      </c>
    </row>
    <row r="229" spans="1:18" x14ac:dyDescent="0.25">
      <c r="A229" t="s">
        <v>633</v>
      </c>
      <c r="B229" t="str">
        <f>"110-75-8"</f>
        <v>110-75-8</v>
      </c>
      <c r="C229" t="s">
        <v>634</v>
      </c>
      <c r="D229" t="s">
        <v>635</v>
      </c>
      <c r="E229">
        <v>0</v>
      </c>
      <c r="F229">
        <v>1E-3</v>
      </c>
      <c r="G229" s="1">
        <v>1.65E-17</v>
      </c>
      <c r="H229">
        <v>1E-3</v>
      </c>
      <c r="I229" s="1">
        <v>1.68E-17</v>
      </c>
      <c r="J229">
        <v>0</v>
      </c>
      <c r="K229" s="1">
        <v>1.68E-17</v>
      </c>
      <c r="L229">
        <v>0</v>
      </c>
      <c r="M229" s="1">
        <v>1.76E-20</v>
      </c>
      <c r="N229">
        <v>0</v>
      </c>
      <c r="O229" s="1">
        <v>1.3300000000000001E-20</v>
      </c>
      <c r="P229">
        <v>0</v>
      </c>
      <c r="Q229">
        <v>1.9E-2</v>
      </c>
      <c r="R229">
        <v>2.3E-2</v>
      </c>
    </row>
    <row r="230" spans="1:18" x14ac:dyDescent="0.25">
      <c r="A230" t="s">
        <v>636</v>
      </c>
      <c r="B230" t="str">
        <f>"74-84-0"</f>
        <v>74-84-0</v>
      </c>
      <c r="D230" t="s">
        <v>637</v>
      </c>
      <c r="E230">
        <v>0.159</v>
      </c>
      <c r="F230">
        <v>1E-3</v>
      </c>
      <c r="G230" s="1">
        <v>3.8299999999999998E-14</v>
      </c>
      <c r="H230">
        <v>1.57</v>
      </c>
      <c r="I230" s="1">
        <v>3.9099999999999999E-14</v>
      </c>
      <c r="J230">
        <v>0.437</v>
      </c>
      <c r="K230" s="1">
        <v>3.9099999999999999E-14</v>
      </c>
      <c r="L230">
        <v>0.125</v>
      </c>
      <c r="M230" s="1">
        <v>4.1000000000000001E-17</v>
      </c>
      <c r="N230">
        <v>9.6000000000000002E-2</v>
      </c>
      <c r="O230" s="1">
        <v>3.1100000000000002E-17</v>
      </c>
      <c r="P230">
        <v>7.9000000000000001E-2</v>
      </c>
      <c r="Q230">
        <v>44.8</v>
      </c>
      <c r="R230">
        <v>53</v>
      </c>
    </row>
    <row r="231" spans="1:18" x14ac:dyDescent="0.25">
      <c r="A231" t="s">
        <v>638</v>
      </c>
      <c r="B231" t="str">
        <f>"74-98-6"</f>
        <v>74-98-6</v>
      </c>
      <c r="D231" t="s">
        <v>639</v>
      </c>
      <c r="E231">
        <v>3.5999999999999997E-2</v>
      </c>
      <c r="F231">
        <v>0</v>
      </c>
      <c r="G231" s="1">
        <v>1.75E-15</v>
      </c>
      <c r="H231">
        <v>7.1999999999999995E-2</v>
      </c>
      <c r="I231" s="1">
        <v>1.7800000000000001E-15</v>
      </c>
      <c r="J231">
        <v>0.02</v>
      </c>
      <c r="K231" s="1">
        <v>1.7800000000000001E-15</v>
      </c>
      <c r="L231">
        <v>6.0000000000000001E-3</v>
      </c>
      <c r="M231" s="1">
        <v>1.8700000000000001E-18</v>
      </c>
      <c r="N231">
        <v>4.0000000000000001E-3</v>
      </c>
      <c r="O231" s="1">
        <v>1.41E-18</v>
      </c>
      <c r="P231">
        <v>4.0000000000000001E-3</v>
      </c>
      <c r="Q231">
        <v>2.04</v>
      </c>
      <c r="R231">
        <v>2.42</v>
      </c>
    </row>
    <row r="232" spans="1:18" x14ac:dyDescent="0.25">
      <c r="A232" t="s">
        <v>640</v>
      </c>
      <c r="B232" t="str">
        <f>"106-97-8"</f>
        <v>106-97-8</v>
      </c>
      <c r="D232" t="s">
        <v>641</v>
      </c>
      <c r="E232">
        <v>1.9E-2</v>
      </c>
      <c r="F232">
        <v>0</v>
      </c>
      <c r="G232" s="1">
        <v>5.4200000000000003E-16</v>
      </c>
      <c r="H232">
        <v>2.1999999999999999E-2</v>
      </c>
      <c r="I232" s="1">
        <v>5.5300000000000001E-16</v>
      </c>
      <c r="J232">
        <v>6.0000000000000001E-3</v>
      </c>
      <c r="K232" s="1">
        <v>5.5300000000000001E-16</v>
      </c>
      <c r="L232">
        <v>2E-3</v>
      </c>
      <c r="M232" s="1">
        <v>5.7899999999999996E-19</v>
      </c>
      <c r="N232">
        <v>1E-3</v>
      </c>
      <c r="O232" s="1">
        <v>4.3999999999999997E-19</v>
      </c>
      <c r="P232">
        <v>1E-3</v>
      </c>
      <c r="Q232">
        <v>0.63500000000000001</v>
      </c>
      <c r="R232">
        <v>0.751</v>
      </c>
    </row>
    <row r="233" spans="1:18" x14ac:dyDescent="0.25">
      <c r="A233" t="s">
        <v>642</v>
      </c>
      <c r="B233" t="str">
        <f>"565-69-5"</f>
        <v>565-69-5</v>
      </c>
      <c r="D233" t="s">
        <v>643</v>
      </c>
      <c r="E233">
        <v>1.4999999999999999E-2</v>
      </c>
      <c r="F233">
        <v>0.02</v>
      </c>
      <c r="G233" s="1">
        <v>1.7500000000000001E-14</v>
      </c>
      <c r="H233">
        <v>0.71899999999999997</v>
      </c>
      <c r="I233" s="1">
        <v>1.7900000000000001E-14</v>
      </c>
      <c r="J233">
        <v>0.2</v>
      </c>
      <c r="K233" s="1">
        <v>1.7900000000000001E-14</v>
      </c>
      <c r="L233">
        <v>5.7000000000000002E-2</v>
      </c>
      <c r="M233" s="1">
        <v>1.8700000000000001E-17</v>
      </c>
      <c r="N233">
        <v>4.3999999999999997E-2</v>
      </c>
      <c r="O233" s="1">
        <v>1.4200000000000001E-17</v>
      </c>
      <c r="P233">
        <v>3.5999999999999997E-2</v>
      </c>
      <c r="Q233">
        <v>20.5</v>
      </c>
      <c r="R233">
        <v>24.3</v>
      </c>
    </row>
    <row r="234" spans="1:18" x14ac:dyDescent="0.25">
      <c r="A234" t="s">
        <v>644</v>
      </c>
      <c r="B234" t="str">
        <f>"540-67-0"</f>
        <v>540-67-0</v>
      </c>
      <c r="D234" t="s">
        <v>645</v>
      </c>
      <c r="E234">
        <v>5.0000000000000001E-3</v>
      </c>
      <c r="F234">
        <v>2E-3</v>
      </c>
      <c r="G234" s="1">
        <v>8.5600000000000001E-16</v>
      </c>
      <c r="H234">
        <v>3.5000000000000003E-2</v>
      </c>
      <c r="I234" s="1">
        <v>8.7299999999999999E-16</v>
      </c>
      <c r="J234">
        <v>0.01</v>
      </c>
      <c r="K234" s="1">
        <v>8.7299999999999999E-16</v>
      </c>
      <c r="L234">
        <v>3.0000000000000001E-3</v>
      </c>
      <c r="M234" s="1">
        <v>9.1399999999999991E-19</v>
      </c>
      <c r="N234">
        <v>2E-3</v>
      </c>
      <c r="O234" s="1">
        <v>6.9400000000000002E-19</v>
      </c>
      <c r="P234">
        <v>2E-3</v>
      </c>
      <c r="Q234">
        <v>1</v>
      </c>
      <c r="R234">
        <v>1.19</v>
      </c>
    </row>
    <row r="235" spans="1:18" x14ac:dyDescent="0.25">
      <c r="A235" t="s">
        <v>646</v>
      </c>
      <c r="B235" t="str">
        <f>"773-14-8"</f>
        <v>773-14-8</v>
      </c>
      <c r="C235" t="s">
        <v>647</v>
      </c>
      <c r="D235" t="s">
        <v>648</v>
      </c>
      <c r="E235">
        <v>3000</v>
      </c>
      <c r="F235">
        <v>0.46300000000000002</v>
      </c>
      <c r="G235" s="1">
        <v>2.4599999999999998E-10</v>
      </c>
      <c r="H235">
        <v>10100</v>
      </c>
      <c r="I235" s="1">
        <v>1.2400000000000001E-9</v>
      </c>
      <c r="J235">
        <v>13900</v>
      </c>
      <c r="K235" s="1">
        <v>5.8900000000000001E-9</v>
      </c>
      <c r="L235">
        <v>18800</v>
      </c>
      <c r="M235" s="1">
        <v>6.1799999999999999E-12</v>
      </c>
      <c r="N235">
        <v>14500</v>
      </c>
      <c r="O235" s="1">
        <v>6.6500000000000001E-12</v>
      </c>
      <c r="P235">
        <v>16900</v>
      </c>
    </row>
    <row r="236" spans="1:18" x14ac:dyDescent="0.25">
      <c r="A236" t="s">
        <v>649</v>
      </c>
      <c r="B236" t="str">
        <f>"4170-30-3"</f>
        <v>4170-30-3</v>
      </c>
      <c r="D236" t="s">
        <v>650</v>
      </c>
      <c r="E236">
        <v>1E-3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 x14ac:dyDescent="0.25">
      <c r="A237" t="s">
        <v>651</v>
      </c>
      <c r="B237" t="str">
        <f>"78-94-4"</f>
        <v>78-94-4</v>
      </c>
      <c r="C237" t="s">
        <v>652</v>
      </c>
      <c r="D237" t="s">
        <v>653</v>
      </c>
      <c r="E237">
        <v>1E-3</v>
      </c>
      <c r="F237">
        <v>0</v>
      </c>
      <c r="G237" s="1">
        <v>2.4800000000000001E-17</v>
      </c>
      <c r="H237">
        <v>1E-3</v>
      </c>
      <c r="I237" s="1">
        <v>2.5299999999999999E-17</v>
      </c>
      <c r="J237">
        <v>0</v>
      </c>
      <c r="K237" s="1">
        <v>2.5299999999999999E-17</v>
      </c>
      <c r="L237">
        <v>0</v>
      </c>
      <c r="M237" s="1">
        <v>2.6400000000000001E-20</v>
      </c>
      <c r="N237">
        <v>0</v>
      </c>
      <c r="O237" s="1">
        <v>2.0099999999999999E-20</v>
      </c>
      <c r="P237">
        <v>0</v>
      </c>
      <c r="Q237">
        <v>2.9000000000000001E-2</v>
      </c>
      <c r="R237">
        <v>3.4000000000000002E-2</v>
      </c>
    </row>
    <row r="238" spans="1:18" x14ac:dyDescent="0.25">
      <c r="A238" t="s">
        <v>654</v>
      </c>
      <c r="B238" t="str">
        <f>"557-40-4"</f>
        <v>557-40-4</v>
      </c>
      <c r="C238" t="s">
        <v>655</v>
      </c>
      <c r="D238" t="s">
        <v>656</v>
      </c>
      <c r="E238">
        <v>0</v>
      </c>
      <c r="F238">
        <v>1E-3</v>
      </c>
      <c r="G238" s="1">
        <v>1.19E-17</v>
      </c>
      <c r="H238">
        <v>0</v>
      </c>
      <c r="I238" s="1">
        <v>1.21E-17</v>
      </c>
      <c r="J238">
        <v>0</v>
      </c>
      <c r="K238" s="1">
        <v>1.21E-17</v>
      </c>
      <c r="L238">
        <v>0</v>
      </c>
      <c r="M238" s="1">
        <v>1.27E-20</v>
      </c>
      <c r="N238">
        <v>0</v>
      </c>
      <c r="O238" s="1">
        <v>9.6499999999999999E-21</v>
      </c>
      <c r="P238">
        <v>0</v>
      </c>
      <c r="Q238">
        <v>1.4E-2</v>
      </c>
      <c r="R238">
        <v>1.7000000000000001E-2</v>
      </c>
    </row>
    <row r="239" spans="1:18" x14ac:dyDescent="0.25">
      <c r="A239" t="s">
        <v>657</v>
      </c>
      <c r="B239" t="str">
        <f>"557-31-3"</f>
        <v>557-31-3</v>
      </c>
      <c r="C239" t="s">
        <v>658</v>
      </c>
      <c r="D239" t="s">
        <v>659</v>
      </c>
      <c r="E239">
        <v>1E-3</v>
      </c>
      <c r="F239">
        <v>1E-3</v>
      </c>
      <c r="G239" s="1">
        <v>3.39E-17</v>
      </c>
      <c r="H239">
        <v>1E-3</v>
      </c>
      <c r="I239" s="1">
        <v>3.4599999999999998E-17</v>
      </c>
      <c r="J239">
        <v>0</v>
      </c>
      <c r="K239" s="1">
        <v>3.4599999999999998E-17</v>
      </c>
      <c r="L239">
        <v>0</v>
      </c>
      <c r="M239" s="1">
        <v>3.6199999999999998E-20</v>
      </c>
      <c r="N239">
        <v>0</v>
      </c>
      <c r="O239" s="1">
        <v>2.7499999999999998E-20</v>
      </c>
      <c r="P239">
        <v>0</v>
      </c>
      <c r="Q239">
        <v>0.04</v>
      </c>
      <c r="R239">
        <v>4.7E-2</v>
      </c>
    </row>
    <row r="240" spans="1:18" x14ac:dyDescent="0.25">
      <c r="A240" t="s">
        <v>660</v>
      </c>
      <c r="B240" t="str">
        <f>"928-94-9"</f>
        <v>928-94-9</v>
      </c>
      <c r="D240" t="s">
        <v>661</v>
      </c>
      <c r="E240">
        <v>0</v>
      </c>
      <c r="F240">
        <v>3.7999999999999999E-2</v>
      </c>
      <c r="G240" s="1">
        <v>2.2300000000000002E-16</v>
      </c>
      <c r="H240">
        <v>8.9999999999999993E-3</v>
      </c>
      <c r="I240" s="1">
        <v>2.2800000000000001E-16</v>
      </c>
      <c r="J240">
        <v>3.0000000000000001E-3</v>
      </c>
      <c r="K240" s="1">
        <v>2.2800000000000001E-16</v>
      </c>
      <c r="L240">
        <v>1E-3</v>
      </c>
      <c r="M240" s="1">
        <v>2.38E-19</v>
      </c>
      <c r="N240">
        <v>1E-3</v>
      </c>
      <c r="O240" s="1">
        <v>1.8099999999999999E-19</v>
      </c>
      <c r="P240">
        <v>0</v>
      </c>
      <c r="Q240">
        <v>0.26100000000000001</v>
      </c>
      <c r="R240">
        <v>0.309</v>
      </c>
    </row>
    <row r="241" spans="1:18" x14ac:dyDescent="0.25">
      <c r="A241" t="s">
        <v>662</v>
      </c>
      <c r="B241" t="str">
        <f>"928-95-0"</f>
        <v>928-95-0</v>
      </c>
      <c r="D241" t="s">
        <v>661</v>
      </c>
      <c r="E241">
        <v>0</v>
      </c>
      <c r="F241">
        <v>3.5999999999999997E-2</v>
      </c>
      <c r="G241" s="1">
        <v>2.08E-16</v>
      </c>
      <c r="H241">
        <v>8.9999999999999993E-3</v>
      </c>
      <c r="I241" s="1">
        <v>2.1199999999999999E-16</v>
      </c>
      <c r="J241">
        <v>2E-3</v>
      </c>
      <c r="K241" s="1">
        <v>2.1199999999999999E-16</v>
      </c>
      <c r="L241">
        <v>1E-3</v>
      </c>
      <c r="M241" s="1">
        <v>2.22E-19</v>
      </c>
      <c r="N241">
        <v>1E-3</v>
      </c>
      <c r="O241" s="1">
        <v>1.6799999999999999E-19</v>
      </c>
      <c r="P241">
        <v>0</v>
      </c>
      <c r="Q241">
        <v>0.24299999999999999</v>
      </c>
      <c r="R241">
        <v>0.28799999999999998</v>
      </c>
    </row>
    <row r="242" spans="1:18" x14ac:dyDescent="0.25">
      <c r="A242" t="s">
        <v>663</v>
      </c>
      <c r="B242" t="str">
        <f>"109-75-1"</f>
        <v>109-75-1</v>
      </c>
      <c r="C242" t="s">
        <v>664</v>
      </c>
      <c r="D242" t="s">
        <v>665</v>
      </c>
      <c r="E242">
        <v>2E-3</v>
      </c>
      <c r="F242">
        <v>0</v>
      </c>
      <c r="G242" s="1">
        <v>4.0799999999999999E-17</v>
      </c>
      <c r="H242">
        <v>2E-3</v>
      </c>
      <c r="I242" s="1">
        <v>4.1600000000000001E-17</v>
      </c>
      <c r="J242">
        <v>0</v>
      </c>
      <c r="K242" s="1">
        <v>4.1600000000000001E-17</v>
      </c>
      <c r="L242">
        <v>0</v>
      </c>
      <c r="M242" s="1">
        <v>4.35E-20</v>
      </c>
      <c r="N242">
        <v>0</v>
      </c>
      <c r="O242" s="1">
        <v>3.3E-20</v>
      </c>
      <c r="P242">
        <v>0</v>
      </c>
      <c r="Q242">
        <v>4.8000000000000001E-2</v>
      </c>
      <c r="R242">
        <v>5.6000000000000001E-2</v>
      </c>
    </row>
    <row r="243" spans="1:18" x14ac:dyDescent="0.25">
      <c r="A243" t="s">
        <v>666</v>
      </c>
      <c r="B243" t="str">
        <f>"107-46-0"</f>
        <v>107-46-0</v>
      </c>
      <c r="D243" t="s">
        <v>667</v>
      </c>
      <c r="E243">
        <v>2.5000000000000001E-2</v>
      </c>
      <c r="F243">
        <v>4.7E-2</v>
      </c>
      <c r="G243" s="1">
        <v>4.1800000000000002E-14</v>
      </c>
      <c r="H243">
        <v>1.72</v>
      </c>
      <c r="I243" s="1">
        <v>4.2600000000000003E-14</v>
      </c>
      <c r="J243">
        <v>0.47599999999999998</v>
      </c>
      <c r="K243" s="1">
        <v>4.2600000000000003E-14</v>
      </c>
      <c r="L243">
        <v>0.13600000000000001</v>
      </c>
      <c r="M243" s="1">
        <v>4.46E-17</v>
      </c>
      <c r="N243">
        <v>0.104</v>
      </c>
      <c r="O243" s="1">
        <v>3.39E-17</v>
      </c>
      <c r="P243">
        <v>8.5999999999999993E-2</v>
      </c>
      <c r="Q243">
        <v>48.9</v>
      </c>
      <c r="R243">
        <v>57.9</v>
      </c>
    </row>
    <row r="244" spans="1:18" x14ac:dyDescent="0.25">
      <c r="A244" t="s">
        <v>668</v>
      </c>
      <c r="B244" t="str">
        <f>"107-51-7"</f>
        <v>107-51-7</v>
      </c>
      <c r="D244" t="s">
        <v>669</v>
      </c>
      <c r="E244">
        <v>1.9E-2</v>
      </c>
      <c r="F244">
        <v>0.06</v>
      </c>
      <c r="G244" s="1">
        <v>2.8499999999999998E-14</v>
      </c>
      <c r="H244">
        <v>1.17</v>
      </c>
      <c r="I244" s="1">
        <v>2.9000000000000003E-14</v>
      </c>
      <c r="J244">
        <v>0.32500000000000001</v>
      </c>
      <c r="K244" s="1">
        <v>2.9000000000000003E-14</v>
      </c>
      <c r="L244">
        <v>9.2999999999999999E-2</v>
      </c>
      <c r="M244" s="1">
        <v>3.0399999999999998E-17</v>
      </c>
      <c r="N244">
        <v>7.0999999999999994E-2</v>
      </c>
      <c r="O244" s="1">
        <v>2.3099999999999999E-17</v>
      </c>
      <c r="P244">
        <v>5.8000000000000003E-2</v>
      </c>
      <c r="Q244">
        <v>33.299999999999997</v>
      </c>
      <c r="R244">
        <v>39.4</v>
      </c>
    </row>
    <row r="245" spans="1:18" x14ac:dyDescent="0.25">
      <c r="A245" t="s">
        <v>670</v>
      </c>
      <c r="B245" t="str">
        <f>"141-62-8"</f>
        <v>141-62-8</v>
      </c>
      <c r="D245" t="s">
        <v>671</v>
      </c>
      <c r="E245">
        <v>1.4E-2</v>
      </c>
      <c r="F245">
        <v>0.06</v>
      </c>
      <c r="G245" s="1">
        <v>1.55E-14</v>
      </c>
      <c r="H245">
        <v>0.63500000000000001</v>
      </c>
      <c r="I245" s="1">
        <v>1.58E-14</v>
      </c>
      <c r="J245">
        <v>0.17599999999999999</v>
      </c>
      <c r="K245" s="1">
        <v>1.58E-14</v>
      </c>
      <c r="L245">
        <v>0.05</v>
      </c>
      <c r="M245" s="1">
        <v>1.65E-17</v>
      </c>
      <c r="N245">
        <v>3.9E-2</v>
      </c>
      <c r="O245" s="1">
        <v>1.25E-17</v>
      </c>
      <c r="P245">
        <v>3.2000000000000001E-2</v>
      </c>
      <c r="Q245">
        <v>18.100000000000001</v>
      </c>
      <c r="R245">
        <v>21.4</v>
      </c>
    </row>
    <row r="246" spans="1:18" x14ac:dyDescent="0.25">
      <c r="A246" t="s">
        <v>672</v>
      </c>
      <c r="B246" t="str">
        <f>"141-63-9"</f>
        <v>141-63-9</v>
      </c>
      <c r="D246" t="s">
        <v>673</v>
      </c>
      <c r="E246">
        <v>1.0999999999999999E-2</v>
      </c>
      <c r="F246">
        <v>6.4000000000000001E-2</v>
      </c>
      <c r="G246" s="1">
        <v>1.07E-14</v>
      </c>
      <c r="H246">
        <v>0.439</v>
      </c>
      <c r="I246" s="1">
        <v>1.09E-14</v>
      </c>
      <c r="J246">
        <v>0.122</v>
      </c>
      <c r="K246" s="1">
        <v>1.09E-14</v>
      </c>
      <c r="L246">
        <v>3.5000000000000003E-2</v>
      </c>
      <c r="M246" s="1">
        <v>1.1399999999999999E-17</v>
      </c>
      <c r="N246">
        <v>2.7E-2</v>
      </c>
      <c r="O246" s="1">
        <v>8.6699999999999993E-18</v>
      </c>
      <c r="P246">
        <v>2.1999999999999999E-2</v>
      </c>
      <c r="Q246">
        <v>12.5</v>
      </c>
      <c r="R246">
        <v>14.8</v>
      </c>
    </row>
    <row r="247" spans="1:18" x14ac:dyDescent="0.25">
      <c r="A247" t="s">
        <v>674</v>
      </c>
      <c r="B247" t="str">
        <f>"541-05-9"</f>
        <v>541-05-9</v>
      </c>
      <c r="D247" t="s">
        <v>675</v>
      </c>
      <c r="E247">
        <v>3.7999999999999999E-2</v>
      </c>
      <c r="F247">
        <v>0.1</v>
      </c>
      <c r="G247" s="1">
        <v>1.01E-13</v>
      </c>
      <c r="H247">
        <v>4.1399999999999997</v>
      </c>
      <c r="I247" s="1">
        <v>1.03E-13</v>
      </c>
      <c r="J247">
        <v>1.1499999999999999</v>
      </c>
      <c r="K247" s="1">
        <v>1.03E-13</v>
      </c>
      <c r="L247">
        <v>0.32800000000000001</v>
      </c>
      <c r="M247" s="1">
        <v>1.08E-16</v>
      </c>
      <c r="N247">
        <v>0.252</v>
      </c>
      <c r="O247" s="1">
        <v>8.1800000000000005E-17</v>
      </c>
      <c r="P247">
        <v>0.20699999999999999</v>
      </c>
      <c r="Q247">
        <v>118</v>
      </c>
      <c r="R247">
        <v>140</v>
      </c>
    </row>
    <row r="248" spans="1:18" x14ac:dyDescent="0.25">
      <c r="A248" t="s">
        <v>676</v>
      </c>
      <c r="B248" t="str">
        <f>"556-67-2"</f>
        <v>556-67-2</v>
      </c>
      <c r="D248" t="s">
        <v>677</v>
      </c>
      <c r="E248">
        <v>2.7E-2</v>
      </c>
      <c r="F248">
        <v>0.12</v>
      </c>
      <c r="G248" s="1">
        <v>6.4799999999999999E-14</v>
      </c>
      <c r="H248">
        <v>2.66</v>
      </c>
      <c r="I248" s="1">
        <v>6.6100000000000004E-14</v>
      </c>
      <c r="J248">
        <v>0.73899999999999999</v>
      </c>
      <c r="K248" s="1">
        <v>6.6100000000000004E-14</v>
      </c>
      <c r="L248">
        <v>0.21099999999999999</v>
      </c>
      <c r="M248" s="1">
        <v>6.9199999999999995E-17</v>
      </c>
      <c r="N248">
        <v>0.16200000000000001</v>
      </c>
      <c r="O248" s="1">
        <v>5.2500000000000003E-17</v>
      </c>
      <c r="P248">
        <v>0.13300000000000001</v>
      </c>
      <c r="Q248">
        <v>75.900000000000006</v>
      </c>
      <c r="R248">
        <v>89.8</v>
      </c>
    </row>
    <row r="249" spans="1:18" x14ac:dyDescent="0.25">
      <c r="A249" t="s">
        <v>678</v>
      </c>
      <c r="B249" t="str">
        <f>"541-02-6"</f>
        <v>541-02-6</v>
      </c>
      <c r="D249" t="s">
        <v>679</v>
      </c>
      <c r="E249">
        <v>1.6E-2</v>
      </c>
      <c r="F249">
        <v>9.8000000000000004E-2</v>
      </c>
      <c r="G249" s="1">
        <v>2.53E-14</v>
      </c>
      <c r="H249">
        <v>1.04</v>
      </c>
      <c r="I249" s="1">
        <v>2.5800000000000001E-14</v>
      </c>
      <c r="J249">
        <v>0.28899999999999998</v>
      </c>
      <c r="K249" s="1">
        <v>2.5800000000000001E-14</v>
      </c>
      <c r="L249">
        <v>8.2000000000000003E-2</v>
      </c>
      <c r="M249" s="1">
        <v>2.7099999999999999E-17</v>
      </c>
      <c r="N249">
        <v>6.3E-2</v>
      </c>
      <c r="O249" s="1">
        <v>2.05E-17</v>
      </c>
      <c r="P249">
        <v>5.1999999999999998E-2</v>
      </c>
      <c r="Q249">
        <v>29.7</v>
      </c>
      <c r="R249">
        <v>35.1</v>
      </c>
    </row>
    <row r="250" spans="1:18" x14ac:dyDescent="0.25">
      <c r="A250" t="s">
        <v>680</v>
      </c>
      <c r="B250" t="str">
        <f>"540-97-6"</f>
        <v>540-97-6</v>
      </c>
      <c r="D250" t="s">
        <v>681</v>
      </c>
      <c r="E250">
        <v>1.0999999999999999E-2</v>
      </c>
      <c r="F250">
        <v>8.5999999999999993E-2</v>
      </c>
      <c r="G250" s="1">
        <v>1.24E-14</v>
      </c>
      <c r="H250">
        <v>0.51</v>
      </c>
      <c r="I250" s="1">
        <v>1.27E-14</v>
      </c>
      <c r="J250">
        <v>0.14199999999999999</v>
      </c>
      <c r="K250" s="1">
        <v>1.27E-14</v>
      </c>
      <c r="L250">
        <v>0.04</v>
      </c>
      <c r="M250" s="1">
        <v>1.33E-17</v>
      </c>
      <c r="N250">
        <v>3.1E-2</v>
      </c>
      <c r="O250" s="1">
        <v>1.01E-17</v>
      </c>
      <c r="P250">
        <v>2.5999999999999999E-2</v>
      </c>
      <c r="Q250">
        <v>14.6</v>
      </c>
      <c r="R250">
        <v>17.2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Fgas coverage</vt:lpstr>
      <vt:lpstr>IPCC WG1 Ch7 SM table</vt:lpstr>
      <vt:lpstr>'IPCC WG1 Ch7 SM table'!metrics_supplement_cleaned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2024-05-28T14:25:15Z</dcterms:modified>
</cp:coreProperties>
</file>