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75" windowWidth="19035" windowHeight="13035"/>
  </bookViews>
  <sheets>
    <sheet name="Yahoo Analyst Estimates" sheetId="1" r:id="rId1"/>
  </sheets>
  <externalReferences>
    <externalReference r:id="rId2"/>
  </externalReferences>
  <definedNames>
    <definedName name="Ticker">'Yahoo Analyst Estimates'!$B$2</definedName>
  </definedNames>
  <calcPr calcId="145621"/>
</workbook>
</file>

<file path=xl/calcChain.xml><?xml version="1.0" encoding="utf-8"?>
<calcChain xmlns="http://schemas.openxmlformats.org/spreadsheetml/2006/main">
  <c r="J39" i="1" l="1"/>
  <c r="I39" i="1"/>
  <c r="H39" i="1"/>
  <c r="G39" i="1"/>
  <c r="H40" i="1"/>
  <c r="G38" i="1"/>
  <c r="J32" i="1"/>
  <c r="C11" i="1"/>
  <c r="E21" i="1"/>
  <c r="J37" i="1"/>
  <c r="F12" i="1"/>
  <c r="H8" i="1"/>
  <c r="I37" i="1"/>
  <c r="D10" i="1"/>
  <c r="I31" i="1"/>
  <c r="H21" i="1"/>
  <c r="E18" i="1"/>
  <c r="G14" i="1"/>
  <c r="F21" i="1"/>
  <c r="J25" i="1"/>
  <c r="C10" i="1"/>
  <c r="F5" i="1"/>
  <c r="D20" i="1"/>
  <c r="I8" i="1"/>
  <c r="E9" i="1"/>
  <c r="G25" i="1"/>
  <c r="J19" i="1"/>
  <c r="I29" i="1"/>
  <c r="F24" i="1"/>
  <c r="J40" i="1"/>
  <c r="H3" i="1"/>
  <c r="I7" i="1"/>
  <c r="F10" i="1"/>
  <c r="D12" i="1"/>
  <c r="G40" i="1"/>
  <c r="G34" i="1"/>
  <c r="F22" i="1"/>
  <c r="C22" i="1"/>
  <c r="E10" i="1"/>
  <c r="J9" i="1"/>
  <c r="G37" i="1"/>
  <c r="F19" i="1"/>
  <c r="I9" i="1"/>
  <c r="H25" i="1"/>
  <c r="I21" i="1"/>
  <c r="D17" i="1"/>
  <c r="H17" i="1"/>
  <c r="C5" i="1"/>
  <c r="J14" i="1"/>
  <c r="C24" i="1"/>
  <c r="D19" i="1"/>
  <c r="I28" i="1"/>
  <c r="D11" i="1"/>
  <c r="G8" i="1"/>
  <c r="J31" i="1"/>
  <c r="G19" i="1"/>
  <c r="D21" i="1"/>
  <c r="E12" i="1"/>
  <c r="J18" i="1"/>
  <c r="H22" i="1"/>
  <c r="H20" i="1"/>
  <c r="E23" i="1"/>
  <c r="F11" i="1"/>
  <c r="J30" i="1"/>
  <c r="C12" i="1"/>
  <c r="G18" i="1"/>
  <c r="G3" i="1"/>
  <c r="G32" i="1"/>
  <c r="J28" i="1"/>
  <c r="G22" i="1"/>
  <c r="J17" i="1"/>
  <c r="J34" i="1"/>
  <c r="H32" i="1"/>
  <c r="I6" i="1"/>
  <c r="C23" i="1"/>
  <c r="G31" i="1"/>
  <c r="D23" i="1"/>
  <c r="H19" i="1"/>
  <c r="E17" i="1"/>
  <c r="H7" i="1"/>
  <c r="F23" i="1"/>
  <c r="J20" i="1"/>
  <c r="I14" i="1"/>
  <c r="H14" i="1"/>
  <c r="H34" i="1"/>
  <c r="E20" i="1"/>
  <c r="I34" i="1"/>
  <c r="H29" i="1"/>
  <c r="J21" i="1"/>
  <c r="G10" i="1"/>
  <c r="H6" i="1"/>
  <c r="D24" i="1"/>
  <c r="G6" i="1"/>
  <c r="J38" i="1"/>
  <c r="E11" i="1"/>
  <c r="F17" i="1"/>
  <c r="I22" i="1"/>
  <c r="C9" i="1"/>
  <c r="I20" i="1"/>
  <c r="I3" i="1"/>
  <c r="D18" i="1"/>
  <c r="F20" i="1"/>
  <c r="C18" i="1"/>
  <c r="J8" i="1"/>
  <c r="J22" i="1"/>
  <c r="D22" i="1"/>
  <c r="C21" i="1"/>
  <c r="G9" i="1"/>
  <c r="G21" i="1"/>
  <c r="H9" i="1"/>
  <c r="H10" i="1"/>
  <c r="I38" i="1"/>
  <c r="F9" i="1"/>
  <c r="D5" i="1"/>
  <c r="I32" i="1"/>
  <c r="G28" i="1"/>
  <c r="F18" i="1"/>
  <c r="I30" i="1"/>
  <c r="J10" i="1"/>
  <c r="E24" i="1"/>
  <c r="I18" i="1"/>
  <c r="I19" i="1"/>
  <c r="I40" i="1"/>
  <c r="J3" i="1"/>
  <c r="G20" i="1"/>
  <c r="C20" i="1"/>
  <c r="J6" i="1"/>
  <c r="C19" i="1"/>
  <c r="J29" i="1"/>
  <c r="G29" i="1"/>
  <c r="H30" i="1"/>
  <c r="H38" i="1"/>
  <c r="G17" i="1"/>
  <c r="H31" i="1"/>
  <c r="E19" i="1"/>
  <c r="G30" i="1"/>
  <c r="I10" i="1"/>
  <c r="C17" i="1"/>
  <c r="H37" i="1"/>
  <c r="D9" i="1"/>
  <c r="H28" i="1"/>
  <c r="I17" i="1"/>
  <c r="I25" i="1"/>
  <c r="E5" i="1"/>
  <c r="G7" i="1"/>
  <c r="H18" i="1"/>
  <c r="E22" i="1"/>
  <c r="J7" i="1"/>
</calcChain>
</file>

<file path=xl/sharedStrings.xml><?xml version="1.0" encoding="utf-8"?>
<sst xmlns="http://schemas.openxmlformats.org/spreadsheetml/2006/main" count="63" uniqueCount="40">
  <si>
    <t>Earnings Estimates</t>
  </si>
  <si>
    <t>--</t>
  </si>
  <si>
    <t>Number of Analysts</t>
  </si>
  <si>
    <t>Low Estimate</t>
  </si>
  <si>
    <t>High Estimate</t>
  </si>
  <si>
    <t>Actual</t>
  </si>
  <si>
    <t>Year Ago EPS</t>
  </si>
  <si>
    <t>Estimate</t>
  </si>
  <si>
    <t>Average Estimate</t>
  </si>
  <si>
    <t>Difference</t>
  </si>
  <si>
    <t>% Change</t>
  </si>
  <si>
    <t>Earnings Growth Rates</t>
  </si>
  <si>
    <t>Company</t>
  </si>
  <si>
    <t>Industry</t>
  </si>
  <si>
    <t>Sector</t>
  </si>
  <si>
    <t>S&amp;P 500</t>
  </si>
  <si>
    <t>Revenue Estimates</t>
  </si>
  <si>
    <t>Current Quarter</t>
  </si>
  <si>
    <t>Next Quarter</t>
  </si>
  <si>
    <t>This Year</t>
  </si>
  <si>
    <t>Next Year</t>
  </si>
  <si>
    <t>Past 5 Years</t>
  </si>
  <si>
    <t>Next 5 Years</t>
  </si>
  <si>
    <t>Sales Growth</t>
  </si>
  <si>
    <t>Price/Earnings</t>
  </si>
  <si>
    <t>PEG Ratio</t>
  </si>
  <si>
    <t>Consensus EPS Trend</t>
  </si>
  <si>
    <t>Current Estimate</t>
  </si>
  <si>
    <t xml:space="preserve"> 7 Days Ago</t>
  </si>
  <si>
    <t>30 Days Ago</t>
  </si>
  <si>
    <t>60 Days Ago</t>
  </si>
  <si>
    <t>90 Days Ago</t>
  </si>
  <si>
    <t>EPS Revisions</t>
  </si>
  <si>
    <t>Up Last 7 Days</t>
  </si>
  <si>
    <t>Up Last 30 Days</t>
  </si>
  <si>
    <t>Down Last 30 Days</t>
  </si>
  <si>
    <t>Earnings Surprises</t>
  </si>
  <si>
    <t>AAPL</t>
  </si>
  <si>
    <t>Yahoo has nothing other than Company.</t>
  </si>
  <si>
    <t>Down Last 7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</si>
</sst>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0.0%"/>
    <numFmt numFmtId="166" formatCode="#,##0,&quot;M&quot;"/>
  </numFmts>
  <fonts count="6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medium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 style="medium">
        <color indexed="64"/>
      </top>
      <bottom/>
      <diagonal/>
    </border>
    <border>
      <left style="thin">
        <color indexed="2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22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medium">
        <color indexed="64"/>
      </bottom>
      <diagonal/>
    </border>
    <border>
      <left style="thin">
        <color indexed="22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left" indent="1"/>
    </xf>
    <xf numFmtId="164" fontId="0" fillId="0" borderId="1" xfId="0" applyNumberFormat="1" applyFill="1" applyBorder="1" applyAlignment="1">
      <alignment horizontal="right"/>
    </xf>
    <xf numFmtId="165" fontId="0" fillId="0" borderId="1" xfId="1" applyNumberFormat="1" applyFont="1" applyFill="1" applyBorder="1" applyAlignment="1">
      <alignment horizontal="right"/>
    </xf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3" fillId="0" borderId="5" xfId="0" applyFont="1" applyFill="1" applyBorder="1" applyAlignment="1">
      <alignment horizontal="right" wrapText="1"/>
    </xf>
    <xf numFmtId="0" fontId="3" fillId="0" borderId="6" xfId="0" applyFont="1" applyFill="1" applyBorder="1" applyAlignment="1">
      <alignment horizontal="right" wrapText="1"/>
    </xf>
    <xf numFmtId="0" fontId="0" fillId="0" borderId="4" xfId="0" applyFill="1" applyBorder="1" applyAlignment="1">
      <alignment horizontal="right"/>
    </xf>
    <xf numFmtId="0" fontId="3" fillId="0" borderId="7" xfId="0" applyFont="1" applyFill="1" applyBorder="1" applyAlignment="1">
      <alignment horizontal="right" wrapText="1"/>
    </xf>
    <xf numFmtId="0" fontId="0" fillId="0" borderId="8" xfId="0" applyFill="1" applyBorder="1"/>
    <xf numFmtId="0" fontId="0" fillId="0" borderId="9" xfId="0" applyFill="1" applyBorder="1"/>
    <xf numFmtId="0" fontId="0" fillId="0" borderId="8" xfId="0" applyBorder="1"/>
    <xf numFmtId="0" fontId="3" fillId="0" borderId="10" xfId="0" applyFont="1" applyFill="1" applyBorder="1"/>
    <xf numFmtId="0" fontId="0" fillId="0" borderId="11" xfId="0" applyFill="1" applyBorder="1" applyAlignment="1">
      <alignment horizontal="left" indent="1"/>
    </xf>
    <xf numFmtId="0" fontId="0" fillId="0" borderId="12" xfId="0" applyFill="1" applyBorder="1" applyAlignment="1">
      <alignment horizontal="left" indent="1"/>
    </xf>
    <xf numFmtId="0" fontId="0" fillId="0" borderId="13" xfId="0" applyFill="1" applyBorder="1" applyAlignment="1">
      <alignment horizontal="left" indent="1"/>
    </xf>
    <xf numFmtId="0" fontId="0" fillId="0" borderId="14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0" fillId="0" borderId="16" xfId="0" applyFill="1" applyBorder="1" applyAlignment="1">
      <alignment horizontal="right"/>
    </xf>
    <xf numFmtId="164" fontId="0" fillId="0" borderId="17" xfId="0" applyNumberFormat="1" applyFill="1" applyBorder="1" applyAlignment="1">
      <alignment horizontal="right"/>
    </xf>
    <xf numFmtId="164" fontId="0" fillId="0" borderId="18" xfId="0" applyNumberFormat="1" applyFill="1" applyBorder="1" applyAlignment="1">
      <alignment horizontal="right"/>
    </xf>
    <xf numFmtId="164" fontId="0" fillId="0" borderId="19" xfId="0" applyNumberFormat="1" applyFill="1" applyBorder="1" applyAlignment="1">
      <alignment horizontal="right"/>
    </xf>
    <xf numFmtId="164" fontId="0" fillId="0" borderId="20" xfId="0" applyNumberFormat="1" applyFill="1" applyBorder="1" applyAlignment="1">
      <alignment horizontal="right"/>
    </xf>
    <xf numFmtId="164" fontId="0" fillId="0" borderId="21" xfId="0" applyNumberFormat="1" applyFill="1" applyBorder="1" applyAlignment="1">
      <alignment horizontal="right"/>
    </xf>
    <xf numFmtId="0" fontId="0" fillId="0" borderId="22" xfId="0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164" fontId="0" fillId="0" borderId="14" xfId="0" applyNumberFormat="1" applyFill="1" applyBorder="1" applyAlignment="1">
      <alignment horizontal="right"/>
    </xf>
    <xf numFmtId="164" fontId="0" fillId="0" borderId="15" xfId="0" applyNumberFormat="1" applyFill="1" applyBorder="1" applyAlignment="1">
      <alignment horizontal="right"/>
    </xf>
    <xf numFmtId="164" fontId="0" fillId="0" borderId="16" xfId="0" applyNumberFormat="1" applyFill="1" applyBorder="1" applyAlignment="1">
      <alignment horizontal="right"/>
    </xf>
    <xf numFmtId="165" fontId="0" fillId="0" borderId="19" xfId="1" applyNumberFormat="1" applyFont="1" applyFill="1" applyBorder="1" applyAlignment="1">
      <alignment horizontal="right"/>
    </xf>
    <xf numFmtId="165" fontId="0" fillId="0" borderId="20" xfId="1" applyNumberFormat="1" applyFont="1" applyFill="1" applyBorder="1" applyAlignment="1">
      <alignment horizontal="right"/>
    </xf>
    <xf numFmtId="165" fontId="0" fillId="0" borderId="21" xfId="1" applyNumberFormat="1" applyFont="1" applyFill="1" applyBorder="1" applyAlignment="1">
      <alignment horizontal="right"/>
    </xf>
    <xf numFmtId="0" fontId="0" fillId="0" borderId="23" xfId="0" applyFill="1" applyBorder="1"/>
    <xf numFmtId="0" fontId="3" fillId="0" borderId="7" xfId="0" applyFont="1" applyFill="1" applyBorder="1" applyAlignment="1">
      <alignment horizontal="right"/>
    </xf>
    <xf numFmtId="0" fontId="3" fillId="0" borderId="5" xfId="0" applyFont="1" applyFill="1" applyBorder="1" applyAlignment="1">
      <alignment horizontal="right"/>
    </xf>
    <xf numFmtId="0" fontId="3" fillId="0" borderId="6" xfId="0" applyFont="1" applyFill="1" applyBorder="1" applyAlignment="1">
      <alignment horizontal="right"/>
    </xf>
    <xf numFmtId="166" fontId="0" fillId="0" borderId="4" xfId="0" applyNumberFormat="1" applyFill="1" applyBorder="1" applyAlignment="1">
      <alignment horizontal="right"/>
    </xf>
    <xf numFmtId="166" fontId="0" fillId="0" borderId="1" xfId="0" applyNumberFormat="1" applyFill="1" applyBorder="1" applyAlignment="1">
      <alignment horizontal="right"/>
    </xf>
    <xf numFmtId="0" fontId="0" fillId="0" borderId="3" xfId="0" applyFill="1" applyBorder="1" applyAlignment="1">
      <alignment horizontal="left" indent="1"/>
    </xf>
    <xf numFmtId="0" fontId="0" fillId="0" borderId="4" xfId="0" applyBorder="1"/>
    <xf numFmtId="0" fontId="0" fillId="0" borderId="2" xfId="0" applyBorder="1"/>
    <xf numFmtId="166" fontId="0" fillId="0" borderId="24" xfId="0" applyNumberFormat="1" applyFill="1" applyBorder="1" applyAlignment="1">
      <alignment horizontal="right"/>
    </xf>
    <xf numFmtId="166" fontId="0" fillId="0" borderId="25" xfId="0" applyNumberFormat="1" applyFill="1" applyBorder="1" applyAlignment="1">
      <alignment horizontal="right"/>
    </xf>
    <xf numFmtId="166" fontId="0" fillId="0" borderId="17" xfId="0" applyNumberFormat="1" applyFill="1" applyBorder="1" applyAlignment="1">
      <alignment horizontal="right"/>
    </xf>
    <xf numFmtId="166" fontId="0" fillId="0" borderId="18" xfId="0" applyNumberFormat="1" applyFill="1" applyBorder="1" applyAlignment="1">
      <alignment horizontal="right"/>
    </xf>
    <xf numFmtId="165" fontId="0" fillId="0" borderId="14" xfId="1" applyNumberFormat="1" applyFont="1" applyFill="1" applyBorder="1" applyAlignment="1">
      <alignment horizontal="right"/>
    </xf>
    <xf numFmtId="165" fontId="0" fillId="0" borderId="15" xfId="1" applyNumberFormat="1" applyFont="1" applyFill="1" applyBorder="1" applyAlignment="1">
      <alignment horizontal="right"/>
    </xf>
    <xf numFmtId="165" fontId="0" fillId="0" borderId="17" xfId="1" applyNumberFormat="1" applyFont="1" applyFill="1" applyBorder="1" applyAlignment="1">
      <alignment horizontal="right"/>
    </xf>
    <xf numFmtId="0" fontId="0" fillId="0" borderId="18" xfId="0" applyFill="1" applyBorder="1" applyAlignment="1">
      <alignment horizontal="right"/>
    </xf>
    <xf numFmtId="0" fontId="0" fillId="0" borderId="17" xfId="0" applyFill="1" applyBorder="1" applyAlignment="1">
      <alignment horizontal="right"/>
    </xf>
    <xf numFmtId="0" fontId="0" fillId="0" borderId="19" xfId="0" applyFill="1" applyBorder="1" applyAlignment="1">
      <alignment horizontal="right"/>
    </xf>
    <xf numFmtId="0" fontId="0" fillId="0" borderId="20" xfId="0" applyFill="1" applyBorder="1" applyAlignment="1">
      <alignment horizontal="right"/>
    </xf>
    <xf numFmtId="0" fontId="0" fillId="0" borderId="21" xfId="0" applyFill="1" applyBorder="1" applyAlignment="1">
      <alignment horizontal="right"/>
    </xf>
    <xf numFmtId="0" fontId="0" fillId="2" borderId="14" xfId="0" quotePrefix="1" applyFill="1" applyBorder="1" applyAlignment="1">
      <alignment horizontal="right"/>
    </xf>
    <xf numFmtId="0" fontId="0" fillId="2" borderId="15" xfId="0" quotePrefix="1" applyFill="1" applyBorder="1" applyAlignment="1">
      <alignment horizontal="right"/>
    </xf>
    <xf numFmtId="0" fontId="0" fillId="2" borderId="16" xfId="0" quotePrefix="1" applyFill="1" applyBorder="1" applyAlignment="1">
      <alignment horizontal="right"/>
    </xf>
    <xf numFmtId="2" fontId="0" fillId="2" borderId="17" xfId="0" quotePrefix="1" applyNumberFormat="1" applyFill="1" applyBorder="1" applyAlignment="1">
      <alignment horizontal="right"/>
    </xf>
    <xf numFmtId="2" fontId="0" fillId="2" borderId="1" xfId="0" quotePrefix="1" applyNumberFormat="1" applyFill="1" applyBorder="1" applyAlignment="1">
      <alignment horizontal="right"/>
    </xf>
    <xf numFmtId="2" fontId="0" fillId="2" borderId="18" xfId="0" quotePrefix="1" applyNumberFormat="1" applyFill="1" applyBorder="1" applyAlignment="1">
      <alignment horizontal="right"/>
    </xf>
    <xf numFmtId="2" fontId="0" fillId="2" borderId="19" xfId="0" quotePrefix="1" applyNumberFormat="1" applyFill="1" applyBorder="1" applyAlignment="1">
      <alignment horizontal="right"/>
    </xf>
    <xf numFmtId="2" fontId="0" fillId="2" borderId="20" xfId="0" quotePrefix="1" applyNumberFormat="1" applyFill="1" applyBorder="1" applyAlignment="1">
      <alignment horizontal="right"/>
    </xf>
    <xf numFmtId="2" fontId="0" fillId="2" borderId="21" xfId="0" quotePrefix="1" applyNumberFormat="1" applyFill="1" applyBorder="1" applyAlignment="1">
      <alignment horizontal="right"/>
    </xf>
    <xf numFmtId="2" fontId="0" fillId="2" borderId="14" xfId="0" quotePrefix="1" applyNumberFormat="1" applyFill="1" applyBorder="1" applyAlignment="1">
      <alignment horizontal="right"/>
    </xf>
    <xf numFmtId="2" fontId="0" fillId="2" borderId="15" xfId="0" quotePrefix="1" applyNumberFormat="1" applyFill="1" applyBorder="1" applyAlignment="1">
      <alignment horizontal="right"/>
    </xf>
    <xf numFmtId="2" fontId="0" fillId="2" borderId="16" xfId="0" quotePrefix="1" applyNumberFormat="1" applyFill="1" applyBorder="1" applyAlignment="1">
      <alignment horizontal="right"/>
    </xf>
    <xf numFmtId="0" fontId="0" fillId="2" borderId="19" xfId="0" quotePrefix="1" applyFill="1" applyBorder="1" applyAlignment="1">
      <alignment horizontal="right"/>
    </xf>
    <xf numFmtId="0" fontId="0" fillId="2" borderId="20" xfId="0" quotePrefix="1" applyFill="1" applyBorder="1" applyAlignment="1">
      <alignment horizontal="right"/>
    </xf>
    <xf numFmtId="0" fontId="0" fillId="2" borderId="21" xfId="0" quotePrefix="1" applyFill="1" applyBorder="1" applyAlignment="1">
      <alignment horizontal="right"/>
    </xf>
    <xf numFmtId="0" fontId="0" fillId="0" borderId="22" xfId="0" applyFill="1" applyBorder="1"/>
    <xf numFmtId="0" fontId="3" fillId="0" borderId="26" xfId="0" applyFont="1" applyFill="1" applyBorder="1"/>
    <xf numFmtId="0" fontId="0" fillId="0" borderId="3" xfId="0" applyBorder="1"/>
    <xf numFmtId="0" fontId="3" fillId="0" borderId="4" xfId="0" applyFont="1" applyFill="1" applyBorder="1"/>
    <xf numFmtId="0" fontId="0" fillId="0" borderId="11" xfId="0" applyFill="1" applyBorder="1" applyAlignment="1">
      <alignment horizontal="right" indent="1"/>
    </xf>
    <xf numFmtId="0" fontId="0" fillId="0" borderId="12" xfId="0" applyFill="1" applyBorder="1" applyAlignment="1">
      <alignment horizontal="right" indent="1"/>
    </xf>
    <xf numFmtId="0" fontId="0" fillId="0" borderId="13" xfId="0" applyFill="1" applyBorder="1" applyAlignment="1">
      <alignment horizontal="right" indent="1"/>
    </xf>
    <xf numFmtId="0" fontId="4" fillId="3" borderId="10" xfId="0" applyFont="1" applyFill="1" applyBorder="1" applyAlignment="1" applyProtection="1">
      <alignment horizontal="center" vertical="center"/>
      <protection locked="0"/>
    </xf>
    <xf numFmtId="0" fontId="5" fillId="0" borderId="12" xfId="0" applyFont="1" applyFill="1" applyBorder="1" applyAlignment="1">
      <alignment horizontal="left" indent="1"/>
    </xf>
    <xf numFmtId="0" fontId="3" fillId="0" borderId="27" xfId="0" applyFont="1" applyFill="1" applyBorder="1" applyAlignment="1">
      <alignment horizontal="right" wrapText="1"/>
    </xf>
    <xf numFmtId="0" fontId="3" fillId="0" borderId="30" xfId="0" applyFont="1" applyFill="1" applyBorder="1" applyAlignment="1">
      <alignment horizontal="right" wrapText="1"/>
    </xf>
    <xf numFmtId="0" fontId="3" fillId="0" borderId="33" xfId="0" applyFont="1" applyFill="1" applyBorder="1" applyAlignment="1">
      <alignment horizontal="right" wrapText="1"/>
    </xf>
    <xf numFmtId="0" fontId="3" fillId="0" borderId="28" xfId="0" applyFont="1" applyFill="1" applyBorder="1" applyAlignment="1">
      <alignment horizontal="right" wrapText="1"/>
    </xf>
    <xf numFmtId="0" fontId="3" fillId="0" borderId="31" xfId="0" applyFont="1" applyFill="1" applyBorder="1" applyAlignment="1">
      <alignment horizontal="right" wrapText="1"/>
    </xf>
    <xf numFmtId="0" fontId="3" fillId="0" borderId="34" xfId="0" applyFont="1" applyFill="1" applyBorder="1" applyAlignment="1">
      <alignment horizontal="right" wrapText="1"/>
    </xf>
    <xf numFmtId="0" fontId="3" fillId="0" borderId="29" xfId="0" applyFont="1" applyFill="1" applyBorder="1" applyAlignment="1">
      <alignment horizontal="right" wrapText="1"/>
    </xf>
    <xf numFmtId="0" fontId="3" fillId="0" borderId="32" xfId="0" applyFont="1" applyFill="1" applyBorder="1" applyAlignment="1">
      <alignment horizontal="right" wrapText="1"/>
    </xf>
    <xf numFmtId="0" fontId="3" fillId="0" borderId="35" xfId="0" applyFont="1" applyFill="1" applyBorder="1" applyAlignment="1">
      <alignment horizontal="right" wrapText="1"/>
    </xf>
    <xf numFmtId="0" fontId="3" fillId="0" borderId="7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MF%20Add-In\RCH_Stock_Market_Function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RCHGetElementNumbe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1"/>
  <sheetViews>
    <sheetView showGridLines="0" tabSelected="1" topLeftCell="A13" workbookViewId="0">
      <selection activeCell="J42" sqref="J42"/>
    </sheetView>
  </sheetViews>
  <sheetFormatPr defaultColWidth="9.7109375" defaultRowHeight="12.75" x14ac:dyDescent="0.2"/>
  <cols>
    <col min="1" max="16384" width="9.7109375" style="1"/>
  </cols>
  <sheetData>
    <row r="1" spans="1:13" ht="13.5" thickBot="1" x14ac:dyDescent="0.25">
      <c r="A1"/>
      <c r="B1" s="75"/>
    </row>
    <row r="2" spans="1:13" ht="18.75" thickBot="1" x14ac:dyDescent="0.25">
      <c r="A2" s="45"/>
      <c r="B2" s="80" t="s">
        <v>37</v>
      </c>
      <c r="C2" s="16"/>
    </row>
    <row r="3" spans="1:13" ht="12.75" customHeight="1" thickBot="1" x14ac:dyDescent="0.25">
      <c r="B3" s="76"/>
      <c r="C3" s="2"/>
      <c r="D3" s="2"/>
      <c r="E3" s="8"/>
      <c r="F3" s="8"/>
      <c r="G3" s="82" t="str">
        <f>[1]!RCHGetElementNumber(Ticker,577)</f>
        <v>Current Qtr.(Jun2023)</v>
      </c>
      <c r="H3" s="85" t="str">
        <f>[1]!RCHGetElementNumber(Ticker,578)</f>
        <v>Next Qtr.(Sep2023)</v>
      </c>
      <c r="I3" s="85" t="str">
        <f>[1]!RCHGetElementNumber(Ticker,579)</f>
        <v>Current Year(2023)</v>
      </c>
      <c r="J3" s="88" t="str">
        <f>[1]!RCHGetElementNumber(Ticker,580)</f>
        <v>Next Year(2024)</v>
      </c>
      <c r="K3" s="14"/>
      <c r="L3" s="2"/>
      <c r="M3" s="2"/>
    </row>
    <row r="4" spans="1:13" ht="12.75" customHeight="1" thickBot="1" x14ac:dyDescent="0.25">
      <c r="B4" s="7"/>
      <c r="C4" s="91" t="s">
        <v>36</v>
      </c>
      <c r="D4" s="92"/>
      <c r="E4" s="92"/>
      <c r="F4" s="93"/>
      <c r="G4" s="83"/>
      <c r="H4" s="86"/>
      <c r="I4" s="86"/>
      <c r="J4" s="89"/>
      <c r="K4" s="15"/>
    </row>
    <row r="5" spans="1:13" ht="12.75" customHeight="1" thickBot="1" x14ac:dyDescent="0.25">
      <c r="B5" s="7"/>
      <c r="C5" s="13" t="str">
        <f>[1]!RCHGetElementNumber(Ticker,633)</f>
        <v>6/29/2022</v>
      </c>
      <c r="D5" s="10" t="str">
        <f>[1]!RCHGetElementNumber(Ticker,634)</f>
        <v>9/29/2022</v>
      </c>
      <c r="E5" s="10" t="str">
        <f>[1]!RCHGetElementNumber(Ticker,635)</f>
        <v>12/30/2022</v>
      </c>
      <c r="F5" s="11" t="str">
        <f>[1]!RCHGetElementNumber(Ticker,636)</f>
        <v>3/30/2023</v>
      </c>
      <c r="G5" s="84"/>
      <c r="H5" s="87"/>
      <c r="I5" s="87"/>
      <c r="J5" s="90"/>
      <c r="K5" s="74" t="s">
        <v>0</v>
      </c>
      <c r="L5" s="16"/>
    </row>
    <row r="6" spans="1:13" ht="12.75" customHeight="1" x14ac:dyDescent="0.2">
      <c r="B6" s="7"/>
      <c r="C6" s="58" t="s">
        <v>1</v>
      </c>
      <c r="D6" s="59" t="s">
        <v>1</v>
      </c>
      <c r="E6" s="59" t="s">
        <v>1</v>
      </c>
      <c r="F6" s="60" t="s">
        <v>1</v>
      </c>
      <c r="G6" s="21">
        <f>[1]!RCHGetElementNumber(Ticker,581)</f>
        <v>27</v>
      </c>
      <c r="H6" s="22">
        <f>[1]!RCHGetElementNumber(Ticker,582)</f>
        <v>26</v>
      </c>
      <c r="I6" s="22">
        <f>[1]!RCHGetElementNumber(Ticker,583)</f>
        <v>35</v>
      </c>
      <c r="J6" s="23">
        <f>[1]!RCHGetElementNumber(Ticker,584)</f>
        <v>35</v>
      </c>
      <c r="K6" s="18" t="s">
        <v>2</v>
      </c>
      <c r="L6" s="16"/>
    </row>
    <row r="7" spans="1:13" x14ac:dyDescent="0.2">
      <c r="B7" s="7"/>
      <c r="C7" s="61" t="s">
        <v>1</v>
      </c>
      <c r="D7" s="62" t="s">
        <v>1</v>
      </c>
      <c r="E7" s="62" t="s">
        <v>1</v>
      </c>
      <c r="F7" s="63" t="s">
        <v>1</v>
      </c>
      <c r="G7" s="24">
        <f>[1]!RCHGetElementNumber(Ticker,585)</f>
        <v>1.1399999999999999</v>
      </c>
      <c r="H7" s="5">
        <f>[1]!RCHGetElementNumber(Ticker,586)</f>
        <v>1.17</v>
      </c>
      <c r="I7" s="5">
        <f>[1]!RCHGetElementNumber(Ticker,587)</f>
        <v>5.43</v>
      </c>
      <c r="J7" s="25">
        <f>[1]!RCHGetElementNumber(Ticker,588)</f>
        <v>5.58</v>
      </c>
      <c r="K7" s="19" t="s">
        <v>3</v>
      </c>
      <c r="L7" s="16"/>
    </row>
    <row r="8" spans="1:13" ht="13.5" thickBot="1" x14ac:dyDescent="0.25">
      <c r="B8" s="37"/>
      <c r="C8" s="64"/>
      <c r="D8" s="65" t="s">
        <v>1</v>
      </c>
      <c r="E8" s="65" t="s">
        <v>1</v>
      </c>
      <c r="F8" s="66" t="s">
        <v>1</v>
      </c>
      <c r="G8" s="24">
        <f>[1]!RCHGetElementNumber(Ticker,589)</f>
        <v>1.45</v>
      </c>
      <c r="H8" s="5">
        <f>[1]!RCHGetElementNumber(Ticker,590)</f>
        <v>1.51</v>
      </c>
      <c r="I8" s="5">
        <f>[1]!RCHGetElementNumber(Ticker,591)</f>
        <v>6.29</v>
      </c>
      <c r="J8" s="25">
        <f>[1]!RCHGetElementNumber(Ticker,592)</f>
        <v>7.25</v>
      </c>
      <c r="K8" s="19" t="s">
        <v>4</v>
      </c>
      <c r="L8" s="16"/>
    </row>
    <row r="9" spans="1:13" x14ac:dyDescent="0.2">
      <c r="B9" s="77" t="s">
        <v>5</v>
      </c>
      <c r="C9" s="31">
        <f>[1]!RCHGetElementNumber(Ticker,641)</f>
        <v>1.2</v>
      </c>
      <c r="D9" s="32">
        <f>[1]!RCHGetElementNumber(Ticker,642)</f>
        <v>1.29</v>
      </c>
      <c r="E9" s="32">
        <f>[1]!RCHGetElementNumber(Ticker,643)</f>
        <v>1.88</v>
      </c>
      <c r="F9" s="33">
        <f>[1]!RCHGetElementNumber(Ticker,644)</f>
        <v>1.52</v>
      </c>
      <c r="G9" s="24">
        <f>[1]!RCHGetElementNumber(Ticker,597)</f>
        <v>1.2</v>
      </c>
      <c r="H9" s="5">
        <f>[1]!RCHGetElementNumber(Ticker,598)</f>
        <v>1.29</v>
      </c>
      <c r="I9" s="5">
        <f>[1]!RCHGetElementNumber(Ticker,599)</f>
        <v>6.11</v>
      </c>
      <c r="J9" s="25">
        <f>[1]!RCHGetElementNumber(Ticker,600)</f>
        <v>5.97</v>
      </c>
      <c r="K9" s="19" t="s">
        <v>6</v>
      </c>
      <c r="L9" s="16"/>
    </row>
    <row r="10" spans="1:13" ht="13.5" thickBot="1" x14ac:dyDescent="0.25">
      <c r="B10" s="78" t="s">
        <v>7</v>
      </c>
      <c r="C10" s="24">
        <f>[1]!RCHGetElementNumber(Ticker,637)</f>
        <v>1.1599999999999999</v>
      </c>
      <c r="D10" s="5">
        <f>[1]!RCHGetElementNumber(Ticker,638)</f>
        <v>1.27</v>
      </c>
      <c r="E10" s="5">
        <f>[1]!RCHGetElementNumber(Ticker,639)</f>
        <v>1.94</v>
      </c>
      <c r="F10" s="25">
        <f>[1]!RCHGetElementNumber(Ticker,640)</f>
        <v>1.43</v>
      </c>
      <c r="G10" s="26">
        <f>[1]!RCHGetElementNumber(Ticker,593)</f>
        <v>1.19</v>
      </c>
      <c r="H10" s="27">
        <f>[1]!RCHGetElementNumber(Ticker,594)</f>
        <v>1.36</v>
      </c>
      <c r="I10" s="27">
        <f>[1]!RCHGetElementNumber(Ticker,595)</f>
        <v>5.97</v>
      </c>
      <c r="J10" s="28">
        <f>[1]!RCHGetElementNumber(Ticker,596)</f>
        <v>6.54</v>
      </c>
      <c r="K10" s="20" t="s">
        <v>8</v>
      </c>
      <c r="L10" s="16"/>
    </row>
    <row r="11" spans="1:13" x14ac:dyDescent="0.2">
      <c r="B11" s="78" t="s">
        <v>9</v>
      </c>
      <c r="C11" s="24">
        <f>[1]!RCHGetElementNumber(Ticker,645)</f>
        <v>0.04</v>
      </c>
      <c r="D11" s="5">
        <f>[1]!RCHGetElementNumber(Ticker,646)</f>
        <v>0.02</v>
      </c>
      <c r="E11" s="5">
        <f>[1]!RCHGetElementNumber(Ticker,647)</f>
        <v>-0.06</v>
      </c>
      <c r="F11" s="25">
        <f>[1]!RCHGetElementNumber(Ticker,648)</f>
        <v>0.09</v>
      </c>
      <c r="G11" s="67" t="s">
        <v>1</v>
      </c>
      <c r="H11" s="68" t="s">
        <v>1</v>
      </c>
      <c r="I11" s="68" t="s">
        <v>1</v>
      </c>
      <c r="J11" s="69" t="s">
        <v>1</v>
      </c>
      <c r="K11" s="29"/>
    </row>
    <row r="12" spans="1:13" ht="13.5" thickBot="1" x14ac:dyDescent="0.25">
      <c r="B12" s="79" t="s">
        <v>10</v>
      </c>
      <c r="C12" s="34">
        <f>[1]!RCHGetElementNumber(Ticker,649)</f>
        <v>3.4000000000000002E-2</v>
      </c>
      <c r="D12" s="35">
        <f>[1]!RCHGetElementNumber(Ticker,650)</f>
        <v>1.6E-2</v>
      </c>
      <c r="E12" s="35">
        <f>[1]!RCHGetElementNumber(Ticker,651)</f>
        <v>-3.1E-2</v>
      </c>
      <c r="F12" s="36">
        <f>[1]!RCHGetElementNumber(Ticker,652)</f>
        <v>6.3E-2</v>
      </c>
      <c r="G12" s="70" t="s">
        <v>1</v>
      </c>
      <c r="H12" s="71" t="s">
        <v>1</v>
      </c>
      <c r="I12" s="71" t="s">
        <v>1</v>
      </c>
      <c r="J12" s="72" t="s">
        <v>1</v>
      </c>
      <c r="K12" s="30"/>
    </row>
    <row r="13" spans="1:13" ht="13.5" thickBot="1" x14ac:dyDescent="0.25">
      <c r="B13" s="9"/>
      <c r="C13" s="9"/>
      <c r="D13" s="9"/>
      <c r="E13" s="9"/>
      <c r="F13" s="9"/>
      <c r="G13" s="12"/>
      <c r="H13" s="12"/>
      <c r="I13" s="12"/>
      <c r="J13" s="12"/>
      <c r="K13" s="4"/>
    </row>
    <row r="14" spans="1:13" ht="13.5" thickBot="1" x14ac:dyDescent="0.25">
      <c r="B14" s="73"/>
      <c r="C14" s="73"/>
      <c r="D14" s="73"/>
      <c r="E14" s="73"/>
      <c r="F14" s="9"/>
      <c r="G14" s="82" t="str">
        <f>[1]!RCHGetElementNumber(Ticker,673)</f>
        <v>Current Qtr.(Jun2023)</v>
      </c>
      <c r="H14" s="85" t="str">
        <f>[1]!RCHGetElementNumber(Ticker,674)</f>
        <v>Next Qtr.(Sep2023)</v>
      </c>
      <c r="I14" s="85" t="str">
        <f>[1]!RCHGetElementNumber(Ticker,675)</f>
        <v>Current Year(2023)</v>
      </c>
      <c r="J14" s="88" t="str">
        <f>[1]!RCHGetElementNumber(Ticker,676)</f>
        <v>Next Year(2024)</v>
      </c>
      <c r="K14" s="43"/>
    </row>
    <row r="15" spans="1:13" ht="13.5" thickBot="1" x14ac:dyDescent="0.25">
      <c r="B15" s="73"/>
      <c r="C15" s="91" t="s">
        <v>11</v>
      </c>
      <c r="D15" s="92"/>
      <c r="E15" s="92"/>
      <c r="F15" s="93"/>
      <c r="G15" s="83"/>
      <c r="H15" s="86"/>
      <c r="I15" s="86"/>
      <c r="J15" s="89"/>
      <c r="K15" s="43"/>
    </row>
    <row r="16" spans="1:13" ht="13.5" thickBot="1" x14ac:dyDescent="0.25">
      <c r="B16" s="7"/>
      <c r="C16" s="38" t="s">
        <v>12</v>
      </c>
      <c r="D16" s="39" t="s">
        <v>13</v>
      </c>
      <c r="E16" s="39" t="s">
        <v>14</v>
      </c>
      <c r="F16" s="40" t="s">
        <v>15</v>
      </c>
      <c r="G16" s="84"/>
      <c r="H16" s="87"/>
      <c r="I16" s="87"/>
      <c r="J16" s="90"/>
      <c r="K16" s="17" t="s">
        <v>16</v>
      </c>
      <c r="L16" s="16"/>
    </row>
    <row r="17" spans="2:12" x14ac:dyDescent="0.2">
      <c r="B17" s="77" t="s">
        <v>17</v>
      </c>
      <c r="C17" s="50">
        <f>[1]!RCHGetElementNumber(Ticker,601)</f>
        <v>-8.0000000000000002E-3</v>
      </c>
      <c r="D17" s="51" t="str">
        <f>[1]!RCHGetElementNumber(Ticker,602)</f>
        <v>N/A</v>
      </c>
      <c r="E17" s="51" t="str">
        <f>[1]!RCHGetElementNumber(Ticker,603)</f>
        <v>N/A</v>
      </c>
      <c r="F17" s="23" t="str">
        <f>[1]!RCHGetElementNumber(Ticker,604)</f>
        <v>N/A</v>
      </c>
      <c r="G17" s="21">
        <f>[1]!RCHGetElementNumber(Ticker,677)</f>
        <v>24</v>
      </c>
      <c r="H17" s="22">
        <f>[1]!RCHGetElementNumber(Ticker,678)</f>
        <v>24</v>
      </c>
      <c r="I17" s="22">
        <f>[1]!RCHGetElementNumber(Ticker,679)</f>
        <v>33</v>
      </c>
      <c r="J17" s="23">
        <f>[1]!RCHGetElementNumber(Ticker,680)</f>
        <v>33</v>
      </c>
      <c r="K17" s="18" t="s">
        <v>2</v>
      </c>
      <c r="L17" s="16"/>
    </row>
    <row r="18" spans="2:12" x14ac:dyDescent="0.2">
      <c r="B18" s="78" t="s">
        <v>18</v>
      </c>
      <c r="C18" s="52">
        <f>[1]!RCHGetElementNumber(Ticker,605)</f>
        <v>5.3999999999999999E-2</v>
      </c>
      <c r="D18" s="6" t="str">
        <f>[1]!RCHGetElementNumber(Ticker,606)</f>
        <v>N/A</v>
      </c>
      <c r="E18" s="6" t="str">
        <f>[1]!RCHGetElementNumber(Ticker,607)</f>
        <v>N/A</v>
      </c>
      <c r="F18" s="53" t="str">
        <f>[1]!RCHGetElementNumber(Ticker,608)</f>
        <v>N/A</v>
      </c>
      <c r="G18" s="46">
        <f>[1]!RCHGetElementNumber(Ticker,689)</f>
        <v>81670000</v>
      </c>
      <c r="H18" s="41">
        <f>[1]!RCHGetElementNumber(Ticker,690)</f>
        <v>90520000</v>
      </c>
      <c r="I18" s="41">
        <f>[1]!RCHGetElementNumber(Ticker,691)</f>
        <v>384510000</v>
      </c>
      <c r="J18" s="47">
        <f>[1]!RCHGetElementNumber(Ticker,692)</f>
        <v>409110000</v>
      </c>
      <c r="K18" s="19" t="s">
        <v>8</v>
      </c>
      <c r="L18" s="16"/>
    </row>
    <row r="19" spans="2:12" x14ac:dyDescent="0.2">
      <c r="B19" s="78" t="s">
        <v>19</v>
      </c>
      <c r="C19" s="52">
        <f>[1]!RCHGetElementNumber(Ticker,609)</f>
        <v>-2.3E-2</v>
      </c>
      <c r="D19" s="6" t="str">
        <f>[1]!RCHGetElementNumber(Ticker,610)</f>
        <v>N/A</v>
      </c>
      <c r="E19" s="6" t="str">
        <f>[1]!RCHGetElementNumber(Ticker,611)</f>
        <v>N/A</v>
      </c>
      <c r="F19" s="53" t="str">
        <f>[1]!RCHGetElementNumber(Ticker,612)</f>
        <v>N/A</v>
      </c>
      <c r="G19" s="48">
        <f>[1]!RCHGetElementNumber(Ticker,681)</f>
        <v>79300000</v>
      </c>
      <c r="H19" s="42">
        <f>[1]!RCHGetElementNumber(Ticker,682)</f>
        <v>82810000</v>
      </c>
      <c r="I19" s="42">
        <f>[1]!RCHGetElementNumber(Ticker,683)</f>
        <v>375070000</v>
      </c>
      <c r="J19" s="49">
        <f>[1]!RCHGetElementNumber(Ticker,684)</f>
        <v>390510000</v>
      </c>
      <c r="K19" s="19" t="s">
        <v>3</v>
      </c>
      <c r="L19" s="16"/>
    </row>
    <row r="20" spans="2:12" x14ac:dyDescent="0.2">
      <c r="B20" s="78" t="s">
        <v>20</v>
      </c>
      <c r="C20" s="52">
        <f>[1]!RCHGetElementNumber(Ticker,613)</f>
        <v>9.5000000000000001E-2</v>
      </c>
      <c r="D20" s="6" t="str">
        <f>[1]!RCHGetElementNumber(Ticker,614)</f>
        <v>N/A</v>
      </c>
      <c r="E20" s="6" t="str">
        <f>[1]!RCHGetElementNumber(Ticker,615)</f>
        <v>N/A</v>
      </c>
      <c r="F20" s="53" t="str">
        <f>[1]!RCHGetElementNumber(Ticker,616)</f>
        <v>N/A</v>
      </c>
      <c r="G20" s="48">
        <f>[1]!RCHGetElementNumber(Ticker,685)</f>
        <v>94100000</v>
      </c>
      <c r="H20" s="42">
        <f>[1]!RCHGetElementNumber(Ticker,686)</f>
        <v>97170000</v>
      </c>
      <c r="I20" s="42">
        <f>[1]!RCHGetElementNumber(Ticker,687)</f>
        <v>400790000</v>
      </c>
      <c r="J20" s="49">
        <f>[1]!RCHGetElementNumber(Ticker,688)</f>
        <v>427020000</v>
      </c>
      <c r="K20" s="19" t="s">
        <v>4</v>
      </c>
      <c r="L20" s="16"/>
    </row>
    <row r="21" spans="2:12" x14ac:dyDescent="0.2">
      <c r="B21" s="78" t="s">
        <v>21</v>
      </c>
      <c r="C21" s="52">
        <f>[1]!RCHGetElementNumber(Ticker,617)</f>
        <v>0.2364</v>
      </c>
      <c r="D21" s="6" t="str">
        <f>[1]!RCHGetElementNumber(Ticker,618)</f>
        <v>N/A</v>
      </c>
      <c r="E21" s="6" t="str">
        <f>[1]!RCHGetElementNumber(Ticker,619)</f>
        <v>N/A</v>
      </c>
      <c r="F21" s="53" t="str">
        <f>[1]!RCHGetElementNumber(Ticker,620)</f>
        <v>N/A</v>
      </c>
      <c r="G21" s="48">
        <f>[1]!RCHGetElementNumber(Ticker,693)</f>
        <v>82960000</v>
      </c>
      <c r="H21" s="42">
        <f>[1]!RCHGetElementNumber(Ticker,694)</f>
        <v>90150000</v>
      </c>
      <c r="I21" s="42">
        <f>[1]!RCHGetElementNumber(Ticker,695)</f>
        <v>394330000</v>
      </c>
      <c r="J21" s="49">
        <f>[1]!RCHGetElementNumber(Ticker,696)</f>
        <v>384510000</v>
      </c>
      <c r="K21" s="19" t="s">
        <v>6</v>
      </c>
      <c r="L21" s="16"/>
    </row>
    <row r="22" spans="2:12" ht="13.5" thickBot="1" x14ac:dyDescent="0.25">
      <c r="B22" s="78" t="s">
        <v>22</v>
      </c>
      <c r="C22" s="52">
        <f>[1]!RCHGetElementNumber(Ticker,621)</f>
        <v>8.0199999999999994E-2</v>
      </c>
      <c r="D22" s="6" t="str">
        <f>[1]!RCHGetElementNumber(Ticker,622)</f>
        <v>N/A</v>
      </c>
      <c r="E22" s="6" t="str">
        <f>[1]!RCHGetElementNumber(Ticker,623)</f>
        <v>N/A</v>
      </c>
      <c r="F22" s="53" t="str">
        <f>[1]!RCHGetElementNumber(Ticker,624)</f>
        <v>N/A</v>
      </c>
      <c r="G22" s="34">
        <f>[1]!RCHGetElementNumber(Ticker,697)</f>
        <v>-1.6E-2</v>
      </c>
      <c r="H22" s="35">
        <f>[1]!RCHGetElementNumber(Ticker,698)</f>
        <v>4.0000000000000001E-3</v>
      </c>
      <c r="I22" s="35">
        <f>[1]!RCHGetElementNumber(Ticker,699)</f>
        <v>-2.5000000000000001E-2</v>
      </c>
      <c r="J22" s="36">
        <f>[1]!RCHGetElementNumber(Ticker,700)</f>
        <v>6.4000000000000001E-2</v>
      </c>
      <c r="K22" s="20" t="s">
        <v>23</v>
      </c>
      <c r="L22" s="16"/>
    </row>
    <row r="23" spans="2:12" x14ac:dyDescent="0.2">
      <c r="B23" s="78" t="s">
        <v>24</v>
      </c>
      <c r="C23" s="54" t="str">
        <f>[1]!RCHGetElementNumber(Ticker,625)</f>
        <v>Obsolete</v>
      </c>
      <c r="D23" s="3" t="str">
        <f>[1]!RCHGetElementNumber(Ticker,626)</f>
        <v>Obsolete</v>
      </c>
      <c r="E23" s="3" t="str">
        <f>[1]!RCHGetElementNumber(Ticker,627)</f>
        <v>Obsolete</v>
      </c>
      <c r="F23" s="53" t="str">
        <f>[1]!RCHGetElementNumber(Ticker,628)</f>
        <v>Obsolete</v>
      </c>
    </row>
    <row r="24" spans="2:12" ht="13.5" thickBot="1" x14ac:dyDescent="0.25">
      <c r="B24" s="79" t="s">
        <v>25</v>
      </c>
      <c r="C24" s="55" t="str">
        <f>[1]!RCHGetElementNumber(Ticker,629)</f>
        <v>Obsolete</v>
      </c>
      <c r="D24" s="56" t="str">
        <f>[1]!RCHGetElementNumber(Ticker,630)</f>
        <v>Obsolete</v>
      </c>
      <c r="E24" s="56" t="str">
        <f>[1]!RCHGetElementNumber(Ticker,631)</f>
        <v>Obsolete</v>
      </c>
      <c r="F24" s="57" t="str">
        <f>[1]!RCHGetElementNumber(Ticker,632)</f>
        <v>Obsolete</v>
      </c>
      <c r="L24" s="16"/>
    </row>
    <row r="25" spans="2:12" x14ac:dyDescent="0.2">
      <c r="G25" s="82" t="str">
        <f>[1]!RCHGetElementNumber(Ticker,553)</f>
        <v>Current Qtr.(Jun2023)</v>
      </c>
      <c r="H25" s="85" t="str">
        <f>[1]!RCHGetElementNumber(Ticker,554)</f>
        <v>Next Qtr.(Sep2023)</v>
      </c>
      <c r="I25" s="85" t="str">
        <f>[1]!RCHGetElementNumber(Ticker,555)</f>
        <v>Current Year(2023)</v>
      </c>
      <c r="J25" s="88" t="str">
        <f>[1]!RCHGetElementNumber(Ticker,556)</f>
        <v>Next Year(2024)</v>
      </c>
      <c r="L25" s="16"/>
    </row>
    <row r="26" spans="2:12" ht="13.5" thickBot="1" x14ac:dyDescent="0.25">
      <c r="B26" s="44" t="s">
        <v>38</v>
      </c>
      <c r="C26" s="44"/>
      <c r="D26" s="44"/>
      <c r="E26" s="44"/>
      <c r="F26" s="45"/>
      <c r="G26" s="83"/>
      <c r="H26" s="86"/>
      <c r="I26" s="86"/>
      <c r="J26" s="89"/>
      <c r="L26" s="16"/>
    </row>
    <row r="27" spans="2:12" ht="13.5" thickBot="1" x14ac:dyDescent="0.25">
      <c r="G27" s="84"/>
      <c r="H27" s="87"/>
      <c r="I27" s="87"/>
      <c r="J27" s="90"/>
      <c r="K27" s="17" t="s">
        <v>26</v>
      </c>
      <c r="L27" s="16"/>
    </row>
    <row r="28" spans="2:12" x14ac:dyDescent="0.2">
      <c r="G28" s="31">
        <f>[1]!RCHGetElementNumber(Ticker,557)</f>
        <v>1.19</v>
      </c>
      <c r="H28" s="32">
        <f>[1]!RCHGetElementNumber(Ticker,558)</f>
        <v>1.36</v>
      </c>
      <c r="I28" s="32">
        <f>[1]!RCHGetElementNumber(Ticker,559)</f>
        <v>5.97</v>
      </c>
      <c r="J28" s="33">
        <f>[1]!RCHGetElementNumber(Ticker,560)</f>
        <v>6.54</v>
      </c>
      <c r="K28" s="18" t="s">
        <v>27</v>
      </c>
      <c r="L28" s="16"/>
    </row>
    <row r="29" spans="2:12" x14ac:dyDescent="0.2">
      <c r="G29" s="24">
        <f>[1]!RCHGetElementNumber(Ticker,561)</f>
        <v>1.19</v>
      </c>
      <c r="H29" s="5">
        <f>[1]!RCHGetElementNumber(Ticker,562)</f>
        <v>1.37</v>
      </c>
      <c r="I29" s="5">
        <f>[1]!RCHGetElementNumber(Ticker,563)</f>
        <v>5.96</v>
      </c>
      <c r="J29" s="25">
        <f>[1]!RCHGetElementNumber(Ticker,564)</f>
        <v>6.55</v>
      </c>
      <c r="K29" s="19" t="s">
        <v>28</v>
      </c>
      <c r="L29" s="16"/>
    </row>
    <row r="30" spans="2:12" x14ac:dyDescent="0.2">
      <c r="G30" s="24">
        <f>[1]!RCHGetElementNumber(Ticker,565)</f>
        <v>1.23</v>
      </c>
      <c r="H30" s="5">
        <f>[1]!RCHGetElementNumber(Ticker,566)</f>
        <v>1.4</v>
      </c>
      <c r="I30" s="5">
        <f>[1]!RCHGetElementNumber(Ticker,567)</f>
        <v>5.96</v>
      </c>
      <c r="J30" s="25">
        <f>[1]!RCHGetElementNumber(Ticker,568)</f>
        <v>6.61</v>
      </c>
      <c r="K30" s="19" t="s">
        <v>29</v>
      </c>
    </row>
    <row r="31" spans="2:12" x14ac:dyDescent="0.2">
      <c r="G31" s="24">
        <f>[1]!RCHGetElementNumber(Ticker,569)</f>
        <v>1.24</v>
      </c>
      <c r="H31" s="5">
        <f>[1]!RCHGetElementNumber(Ticker,570)</f>
        <v>1.41</v>
      </c>
      <c r="I31" s="5">
        <f>[1]!RCHGetElementNumber(Ticker,571)</f>
        <v>5.96</v>
      </c>
      <c r="J31" s="25">
        <f>[1]!RCHGetElementNumber(Ticker,572)</f>
        <v>6.61</v>
      </c>
      <c r="K31" s="19" t="s">
        <v>30</v>
      </c>
      <c r="L31" s="16"/>
    </row>
    <row r="32" spans="2:12" ht="13.5" thickBot="1" x14ac:dyDescent="0.25">
      <c r="G32" s="26">
        <f>[1]!RCHGetElementNumber(Ticker,573)</f>
        <v>1.24</v>
      </c>
      <c r="H32" s="27">
        <f>[1]!RCHGetElementNumber(Ticker,574)</f>
        <v>1.4</v>
      </c>
      <c r="I32" s="27">
        <f>[1]!RCHGetElementNumber(Ticker,575)</f>
        <v>5.97</v>
      </c>
      <c r="J32" s="28">
        <f>[1]!RCHGetElementNumber(Ticker,576)</f>
        <v>6.58</v>
      </c>
      <c r="K32" s="20" t="s">
        <v>31</v>
      </c>
      <c r="L32" s="16"/>
    </row>
    <row r="33" spans="7:13" ht="13.5" thickBot="1" x14ac:dyDescent="0.25">
      <c r="L33" s="16"/>
    </row>
    <row r="34" spans="7:13" x14ac:dyDescent="0.2">
      <c r="G34" s="82" t="str">
        <f>[1]!RCHGetElementNumber(Ticker,653)</f>
        <v>Current Qtr.(Jun2023)</v>
      </c>
      <c r="H34" s="85" t="str">
        <f>[1]!RCHGetElementNumber(Ticker,654)</f>
        <v>Next Qtr.(Sep2023)</v>
      </c>
      <c r="I34" s="85" t="str">
        <f>[1]!RCHGetElementNumber(Ticker,655)</f>
        <v>Current Year(2023)</v>
      </c>
      <c r="J34" s="88" t="str">
        <f>[1]!RCHGetElementNumber(Ticker,656)</f>
        <v>Next Year(2024)</v>
      </c>
      <c r="L34" s="16"/>
    </row>
    <row r="35" spans="7:13" ht="13.5" thickBot="1" x14ac:dyDescent="0.25">
      <c r="G35" s="83"/>
      <c r="H35" s="86"/>
      <c r="I35" s="86"/>
      <c r="J35" s="89"/>
      <c r="L35" s="16"/>
    </row>
    <row r="36" spans="7:13" ht="13.5" thickBot="1" x14ac:dyDescent="0.25">
      <c r="G36" s="84"/>
      <c r="H36" s="87"/>
      <c r="I36" s="87"/>
      <c r="J36" s="90"/>
      <c r="K36" s="17" t="s">
        <v>32</v>
      </c>
      <c r="L36" s="44"/>
      <c r="M36" s="44"/>
    </row>
    <row r="37" spans="7:13" x14ac:dyDescent="0.2">
      <c r="G37" s="21" t="str">
        <f>[1]!RCHGetElementNumber(Ticker,657)</f>
        <v>N/A</v>
      </c>
      <c r="H37" s="22" t="str">
        <f>[1]!RCHGetElementNumber(Ticker,658)</f>
        <v>N/A</v>
      </c>
      <c r="I37" s="22">
        <f>[1]!RCHGetElementNumber(Ticker,659)</f>
        <v>17</v>
      </c>
      <c r="J37" s="23" t="str">
        <f>[1]!RCHGetElementNumber(Ticker,660)</f>
        <v>N/A</v>
      </c>
      <c r="K37" s="18" t="s">
        <v>33</v>
      </c>
    </row>
    <row r="38" spans="7:13" x14ac:dyDescent="0.2">
      <c r="G38" s="54">
        <f>[1]!RCHGetElementNumber(Ticker,661)</f>
        <v>8</v>
      </c>
      <c r="H38" s="3">
        <f>[1]!RCHGetElementNumber(Ticker,662)</f>
        <v>8</v>
      </c>
      <c r="I38" s="3">
        <f>[1]!RCHGetElementNumber(Ticker,663)</f>
        <v>21</v>
      </c>
      <c r="J38" s="53">
        <f>[1]!RCHGetElementNumber(Ticker,664)</f>
        <v>13</v>
      </c>
      <c r="K38" s="19" t="s">
        <v>34</v>
      </c>
    </row>
    <row r="39" spans="7:13" x14ac:dyDescent="0.2">
      <c r="G39" s="54" t="str">
        <f>[1]!RCHGetElementNumber(Ticker,726)</f>
        <v>N/A</v>
      </c>
      <c r="H39" s="3" t="str">
        <f>[1]!RCHGetElementNumber(Ticker,727)</f>
        <v>N/A</v>
      </c>
      <c r="I39" s="3" t="str">
        <f>[1]!RCHGetElementNumber(Ticker,728)</f>
        <v>N/A</v>
      </c>
      <c r="J39" s="53" t="str">
        <f>[1]!RCHGetElementNumber(Ticker,729)</f>
        <v>N/A</v>
      </c>
      <c r="K39" s="81" t="s">
        <v>39</v>
      </c>
    </row>
    <row r="40" spans="7:13" ht="13.5" thickBot="1" x14ac:dyDescent="0.25">
      <c r="G40" s="55" t="str">
        <f>[1]!RCHGetElementNumber(Ticker,665)</f>
        <v>N/A</v>
      </c>
      <c r="H40" s="56" t="str">
        <f>[1]!RCHGetElementNumber(Ticker,666)</f>
        <v>N/A</v>
      </c>
      <c r="I40" s="56">
        <f>[1]!RCHGetElementNumber(Ticker,667)</f>
        <v>11</v>
      </c>
      <c r="J40" s="57">
        <f>[1]!RCHGetElementNumber(Ticker,668)</f>
        <v>1</v>
      </c>
      <c r="K40" s="19" t="s">
        <v>35</v>
      </c>
    </row>
    <row r="41" spans="7:13" ht="13.5" customHeight="1" x14ac:dyDescent="0.2"/>
    <row r="51" spans="9:11" x14ac:dyDescent="0.2">
      <c r="I51" s="44"/>
      <c r="J51" s="44"/>
      <c r="K51" s="44"/>
    </row>
  </sheetData>
  <mergeCells count="18">
    <mergeCell ref="C4:F4"/>
    <mergeCell ref="C15:F15"/>
    <mergeCell ref="G3:G5"/>
    <mergeCell ref="H3:H5"/>
    <mergeCell ref="I3:I5"/>
    <mergeCell ref="J3:J5"/>
    <mergeCell ref="G14:G16"/>
    <mergeCell ref="H14:H16"/>
    <mergeCell ref="I14:I16"/>
    <mergeCell ref="J14:J16"/>
    <mergeCell ref="G34:G36"/>
    <mergeCell ref="H34:H36"/>
    <mergeCell ref="I34:I36"/>
    <mergeCell ref="J34:J36"/>
    <mergeCell ref="G25:G27"/>
    <mergeCell ref="H25:H27"/>
    <mergeCell ref="I25:I27"/>
    <mergeCell ref="J25:J27"/>
  </mergeCells>
  <phoneticPr fontId="2" type="noConversion"/>
  <dataValidations count="1">
    <dataValidation allowBlank="1" showInputMessage="1" showErrorMessage="1" promptTitle="Ticker Symbol" prompt="_x000a_Enter your ticker symbol here to change the table values_x000a_" sqref="B2"/>
  </dataValidations>
  <pageMargins left="0.25" right="0.25" top="0.25" bottom="0.25" header="0.25" footer="0.2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Yahoo Analyst Estimates</vt:lpstr>
      <vt:lpstr>Ticker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Harmelink</dc:creator>
  <cp:lastModifiedBy>pryorm</cp:lastModifiedBy>
  <cp:lastPrinted>2006-08-12T06:50:53Z</cp:lastPrinted>
  <dcterms:created xsi:type="dcterms:W3CDTF">2006-08-12T06:43:34Z</dcterms:created>
  <dcterms:modified xsi:type="dcterms:W3CDTF">2023-05-16T20:59:17Z</dcterms:modified>
</cp:coreProperties>
</file>